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ory\2016 Cost of Service Prep\3_Operating Revenue\Load Forecast\"/>
    </mc:Choice>
  </mc:AlternateContent>
  <bookViews>
    <workbookView xWindow="0" yWindow="0" windowWidth="20490" windowHeight="7440" tabRatio="871" firstSheet="4" activeTab="13"/>
  </bookViews>
  <sheets>
    <sheet name="Purchase Forecast" sheetId="16" r:id="rId1"/>
    <sheet name="Regression Analysis" sheetId="26" r:id="rId2"/>
    <sheet name="Forecast Accuracy" sheetId="7" r:id="rId3"/>
    <sheet name="Rate Class Customer Model" sheetId="4" r:id="rId4"/>
    <sheet name="Rate Class Energy Model" sheetId="5" r:id="rId5"/>
    <sheet name="Rate Class Demand Model" sheetId="8" r:id="rId6"/>
    <sheet name="CDM" sheetId="17" r:id="rId7"/>
    <sheet name="WMP" sheetId="14" r:id="rId8"/>
    <sheet name="Detailed Summary" sheetId="9" r:id="rId9"/>
    <sheet name="Summary" sheetId="19" r:id="rId10"/>
    <sheet name="COP Rates" sheetId="20" r:id="rId11"/>
    <sheet name="COP Forecast" sheetId="25" r:id="rId12"/>
    <sheet name="Allocation of LF" sheetId="28" r:id="rId13"/>
    <sheet name="2016 Revenue at Old Rates" sheetId="29" r:id="rId14"/>
    <sheet name="Market Participant" sheetId="1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3">#REF!</definedName>
    <definedName name="contactf" localSheetId="6">#REF!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3">#REF!</definedName>
    <definedName name="Incr2000" localSheetId="6">#REF!</definedName>
    <definedName name="Incr2000">#REF!</definedName>
    <definedName name="LDC_LIST">[6]lists!$AM$1:$AM$80</definedName>
    <definedName name="LIMIT" localSheetId="13">#REF!</definedName>
    <definedName name="LIMIT" localSheetId="6">#REF!</definedName>
    <definedName name="LIMIT">#REF!</definedName>
    <definedName name="LossFactors">[3]lists!$L$2:$L$15</definedName>
    <definedName name="man_beg_bud" localSheetId="13">#REF!</definedName>
    <definedName name="man_beg_bud" localSheetId="6">#REF!</definedName>
    <definedName name="man_beg_bud">#REF!</definedName>
    <definedName name="man_end_bud" localSheetId="13">#REF!</definedName>
    <definedName name="man_end_bud" localSheetId="6">#REF!</definedName>
    <definedName name="man_end_bud">#REF!</definedName>
    <definedName name="man12ACT" localSheetId="13">#REF!</definedName>
    <definedName name="man12ACT" localSheetId="6">#REF!</definedName>
    <definedName name="man12ACT">#REF!</definedName>
    <definedName name="MANBUD" localSheetId="13">#REF!</definedName>
    <definedName name="MANBUD" localSheetId="6">#REF!</definedName>
    <definedName name="MANBUD">#REF!</definedName>
    <definedName name="manCYACT" localSheetId="13">#REF!</definedName>
    <definedName name="manCYACT" localSheetId="6">#REF!</definedName>
    <definedName name="manCYACT">#REF!</definedName>
    <definedName name="manCYBUD" localSheetId="13">#REF!</definedName>
    <definedName name="manCYBUD" localSheetId="6">#REF!</definedName>
    <definedName name="manCYBUD">#REF!</definedName>
    <definedName name="manCYF" localSheetId="13">#REF!</definedName>
    <definedName name="manCYF" localSheetId="6">#REF!</definedName>
    <definedName name="manCYF">#REF!</definedName>
    <definedName name="MANEND" localSheetId="13">#REF!</definedName>
    <definedName name="MANEND" localSheetId="6">#REF!</definedName>
    <definedName name="MANEND">#REF!</definedName>
    <definedName name="manNYbud" localSheetId="13">#REF!</definedName>
    <definedName name="manNYbud" localSheetId="6">#REF!</definedName>
    <definedName name="manNYbud">#REF!</definedName>
    <definedName name="manpower_costs" localSheetId="13">#REF!</definedName>
    <definedName name="manpower_costs" localSheetId="6">#REF!</definedName>
    <definedName name="manpower_costs">#REF!</definedName>
    <definedName name="manPYACT" localSheetId="13">#REF!</definedName>
    <definedName name="manPYACT" localSheetId="6">#REF!</definedName>
    <definedName name="manPYACT">#REF!</definedName>
    <definedName name="MANSTART" localSheetId="13">#REF!</definedName>
    <definedName name="MANSTART" localSheetId="6">#REF!</definedName>
    <definedName name="MANSTART">#REF!</definedName>
    <definedName name="mat_beg_bud" localSheetId="13">#REF!</definedName>
    <definedName name="mat_beg_bud" localSheetId="6">#REF!</definedName>
    <definedName name="mat_beg_bud">#REF!</definedName>
    <definedName name="mat_end_bud" localSheetId="13">#REF!</definedName>
    <definedName name="mat_end_bud" localSheetId="6">#REF!</definedName>
    <definedName name="mat_end_bud">#REF!</definedName>
    <definedName name="mat12ACT" localSheetId="13">#REF!</definedName>
    <definedName name="mat12ACT" localSheetId="6">#REF!</definedName>
    <definedName name="mat12ACT">#REF!</definedName>
    <definedName name="MATBUD" localSheetId="13">#REF!</definedName>
    <definedName name="MATBUD" localSheetId="6">#REF!</definedName>
    <definedName name="MATBUD">#REF!</definedName>
    <definedName name="matCYACT" localSheetId="13">#REF!</definedName>
    <definedName name="matCYACT" localSheetId="6">#REF!</definedName>
    <definedName name="matCYACT">#REF!</definedName>
    <definedName name="matCYBUD" localSheetId="13">#REF!</definedName>
    <definedName name="matCYBUD" localSheetId="6">#REF!</definedName>
    <definedName name="matCYBUD">#REF!</definedName>
    <definedName name="matCYF" localSheetId="13">#REF!</definedName>
    <definedName name="matCYF" localSheetId="6">#REF!</definedName>
    <definedName name="matCYF">#REF!</definedName>
    <definedName name="MATEND" localSheetId="13">#REF!</definedName>
    <definedName name="MATEND" localSheetId="6">#REF!</definedName>
    <definedName name="MATEND">#REF!</definedName>
    <definedName name="material_costs" localSheetId="13">#REF!</definedName>
    <definedName name="material_costs" localSheetId="6">#REF!</definedName>
    <definedName name="material_costs">#REF!</definedName>
    <definedName name="matNYbud" localSheetId="13">#REF!</definedName>
    <definedName name="matNYbud" localSheetId="6">#REF!</definedName>
    <definedName name="matNYbud">#REF!</definedName>
    <definedName name="matPYACT" localSheetId="13">#REF!</definedName>
    <definedName name="matPYACT" localSheetId="6">#REF!</definedName>
    <definedName name="matPYACT">#REF!</definedName>
    <definedName name="MATSTART" localSheetId="13">#REF!</definedName>
    <definedName name="MATSTART" localSheetId="6">#REF!</definedName>
    <definedName name="MATSTART">#REF!</definedName>
    <definedName name="NewRevReq">[4]Refs!$B$8</definedName>
    <definedName name="NonPayment">[3]lists!$AA$1:$AA$71</definedName>
    <definedName name="oth_beg_bud" localSheetId="13">#REF!</definedName>
    <definedName name="oth_beg_bud" localSheetId="6">#REF!</definedName>
    <definedName name="oth_beg_bud">#REF!</definedName>
    <definedName name="oth_end_bud" localSheetId="13">#REF!</definedName>
    <definedName name="oth_end_bud" localSheetId="6">#REF!</definedName>
    <definedName name="oth_end_bud">#REF!</definedName>
    <definedName name="oth12ACT" localSheetId="13">#REF!</definedName>
    <definedName name="oth12ACT" localSheetId="6">#REF!</definedName>
    <definedName name="oth12ACT">#REF!</definedName>
    <definedName name="othCYACT" localSheetId="13">#REF!</definedName>
    <definedName name="othCYACT" localSheetId="6">#REF!</definedName>
    <definedName name="othCYACT">#REF!</definedName>
    <definedName name="othCYBUD" localSheetId="13">#REF!</definedName>
    <definedName name="othCYBUD" localSheetId="6">#REF!</definedName>
    <definedName name="othCYBUD">#REF!</definedName>
    <definedName name="othCYF" localSheetId="13">#REF!</definedName>
    <definedName name="othCYF" localSheetId="6">#REF!</definedName>
    <definedName name="othCYF">#REF!</definedName>
    <definedName name="OTHEND" localSheetId="13">#REF!</definedName>
    <definedName name="OTHEND" localSheetId="6">#REF!</definedName>
    <definedName name="OTHEND">#REF!</definedName>
    <definedName name="other_costs" localSheetId="13">#REF!</definedName>
    <definedName name="other_costs" localSheetId="6">#REF!</definedName>
    <definedName name="other_costs">#REF!</definedName>
    <definedName name="OTHERBUD" localSheetId="13">#REF!</definedName>
    <definedName name="OTHERBUD" localSheetId="6">#REF!</definedName>
    <definedName name="OTHERBUD">#REF!</definedName>
    <definedName name="othNYbud" localSheetId="13">#REF!</definedName>
    <definedName name="othNYbud" localSheetId="6">#REF!</definedName>
    <definedName name="othNYbud">#REF!</definedName>
    <definedName name="othPYACT" localSheetId="13">#REF!</definedName>
    <definedName name="othPYACT" localSheetId="6">#REF!</definedName>
    <definedName name="othPYACT">#REF!</definedName>
    <definedName name="OTHSTART" localSheetId="13">#REF!</definedName>
    <definedName name="OTHSTART" localSheetId="6">#REF!</definedName>
    <definedName name="OTHSTART">#REF!</definedName>
    <definedName name="PAGE11" localSheetId="13">#REF!</definedName>
    <definedName name="PAGE11" localSheetId="14">#REF!</definedName>
    <definedName name="PAGE11" localSheetId="5">#REF!</definedName>
    <definedName name="PAGE11">#REF!</definedName>
    <definedName name="PAGE2">[1]Sheet1!$A$1:$I$40</definedName>
    <definedName name="PAGE3" localSheetId="13">#REF!</definedName>
    <definedName name="PAGE3" localSheetId="14">#REF!</definedName>
    <definedName name="PAGE3" localSheetId="5">#REF!</definedName>
    <definedName name="PAGE3">#REF!</definedName>
    <definedName name="PAGE4" localSheetId="13">#REF!</definedName>
    <definedName name="PAGE4" localSheetId="14">#REF!</definedName>
    <definedName name="PAGE4" localSheetId="5">#REF!</definedName>
    <definedName name="PAGE4">#REF!</definedName>
    <definedName name="PAGE7" localSheetId="13">#REF!</definedName>
    <definedName name="PAGE7" localSheetId="14">#REF!</definedName>
    <definedName name="PAGE7" localSheetId="5">#REF!</definedName>
    <definedName name="PAGE7">#REF!</definedName>
    <definedName name="PAGE9" localSheetId="13">#REF!</definedName>
    <definedName name="PAGE9" localSheetId="14">#REF!</definedName>
    <definedName name="PAGE9" localSheetId="5">#REF!</definedName>
    <definedName name="PAGE9">#REF!</definedName>
    <definedName name="_xlnm.Print_Area" localSheetId="13">'2016 Revenue at Old Rates'!$A$1:$S$58</definedName>
    <definedName name="_xlnm.Print_Area" localSheetId="12">'Allocation of LF'!$A$1:$K$40</definedName>
    <definedName name="_xlnm.Print_Area" localSheetId="6">CDM!$A$1:$K$42</definedName>
    <definedName name="_xlnm.Print_Area" localSheetId="11">'COP Forecast'!$A$1:$M$70</definedName>
    <definedName name="_xlnm.Print_Area" localSheetId="10">'COP Rates'!$A$1:$H$57</definedName>
    <definedName name="_xlnm.Print_Area" localSheetId="8">'Detailed Summary'!$A$1:$L$51</definedName>
    <definedName name="_xlnm.Print_Area" localSheetId="2">'Forecast Accuracy'!$A$1:$K$20</definedName>
    <definedName name="_xlnm.Print_Area" localSheetId="14">'Market Participant'!$A$1:$D$4</definedName>
    <definedName name="_xlnm.Print_Area" localSheetId="0">'Purchase Forecast'!$A$1:$M$137</definedName>
    <definedName name="_xlnm.Print_Area" localSheetId="3">'Rate Class Customer Model'!$A$1:$K$31</definedName>
    <definedName name="_xlnm.Print_Area" localSheetId="5">'Rate Class Demand Model'!$A$1:$K$31</definedName>
    <definedName name="_xlnm.Print_Area" localSheetId="4">'Rate Class Energy Model'!$A$1:$K$64</definedName>
    <definedName name="_xlnm.Print_Area" localSheetId="1">'Regression Analysis'!$A$1:$I$33</definedName>
    <definedName name="_xlnm.Print_Area" localSheetId="9">Summary!$A$1:$H$29</definedName>
    <definedName name="print_end" localSheetId="13">#REF!</definedName>
    <definedName name="print_end" localSheetId="6">#REF!</definedName>
    <definedName name="print_end">#REF!</definedName>
    <definedName name="_xlnm.Print_Titles" localSheetId="0">'Purchase Forecast'!$1:$5</definedName>
    <definedName name="_xlnm.Print_Titles" localSheetId="4">'Rate Class Energy Model'!$1:$5</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3">#REF!</definedName>
    <definedName name="SALBENF" localSheetId="6">#REF!</definedName>
    <definedName name="SALBENF">#REF!</definedName>
    <definedName name="salreg" localSheetId="13">#REF!</definedName>
    <definedName name="salreg" localSheetId="6">#REF!</definedName>
    <definedName name="salreg">#REF!</definedName>
    <definedName name="SALREGF" localSheetId="13">#REF!</definedName>
    <definedName name="SALREGF" localSheetId="6">#REF!</definedName>
    <definedName name="SALREGF">#REF!</definedName>
    <definedName name="SM_15">'[8]Regulatory Rates'!$D$7</definedName>
    <definedName name="TEMPA" localSheetId="13">#REF!</definedName>
    <definedName name="TEMPA" localSheetId="6">#REF!</definedName>
    <definedName name="TEMPA">#REF!</definedName>
    <definedName name="TestYear">'[3]LDC Info'!$E$24</definedName>
    <definedName name="total_dept" localSheetId="13">#REF!</definedName>
    <definedName name="total_dept" localSheetId="6">#REF!</definedName>
    <definedName name="total_dept">#REF!</definedName>
    <definedName name="total_manpower" localSheetId="13">#REF!</definedName>
    <definedName name="total_manpower" localSheetId="6">#REF!</definedName>
    <definedName name="total_manpower">#REF!</definedName>
    <definedName name="total_material" localSheetId="13">#REF!</definedName>
    <definedName name="total_material" localSheetId="6">#REF!</definedName>
    <definedName name="total_material">#REF!</definedName>
    <definedName name="total_other" localSheetId="13">#REF!</definedName>
    <definedName name="total_other" localSheetId="6">#REF!</definedName>
    <definedName name="total_other">#REF!</definedName>
    <definedName name="total_transportation" localSheetId="13">#REF!</definedName>
    <definedName name="total_transportation" localSheetId="6">#REF!</definedName>
    <definedName name="total_transportation">#REF!</definedName>
    <definedName name="TRANBUD" localSheetId="13">#REF!</definedName>
    <definedName name="TRANBUD" localSheetId="6">#REF!</definedName>
    <definedName name="TRANBUD">#REF!</definedName>
    <definedName name="TRANEND" localSheetId="13">#REF!</definedName>
    <definedName name="TRANEND" localSheetId="6">#REF!</definedName>
    <definedName name="TRANEND">#REF!</definedName>
    <definedName name="transportation_costs" localSheetId="13">#REF!</definedName>
    <definedName name="transportation_costs" localSheetId="6">#REF!</definedName>
    <definedName name="transportation_costs">#REF!</definedName>
    <definedName name="TRANSTART" localSheetId="13">#REF!</definedName>
    <definedName name="TRANSTART" localSheetId="6">#REF!</definedName>
    <definedName name="TRANSTART">#REF!</definedName>
    <definedName name="trn_beg_bud" localSheetId="13">#REF!</definedName>
    <definedName name="trn_beg_bud" localSheetId="6">#REF!</definedName>
    <definedName name="trn_beg_bud">#REF!</definedName>
    <definedName name="trn_end_bud" localSheetId="13">#REF!</definedName>
    <definedName name="trn_end_bud" localSheetId="6">#REF!</definedName>
    <definedName name="trn_end_bud">#REF!</definedName>
    <definedName name="trn12ACT" localSheetId="13">#REF!</definedName>
    <definedName name="trn12ACT" localSheetId="6">#REF!</definedName>
    <definedName name="trn12ACT">#REF!</definedName>
    <definedName name="trnCYACT" localSheetId="13">#REF!</definedName>
    <definedName name="trnCYACT" localSheetId="6">#REF!</definedName>
    <definedName name="trnCYACT">#REF!</definedName>
    <definedName name="trnCYBUD" localSheetId="13">#REF!</definedName>
    <definedName name="trnCYBUD" localSheetId="6">#REF!</definedName>
    <definedName name="trnCYBUD">#REF!</definedName>
    <definedName name="trnCYF" localSheetId="13">#REF!</definedName>
    <definedName name="trnCYF" localSheetId="6">#REF!</definedName>
    <definedName name="trnCYF">#REF!</definedName>
    <definedName name="trnNYbud" localSheetId="13">#REF!</definedName>
    <definedName name="trnNYbud" localSheetId="6">#REF!</definedName>
    <definedName name="trnNYbud">#REF!</definedName>
    <definedName name="trnPYACT" localSheetId="13">#REF!</definedName>
    <definedName name="trnPYACT" localSheetId="6">#REF!</definedName>
    <definedName name="trnPYACT">#REF!</definedName>
    <definedName name="Units">[3]lists!$N$2:$N$5</definedName>
    <definedName name="Utility">[5]Financials!$A$1</definedName>
    <definedName name="utitliy1">[9]Financials!$A$1</definedName>
    <definedName name="WAGBENF" localSheetId="13">#REF!</definedName>
    <definedName name="WAGBENF" localSheetId="6">#REF!</definedName>
    <definedName name="WAGBENF">#REF!</definedName>
    <definedName name="wagdob" localSheetId="13">#REF!</definedName>
    <definedName name="wagdob" localSheetId="6">#REF!</definedName>
    <definedName name="wagdob">#REF!</definedName>
    <definedName name="wagdobf" localSheetId="13">#REF!</definedName>
    <definedName name="wagdobf" localSheetId="6">#REF!</definedName>
    <definedName name="wagdobf">#REF!</definedName>
    <definedName name="wagreg" localSheetId="13">#REF!</definedName>
    <definedName name="wagreg" localSheetId="6">#REF!</definedName>
    <definedName name="wagreg">#REF!</definedName>
    <definedName name="wagregf" localSheetId="13">#REF!</definedName>
    <definedName name="wagregf" localSheetId="6">#REF!</definedName>
    <definedName name="wagregf">#REF!</definedName>
    <definedName name="WMS_15">'[8]Regulatory Rates'!$D$5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29" l="1"/>
  <c r="F29" i="29"/>
  <c r="E29" i="29"/>
  <c r="N29" i="29" s="1"/>
  <c r="G28" i="29"/>
  <c r="P28" i="29" s="1"/>
  <c r="F28" i="29"/>
  <c r="E28" i="29"/>
  <c r="G27" i="29"/>
  <c r="P27" i="29" s="1"/>
  <c r="F27" i="29"/>
  <c r="O27" i="29" s="1"/>
  <c r="E27" i="29"/>
  <c r="D29" i="29"/>
  <c r="D28" i="29"/>
  <c r="G23" i="29"/>
  <c r="P23" i="29" s="1"/>
  <c r="F23" i="29"/>
  <c r="O23" i="29" s="1"/>
  <c r="E23" i="29"/>
  <c r="G22" i="29"/>
  <c r="F22" i="29"/>
  <c r="O22" i="29" s="1"/>
  <c r="E22" i="29"/>
  <c r="N22" i="29" s="1"/>
  <c r="G21" i="29"/>
  <c r="F21" i="29"/>
  <c r="E21" i="29"/>
  <c r="D23" i="29"/>
  <c r="D22" i="29"/>
  <c r="D21" i="29"/>
  <c r="M21" i="29" s="1"/>
  <c r="D27" i="29"/>
  <c r="H27" i="29" s="1"/>
  <c r="E26" i="29"/>
  <c r="N21" i="29"/>
  <c r="P22" i="29"/>
  <c r="O21" i="29"/>
  <c r="D25" i="29"/>
  <c r="D24" i="29"/>
  <c r="H24" i="29"/>
  <c r="M23" i="29"/>
  <c r="G17" i="29"/>
  <c r="F17" i="29"/>
  <c r="E17" i="29"/>
  <c r="G16" i="29"/>
  <c r="F16" i="29"/>
  <c r="E16" i="29"/>
  <c r="N16" i="29" s="1"/>
  <c r="G15" i="29"/>
  <c r="P15" i="29" s="1"/>
  <c r="F15" i="29"/>
  <c r="E15" i="29"/>
  <c r="G11" i="29"/>
  <c r="P11" i="29" s="1"/>
  <c r="F11" i="29"/>
  <c r="O11" i="29" s="1"/>
  <c r="E11" i="29"/>
  <c r="N11" i="29" s="1"/>
  <c r="G10" i="29"/>
  <c r="F10" i="29"/>
  <c r="O10" i="29" s="1"/>
  <c r="E10" i="29"/>
  <c r="N10" i="29" s="1"/>
  <c r="G9" i="29"/>
  <c r="F9" i="29"/>
  <c r="E9" i="29"/>
  <c r="P10" i="29"/>
  <c r="N17" i="29"/>
  <c r="N15" i="29"/>
  <c r="O16" i="29"/>
  <c r="P17" i="29"/>
  <c r="D17" i="29"/>
  <c r="M17" i="29" s="1"/>
  <c r="D16" i="29"/>
  <c r="M16" i="29" s="1"/>
  <c r="D15" i="29"/>
  <c r="D11" i="29"/>
  <c r="O9" i="29"/>
  <c r="D10" i="29"/>
  <c r="M13" i="29"/>
  <c r="M15" i="29"/>
  <c r="M11" i="29"/>
  <c r="D9" i="29"/>
  <c r="H30" i="29"/>
  <c r="S30" i="29" s="1"/>
  <c r="M30" i="29"/>
  <c r="R30" i="29" s="1"/>
  <c r="P29" i="29"/>
  <c r="O29" i="29"/>
  <c r="O28" i="29"/>
  <c r="N28" i="29"/>
  <c r="N27" i="29"/>
  <c r="P26" i="29"/>
  <c r="O26" i="29"/>
  <c r="M26" i="29"/>
  <c r="N26" i="29"/>
  <c r="P25" i="29"/>
  <c r="O25" i="29"/>
  <c r="N25" i="29"/>
  <c r="H25" i="29"/>
  <c r="P24" i="29"/>
  <c r="O24" i="29"/>
  <c r="N24" i="29"/>
  <c r="Q24" i="29"/>
  <c r="N23" i="29"/>
  <c r="M22" i="29"/>
  <c r="P21" i="29"/>
  <c r="Q19" i="29"/>
  <c r="P18" i="29"/>
  <c r="O18" i="29"/>
  <c r="N18" i="29"/>
  <c r="M18" i="29"/>
  <c r="I18" i="29"/>
  <c r="H18" i="29"/>
  <c r="O17" i="29"/>
  <c r="P16" i="29"/>
  <c r="O15" i="29"/>
  <c r="P14" i="29"/>
  <c r="O14" i="29"/>
  <c r="N14" i="29"/>
  <c r="M14" i="29"/>
  <c r="H14" i="29"/>
  <c r="P13" i="29"/>
  <c r="O13" i="29"/>
  <c r="N13" i="29"/>
  <c r="P12" i="29"/>
  <c r="O12" i="29"/>
  <c r="N12" i="29"/>
  <c r="M12" i="29"/>
  <c r="H12" i="29"/>
  <c r="M10" i="29"/>
  <c r="G19"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O31" i="29" l="1"/>
  <c r="N31" i="29"/>
  <c r="R22" i="29"/>
  <c r="P31" i="29"/>
  <c r="E19" i="29"/>
  <c r="N9" i="29"/>
  <c r="O19" i="29"/>
  <c r="O32" i="29" s="1"/>
  <c r="R16" i="29"/>
  <c r="R15" i="29"/>
  <c r="N19" i="29"/>
  <c r="R17" i="29"/>
  <c r="R10" i="29"/>
  <c r="D19" i="29"/>
  <c r="H13" i="29"/>
  <c r="S13" i="29" s="1"/>
  <c r="H29" i="29"/>
  <c r="M29" i="29"/>
  <c r="R29" i="29" s="1"/>
  <c r="M27" i="29"/>
  <c r="R27" i="29" s="1"/>
  <c r="R12" i="29"/>
  <c r="S18" i="29"/>
  <c r="H28" i="29"/>
  <c r="M28" i="29"/>
  <c r="R28" i="29" s="1"/>
  <c r="P9" i="29"/>
  <c r="P19" i="29" s="1"/>
  <c r="R14" i="29"/>
  <c r="R18" i="29"/>
  <c r="Q26" i="29"/>
  <c r="R26" i="29" s="1"/>
  <c r="R11" i="29"/>
  <c r="R21" i="29"/>
  <c r="H16" i="29"/>
  <c r="S16" i="29" s="1"/>
  <c r="H9" i="29"/>
  <c r="H10" i="29"/>
  <c r="S10" i="29" s="1"/>
  <c r="H21" i="29"/>
  <c r="S21" i="29" s="1"/>
  <c r="H22" i="29"/>
  <c r="S22" i="29" s="1"/>
  <c r="H23" i="29"/>
  <c r="Q23" i="29" s="1"/>
  <c r="R23" i="29" s="1"/>
  <c r="M25" i="29"/>
  <c r="Q25" i="29"/>
  <c r="H11" i="29"/>
  <c r="S11" i="29" s="1"/>
  <c r="R13" i="29"/>
  <c r="M9" i="29"/>
  <c r="F19" i="29"/>
  <c r="H26" i="29"/>
  <c r="H15" i="29"/>
  <c r="S15" i="29" s="1"/>
  <c r="H17" i="29"/>
  <c r="S17" i="29" s="1"/>
  <c r="M24" i="29"/>
  <c r="R24" i="29" s="1"/>
  <c r="D50" i="29"/>
  <c r="S29" i="29" l="1"/>
  <c r="S28" i="29"/>
  <c r="N32" i="29"/>
  <c r="P32" i="29"/>
  <c r="R31" i="29"/>
  <c r="M31" i="29"/>
  <c r="S27" i="29"/>
  <c r="Q31" i="29"/>
  <c r="Q32" i="29" s="1"/>
  <c r="H19" i="29"/>
  <c r="S9" i="29"/>
  <c r="R9" i="29"/>
  <c r="R19" i="29" s="1"/>
  <c r="M19" i="29"/>
  <c r="R25" i="29"/>
  <c r="S25" i="29"/>
  <c r="S23" i="29"/>
  <c r="D56" i="29"/>
  <c r="M56" i="29" s="1"/>
  <c r="R56" i="29" s="1"/>
  <c r="G55" i="29"/>
  <c r="P55" i="29" s="1"/>
  <c r="F55" i="29"/>
  <c r="O55" i="29" s="1"/>
  <c r="E55" i="29"/>
  <c r="N55" i="29" s="1"/>
  <c r="D55" i="29"/>
  <c r="G54" i="29"/>
  <c r="P54" i="29" s="1"/>
  <c r="F54" i="29"/>
  <c r="O54" i="29" s="1"/>
  <c r="E54" i="29"/>
  <c r="N54" i="29" s="1"/>
  <c r="D54" i="29"/>
  <c r="G53" i="29"/>
  <c r="P53" i="29" s="1"/>
  <c r="F53" i="29"/>
  <c r="O53" i="29" s="1"/>
  <c r="E53" i="29"/>
  <c r="N53" i="29" s="1"/>
  <c r="D53" i="29"/>
  <c r="P52" i="29"/>
  <c r="O52" i="29"/>
  <c r="M52" i="29"/>
  <c r="E52" i="29"/>
  <c r="N52" i="29" s="1"/>
  <c r="P51" i="29"/>
  <c r="O51" i="29"/>
  <c r="N51" i="29"/>
  <c r="D51" i="29"/>
  <c r="H51" i="29" s="1"/>
  <c r="P50" i="29"/>
  <c r="O50" i="29"/>
  <c r="N50" i="29"/>
  <c r="H50" i="29"/>
  <c r="Q50" i="29"/>
  <c r="G49" i="29"/>
  <c r="P49" i="29" s="1"/>
  <c r="F49" i="29"/>
  <c r="O49" i="29" s="1"/>
  <c r="E49" i="29"/>
  <c r="N49" i="29" s="1"/>
  <c r="D49" i="29"/>
  <c r="M49" i="29" s="1"/>
  <c r="G48" i="29"/>
  <c r="P48" i="29" s="1"/>
  <c r="F48" i="29"/>
  <c r="O48" i="29" s="1"/>
  <c r="E48" i="29"/>
  <c r="N48" i="29" s="1"/>
  <c r="D48" i="29"/>
  <c r="M48" i="29" s="1"/>
  <c r="G47" i="29"/>
  <c r="P47" i="29" s="1"/>
  <c r="F47" i="29"/>
  <c r="O47" i="29" s="1"/>
  <c r="E47" i="29"/>
  <c r="N47" i="29" s="1"/>
  <c r="D47" i="29"/>
  <c r="M47" i="29" s="1"/>
  <c r="Q45" i="29"/>
  <c r="P44" i="29"/>
  <c r="O44" i="29"/>
  <c r="N44" i="29"/>
  <c r="I44" i="29"/>
  <c r="M44" i="29" s="1"/>
  <c r="R44" i="29" s="1"/>
  <c r="H44" i="29"/>
  <c r="S44" i="29" s="1"/>
  <c r="G43" i="29"/>
  <c r="P43" i="29" s="1"/>
  <c r="F43" i="29"/>
  <c r="O43" i="29" s="1"/>
  <c r="E43" i="29"/>
  <c r="N43" i="29" s="1"/>
  <c r="D43" i="29"/>
  <c r="M43" i="29" s="1"/>
  <c r="G42" i="29"/>
  <c r="P42" i="29" s="1"/>
  <c r="F42" i="29"/>
  <c r="O42" i="29" s="1"/>
  <c r="E42" i="29"/>
  <c r="N42" i="29" s="1"/>
  <c r="D42" i="29"/>
  <c r="M42" i="29" s="1"/>
  <c r="G41" i="29"/>
  <c r="P41" i="29" s="1"/>
  <c r="F41" i="29"/>
  <c r="O41" i="29" s="1"/>
  <c r="E41" i="29"/>
  <c r="N41" i="29" s="1"/>
  <c r="D41" i="29"/>
  <c r="M41" i="29" s="1"/>
  <c r="P40" i="29"/>
  <c r="O40" i="29"/>
  <c r="N40" i="29"/>
  <c r="M40" i="29"/>
  <c r="H40" i="29"/>
  <c r="P39" i="29"/>
  <c r="O39" i="29"/>
  <c r="N39" i="29"/>
  <c r="M39" i="29"/>
  <c r="H39" i="29"/>
  <c r="P38" i="29"/>
  <c r="O38" i="29"/>
  <c r="N38" i="29"/>
  <c r="M38" i="29"/>
  <c r="H38" i="29"/>
  <c r="G37" i="29"/>
  <c r="P37" i="29" s="1"/>
  <c r="F37" i="29"/>
  <c r="O37" i="29" s="1"/>
  <c r="E37" i="29"/>
  <c r="N37" i="29" s="1"/>
  <c r="D37" i="29"/>
  <c r="M37" i="29" s="1"/>
  <c r="G36" i="29"/>
  <c r="P36" i="29" s="1"/>
  <c r="F36" i="29"/>
  <c r="O36" i="29" s="1"/>
  <c r="E36" i="29"/>
  <c r="N36" i="29" s="1"/>
  <c r="D36" i="29"/>
  <c r="M36" i="29" s="1"/>
  <c r="N35" i="29"/>
  <c r="G35" i="29"/>
  <c r="P35" i="29" s="1"/>
  <c r="F35" i="29"/>
  <c r="O35" i="29" s="1"/>
  <c r="E35" i="29"/>
  <c r="D35" i="29"/>
  <c r="D45" i="29" s="1"/>
  <c r="A35" i="29"/>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R32" i="29" l="1"/>
  <c r="M32" i="29"/>
  <c r="G45" i="29"/>
  <c r="H54" i="29"/>
  <c r="M54" i="29"/>
  <c r="R54" i="29" s="1"/>
  <c r="Q52" i="29"/>
  <c r="H55" i="29"/>
  <c r="M55" i="29"/>
  <c r="R55" i="29" s="1"/>
  <c r="E45" i="29"/>
  <c r="H53" i="29"/>
  <c r="M53" i="29"/>
  <c r="S53" i="29" s="1"/>
  <c r="H56" i="29"/>
  <c r="P57" i="29"/>
  <c r="P45" i="29"/>
  <c r="R40" i="29"/>
  <c r="R38" i="29"/>
  <c r="R43" i="29"/>
  <c r="R42" i="29"/>
  <c r="S39" i="29"/>
  <c r="N45" i="29"/>
  <c r="N57" i="29"/>
  <c r="R36" i="29"/>
  <c r="O45" i="29"/>
  <c r="R37" i="29"/>
  <c r="R41" i="29"/>
  <c r="O57" i="29"/>
  <c r="R47" i="29"/>
  <c r="R48" i="29"/>
  <c r="R52" i="29"/>
  <c r="R53" i="29"/>
  <c r="S56" i="29"/>
  <c r="H42" i="29"/>
  <c r="S42" i="29" s="1"/>
  <c r="H43" i="29"/>
  <c r="S43" i="29" s="1"/>
  <c r="H35" i="29"/>
  <c r="H36" i="29"/>
  <c r="S36" i="29" s="1"/>
  <c r="H37" i="29"/>
  <c r="S37" i="29" s="1"/>
  <c r="R39" i="29"/>
  <c r="H47" i="29"/>
  <c r="S47" i="29" s="1"/>
  <c r="H48" i="29"/>
  <c r="S48" i="29" s="1"/>
  <c r="H49" i="29"/>
  <c r="Q49" i="29" s="1"/>
  <c r="R49" i="29" s="1"/>
  <c r="M51" i="29"/>
  <c r="Q51" i="29"/>
  <c r="M35" i="29"/>
  <c r="F45" i="29"/>
  <c r="H52" i="29"/>
  <c r="H41" i="29"/>
  <c r="S41" i="29" s="1"/>
  <c r="M50" i="29"/>
  <c r="R50" i="29" s="1"/>
  <c r="S54" i="29" l="1"/>
  <c r="S55" i="29"/>
  <c r="P58" i="29"/>
  <c r="H45" i="29"/>
  <c r="S35" i="29"/>
  <c r="Q57" i="29"/>
  <c r="Q58" i="29" s="1"/>
  <c r="O58" i="29"/>
  <c r="R35" i="29"/>
  <c r="R45" i="29" s="1"/>
  <c r="M45" i="29"/>
  <c r="R51" i="29"/>
  <c r="R57" i="29" s="1"/>
  <c r="S51" i="29"/>
  <c r="M57" i="29"/>
  <c r="S49" i="29"/>
  <c r="N58" i="29"/>
  <c r="M58" i="29" l="1"/>
  <c r="R58" i="29"/>
  <c r="A8" i="28" l="1"/>
  <c r="G8" i="28"/>
  <c r="J8" i="28" s="1"/>
  <c r="K8" i="28"/>
  <c r="A9" i="28"/>
  <c r="G9" i="28"/>
  <c r="H9" i="28" s="1"/>
  <c r="I9" i="28"/>
  <c r="K9" i="28"/>
  <c r="A10" i="28"/>
  <c r="G10" i="28"/>
  <c r="J10" i="28" s="1"/>
  <c r="K10" i="28"/>
  <c r="A11" i="28"/>
  <c r="G11" i="28"/>
  <c r="H11" i="28" s="1"/>
  <c r="I11" i="28"/>
  <c r="K11" i="28"/>
  <c r="A12" i="28"/>
  <c r="G12" i="28"/>
  <c r="J12" i="28" s="1"/>
  <c r="K12" i="28"/>
  <c r="A13" i="28"/>
  <c r="G13" i="28"/>
  <c r="H13" i="28" s="1"/>
  <c r="I13" i="28"/>
  <c r="K13" i="28"/>
  <c r="A14" i="28"/>
  <c r="G14" i="28"/>
  <c r="J14" i="28" s="1"/>
  <c r="K14" i="28"/>
  <c r="A15" i="28"/>
  <c r="G15" i="28"/>
  <c r="H15" i="28" s="1"/>
  <c r="I15" i="28"/>
  <c r="K15" i="28"/>
  <c r="A16" i="28"/>
  <c r="G16" i="28"/>
  <c r="J16" i="28" s="1"/>
  <c r="K16" i="28"/>
  <c r="A17" i="28"/>
  <c r="G17" i="28"/>
  <c r="A18" i="28"/>
  <c r="C18" i="28"/>
  <c r="D18" i="28"/>
  <c r="E18" i="28"/>
  <c r="F18" i="28"/>
  <c r="G18" i="28"/>
  <c r="A19" i="28"/>
  <c r="A20" i="28"/>
  <c r="G20" i="28"/>
  <c r="I20" i="28" s="1"/>
  <c r="H20" i="28"/>
  <c r="J20" i="28"/>
  <c r="K20" i="28"/>
  <c r="A21" i="28"/>
  <c r="A22" i="28" s="1"/>
  <c r="A23" i="28" s="1"/>
  <c r="A24" i="28" s="1"/>
  <c r="A25" i="28" s="1"/>
  <c r="A26" i="28" s="1"/>
  <c r="A27" i="28" s="1"/>
  <c r="A28" i="28" s="1"/>
  <c r="A29" i="28" s="1"/>
  <c r="A30" i="28" s="1"/>
  <c r="A31" i="28" s="1"/>
  <c r="A32" i="28" s="1"/>
  <c r="A33" i="28" s="1"/>
  <c r="A34" i="28" s="1"/>
  <c r="A35" i="28" s="1"/>
  <c r="A36" i="28" s="1"/>
  <c r="A37" i="28" s="1"/>
  <c r="A38" i="28" s="1"/>
  <c r="A39" i="28" s="1"/>
  <c r="A40" i="28" s="1"/>
  <c r="G21" i="28"/>
  <c r="H21" i="28"/>
  <c r="I21" i="28"/>
  <c r="J21" i="28"/>
  <c r="K21" i="28"/>
  <c r="G22" i="28"/>
  <c r="I22" i="28" s="1"/>
  <c r="H22" i="28"/>
  <c r="J22" i="28"/>
  <c r="K22" i="28"/>
  <c r="G23" i="28"/>
  <c r="H23" i="28"/>
  <c r="I23" i="28"/>
  <c r="J23" i="28"/>
  <c r="K23" i="28"/>
  <c r="G24" i="28"/>
  <c r="I24" i="28" s="1"/>
  <c r="H24" i="28"/>
  <c r="J24" i="28"/>
  <c r="K24" i="28"/>
  <c r="G25" i="28"/>
  <c r="H25" i="28"/>
  <c r="I25" i="28"/>
  <c r="J25" i="28"/>
  <c r="K25" i="28"/>
  <c r="G26" i="28"/>
  <c r="I26" i="28" s="1"/>
  <c r="H26" i="28"/>
  <c r="J26" i="28"/>
  <c r="K26" i="28"/>
  <c r="G27" i="28"/>
  <c r="I27" i="28" s="1"/>
  <c r="H27" i="28"/>
  <c r="J27" i="28"/>
  <c r="K27" i="28"/>
  <c r="G28" i="28"/>
  <c r="I28" i="28" s="1"/>
  <c r="H28" i="28"/>
  <c r="J28" i="28"/>
  <c r="K28" i="28"/>
  <c r="C29" i="28"/>
  <c r="D29" i="28"/>
  <c r="G29" i="28" s="1"/>
  <c r="E29" i="28"/>
  <c r="F29" i="28"/>
  <c r="G31" i="28"/>
  <c r="G32" i="28"/>
  <c r="G33" i="28"/>
  <c r="J33" i="28" s="1"/>
  <c r="K33" i="28"/>
  <c r="G34" i="28"/>
  <c r="H34" i="28" s="1"/>
  <c r="I34" i="28"/>
  <c r="K34" i="28"/>
  <c r="G35" i="28"/>
  <c r="G36" i="28"/>
  <c r="H36" i="28" s="1"/>
  <c r="I36" i="28"/>
  <c r="K36" i="28"/>
  <c r="G37" i="28"/>
  <c r="G38" i="28"/>
  <c r="H38" i="28" s="1"/>
  <c r="I38" i="28"/>
  <c r="K38" i="28"/>
  <c r="G39" i="28"/>
  <c r="J39" i="28" s="1"/>
  <c r="K39" i="28"/>
  <c r="I39" i="28" l="1"/>
  <c r="I33" i="28"/>
  <c r="I16" i="28"/>
  <c r="I14" i="28"/>
  <c r="I12" i="28"/>
  <c r="I10" i="28"/>
  <c r="I8" i="28"/>
  <c r="H39" i="28"/>
  <c r="J38" i="28"/>
  <c r="J36" i="28"/>
  <c r="J34" i="28"/>
  <c r="H33" i="28"/>
  <c r="H16" i="28"/>
  <c r="J15" i="28"/>
  <c r="H14" i="28"/>
  <c r="J13" i="28"/>
  <c r="H12" i="28"/>
  <c r="J11" i="28"/>
  <c r="H10" i="28"/>
  <c r="J9" i="28"/>
  <c r="H8" i="28"/>
  <c r="D55" i="20"/>
  <c r="D56" i="20"/>
  <c r="D57" i="20"/>
  <c r="D54" i="20"/>
  <c r="D51" i="20"/>
  <c r="D52" i="20"/>
  <c r="D53" i="20" s="1"/>
  <c r="D50" i="20"/>
  <c r="A29" i="19" l="1"/>
  <c r="A21" i="19"/>
  <c r="A22" i="19"/>
  <c r="A23" i="19" s="1"/>
  <c r="A24" i="19" s="1"/>
  <c r="A25" i="19" s="1"/>
  <c r="A26" i="19" s="1"/>
  <c r="A27" i="19" s="1"/>
  <c r="A28" i="19" s="1"/>
  <c r="A20" i="19"/>
  <c r="V11" i="4" l="1"/>
  <c r="V12" i="4"/>
  <c r="V10" i="4"/>
  <c r="V13" i="4"/>
  <c r="V14" i="4"/>
  <c r="V15" i="4"/>
  <c r="V16" i="4"/>
  <c r="J16" i="5"/>
  <c r="J46" i="9" s="1"/>
  <c r="J12" i="5"/>
  <c r="J11" i="5"/>
  <c r="J13" i="5"/>
  <c r="G46" i="9" s="1"/>
  <c r="J14" i="5"/>
  <c r="H46" i="9" s="1"/>
  <c r="J15" i="5"/>
  <c r="I46" i="9" s="1"/>
  <c r="N11" i="4"/>
  <c r="N12" i="4"/>
  <c r="N10" i="4"/>
  <c r="N13" i="4"/>
  <c r="N14" i="4"/>
  <c r="N15" i="4"/>
  <c r="N16" i="4"/>
  <c r="B16" i="5"/>
  <c r="J18" i="9" s="1"/>
  <c r="B12" i="5"/>
  <c r="B11" i="5"/>
  <c r="E18" i="9" s="1"/>
  <c r="B13" i="5"/>
  <c r="G18" i="9" s="1"/>
  <c r="B14" i="5"/>
  <c r="B15" i="5"/>
  <c r="I18" i="9" s="1"/>
  <c r="B45" i="5"/>
  <c r="C45" i="5" s="1"/>
  <c r="O11" i="4"/>
  <c r="O12" i="4"/>
  <c r="O10" i="4"/>
  <c r="O13" i="4"/>
  <c r="O14" i="4"/>
  <c r="O15" i="4"/>
  <c r="O16" i="4"/>
  <c r="C16" i="5"/>
  <c r="J22" i="9" s="1"/>
  <c r="C12" i="5"/>
  <c r="F22" i="9" s="1"/>
  <c r="C11" i="5"/>
  <c r="E22" i="9" s="1"/>
  <c r="C13" i="5"/>
  <c r="G22" i="9" s="1"/>
  <c r="C14" i="5"/>
  <c r="C15" i="5"/>
  <c r="I22" i="9" s="1"/>
  <c r="P11" i="4"/>
  <c r="P12" i="4"/>
  <c r="P10" i="4"/>
  <c r="P13" i="4"/>
  <c r="P14" i="4"/>
  <c r="P15" i="4"/>
  <c r="P16" i="4"/>
  <c r="D16" i="5"/>
  <c r="J26" i="9" s="1"/>
  <c r="D12" i="5"/>
  <c r="F26" i="9" s="1"/>
  <c r="D11" i="5"/>
  <c r="E26" i="9" s="1"/>
  <c r="D13" i="5"/>
  <c r="G26" i="9" s="1"/>
  <c r="D14" i="5"/>
  <c r="H26" i="9" s="1"/>
  <c r="D15" i="5"/>
  <c r="I26" i="9" s="1"/>
  <c r="Q11" i="4"/>
  <c r="Q12" i="4"/>
  <c r="Q10" i="4"/>
  <c r="Q13" i="4"/>
  <c r="Q14" i="4"/>
  <c r="Q15" i="4"/>
  <c r="Q16" i="4"/>
  <c r="E16" i="5"/>
  <c r="E14" i="5"/>
  <c r="E13" i="5"/>
  <c r="E15" i="5"/>
  <c r="R11" i="4"/>
  <c r="R12" i="4"/>
  <c r="R10" i="4"/>
  <c r="R13" i="4"/>
  <c r="R14" i="4"/>
  <c r="R15" i="4"/>
  <c r="R16" i="4"/>
  <c r="F16" i="5"/>
  <c r="F14" i="5"/>
  <c r="F13" i="5"/>
  <c r="F15" i="5"/>
  <c r="S11" i="4"/>
  <c r="S12" i="4"/>
  <c r="S10" i="4"/>
  <c r="S13" i="4"/>
  <c r="S14" i="4"/>
  <c r="S15" i="4"/>
  <c r="S16" i="4"/>
  <c r="G16" i="5"/>
  <c r="J34" i="9" s="1"/>
  <c r="G12" i="5"/>
  <c r="F34" i="9" s="1"/>
  <c r="G11" i="5"/>
  <c r="E34" i="9" s="1"/>
  <c r="G13" i="5"/>
  <c r="G34" i="9" s="1"/>
  <c r="G14" i="5"/>
  <c r="H34" i="9" s="1"/>
  <c r="G15" i="5"/>
  <c r="I34" i="9" s="1"/>
  <c r="T11" i="4"/>
  <c r="T12" i="4"/>
  <c r="T10" i="4"/>
  <c r="T13" i="4"/>
  <c r="T14" i="4"/>
  <c r="T15" i="4"/>
  <c r="T16" i="4"/>
  <c r="H16" i="5"/>
  <c r="J38" i="9" s="1"/>
  <c r="H12" i="5"/>
  <c r="F38" i="9" s="1"/>
  <c r="H11" i="5"/>
  <c r="H13" i="5"/>
  <c r="G38" i="9" s="1"/>
  <c r="H14" i="5"/>
  <c r="H38" i="9" s="1"/>
  <c r="H15" i="5"/>
  <c r="I38" i="9" s="1"/>
  <c r="U11" i="4"/>
  <c r="U12" i="4"/>
  <c r="U10" i="4"/>
  <c r="U13" i="4"/>
  <c r="U14" i="4"/>
  <c r="U15" i="4"/>
  <c r="U16" i="4"/>
  <c r="I16" i="5"/>
  <c r="J42" i="9" s="1"/>
  <c r="I12" i="5"/>
  <c r="F42" i="9" s="1"/>
  <c r="I11" i="5"/>
  <c r="E42" i="9" s="1"/>
  <c r="I13" i="5"/>
  <c r="G42" i="9" s="1"/>
  <c r="I14" i="5"/>
  <c r="H42" i="9" s="1"/>
  <c r="I15" i="5"/>
  <c r="I42" i="9" s="1"/>
  <c r="B9" i="5"/>
  <c r="C18" i="9" s="1"/>
  <c r="C9" i="5"/>
  <c r="C22" i="9" s="1"/>
  <c r="D9" i="5"/>
  <c r="E9" i="5"/>
  <c r="F9" i="5"/>
  <c r="G9" i="5"/>
  <c r="H9" i="5"/>
  <c r="I9" i="5"/>
  <c r="C42" i="9" s="1"/>
  <c r="J9" i="5"/>
  <c r="C46" i="9" s="1"/>
  <c r="B10" i="5"/>
  <c r="D18" i="9" s="1"/>
  <c r="C10" i="5"/>
  <c r="D22" i="9" s="1"/>
  <c r="D10" i="5"/>
  <c r="D26" i="9" s="1"/>
  <c r="E10" i="5"/>
  <c r="F10" i="5"/>
  <c r="G10" i="5"/>
  <c r="D34" i="9" s="1"/>
  <c r="H10" i="5"/>
  <c r="D38" i="9" s="1"/>
  <c r="I10" i="5"/>
  <c r="D42" i="9" s="1"/>
  <c r="J10" i="5"/>
  <c r="E11" i="5"/>
  <c r="F11" i="5"/>
  <c r="E12" i="5"/>
  <c r="F12" i="5"/>
  <c r="J12" i="8"/>
  <c r="F47" i="9" s="1"/>
  <c r="J13" i="8"/>
  <c r="G47" i="9" s="1"/>
  <c r="J14" i="8"/>
  <c r="J15" i="8"/>
  <c r="J16" i="8"/>
  <c r="I12" i="8"/>
  <c r="I23" i="8" s="1"/>
  <c r="I13" i="8"/>
  <c r="G43" i="9" s="1"/>
  <c r="I14" i="8"/>
  <c r="I15" i="8"/>
  <c r="I16" i="8"/>
  <c r="H12" i="8"/>
  <c r="F39" i="9" s="1"/>
  <c r="H13" i="8"/>
  <c r="H14" i="8"/>
  <c r="H15" i="8"/>
  <c r="I39" i="9" s="1"/>
  <c r="H16" i="8"/>
  <c r="E12" i="8"/>
  <c r="E13" i="8"/>
  <c r="E14" i="8"/>
  <c r="E15" i="8"/>
  <c r="E16" i="8"/>
  <c r="F12" i="8"/>
  <c r="F13" i="8"/>
  <c r="F14" i="8"/>
  <c r="F15" i="8"/>
  <c r="F16" i="8"/>
  <c r="D12" i="8"/>
  <c r="F27" i="9" s="1"/>
  <c r="D13" i="8"/>
  <c r="D14" i="8"/>
  <c r="D15" i="8"/>
  <c r="D16" i="8"/>
  <c r="B6" i="26"/>
  <c r="B7" i="26"/>
  <c r="B8" i="26"/>
  <c r="B9" i="26"/>
  <c r="B10" i="26"/>
  <c r="B14" i="26"/>
  <c r="C14" i="26"/>
  <c r="D14" i="26"/>
  <c r="E14" i="26"/>
  <c r="F14" i="26"/>
  <c r="B15" i="26"/>
  <c r="C15" i="26"/>
  <c r="D15" i="26"/>
  <c r="E15" i="26"/>
  <c r="F15" i="26"/>
  <c r="B16" i="26"/>
  <c r="C16" i="26"/>
  <c r="D16" i="26"/>
  <c r="E16" i="26"/>
  <c r="F16" i="26"/>
  <c r="B19" i="26"/>
  <c r="K35" i="16" s="1"/>
  <c r="C19" i="26"/>
  <c r="D19" i="26"/>
  <c r="E19" i="26"/>
  <c r="F19" i="26"/>
  <c r="G19" i="26"/>
  <c r="H19" i="26"/>
  <c r="I19" i="26"/>
  <c r="B20" i="26"/>
  <c r="C20" i="26"/>
  <c r="D20" i="26"/>
  <c r="E20" i="26"/>
  <c r="F20" i="26"/>
  <c r="G20" i="26"/>
  <c r="H20" i="26"/>
  <c r="I20" i="26"/>
  <c r="B21" i="26"/>
  <c r="C21" i="26"/>
  <c r="D21" i="26"/>
  <c r="E21" i="26"/>
  <c r="F21" i="26"/>
  <c r="G21" i="26"/>
  <c r="H21" i="26"/>
  <c r="I21" i="26"/>
  <c r="B22" i="26"/>
  <c r="C22" i="26"/>
  <c r="D22" i="26"/>
  <c r="E22" i="26"/>
  <c r="F22" i="26"/>
  <c r="G22" i="26"/>
  <c r="H22" i="26"/>
  <c r="I22" i="26"/>
  <c r="B23" i="26"/>
  <c r="C23" i="26"/>
  <c r="D23" i="26"/>
  <c r="E23" i="26"/>
  <c r="F23" i="26"/>
  <c r="G23" i="26"/>
  <c r="H23" i="26"/>
  <c r="I23" i="26"/>
  <c r="B24" i="26"/>
  <c r="C24" i="26"/>
  <c r="D24" i="26"/>
  <c r="E24" i="26"/>
  <c r="F24" i="26"/>
  <c r="G24" i="26"/>
  <c r="H24" i="26"/>
  <c r="I24" i="26"/>
  <c r="B28" i="26"/>
  <c r="F12" i="16"/>
  <c r="G12" i="16"/>
  <c r="H12" i="16"/>
  <c r="I12" i="16"/>
  <c r="J12" i="16"/>
  <c r="B12" i="16"/>
  <c r="C12" i="16"/>
  <c r="D12" i="16"/>
  <c r="F13" i="16"/>
  <c r="G13" i="16"/>
  <c r="H13" i="16"/>
  <c r="I13" i="16"/>
  <c r="J13" i="16"/>
  <c r="B13" i="16"/>
  <c r="C13" i="16"/>
  <c r="D13" i="16"/>
  <c r="F14" i="16"/>
  <c r="G14" i="16"/>
  <c r="H14" i="16"/>
  <c r="I14" i="16"/>
  <c r="J14" i="16"/>
  <c r="B14" i="16"/>
  <c r="C14" i="16"/>
  <c r="E14" i="16" s="1"/>
  <c r="D14" i="16"/>
  <c r="F15" i="16"/>
  <c r="G15" i="16"/>
  <c r="H15" i="16"/>
  <c r="I15" i="16"/>
  <c r="J15" i="16"/>
  <c r="B15" i="16"/>
  <c r="C15" i="16"/>
  <c r="E15" i="16" s="1"/>
  <c r="D15" i="16"/>
  <c r="F16" i="16"/>
  <c r="G16" i="16"/>
  <c r="H16" i="16"/>
  <c r="I16" i="16"/>
  <c r="J16" i="16"/>
  <c r="B16" i="16"/>
  <c r="C16" i="16"/>
  <c r="D16" i="16"/>
  <c r="F17" i="16"/>
  <c r="G17" i="16"/>
  <c r="H17" i="16"/>
  <c r="I17" i="16"/>
  <c r="J17" i="16"/>
  <c r="B17" i="16"/>
  <c r="E17" i="16" s="1"/>
  <c r="C17" i="16"/>
  <c r="D17" i="16"/>
  <c r="F18" i="16"/>
  <c r="G18" i="16"/>
  <c r="H18" i="16"/>
  <c r="I18" i="16"/>
  <c r="J18" i="16"/>
  <c r="B18" i="16"/>
  <c r="C18" i="16"/>
  <c r="D18" i="16"/>
  <c r="F19" i="16"/>
  <c r="G19" i="16"/>
  <c r="H19" i="16"/>
  <c r="I19" i="16"/>
  <c r="J19" i="16"/>
  <c r="B19" i="16"/>
  <c r="E19" i="16" s="1"/>
  <c r="C19" i="16"/>
  <c r="D19" i="16"/>
  <c r="F20" i="16"/>
  <c r="G20" i="16"/>
  <c r="H20" i="16"/>
  <c r="I20" i="16"/>
  <c r="J20" i="16"/>
  <c r="B20" i="16"/>
  <c r="C20" i="16"/>
  <c r="D20" i="16"/>
  <c r="F21" i="16"/>
  <c r="K21" i="16" s="1"/>
  <c r="G21" i="16"/>
  <c r="H21" i="16"/>
  <c r="I21" i="16"/>
  <c r="J21" i="16"/>
  <c r="B21" i="16"/>
  <c r="E21" i="16" s="1"/>
  <c r="C21" i="16"/>
  <c r="D21" i="16"/>
  <c r="F22" i="16"/>
  <c r="G22" i="16"/>
  <c r="H22" i="16"/>
  <c r="I22" i="16"/>
  <c r="J22" i="16"/>
  <c r="B22" i="16"/>
  <c r="C22" i="16"/>
  <c r="D22" i="16"/>
  <c r="F23" i="16"/>
  <c r="G23" i="16"/>
  <c r="H23" i="16"/>
  <c r="I23" i="16"/>
  <c r="J23" i="16"/>
  <c r="B23" i="16"/>
  <c r="C23" i="16"/>
  <c r="D23" i="16"/>
  <c r="F24" i="16"/>
  <c r="G24" i="16"/>
  <c r="H24" i="16"/>
  <c r="I24" i="16"/>
  <c r="J24" i="16"/>
  <c r="B24" i="16"/>
  <c r="C24" i="16"/>
  <c r="D24" i="16"/>
  <c r="F25" i="16"/>
  <c r="G25" i="16"/>
  <c r="H25" i="16"/>
  <c r="I25" i="16"/>
  <c r="J25" i="16"/>
  <c r="B25" i="16"/>
  <c r="C25" i="16"/>
  <c r="D25" i="16"/>
  <c r="F26" i="16"/>
  <c r="G26" i="16"/>
  <c r="H26" i="16"/>
  <c r="I26" i="16"/>
  <c r="J26" i="16"/>
  <c r="B26" i="16"/>
  <c r="C26" i="16"/>
  <c r="D26" i="16"/>
  <c r="F27" i="16"/>
  <c r="G27" i="16"/>
  <c r="H27" i="16"/>
  <c r="I27" i="16"/>
  <c r="J27" i="16"/>
  <c r="B27" i="16"/>
  <c r="C27" i="16"/>
  <c r="D27" i="16"/>
  <c r="F28" i="16"/>
  <c r="G28" i="16"/>
  <c r="H28" i="16"/>
  <c r="I28" i="16"/>
  <c r="J28" i="16"/>
  <c r="B28" i="16"/>
  <c r="C28" i="16"/>
  <c r="D28" i="16"/>
  <c r="F29" i="16"/>
  <c r="G29" i="16"/>
  <c r="H29" i="16"/>
  <c r="I29" i="16"/>
  <c r="J29" i="16"/>
  <c r="B29" i="16"/>
  <c r="C29" i="16"/>
  <c r="E29" i="16" s="1"/>
  <c r="D29" i="16"/>
  <c r="F30" i="16"/>
  <c r="K30" i="16" s="1"/>
  <c r="G30" i="16"/>
  <c r="H30" i="16"/>
  <c r="I30" i="16"/>
  <c r="J30" i="16"/>
  <c r="B30" i="16"/>
  <c r="C30" i="16"/>
  <c r="D30" i="16"/>
  <c r="F31" i="16"/>
  <c r="G31" i="16"/>
  <c r="H31" i="16"/>
  <c r="I31" i="16"/>
  <c r="J31" i="16"/>
  <c r="B31" i="16"/>
  <c r="C31" i="16"/>
  <c r="D31" i="16"/>
  <c r="F32" i="16"/>
  <c r="G32" i="16"/>
  <c r="H32" i="16"/>
  <c r="I32" i="16"/>
  <c r="J32" i="16"/>
  <c r="B32" i="16"/>
  <c r="C32" i="16"/>
  <c r="D32" i="16"/>
  <c r="F33" i="16"/>
  <c r="G33" i="16"/>
  <c r="H33" i="16"/>
  <c r="I33" i="16"/>
  <c r="J33" i="16"/>
  <c r="B33" i="16"/>
  <c r="C33" i="16"/>
  <c r="D33" i="16"/>
  <c r="E33" i="16"/>
  <c r="F34" i="16"/>
  <c r="G34" i="16"/>
  <c r="H34" i="16"/>
  <c r="I34" i="16"/>
  <c r="J34" i="16"/>
  <c r="B34" i="16"/>
  <c r="C34" i="16"/>
  <c r="D34" i="16"/>
  <c r="F35" i="16"/>
  <c r="G35" i="16"/>
  <c r="H35" i="16"/>
  <c r="I35" i="16"/>
  <c r="J35" i="16"/>
  <c r="B35" i="16"/>
  <c r="C35" i="16"/>
  <c r="E35" i="16" s="1"/>
  <c r="D35" i="16"/>
  <c r="F36" i="16"/>
  <c r="G36" i="16"/>
  <c r="H36" i="16"/>
  <c r="I36" i="16"/>
  <c r="J36" i="16"/>
  <c r="B36" i="16"/>
  <c r="C36" i="16"/>
  <c r="D36" i="16"/>
  <c r="F37" i="16"/>
  <c r="G37" i="16"/>
  <c r="H37" i="16"/>
  <c r="I37" i="16"/>
  <c r="J37" i="16"/>
  <c r="B37" i="16"/>
  <c r="C37" i="16"/>
  <c r="D37" i="16"/>
  <c r="F38" i="16"/>
  <c r="G38" i="16"/>
  <c r="H38" i="16"/>
  <c r="I38" i="16"/>
  <c r="J38" i="16"/>
  <c r="B38" i="16"/>
  <c r="C38" i="16"/>
  <c r="D38" i="16"/>
  <c r="F39" i="16"/>
  <c r="G39" i="16"/>
  <c r="H39" i="16"/>
  <c r="I39" i="16"/>
  <c r="J39" i="16"/>
  <c r="B39" i="16"/>
  <c r="C39" i="16"/>
  <c r="D39" i="16"/>
  <c r="F40" i="16"/>
  <c r="G40" i="16"/>
  <c r="H40" i="16"/>
  <c r="I40" i="16"/>
  <c r="J40" i="16"/>
  <c r="B40" i="16"/>
  <c r="C40" i="16"/>
  <c r="D40" i="16"/>
  <c r="F41" i="16"/>
  <c r="G41" i="16"/>
  <c r="H41" i="16"/>
  <c r="I41" i="16"/>
  <c r="J41" i="16"/>
  <c r="B41" i="16"/>
  <c r="C41" i="16"/>
  <c r="D41" i="16"/>
  <c r="F42" i="16"/>
  <c r="G42" i="16"/>
  <c r="H42" i="16"/>
  <c r="I42" i="16"/>
  <c r="J42" i="16"/>
  <c r="B42" i="16"/>
  <c r="E42" i="16" s="1"/>
  <c r="C42" i="16"/>
  <c r="D42" i="16"/>
  <c r="F43" i="16"/>
  <c r="G43" i="16"/>
  <c r="H43" i="16"/>
  <c r="I43" i="16"/>
  <c r="J43" i="16"/>
  <c r="B43" i="16"/>
  <c r="E43" i="16" s="1"/>
  <c r="C43" i="16"/>
  <c r="D43" i="16"/>
  <c r="F44" i="16"/>
  <c r="G44" i="16"/>
  <c r="H44" i="16"/>
  <c r="I44" i="16"/>
  <c r="J44" i="16"/>
  <c r="B44" i="16"/>
  <c r="C44" i="16"/>
  <c r="D44" i="16"/>
  <c r="F45" i="16"/>
  <c r="G45" i="16"/>
  <c r="H45" i="16"/>
  <c r="I45" i="16"/>
  <c r="J45" i="16"/>
  <c r="B45" i="16"/>
  <c r="C45" i="16"/>
  <c r="D45" i="16"/>
  <c r="F46" i="16"/>
  <c r="G46" i="16"/>
  <c r="H46" i="16"/>
  <c r="I46" i="16"/>
  <c r="J46" i="16"/>
  <c r="B46" i="16"/>
  <c r="E46" i="16" s="1"/>
  <c r="C46" i="16"/>
  <c r="D46" i="16"/>
  <c r="F47" i="16"/>
  <c r="G47" i="16"/>
  <c r="H47" i="16"/>
  <c r="I47" i="16"/>
  <c r="J47" i="16"/>
  <c r="B47" i="16"/>
  <c r="E47" i="16" s="1"/>
  <c r="C47" i="16"/>
  <c r="D47" i="16"/>
  <c r="F48" i="16"/>
  <c r="G48" i="16"/>
  <c r="H48" i="16"/>
  <c r="I48" i="16"/>
  <c r="J48" i="16"/>
  <c r="B48" i="16"/>
  <c r="C48" i="16"/>
  <c r="D48" i="16"/>
  <c r="F49" i="16"/>
  <c r="G49" i="16"/>
  <c r="H49" i="16"/>
  <c r="I49" i="16"/>
  <c r="J49" i="16"/>
  <c r="B49" i="16"/>
  <c r="E49" i="16" s="1"/>
  <c r="C49" i="16"/>
  <c r="D49" i="16"/>
  <c r="F50" i="16"/>
  <c r="G50" i="16"/>
  <c r="H50" i="16"/>
  <c r="I50" i="16"/>
  <c r="J50" i="16"/>
  <c r="B50" i="16"/>
  <c r="C50" i="16"/>
  <c r="D50" i="16"/>
  <c r="F51" i="16"/>
  <c r="G51" i="16"/>
  <c r="H51" i="16"/>
  <c r="I51" i="16"/>
  <c r="J51" i="16"/>
  <c r="B51" i="16"/>
  <c r="E51" i="16" s="1"/>
  <c r="C51" i="16"/>
  <c r="D51" i="16"/>
  <c r="F52" i="16"/>
  <c r="G52" i="16"/>
  <c r="H52" i="16"/>
  <c r="I52" i="16"/>
  <c r="J52" i="16"/>
  <c r="B52" i="16"/>
  <c r="C52" i="16"/>
  <c r="D52" i="16"/>
  <c r="F53" i="16"/>
  <c r="G53" i="16"/>
  <c r="H53" i="16"/>
  <c r="I53" i="16"/>
  <c r="J53" i="16"/>
  <c r="B53" i="16"/>
  <c r="C53" i="16"/>
  <c r="D53" i="16"/>
  <c r="E53" i="16" s="1"/>
  <c r="F54" i="16"/>
  <c r="G54" i="16"/>
  <c r="H54" i="16"/>
  <c r="I54" i="16"/>
  <c r="J54" i="16"/>
  <c r="B54" i="16"/>
  <c r="C54" i="16"/>
  <c r="D54" i="16"/>
  <c r="F55" i="16"/>
  <c r="G55" i="16"/>
  <c r="H55" i="16"/>
  <c r="I55" i="16"/>
  <c r="J55" i="16"/>
  <c r="B55" i="16"/>
  <c r="C55" i="16"/>
  <c r="D55" i="16"/>
  <c r="F56" i="16"/>
  <c r="G56" i="16"/>
  <c r="H56" i="16"/>
  <c r="I56" i="16"/>
  <c r="J56" i="16"/>
  <c r="B56" i="16"/>
  <c r="C56" i="16"/>
  <c r="D56" i="16"/>
  <c r="F57" i="16"/>
  <c r="G57" i="16"/>
  <c r="H57" i="16"/>
  <c r="I57" i="16"/>
  <c r="J57" i="16"/>
  <c r="B57" i="16"/>
  <c r="C57" i="16"/>
  <c r="D57" i="16"/>
  <c r="F58" i="16"/>
  <c r="G58" i="16"/>
  <c r="H58" i="16"/>
  <c r="I58" i="16"/>
  <c r="J58" i="16"/>
  <c r="B58" i="16"/>
  <c r="C58" i="16"/>
  <c r="D58" i="16"/>
  <c r="F59" i="16"/>
  <c r="G59" i="16"/>
  <c r="H59" i="16"/>
  <c r="I59" i="16"/>
  <c r="J59" i="16"/>
  <c r="B59" i="16"/>
  <c r="C59" i="16"/>
  <c r="D59" i="16"/>
  <c r="F60" i="16"/>
  <c r="G60" i="16"/>
  <c r="H60" i="16"/>
  <c r="I60" i="16"/>
  <c r="J60" i="16"/>
  <c r="B60" i="16"/>
  <c r="C60" i="16"/>
  <c r="D60" i="16"/>
  <c r="F61" i="16"/>
  <c r="G61" i="16"/>
  <c r="H61" i="16"/>
  <c r="I61" i="16"/>
  <c r="J61" i="16"/>
  <c r="B61" i="16"/>
  <c r="C61" i="16"/>
  <c r="D61" i="16"/>
  <c r="F62" i="16"/>
  <c r="G62" i="16"/>
  <c r="H62" i="16"/>
  <c r="I62" i="16"/>
  <c r="J62" i="16"/>
  <c r="B62" i="16"/>
  <c r="E62" i="16" s="1"/>
  <c r="C62" i="16"/>
  <c r="D62" i="16"/>
  <c r="F63" i="16"/>
  <c r="G63" i="16"/>
  <c r="H63" i="16"/>
  <c r="I63" i="16"/>
  <c r="J63" i="16"/>
  <c r="B63" i="16"/>
  <c r="C63" i="16"/>
  <c r="D63" i="16"/>
  <c r="F64" i="16"/>
  <c r="G64" i="16"/>
  <c r="H64" i="16"/>
  <c r="I64" i="16"/>
  <c r="J64" i="16"/>
  <c r="B64" i="16"/>
  <c r="C64" i="16"/>
  <c r="D64" i="16"/>
  <c r="F65" i="16"/>
  <c r="G65" i="16"/>
  <c r="H65" i="16"/>
  <c r="I65" i="16"/>
  <c r="J65" i="16"/>
  <c r="B65" i="16"/>
  <c r="C65" i="16"/>
  <c r="D65" i="16"/>
  <c r="F66" i="16"/>
  <c r="G66" i="16"/>
  <c r="H66" i="16"/>
  <c r="I66" i="16"/>
  <c r="J66" i="16"/>
  <c r="B66" i="16"/>
  <c r="C66" i="16"/>
  <c r="D66" i="16"/>
  <c r="F67" i="16"/>
  <c r="G67" i="16"/>
  <c r="H67" i="16"/>
  <c r="I67" i="16"/>
  <c r="J67" i="16"/>
  <c r="B67" i="16"/>
  <c r="C67" i="16"/>
  <c r="D67" i="16"/>
  <c r="F68" i="16"/>
  <c r="G68" i="16"/>
  <c r="H68" i="16"/>
  <c r="I68" i="16"/>
  <c r="J68" i="16"/>
  <c r="B68" i="16"/>
  <c r="C68" i="16"/>
  <c r="D68" i="16"/>
  <c r="F69" i="16"/>
  <c r="G69" i="16"/>
  <c r="H69" i="16"/>
  <c r="I69" i="16"/>
  <c r="J69" i="16"/>
  <c r="B69" i="16"/>
  <c r="C69" i="16"/>
  <c r="D69" i="16"/>
  <c r="F70" i="16"/>
  <c r="G70" i="16"/>
  <c r="H70" i="16"/>
  <c r="I70" i="16"/>
  <c r="J70" i="16"/>
  <c r="B70" i="16"/>
  <c r="C70" i="16"/>
  <c r="D70" i="16"/>
  <c r="E70" i="16" s="1"/>
  <c r="F71" i="16"/>
  <c r="G71" i="16"/>
  <c r="H71" i="16"/>
  <c r="I71" i="16"/>
  <c r="J71" i="16"/>
  <c r="B71" i="16"/>
  <c r="C71" i="16"/>
  <c r="D71" i="16"/>
  <c r="F72" i="16"/>
  <c r="G72" i="16"/>
  <c r="H72" i="16"/>
  <c r="I72" i="16"/>
  <c r="J72" i="16"/>
  <c r="B72" i="16"/>
  <c r="C72" i="16"/>
  <c r="D72" i="16"/>
  <c r="F73" i="16"/>
  <c r="G73" i="16"/>
  <c r="H73" i="16"/>
  <c r="I73" i="16"/>
  <c r="J73" i="16"/>
  <c r="B73" i="16"/>
  <c r="C73" i="16"/>
  <c r="D73" i="16"/>
  <c r="F74" i="16"/>
  <c r="G74" i="16"/>
  <c r="H74" i="16"/>
  <c r="I74" i="16"/>
  <c r="J74" i="16"/>
  <c r="B74" i="16"/>
  <c r="C74" i="16"/>
  <c r="D74" i="16"/>
  <c r="F75" i="16"/>
  <c r="G75" i="16"/>
  <c r="H75" i="16"/>
  <c r="I75" i="16"/>
  <c r="J75" i="16"/>
  <c r="B75" i="16"/>
  <c r="E75" i="16" s="1"/>
  <c r="C75" i="16"/>
  <c r="D75" i="16"/>
  <c r="F76" i="16"/>
  <c r="G76" i="16"/>
  <c r="H76" i="16"/>
  <c r="I76" i="16"/>
  <c r="J76" i="16"/>
  <c r="B76" i="16"/>
  <c r="C76" i="16"/>
  <c r="D76" i="16"/>
  <c r="F77" i="16"/>
  <c r="G77" i="16"/>
  <c r="H77" i="16"/>
  <c r="I77" i="16"/>
  <c r="J77" i="16"/>
  <c r="B77" i="16"/>
  <c r="C77" i="16"/>
  <c r="D77" i="16"/>
  <c r="F78" i="16"/>
  <c r="G78" i="16"/>
  <c r="H78" i="16"/>
  <c r="I78" i="16"/>
  <c r="J78" i="16"/>
  <c r="B78" i="16"/>
  <c r="C78" i="16"/>
  <c r="D78" i="16"/>
  <c r="F79" i="16"/>
  <c r="K79" i="16" s="1"/>
  <c r="L79" i="16" s="1"/>
  <c r="G79" i="16"/>
  <c r="H79" i="16"/>
  <c r="I79" i="16"/>
  <c r="J79" i="16"/>
  <c r="B79" i="16"/>
  <c r="E79" i="16" s="1"/>
  <c r="C79" i="16"/>
  <c r="D79" i="16"/>
  <c r="F80" i="16"/>
  <c r="G80" i="16"/>
  <c r="H80" i="16"/>
  <c r="I80" i="16"/>
  <c r="J80" i="16"/>
  <c r="B80" i="16"/>
  <c r="C80" i="16"/>
  <c r="D80" i="16"/>
  <c r="F81" i="16"/>
  <c r="K81" i="16" s="1"/>
  <c r="G81" i="16"/>
  <c r="H81" i="16"/>
  <c r="I81" i="16"/>
  <c r="J81" i="16"/>
  <c r="B81" i="16"/>
  <c r="E81" i="16" s="1"/>
  <c r="C81" i="16"/>
  <c r="D81" i="16"/>
  <c r="F82" i="16"/>
  <c r="G82" i="16"/>
  <c r="H82" i="16"/>
  <c r="I82" i="16"/>
  <c r="J82" i="16"/>
  <c r="B82" i="16"/>
  <c r="C82" i="16"/>
  <c r="D82" i="16"/>
  <c r="F83" i="16"/>
  <c r="G83" i="16"/>
  <c r="H83" i="16"/>
  <c r="I83" i="16"/>
  <c r="J83" i="16"/>
  <c r="B83" i="16"/>
  <c r="C83" i="16"/>
  <c r="D83" i="16"/>
  <c r="F84" i="16"/>
  <c r="G84" i="16"/>
  <c r="H84" i="16"/>
  <c r="I84" i="16"/>
  <c r="J84" i="16"/>
  <c r="B84" i="16"/>
  <c r="C84" i="16"/>
  <c r="D84" i="16"/>
  <c r="F85" i="16"/>
  <c r="G85" i="16"/>
  <c r="H85" i="16"/>
  <c r="I85" i="16"/>
  <c r="J85" i="16"/>
  <c r="B85" i="16"/>
  <c r="C85" i="16"/>
  <c r="E85" i="16" s="1"/>
  <c r="D85" i="16"/>
  <c r="F86" i="16"/>
  <c r="G86" i="16"/>
  <c r="H86" i="16"/>
  <c r="I86" i="16"/>
  <c r="J86" i="16"/>
  <c r="B86" i="16"/>
  <c r="C86" i="16"/>
  <c r="D86" i="16"/>
  <c r="F87" i="16"/>
  <c r="G87" i="16"/>
  <c r="H87" i="16"/>
  <c r="I87" i="16"/>
  <c r="J87" i="16"/>
  <c r="B87" i="16"/>
  <c r="C87" i="16"/>
  <c r="D87" i="16"/>
  <c r="F88" i="16"/>
  <c r="G88" i="16"/>
  <c r="H88" i="16"/>
  <c r="I88" i="16"/>
  <c r="J88" i="16"/>
  <c r="B88" i="16"/>
  <c r="C88" i="16"/>
  <c r="D88" i="16"/>
  <c r="F89" i="16"/>
  <c r="G89" i="16"/>
  <c r="H89" i="16"/>
  <c r="I89" i="16"/>
  <c r="J89" i="16"/>
  <c r="B89" i="16"/>
  <c r="C89" i="16"/>
  <c r="D89" i="16"/>
  <c r="F90" i="16"/>
  <c r="G90" i="16"/>
  <c r="H90" i="16"/>
  <c r="I90" i="16"/>
  <c r="J90" i="16"/>
  <c r="B90" i="16"/>
  <c r="C90" i="16"/>
  <c r="D90" i="16"/>
  <c r="F91" i="16"/>
  <c r="G91" i="16"/>
  <c r="H91" i="16"/>
  <c r="I91" i="16"/>
  <c r="J91" i="16"/>
  <c r="B91" i="16"/>
  <c r="C91" i="16"/>
  <c r="D91" i="16"/>
  <c r="F92" i="16"/>
  <c r="G92" i="16"/>
  <c r="H92" i="16"/>
  <c r="I92" i="16"/>
  <c r="J92" i="16"/>
  <c r="B92" i="16"/>
  <c r="C92" i="16"/>
  <c r="D92" i="16"/>
  <c r="F93" i="16"/>
  <c r="K93" i="16" s="1"/>
  <c r="G93" i="16"/>
  <c r="H93" i="16"/>
  <c r="I93" i="16"/>
  <c r="J93" i="16"/>
  <c r="B93" i="16"/>
  <c r="C93" i="16"/>
  <c r="E93" i="16" s="1"/>
  <c r="D93" i="16"/>
  <c r="F94" i="16"/>
  <c r="G94" i="16"/>
  <c r="H94" i="16"/>
  <c r="I94" i="16"/>
  <c r="J94" i="16"/>
  <c r="B94" i="16"/>
  <c r="C94" i="16"/>
  <c r="D94" i="16"/>
  <c r="F95" i="16"/>
  <c r="G95" i="16"/>
  <c r="H95" i="16"/>
  <c r="I95" i="16"/>
  <c r="J95" i="16"/>
  <c r="B95" i="16"/>
  <c r="C95" i="16"/>
  <c r="D95" i="16"/>
  <c r="F96" i="16"/>
  <c r="G96" i="16"/>
  <c r="H96" i="16"/>
  <c r="I96" i="16"/>
  <c r="J96" i="16"/>
  <c r="B96" i="16"/>
  <c r="C96" i="16"/>
  <c r="D96" i="16"/>
  <c r="F97" i="16"/>
  <c r="G97" i="16"/>
  <c r="H97" i="16"/>
  <c r="I97" i="16"/>
  <c r="J97" i="16"/>
  <c r="B97" i="16"/>
  <c r="C97" i="16"/>
  <c r="E97" i="16" s="1"/>
  <c r="D97" i="16"/>
  <c r="F98" i="16"/>
  <c r="G98" i="16"/>
  <c r="H98" i="16"/>
  <c r="I98" i="16"/>
  <c r="J98" i="16"/>
  <c r="B98" i="16"/>
  <c r="C98" i="16"/>
  <c r="D98" i="16"/>
  <c r="F99" i="16"/>
  <c r="G99" i="16"/>
  <c r="H99" i="16"/>
  <c r="I99" i="16"/>
  <c r="J99" i="16"/>
  <c r="B99" i="16"/>
  <c r="C99" i="16"/>
  <c r="D99" i="16"/>
  <c r="F100" i="16"/>
  <c r="G100" i="16"/>
  <c r="H100" i="16"/>
  <c r="I100" i="16"/>
  <c r="J100" i="16"/>
  <c r="B100" i="16"/>
  <c r="C100" i="16"/>
  <c r="D100" i="16"/>
  <c r="F101" i="16"/>
  <c r="G101" i="16"/>
  <c r="H101" i="16"/>
  <c r="I101" i="16"/>
  <c r="J101" i="16"/>
  <c r="B101" i="16"/>
  <c r="C101" i="16"/>
  <c r="D101" i="16"/>
  <c r="E101" i="16" s="1"/>
  <c r="F102" i="16"/>
  <c r="G102" i="16"/>
  <c r="H102" i="16"/>
  <c r="I102" i="16"/>
  <c r="J102" i="16"/>
  <c r="B102" i="16"/>
  <c r="C102" i="16"/>
  <c r="D102" i="16"/>
  <c r="F103" i="16"/>
  <c r="G103" i="16"/>
  <c r="H103" i="16"/>
  <c r="I103" i="16"/>
  <c r="J103" i="16"/>
  <c r="B103" i="16"/>
  <c r="C103" i="16"/>
  <c r="D103" i="16"/>
  <c r="F104" i="16"/>
  <c r="G104" i="16"/>
  <c r="H104" i="16"/>
  <c r="I104" i="16"/>
  <c r="J104" i="16"/>
  <c r="B104" i="16"/>
  <c r="C104" i="16"/>
  <c r="D104" i="16"/>
  <c r="F105" i="16"/>
  <c r="G105" i="16"/>
  <c r="H105" i="16"/>
  <c r="I105" i="16"/>
  <c r="J105" i="16"/>
  <c r="B105" i="16"/>
  <c r="C105" i="16"/>
  <c r="D105" i="16"/>
  <c r="F106" i="16"/>
  <c r="G106" i="16"/>
  <c r="H106" i="16"/>
  <c r="I106" i="16"/>
  <c r="J106" i="16"/>
  <c r="B106" i="16"/>
  <c r="C106" i="16"/>
  <c r="D106" i="16"/>
  <c r="F107" i="16"/>
  <c r="G107" i="16"/>
  <c r="H107" i="16"/>
  <c r="I107" i="16"/>
  <c r="J107" i="16"/>
  <c r="B107" i="16"/>
  <c r="C107" i="16"/>
  <c r="D107" i="16"/>
  <c r="F108" i="16"/>
  <c r="G108" i="16"/>
  <c r="H108" i="16"/>
  <c r="I108" i="16"/>
  <c r="J108" i="16"/>
  <c r="B108" i="16"/>
  <c r="C108" i="16"/>
  <c r="D108" i="16"/>
  <c r="F109" i="16"/>
  <c r="G109" i="16"/>
  <c r="H109" i="16"/>
  <c r="I109" i="16"/>
  <c r="J109" i="16"/>
  <c r="B109" i="16"/>
  <c r="C109" i="16"/>
  <c r="D109" i="16"/>
  <c r="F110" i="16"/>
  <c r="G110" i="16"/>
  <c r="H110" i="16"/>
  <c r="K110" i="16" s="1"/>
  <c r="I110" i="16"/>
  <c r="J110" i="16"/>
  <c r="B110" i="16"/>
  <c r="C110" i="16"/>
  <c r="D110" i="16"/>
  <c r="F111" i="16"/>
  <c r="G111" i="16"/>
  <c r="H111" i="16"/>
  <c r="I111" i="16"/>
  <c r="J111" i="16"/>
  <c r="B111" i="16"/>
  <c r="C111" i="16"/>
  <c r="D111" i="16"/>
  <c r="F112" i="16"/>
  <c r="G112" i="16"/>
  <c r="H112" i="16"/>
  <c r="I112" i="16"/>
  <c r="J112" i="16"/>
  <c r="B112" i="16"/>
  <c r="C112" i="16"/>
  <c r="D112" i="16"/>
  <c r="F113" i="16"/>
  <c r="G113" i="16"/>
  <c r="H113" i="16"/>
  <c r="I113" i="16"/>
  <c r="J113" i="16"/>
  <c r="B113" i="16"/>
  <c r="C113" i="16"/>
  <c r="D113" i="16"/>
  <c r="F6" i="16"/>
  <c r="G6" i="16"/>
  <c r="H6" i="16"/>
  <c r="I6" i="16"/>
  <c r="J6" i="16"/>
  <c r="B6" i="16"/>
  <c r="C6" i="16"/>
  <c r="D6" i="16"/>
  <c r="F7" i="16"/>
  <c r="G7" i="16"/>
  <c r="H7" i="16"/>
  <c r="I7" i="16"/>
  <c r="J7" i="16"/>
  <c r="B7" i="16"/>
  <c r="E7" i="16" s="1"/>
  <c r="C7" i="16"/>
  <c r="D7" i="16"/>
  <c r="F8" i="16"/>
  <c r="B15" i="7" s="1"/>
  <c r="H15" i="7" s="1"/>
  <c r="G8" i="16"/>
  <c r="H8" i="16"/>
  <c r="I8" i="16"/>
  <c r="J8" i="16"/>
  <c r="B8" i="16"/>
  <c r="C8" i="16"/>
  <c r="D8" i="16"/>
  <c r="F9" i="16"/>
  <c r="G9" i="16"/>
  <c r="H9" i="16"/>
  <c r="I9" i="16"/>
  <c r="J9" i="16"/>
  <c r="B9" i="16"/>
  <c r="C9" i="16"/>
  <c r="D9" i="16"/>
  <c r="E9" i="16"/>
  <c r="F10" i="16"/>
  <c r="G10" i="16"/>
  <c r="H10" i="16"/>
  <c r="I10" i="16"/>
  <c r="J10" i="16"/>
  <c r="B10" i="16"/>
  <c r="C10" i="16"/>
  <c r="D10" i="16"/>
  <c r="F11" i="16"/>
  <c r="G11" i="16"/>
  <c r="H11" i="16"/>
  <c r="I11" i="16"/>
  <c r="J11" i="16"/>
  <c r="B11" i="16"/>
  <c r="C11" i="16"/>
  <c r="D11" i="16"/>
  <c r="B29" i="26"/>
  <c r="B30" i="26"/>
  <c r="B31" i="26"/>
  <c r="B32" i="26"/>
  <c r="B33" i="26"/>
  <c r="J137" i="16"/>
  <c r="I137" i="16"/>
  <c r="H137" i="16"/>
  <c r="G137" i="16"/>
  <c r="F137" i="16"/>
  <c r="E137" i="16"/>
  <c r="J136" i="16"/>
  <c r="I136" i="16"/>
  <c r="H136" i="16"/>
  <c r="G136" i="16"/>
  <c r="F136" i="16"/>
  <c r="E136" i="16"/>
  <c r="J135" i="16"/>
  <c r="I135" i="16"/>
  <c r="H135" i="16"/>
  <c r="G135" i="16"/>
  <c r="F135" i="16"/>
  <c r="E135" i="16"/>
  <c r="J134" i="16"/>
  <c r="I134" i="16"/>
  <c r="H134" i="16"/>
  <c r="G134" i="16"/>
  <c r="F134" i="16"/>
  <c r="E134" i="16"/>
  <c r="J133" i="16"/>
  <c r="I133" i="16"/>
  <c r="H133" i="16"/>
  <c r="G133" i="16"/>
  <c r="F133" i="16"/>
  <c r="E133" i="16"/>
  <c r="J132" i="16"/>
  <c r="I132" i="16"/>
  <c r="H132" i="16"/>
  <c r="G132" i="16"/>
  <c r="F132" i="16"/>
  <c r="E132" i="16"/>
  <c r="J131" i="16"/>
  <c r="I131" i="16"/>
  <c r="H131" i="16"/>
  <c r="G131" i="16"/>
  <c r="F131" i="16"/>
  <c r="E131" i="16"/>
  <c r="J130" i="16"/>
  <c r="I130" i="16"/>
  <c r="H130" i="16"/>
  <c r="G130" i="16"/>
  <c r="F130" i="16"/>
  <c r="E130" i="16"/>
  <c r="J129" i="16"/>
  <c r="I129" i="16"/>
  <c r="H129" i="16"/>
  <c r="G129" i="16"/>
  <c r="F129" i="16"/>
  <c r="E129" i="16"/>
  <c r="J128" i="16"/>
  <c r="I128" i="16"/>
  <c r="H128" i="16"/>
  <c r="G128" i="16"/>
  <c r="F128" i="16"/>
  <c r="E128" i="16"/>
  <c r="J127" i="16"/>
  <c r="I127" i="16"/>
  <c r="H127" i="16"/>
  <c r="G127" i="16"/>
  <c r="F127" i="16"/>
  <c r="E127" i="16"/>
  <c r="J126" i="16"/>
  <c r="I126" i="16"/>
  <c r="H126" i="16"/>
  <c r="G126" i="16"/>
  <c r="F126" i="16"/>
  <c r="E126" i="16"/>
  <c r="J125" i="16"/>
  <c r="I125" i="16"/>
  <c r="H125" i="16"/>
  <c r="G125" i="16"/>
  <c r="F125" i="16"/>
  <c r="E125" i="16"/>
  <c r="J124" i="16"/>
  <c r="I124" i="16"/>
  <c r="H124" i="16"/>
  <c r="G124" i="16"/>
  <c r="F124" i="16"/>
  <c r="E124" i="16"/>
  <c r="J123" i="16"/>
  <c r="I123" i="16"/>
  <c r="H123" i="16"/>
  <c r="G123" i="16"/>
  <c r="F123" i="16"/>
  <c r="E123" i="16"/>
  <c r="J122" i="16"/>
  <c r="I122" i="16"/>
  <c r="H122" i="16"/>
  <c r="G122" i="16"/>
  <c r="F122" i="16"/>
  <c r="E122" i="16"/>
  <c r="J121" i="16"/>
  <c r="I121" i="16"/>
  <c r="H121" i="16"/>
  <c r="G121" i="16"/>
  <c r="F121" i="16"/>
  <c r="E121" i="16"/>
  <c r="J120" i="16"/>
  <c r="I120" i="16"/>
  <c r="H120" i="16"/>
  <c r="G120" i="16"/>
  <c r="F120" i="16"/>
  <c r="E120" i="16"/>
  <c r="J119" i="16"/>
  <c r="I119" i="16"/>
  <c r="H119" i="16"/>
  <c r="G119" i="16"/>
  <c r="F119" i="16"/>
  <c r="E119" i="16"/>
  <c r="J118" i="16"/>
  <c r="I118" i="16"/>
  <c r="H118" i="16"/>
  <c r="G118" i="16"/>
  <c r="F118" i="16"/>
  <c r="E118" i="16"/>
  <c r="J117" i="16"/>
  <c r="I117" i="16"/>
  <c r="H117" i="16"/>
  <c r="G117" i="16"/>
  <c r="F117" i="16"/>
  <c r="E117" i="16"/>
  <c r="J116" i="16"/>
  <c r="I116" i="16"/>
  <c r="H116" i="16"/>
  <c r="G116" i="16"/>
  <c r="F116" i="16"/>
  <c r="E116" i="16"/>
  <c r="J115" i="16"/>
  <c r="I115" i="16"/>
  <c r="H115" i="16"/>
  <c r="G115" i="16"/>
  <c r="F115" i="16"/>
  <c r="E115" i="16"/>
  <c r="J114" i="16"/>
  <c r="I114" i="16"/>
  <c r="H114" i="16"/>
  <c r="G114" i="16"/>
  <c r="F114" i="16"/>
  <c r="E114" i="16"/>
  <c r="O8" i="4"/>
  <c r="O9" i="4"/>
  <c r="P8" i="4"/>
  <c r="P9" i="4"/>
  <c r="Q8" i="4"/>
  <c r="Q9" i="4"/>
  <c r="R8" i="4"/>
  <c r="R9" i="4"/>
  <c r="S8" i="4"/>
  <c r="S9" i="4"/>
  <c r="T8" i="4"/>
  <c r="T9" i="4"/>
  <c r="U8" i="4"/>
  <c r="U9" i="4"/>
  <c r="V8" i="4"/>
  <c r="V9" i="4"/>
  <c r="N9" i="4"/>
  <c r="N8" i="4"/>
  <c r="K34" i="4"/>
  <c r="K33" i="4"/>
  <c r="B34" i="8"/>
  <c r="C34" i="8"/>
  <c r="E34" i="8"/>
  <c r="F34" i="8"/>
  <c r="G34" i="8"/>
  <c r="H34" i="8"/>
  <c r="I34" i="8"/>
  <c r="J34" i="8"/>
  <c r="C33" i="8"/>
  <c r="E33" i="8"/>
  <c r="F33" i="8"/>
  <c r="G33" i="8"/>
  <c r="H33" i="8"/>
  <c r="I33" i="8"/>
  <c r="J33" i="8"/>
  <c r="B33" i="8"/>
  <c r="I39" i="17"/>
  <c r="I42" i="17" s="1"/>
  <c r="I58" i="5" s="1"/>
  <c r="E39" i="17"/>
  <c r="D39" i="17"/>
  <c r="C39" i="17"/>
  <c r="B39" i="17"/>
  <c r="I35" i="17"/>
  <c r="I37" i="17" s="1"/>
  <c r="I57" i="5" s="1"/>
  <c r="E35" i="17"/>
  <c r="D35" i="17"/>
  <c r="C35" i="17"/>
  <c r="B35" i="17"/>
  <c r="A64" i="25"/>
  <c r="A8" i="19"/>
  <c r="A9" i="19" s="1"/>
  <c r="A10" i="19" s="1"/>
  <c r="A11" i="19" s="1"/>
  <c r="A12" i="19" s="1"/>
  <c r="A13" i="19" s="1"/>
  <c r="A14" i="19" s="1"/>
  <c r="A15" i="19" s="1"/>
  <c r="A51" i="20"/>
  <c r="A52" i="20"/>
  <c r="A53" i="20"/>
  <c r="A54" i="20"/>
  <c r="A55" i="20"/>
  <c r="A56" i="20"/>
  <c r="A57" i="20"/>
  <c r="A58" i="20"/>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G62" i="25"/>
  <c r="G63" i="25"/>
  <c r="G64" i="25"/>
  <c r="G65" i="25"/>
  <c r="G66" i="25"/>
  <c r="G67" i="25"/>
  <c r="G68" i="25"/>
  <c r="G61" i="25"/>
  <c r="G52" i="25"/>
  <c r="G53" i="25"/>
  <c r="G54" i="25"/>
  <c r="G55" i="25"/>
  <c r="G56" i="25"/>
  <c r="G57" i="25"/>
  <c r="G58" i="25"/>
  <c r="G51" i="25"/>
  <c r="J43" i="25"/>
  <c r="J53" i="25" s="1"/>
  <c r="J63" i="25" s="1"/>
  <c r="J44" i="25"/>
  <c r="J54" i="25" s="1"/>
  <c r="J64" i="25" s="1"/>
  <c r="J46" i="25"/>
  <c r="J56" i="25" s="1"/>
  <c r="J66" i="25" s="1"/>
  <c r="J47" i="25"/>
  <c r="J57" i="25" s="1"/>
  <c r="J67" i="25" s="1"/>
  <c r="J48" i="25"/>
  <c r="J58" i="25" s="1"/>
  <c r="J68" i="25" s="1"/>
  <c r="G42" i="25"/>
  <c r="G43" i="25"/>
  <c r="G44" i="25"/>
  <c r="G45" i="25"/>
  <c r="G46" i="25"/>
  <c r="G47" i="25"/>
  <c r="G48" i="25"/>
  <c r="G41" i="25"/>
  <c r="E43" i="25"/>
  <c r="E53" i="25" s="1"/>
  <c r="E63" i="25"/>
  <c r="E44" i="25"/>
  <c r="E54" i="25" s="1"/>
  <c r="E64" i="25" s="1"/>
  <c r="E46" i="25"/>
  <c r="E56" i="25" s="1"/>
  <c r="E66" i="25" s="1"/>
  <c r="E47" i="25"/>
  <c r="E57" i="25" s="1"/>
  <c r="E67" i="25" s="1"/>
  <c r="E48" i="25"/>
  <c r="E58" i="25" s="1"/>
  <c r="E68" i="25" s="1"/>
  <c r="L19" i="25"/>
  <c r="L20" i="25"/>
  <c r="L21" i="25"/>
  <c r="G19" i="25"/>
  <c r="G20" i="25"/>
  <c r="G21" i="25"/>
  <c r="G22" i="25"/>
  <c r="G23" i="25"/>
  <c r="G24" i="25"/>
  <c r="G25" i="25"/>
  <c r="G26" i="25"/>
  <c r="G27" i="25"/>
  <c r="A44" i="25"/>
  <c r="A45" i="25"/>
  <c r="A46" i="25"/>
  <c r="A47" i="25"/>
  <c r="A48" i="25"/>
  <c r="A49" i="25"/>
  <c r="A50" i="25"/>
  <c r="A51" i="25"/>
  <c r="A52" i="25"/>
  <c r="A53" i="25"/>
  <c r="L23" i="25"/>
  <c r="L24" i="25"/>
  <c r="L25" i="25"/>
  <c r="L26" i="25"/>
  <c r="L27" i="25"/>
  <c r="L22" i="25"/>
  <c r="A55" i="25"/>
  <c r="A56" i="25"/>
  <c r="A57" i="25"/>
  <c r="A58" i="25"/>
  <c r="A59" i="25"/>
  <c r="A60" i="25"/>
  <c r="A61" i="25"/>
  <c r="A62" i="25"/>
  <c r="A63" i="25"/>
  <c r="A65" i="25"/>
  <c r="A66" i="25"/>
  <c r="A67" i="25"/>
  <c r="A68" i="25"/>
  <c r="A69" i="25"/>
  <c r="A70" i="25"/>
  <c r="A54" i="25"/>
  <c r="D7" i="20"/>
  <c r="D8" i="20"/>
  <c r="D9" i="20"/>
  <c r="J27" i="25" s="1"/>
  <c r="D6" i="20"/>
  <c r="J20" i="25" s="1"/>
  <c r="C9" i="20"/>
  <c r="C8" i="20"/>
  <c r="C7" i="20"/>
  <c r="C6" i="20"/>
  <c r="E24" i="25" s="1"/>
  <c r="E27" i="25"/>
  <c r="E9" i="25"/>
  <c r="E42" i="25" s="1"/>
  <c r="E52" i="25" s="1"/>
  <c r="E62" i="25" s="1"/>
  <c r="J16" i="25"/>
  <c r="H51" i="20"/>
  <c r="L62" i="25" s="1"/>
  <c r="H52" i="20"/>
  <c r="L63" i="25" s="1"/>
  <c r="H54" i="20"/>
  <c r="L64" i="25" s="1"/>
  <c r="H55" i="20"/>
  <c r="L65" i="25" s="1"/>
  <c r="H56" i="20"/>
  <c r="L66" i="25" s="1"/>
  <c r="H57" i="20"/>
  <c r="L67" i="25" s="1"/>
  <c r="H58" i="20"/>
  <c r="L68" i="25" s="1"/>
  <c r="H50" i="20"/>
  <c r="L61" i="25" s="1"/>
  <c r="F51" i="20"/>
  <c r="L52" i="25"/>
  <c r="F52" i="20"/>
  <c r="L53" i="25" s="1"/>
  <c r="F54" i="20"/>
  <c r="L54" i="25" s="1"/>
  <c r="F55" i="20"/>
  <c r="L55" i="25" s="1"/>
  <c r="F56" i="20"/>
  <c r="L56" i="25" s="1"/>
  <c r="F57" i="20"/>
  <c r="L57" i="25" s="1"/>
  <c r="F58" i="20"/>
  <c r="L58" i="25" s="1"/>
  <c r="F50" i="20"/>
  <c r="L51" i="25" s="1"/>
  <c r="L43" i="25"/>
  <c r="L46" i="25"/>
  <c r="L42" i="25"/>
  <c r="L44" i="25"/>
  <c r="L45" i="25"/>
  <c r="L47" i="25"/>
  <c r="L41" i="25"/>
  <c r="E42" i="20"/>
  <c r="D42" i="20"/>
  <c r="D43" i="20"/>
  <c r="A33" i="20"/>
  <c r="A34" i="20"/>
  <c r="A35" i="20"/>
  <c r="A36" i="20"/>
  <c r="A37" i="20"/>
  <c r="A38" i="20"/>
  <c r="A39" i="20"/>
  <c r="A40" i="20"/>
  <c r="A41" i="20"/>
  <c r="A42" i="20"/>
  <c r="A43" i="20"/>
  <c r="A44" i="20"/>
  <c r="A45" i="20"/>
  <c r="C42" i="20"/>
  <c r="D28" i="20"/>
  <c r="D44" i="20"/>
  <c r="C28" i="20"/>
  <c r="C44" i="20"/>
  <c r="A24" i="20"/>
  <c r="A25" i="20"/>
  <c r="A26" i="20"/>
  <c r="A27" i="20"/>
  <c r="A28" i="20"/>
  <c r="C43" i="20"/>
  <c r="C45" i="20"/>
  <c r="D45" i="20"/>
  <c r="E43" i="20"/>
  <c r="E45" i="20"/>
  <c r="G8" i="25"/>
  <c r="L8" i="25"/>
  <c r="G9" i="25"/>
  <c r="L9" i="25"/>
  <c r="L10" i="25"/>
  <c r="L11" i="25"/>
  <c r="G10" i="25"/>
  <c r="G11" i="25"/>
  <c r="L12" i="25"/>
  <c r="G12" i="25"/>
  <c r="G13" i="25"/>
  <c r="L13" i="25"/>
  <c r="L14" i="25"/>
  <c r="G14" i="25"/>
  <c r="G15" i="25"/>
  <c r="L15" i="25"/>
  <c r="L16" i="25"/>
  <c r="G16" i="25"/>
  <c r="H23" i="19"/>
  <c r="E23" i="19"/>
  <c r="E22" i="17"/>
  <c r="E23" i="17" s="1"/>
  <c r="E25" i="17" s="1"/>
  <c r="D22" i="17"/>
  <c r="D27" i="17"/>
  <c r="D28" i="17" s="1"/>
  <c r="D21" i="17"/>
  <c r="D23" i="17" s="1"/>
  <c r="J41" i="17"/>
  <c r="I41" i="17"/>
  <c r="H41" i="17"/>
  <c r="G41" i="17"/>
  <c r="F41" i="17"/>
  <c r="J40" i="17"/>
  <c r="J42" i="17"/>
  <c r="J58" i="5"/>
  <c r="I40" i="17"/>
  <c r="H40" i="17"/>
  <c r="G40" i="17"/>
  <c r="J36" i="17"/>
  <c r="J37" i="17"/>
  <c r="J57" i="5"/>
  <c r="I36" i="17"/>
  <c r="H36" i="17"/>
  <c r="H37" i="17"/>
  <c r="H57" i="5"/>
  <c r="G36" i="17"/>
  <c r="G37" i="17"/>
  <c r="G57" i="5"/>
  <c r="J28" i="17"/>
  <c r="I28" i="17"/>
  <c r="H28" i="17"/>
  <c r="G28" i="17"/>
  <c r="F28" i="17"/>
  <c r="E28" i="17"/>
  <c r="C27" i="17"/>
  <c r="C28" i="17" s="1"/>
  <c r="B27" i="17"/>
  <c r="B28" i="17" s="1"/>
  <c r="J23" i="17"/>
  <c r="I23" i="17"/>
  <c r="H23" i="17"/>
  <c r="G23" i="17"/>
  <c r="F23" i="17"/>
  <c r="F25" i="17" s="1"/>
  <c r="F40" i="17" s="1"/>
  <c r="C22" i="17"/>
  <c r="C23" i="17" s="1"/>
  <c r="B22" i="17"/>
  <c r="K22" i="17" s="1"/>
  <c r="C21" i="17"/>
  <c r="B21" i="17"/>
  <c r="G13" i="17"/>
  <c r="F13" i="17"/>
  <c r="E13" i="17"/>
  <c r="D13" i="17"/>
  <c r="C13" i="17"/>
  <c r="G12" i="17"/>
  <c r="F12" i="17"/>
  <c r="E12" i="17"/>
  <c r="D12" i="17"/>
  <c r="C12" i="17"/>
  <c r="G11" i="17"/>
  <c r="F11" i="17"/>
  <c r="E11" i="17"/>
  <c r="D11" i="17"/>
  <c r="C11" i="17"/>
  <c r="G10" i="17"/>
  <c r="F10" i="17"/>
  <c r="E10" i="17"/>
  <c r="D10" i="17"/>
  <c r="C10" i="17"/>
  <c r="G9" i="17"/>
  <c r="F9" i="17"/>
  <c r="E9" i="17"/>
  <c r="D9" i="17"/>
  <c r="C9" i="17"/>
  <c r="F15" i="17" s="1"/>
  <c r="F16" i="17" s="1"/>
  <c r="G8" i="17"/>
  <c r="G14" i="17" s="1"/>
  <c r="F8" i="17"/>
  <c r="E8" i="17"/>
  <c r="D8" i="17"/>
  <c r="C8" i="17"/>
  <c r="B8" i="17"/>
  <c r="B14" i="17" s="1"/>
  <c r="D15" i="17"/>
  <c r="D16" i="17" s="1"/>
  <c r="H42" i="17"/>
  <c r="H58" i="5"/>
  <c r="G15" i="17"/>
  <c r="G16" i="17" s="1"/>
  <c r="F42" i="17"/>
  <c r="F58" i="5"/>
  <c r="E15" i="17"/>
  <c r="E16" i="17" s="1"/>
  <c r="G42" i="17"/>
  <c r="G58" i="5"/>
  <c r="F8" i="8"/>
  <c r="F9" i="8"/>
  <c r="F10" i="8"/>
  <c r="F11" i="8"/>
  <c r="F8" i="5"/>
  <c r="K117" i="16"/>
  <c r="K115" i="16"/>
  <c r="D22" i="14"/>
  <c r="D27" i="14" s="1"/>
  <c r="D10" i="14"/>
  <c r="K10" i="14" s="1"/>
  <c r="K19" i="14"/>
  <c r="D21" i="14"/>
  <c r="K21" i="14" s="1"/>
  <c r="D20" i="14"/>
  <c r="K20" i="14" s="1"/>
  <c r="D7" i="14"/>
  <c r="K7" i="14"/>
  <c r="D8" i="14"/>
  <c r="K8" i="14" s="1"/>
  <c r="D9" i="14"/>
  <c r="C76" i="11"/>
  <c r="C77" i="11"/>
  <c r="C75" i="11"/>
  <c r="G44" i="11"/>
  <c r="B76" i="11"/>
  <c r="B77" i="11"/>
  <c r="D77" i="11" s="1"/>
  <c r="B75" i="11"/>
  <c r="K9" i="14"/>
  <c r="G8" i="5"/>
  <c r="G18" i="5" s="1"/>
  <c r="D45" i="5"/>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70" i="11"/>
  <c r="E68" i="11"/>
  <c r="E69" i="11"/>
  <c r="G16" i="8"/>
  <c r="J35" i="9" s="1"/>
  <c r="C16" i="8"/>
  <c r="J23" i="9" s="1"/>
  <c r="B16" i="8"/>
  <c r="G15" i="8"/>
  <c r="I35" i="9" s="1"/>
  <c r="C15" i="8"/>
  <c r="I23" i="9" s="1"/>
  <c r="B15" i="8"/>
  <c r="G14" i="8"/>
  <c r="H35" i="9" s="1"/>
  <c r="C14" i="8"/>
  <c r="H23" i="9" s="1"/>
  <c r="B14" i="8"/>
  <c r="H19" i="9" s="1"/>
  <c r="G13" i="8"/>
  <c r="G35" i="9" s="1"/>
  <c r="C13" i="8"/>
  <c r="G23" i="9" s="1"/>
  <c r="B13" i="8"/>
  <c r="G19" i="9" s="1"/>
  <c r="G12" i="8"/>
  <c r="F35" i="9" s="1"/>
  <c r="C12" i="8"/>
  <c r="B12" i="8"/>
  <c r="F19" i="9" s="1"/>
  <c r="J11" i="8"/>
  <c r="E47" i="9" s="1"/>
  <c r="I11" i="8"/>
  <c r="H11" i="8"/>
  <c r="E39" i="9" s="1"/>
  <c r="G11" i="8"/>
  <c r="E35" i="9" s="1"/>
  <c r="E11" i="8"/>
  <c r="D11" i="8"/>
  <c r="C11" i="8"/>
  <c r="E23" i="9" s="1"/>
  <c r="B11" i="8"/>
  <c r="E19" i="9" s="1"/>
  <c r="J10" i="8"/>
  <c r="D47" i="9" s="1"/>
  <c r="I10" i="8"/>
  <c r="H10" i="8"/>
  <c r="D39" i="9" s="1"/>
  <c r="G10" i="8"/>
  <c r="D35" i="9" s="1"/>
  <c r="E10" i="8"/>
  <c r="D10" i="8"/>
  <c r="D27" i="9" s="1"/>
  <c r="C10" i="8"/>
  <c r="D23" i="9" s="1"/>
  <c r="B10" i="8"/>
  <c r="J9" i="8"/>
  <c r="I9" i="8"/>
  <c r="C43" i="9" s="1"/>
  <c r="H9" i="8"/>
  <c r="C39" i="9" s="1"/>
  <c r="G9" i="8"/>
  <c r="C35" i="9" s="1"/>
  <c r="E9" i="8"/>
  <c r="D9" i="8"/>
  <c r="C27" i="9" s="1"/>
  <c r="C9" i="8"/>
  <c r="C23" i="9" s="1"/>
  <c r="B9" i="8"/>
  <c r="C19" i="9" s="1"/>
  <c r="J8" i="8"/>
  <c r="B47" i="9" s="1"/>
  <c r="I8" i="8"/>
  <c r="H8" i="8"/>
  <c r="B39" i="9" s="1"/>
  <c r="G8" i="8"/>
  <c r="B35" i="9" s="1"/>
  <c r="E8" i="8"/>
  <c r="D8" i="8"/>
  <c r="C8" i="8"/>
  <c r="B23" i="9" s="1"/>
  <c r="B8" i="8"/>
  <c r="B19" i="9" s="1"/>
  <c r="J8" i="5"/>
  <c r="J19" i="8" s="1"/>
  <c r="I8" i="5"/>
  <c r="H8" i="5"/>
  <c r="H18" i="5" s="1"/>
  <c r="E8" i="5"/>
  <c r="E18" i="5" s="1"/>
  <c r="D8" i="5"/>
  <c r="B26" i="9" s="1"/>
  <c r="C8" i="5"/>
  <c r="B8" i="5"/>
  <c r="B18" i="5" s="1"/>
  <c r="B29" i="9"/>
  <c r="B41" i="9"/>
  <c r="B37" i="9"/>
  <c r="B17" i="9"/>
  <c r="B33" i="9"/>
  <c r="B25" i="9"/>
  <c r="B45" i="9"/>
  <c r="B21" i="9"/>
  <c r="K8" i="4"/>
  <c r="F36" i="17" l="1"/>
  <c r="F37" i="17" s="1"/>
  <c r="F57" i="5" s="1"/>
  <c r="D14" i="17"/>
  <c r="B17" i="7"/>
  <c r="H17" i="7" s="1"/>
  <c r="K118" i="16"/>
  <c r="K123" i="16"/>
  <c r="K125" i="16"/>
  <c r="K101" i="16"/>
  <c r="M101" i="16" s="1"/>
  <c r="E98" i="16"/>
  <c r="E90" i="16"/>
  <c r="L90" i="16" s="1"/>
  <c r="E78" i="16"/>
  <c r="K70" i="16"/>
  <c r="M70" i="16" s="1"/>
  <c r="E67" i="16"/>
  <c r="E65" i="16"/>
  <c r="K53" i="16"/>
  <c r="M53" i="16" s="1"/>
  <c r="E30" i="16"/>
  <c r="M30" i="16" s="1"/>
  <c r="K15" i="16"/>
  <c r="K9" i="16"/>
  <c r="M9" i="16" s="1"/>
  <c r="K7" i="16"/>
  <c r="E6" i="16"/>
  <c r="E111" i="16"/>
  <c r="E110" i="16"/>
  <c r="M110" i="16" s="1"/>
  <c r="K77" i="16"/>
  <c r="K75" i="16"/>
  <c r="M75" i="16" s="1"/>
  <c r="K62" i="16"/>
  <c r="E58" i="16"/>
  <c r="M58" i="16" s="1"/>
  <c r="K49" i="16"/>
  <c r="K47" i="16"/>
  <c r="L47" i="16" s="1"/>
  <c r="K17" i="16"/>
  <c r="E13" i="16"/>
  <c r="K122" i="16"/>
  <c r="K129" i="16"/>
  <c r="K121" i="16"/>
  <c r="E11" i="16"/>
  <c r="K95" i="16"/>
  <c r="K90" i="16"/>
  <c r="M90" i="16" s="1"/>
  <c r="K86" i="16"/>
  <c r="E83" i="16"/>
  <c r="E77" i="16"/>
  <c r="K67" i="16"/>
  <c r="E37" i="16"/>
  <c r="E25" i="16"/>
  <c r="E99" i="16"/>
  <c r="E94" i="16"/>
  <c r="E91" i="16"/>
  <c r="M91" i="16" s="1"/>
  <c r="E69" i="16"/>
  <c r="E63" i="16"/>
  <c r="E34" i="16"/>
  <c r="B9" i="7"/>
  <c r="D7" i="9" s="1"/>
  <c r="E10" i="16"/>
  <c r="E61" i="16"/>
  <c r="K58" i="16"/>
  <c r="E57" i="16"/>
  <c r="E45" i="16"/>
  <c r="E31" i="16"/>
  <c r="K137" i="16"/>
  <c r="E109" i="16"/>
  <c r="K106" i="16"/>
  <c r="M106" i="16" s="1"/>
  <c r="E105" i="16"/>
  <c r="E95" i="16"/>
  <c r="E88" i="16"/>
  <c r="E86" i="16"/>
  <c r="E84" i="16"/>
  <c r="E56" i="16"/>
  <c r="E54" i="16"/>
  <c r="E40" i="16"/>
  <c r="E39" i="16"/>
  <c r="E38" i="16"/>
  <c r="K26" i="16"/>
  <c r="M26" i="16" s="1"/>
  <c r="E113" i="16"/>
  <c r="E107" i="16"/>
  <c r="E106" i="16"/>
  <c r="E102" i="16"/>
  <c r="K91" i="16"/>
  <c r="L75" i="16"/>
  <c r="E74" i="16"/>
  <c r="E72" i="16"/>
  <c r="E66" i="16"/>
  <c r="E26" i="16"/>
  <c r="E24" i="16"/>
  <c r="E22" i="16"/>
  <c r="B49" i="9"/>
  <c r="K22" i="14"/>
  <c r="L106" i="16"/>
  <c r="M95" i="16"/>
  <c r="L95" i="16"/>
  <c r="M86" i="16"/>
  <c r="L86" i="16"/>
  <c r="L58" i="16"/>
  <c r="E12" i="25"/>
  <c r="E16" i="25"/>
  <c r="M7" i="16"/>
  <c r="L110" i="16"/>
  <c r="L101" i="16"/>
  <c r="L77" i="16"/>
  <c r="L62" i="16"/>
  <c r="M62" i="16"/>
  <c r="L30" i="16"/>
  <c r="M15" i="16"/>
  <c r="B10" i="7"/>
  <c r="B11" i="7"/>
  <c r="K27" i="17"/>
  <c r="J9" i="25"/>
  <c r="J42" i="25" s="1"/>
  <c r="J52" i="25" s="1"/>
  <c r="J62" i="25" s="1"/>
  <c r="J10" i="25"/>
  <c r="M79" i="16"/>
  <c r="E100" i="16"/>
  <c r="L93" i="16"/>
  <c r="L81" i="16"/>
  <c r="E80" i="16"/>
  <c r="E71" i="16"/>
  <c r="L67" i="16"/>
  <c r="L53" i="16"/>
  <c r="E52" i="16"/>
  <c r="L49" i="16"/>
  <c r="L35" i="16"/>
  <c r="L21" i="16"/>
  <c r="M21" i="16"/>
  <c r="E20" i="16"/>
  <c r="L17" i="16"/>
  <c r="M17" i="16"/>
  <c r="K12" i="16"/>
  <c r="K16" i="16"/>
  <c r="K20" i="16"/>
  <c r="K24" i="16"/>
  <c r="K28" i="16"/>
  <c r="K32" i="16"/>
  <c r="K36" i="16"/>
  <c r="K40" i="16"/>
  <c r="K44" i="16"/>
  <c r="K48" i="16"/>
  <c r="K52" i="16"/>
  <c r="K56" i="16"/>
  <c r="K60" i="16"/>
  <c r="K64" i="16"/>
  <c r="K68" i="16"/>
  <c r="K72" i="16"/>
  <c r="K76" i="16"/>
  <c r="K80" i="16"/>
  <c r="K84" i="16"/>
  <c r="K88" i="16"/>
  <c r="K92" i="16"/>
  <c r="K96" i="16"/>
  <c r="K100" i="16"/>
  <c r="K104" i="16"/>
  <c r="K108" i="16"/>
  <c r="K112" i="16"/>
  <c r="K8" i="16"/>
  <c r="K18" i="16"/>
  <c r="K23" i="16"/>
  <c r="K25" i="16"/>
  <c r="K34" i="16"/>
  <c r="K39" i="16"/>
  <c r="K41" i="16"/>
  <c r="K50" i="16"/>
  <c r="K55" i="16"/>
  <c r="K57" i="16"/>
  <c r="K66" i="16"/>
  <c r="K71" i="16"/>
  <c r="K73" i="16"/>
  <c r="K82" i="16"/>
  <c r="K87" i="16"/>
  <c r="K89" i="16"/>
  <c r="K98" i="16"/>
  <c r="K103" i="16"/>
  <c r="K105" i="16"/>
  <c r="K6" i="16"/>
  <c r="K11" i="16"/>
  <c r="K119" i="16"/>
  <c r="K120" i="16"/>
  <c r="K133" i="16"/>
  <c r="K124" i="16"/>
  <c r="K130" i="16"/>
  <c r="K13" i="16"/>
  <c r="K22" i="16"/>
  <c r="K27" i="16"/>
  <c r="K29" i="16"/>
  <c r="K38" i="16"/>
  <c r="K43" i="16"/>
  <c r="K45" i="16"/>
  <c r="K54" i="16"/>
  <c r="K59" i="16"/>
  <c r="K61" i="16"/>
  <c r="J7" i="9"/>
  <c r="K126" i="16"/>
  <c r="K136" i="16"/>
  <c r="K135" i="16"/>
  <c r="B13" i="7"/>
  <c r="B7" i="7"/>
  <c r="K132" i="16"/>
  <c r="C15" i="17"/>
  <c r="C16" i="17" s="1"/>
  <c r="E14" i="17"/>
  <c r="B23" i="17"/>
  <c r="C24" i="17" s="1"/>
  <c r="J8" i="25"/>
  <c r="J41" i="25" s="1"/>
  <c r="J51" i="25" s="1"/>
  <c r="J61" i="25" s="1"/>
  <c r="E21" i="25"/>
  <c r="L9" i="16"/>
  <c r="M93" i="16"/>
  <c r="M77" i="16"/>
  <c r="M67" i="16"/>
  <c r="M35" i="16"/>
  <c r="E8" i="16"/>
  <c r="B16" i="7"/>
  <c r="H16" i="7" s="1"/>
  <c r="B12" i="7"/>
  <c r="B14" i="7"/>
  <c r="K111" i="16"/>
  <c r="K109" i="16"/>
  <c r="K107" i="16"/>
  <c r="E104" i="16"/>
  <c r="K102" i="16"/>
  <c r="K97" i="16"/>
  <c r="E96" i="16"/>
  <c r="E87" i="16"/>
  <c r="K83" i="16"/>
  <c r="K78" i="16"/>
  <c r="E73" i="16"/>
  <c r="K69" i="16"/>
  <c r="K63" i="16"/>
  <c r="E59" i="16"/>
  <c r="E55" i="16"/>
  <c r="K46" i="16"/>
  <c r="E41" i="16"/>
  <c r="K31" i="16"/>
  <c r="E27" i="16"/>
  <c r="E23" i="16"/>
  <c r="K14" i="16"/>
  <c r="K116" i="16"/>
  <c r="K134" i="16"/>
  <c r="C17" i="7" s="1"/>
  <c r="L8" i="9" s="1"/>
  <c r="K131" i="16"/>
  <c r="K114" i="16"/>
  <c r="K127" i="16"/>
  <c r="B8" i="7"/>
  <c r="K128" i="16"/>
  <c r="B15" i="17"/>
  <c r="B16" i="17" s="1"/>
  <c r="K25" i="17" s="1"/>
  <c r="J11" i="25"/>
  <c r="E23" i="25"/>
  <c r="L7" i="16"/>
  <c r="M81" i="16"/>
  <c r="M49" i="16"/>
  <c r="K10" i="16"/>
  <c r="K113" i="16"/>
  <c r="E112" i="16"/>
  <c r="E103" i="16"/>
  <c r="K99" i="16"/>
  <c r="K94" i="16"/>
  <c r="E89" i="16"/>
  <c r="K85" i="16"/>
  <c r="E82" i="16"/>
  <c r="K74" i="16"/>
  <c r="L70" i="16"/>
  <c r="E68" i="16"/>
  <c r="K65" i="16"/>
  <c r="K51" i="16"/>
  <c r="E50" i="16"/>
  <c r="K42" i="16"/>
  <c r="K37" i="16"/>
  <c r="E36" i="16"/>
  <c r="K33" i="16"/>
  <c r="K19" i="16"/>
  <c r="C8" i="7" s="1"/>
  <c r="C8" i="9" s="1"/>
  <c r="C10" i="9" s="1"/>
  <c r="E18" i="16"/>
  <c r="L15" i="16"/>
  <c r="E64" i="16"/>
  <c r="E48" i="16"/>
  <c r="E32" i="16"/>
  <c r="E16" i="16"/>
  <c r="C14" i="17"/>
  <c r="F14" i="17"/>
  <c r="E108" i="16"/>
  <c r="E92" i="16"/>
  <c r="E76" i="16"/>
  <c r="E60" i="16"/>
  <c r="E44" i="16"/>
  <c r="E28" i="16"/>
  <c r="E12" i="16"/>
  <c r="D25" i="14"/>
  <c r="J25" i="8"/>
  <c r="D31" i="9"/>
  <c r="H21" i="8"/>
  <c r="E20" i="8"/>
  <c r="E31" i="9"/>
  <c r="F43" i="9"/>
  <c r="J13" i="4"/>
  <c r="J23" i="5" s="1"/>
  <c r="I20" i="8"/>
  <c r="E27" i="8"/>
  <c r="B14" i="4"/>
  <c r="H17" i="9" s="1"/>
  <c r="J15" i="4"/>
  <c r="J25" i="5" s="1"/>
  <c r="F22" i="8"/>
  <c r="B9" i="4"/>
  <c r="B19" i="5" s="1"/>
  <c r="B29" i="5" s="1"/>
  <c r="G31" i="9"/>
  <c r="I26" i="8"/>
  <c r="J27" i="8"/>
  <c r="E30" i="9"/>
  <c r="H30" i="9"/>
  <c r="B12" i="4"/>
  <c r="F17" i="9" s="1"/>
  <c r="B34" i="9"/>
  <c r="J20" i="8"/>
  <c r="D75" i="11"/>
  <c r="D10" i="4"/>
  <c r="D25" i="9" s="1"/>
  <c r="H19" i="8"/>
  <c r="F17" i="8"/>
  <c r="E16" i="4"/>
  <c r="E26" i="5" s="1"/>
  <c r="C12" i="4"/>
  <c r="F21" i="9" s="1"/>
  <c r="B11" i="4"/>
  <c r="B21" i="5" s="1"/>
  <c r="J11" i="4"/>
  <c r="E45" i="9" s="1"/>
  <c r="I43" i="9"/>
  <c r="C10" i="4"/>
  <c r="D21" i="9" s="1"/>
  <c r="H16" i="4"/>
  <c r="J37" i="9" s="1"/>
  <c r="B10" i="4"/>
  <c r="D17" i="9" s="1"/>
  <c r="H25" i="8"/>
  <c r="F15" i="4"/>
  <c r="F10" i="4"/>
  <c r="D76" i="11"/>
  <c r="B18" i="9"/>
  <c r="F9" i="4"/>
  <c r="F20" i="4" s="1"/>
  <c r="D9" i="4"/>
  <c r="D20" i="4" s="1"/>
  <c r="F31" i="9"/>
  <c r="F27" i="8"/>
  <c r="F13" i="4"/>
  <c r="F23" i="5" s="1"/>
  <c r="F12" i="4"/>
  <c r="F22" i="5" s="1"/>
  <c r="E11" i="4"/>
  <c r="D16" i="4"/>
  <c r="J25" i="9" s="1"/>
  <c r="G17" i="8"/>
  <c r="I10" i="4"/>
  <c r="D41" i="9" s="1"/>
  <c r="G10" i="4"/>
  <c r="G20" i="5" s="1"/>
  <c r="E10" i="4"/>
  <c r="D27" i="8"/>
  <c r="D23" i="8"/>
  <c r="F25" i="8"/>
  <c r="I31" i="9"/>
  <c r="C30" i="9"/>
  <c r="G14" i="4"/>
  <c r="H33" i="9" s="1"/>
  <c r="F11" i="4"/>
  <c r="J22" i="8"/>
  <c r="J10" i="4"/>
  <c r="D45" i="9" s="1"/>
  <c r="F26" i="8"/>
  <c r="D20" i="8"/>
  <c r="I14" i="4"/>
  <c r="H41" i="9" s="1"/>
  <c r="H22" i="8"/>
  <c r="J30" i="9"/>
  <c r="J50" i="9" s="1"/>
  <c r="D19" i="8"/>
  <c r="J21" i="8"/>
  <c r="F30" i="9"/>
  <c r="I15" i="4"/>
  <c r="I41" i="9" s="1"/>
  <c r="G11" i="4"/>
  <c r="G21" i="5" s="1"/>
  <c r="D12" i="4"/>
  <c r="F25" i="9" s="1"/>
  <c r="C38" i="9"/>
  <c r="E21" i="8"/>
  <c r="E46" i="9"/>
  <c r="D21" i="8"/>
  <c r="K13" i="8"/>
  <c r="H39" i="9"/>
  <c r="J47" i="9"/>
  <c r="H9" i="4"/>
  <c r="H19" i="5" s="1"/>
  <c r="H29" i="5" s="1"/>
  <c r="E24" i="8"/>
  <c r="I16" i="4"/>
  <c r="J41" i="9" s="1"/>
  <c r="G13" i="4"/>
  <c r="G33" i="9" s="1"/>
  <c r="F14" i="4"/>
  <c r="F24" i="5" s="1"/>
  <c r="J12" i="4"/>
  <c r="F45" i="9" s="1"/>
  <c r="F19" i="8"/>
  <c r="E21" i="5"/>
  <c r="H20" i="8"/>
  <c r="C26" i="9"/>
  <c r="I25" i="8"/>
  <c r="J18" i="5"/>
  <c r="E38" i="9"/>
  <c r="I24" i="8"/>
  <c r="H26" i="8"/>
  <c r="J24" i="8"/>
  <c r="B27" i="9"/>
  <c r="D17" i="8"/>
  <c r="B43" i="9"/>
  <c r="I17" i="8"/>
  <c r="J19" i="9"/>
  <c r="K16" i="8"/>
  <c r="D28" i="14"/>
  <c r="F21" i="5"/>
  <c r="I30" i="9"/>
  <c r="I50" i="9" s="1"/>
  <c r="E26" i="8"/>
  <c r="C25" i="9"/>
  <c r="K9" i="8"/>
  <c r="F18" i="5"/>
  <c r="B30" i="9"/>
  <c r="G30" i="9"/>
  <c r="G50" i="9" s="1"/>
  <c r="H22" i="9"/>
  <c r="C14" i="4"/>
  <c r="H21" i="9" s="1"/>
  <c r="B15" i="4"/>
  <c r="B16" i="4"/>
  <c r="J17" i="9" s="1"/>
  <c r="K15" i="8"/>
  <c r="I19" i="9"/>
  <c r="I9" i="4"/>
  <c r="J26" i="8"/>
  <c r="I47" i="9"/>
  <c r="F23" i="8"/>
  <c r="D46" i="9"/>
  <c r="F21" i="8"/>
  <c r="C34" i="9"/>
  <c r="F18" i="9"/>
  <c r="G45" i="9"/>
  <c r="C47" i="9"/>
  <c r="J17" i="8"/>
  <c r="E27" i="9"/>
  <c r="D22" i="8"/>
  <c r="E43" i="9"/>
  <c r="I22" i="8"/>
  <c r="K14" i="8"/>
  <c r="D25" i="8"/>
  <c r="H27" i="9"/>
  <c r="H27" i="8"/>
  <c r="J39" i="9"/>
  <c r="H23" i="8"/>
  <c r="H17" i="8"/>
  <c r="D30" i="9"/>
  <c r="I12" i="4"/>
  <c r="I11" i="4"/>
  <c r="H18" i="9"/>
  <c r="I27" i="8"/>
  <c r="B46" i="9"/>
  <c r="E22" i="8"/>
  <c r="H47" i="9"/>
  <c r="D26" i="14"/>
  <c r="J9" i="4"/>
  <c r="D26" i="8"/>
  <c r="E23" i="8"/>
  <c r="H15" i="4"/>
  <c r="I37" i="9" s="1"/>
  <c r="H13" i="4"/>
  <c r="G37" i="9" s="1"/>
  <c r="G16" i="4"/>
  <c r="J33" i="9" s="1"/>
  <c r="G12" i="4"/>
  <c r="G22" i="5" s="1"/>
  <c r="D15" i="4"/>
  <c r="I25" i="9" s="1"/>
  <c r="C15" i="4"/>
  <c r="C25" i="5" s="1"/>
  <c r="B13" i="4"/>
  <c r="J14" i="4"/>
  <c r="J24" i="5" s="1"/>
  <c r="B31" i="9"/>
  <c r="G9" i="4"/>
  <c r="G19" i="5" s="1"/>
  <c r="G29" i="5" s="1"/>
  <c r="F24" i="8"/>
  <c r="D18" i="5"/>
  <c r="F46" i="9"/>
  <c r="K8" i="5"/>
  <c r="I7" i="7" s="1"/>
  <c r="J27" i="9"/>
  <c r="J43" i="9"/>
  <c r="F20" i="8"/>
  <c r="J23" i="8"/>
  <c r="K11" i="5"/>
  <c r="I10" i="7" s="1"/>
  <c r="I13" i="4"/>
  <c r="H14" i="4"/>
  <c r="H37" i="9" s="1"/>
  <c r="G15" i="4"/>
  <c r="I33" i="9" s="1"/>
  <c r="E14" i="4"/>
  <c r="E13" i="4"/>
  <c r="D14" i="4"/>
  <c r="H25" i="9" s="1"/>
  <c r="D13" i="4"/>
  <c r="D23" i="5" s="1"/>
  <c r="C13" i="4"/>
  <c r="J16" i="4"/>
  <c r="J45" i="9" s="1"/>
  <c r="F53" i="20"/>
  <c r="H53" i="20"/>
  <c r="J12" i="25"/>
  <c r="E15" i="25"/>
  <c r="J21" i="25"/>
  <c r="J22" i="25"/>
  <c r="J19" i="25"/>
  <c r="J24" i="25"/>
  <c r="E25" i="25"/>
  <c r="E8" i="25"/>
  <c r="E41" i="25" s="1"/>
  <c r="E51" i="25" s="1"/>
  <c r="E61" i="25" s="1"/>
  <c r="E10" i="25"/>
  <c r="J23" i="25"/>
  <c r="J13" i="25"/>
  <c r="J45" i="25" s="1"/>
  <c r="J55" i="25" s="1"/>
  <c r="J65" i="25" s="1"/>
  <c r="J26" i="25"/>
  <c r="J14" i="25"/>
  <c r="E13" i="25"/>
  <c r="E45" i="25" s="1"/>
  <c r="E55" i="25" s="1"/>
  <c r="E65" i="25" s="1"/>
  <c r="E26" i="25"/>
  <c r="E11" i="25"/>
  <c r="E20" i="25"/>
  <c r="J25" i="25"/>
  <c r="J15" i="25"/>
  <c r="E22" i="25"/>
  <c r="E14" i="25"/>
  <c r="E19" i="25"/>
  <c r="K21" i="17"/>
  <c r="K23" i="17" s="1"/>
  <c r="E36" i="17"/>
  <c r="E37" i="17" s="1"/>
  <c r="E57" i="5" s="1"/>
  <c r="E40" i="17"/>
  <c r="H15" i="17"/>
  <c r="E30" i="17"/>
  <c r="E41" i="17" s="1"/>
  <c r="K28" i="17"/>
  <c r="D29" i="17" s="1"/>
  <c r="D30" i="17" s="1"/>
  <c r="B42" i="9"/>
  <c r="I18" i="5"/>
  <c r="B22" i="9"/>
  <c r="C18" i="5"/>
  <c r="I19" i="8"/>
  <c r="F23" i="9"/>
  <c r="K12" i="8"/>
  <c r="H10" i="4"/>
  <c r="C20" i="5"/>
  <c r="E19" i="8"/>
  <c r="B38" i="9"/>
  <c r="B17" i="8"/>
  <c r="C17" i="8"/>
  <c r="E17" i="8"/>
  <c r="C31" i="9"/>
  <c r="D19" i="9"/>
  <c r="K10" i="8"/>
  <c r="K8" i="8"/>
  <c r="D43" i="9"/>
  <c r="I21" i="8"/>
  <c r="K11" i="8"/>
  <c r="J31" i="9"/>
  <c r="C9" i="4"/>
  <c r="I27" i="9"/>
  <c r="E9" i="4"/>
  <c r="D24" i="8"/>
  <c r="G27" i="9"/>
  <c r="E25" i="8"/>
  <c r="H31" i="9"/>
  <c r="H24" i="8"/>
  <c r="G39" i="9"/>
  <c r="H12" i="4"/>
  <c r="H11" i="4"/>
  <c r="H21" i="5" s="1"/>
  <c r="K13" i="5"/>
  <c r="I12" i="7" s="1"/>
  <c r="K10" i="5"/>
  <c r="I9" i="7" s="1"/>
  <c r="K14" i="5"/>
  <c r="I13" i="7" s="1"/>
  <c r="K12" i="5"/>
  <c r="I11" i="7" s="1"/>
  <c r="K9" i="5"/>
  <c r="I8" i="7" s="1"/>
  <c r="F16" i="4"/>
  <c r="F26" i="5" s="1"/>
  <c r="K16" i="5"/>
  <c r="I15" i="7" s="1"/>
  <c r="E15" i="4"/>
  <c r="E12" i="4"/>
  <c r="H43" i="9"/>
  <c r="C11" i="4"/>
  <c r="K15" i="5"/>
  <c r="I14" i="7" s="1"/>
  <c r="D11" i="4"/>
  <c r="D21" i="5" s="1"/>
  <c r="C16" i="4"/>
  <c r="K39" i="17"/>
  <c r="K35" i="17"/>
  <c r="C25" i="17" l="1"/>
  <c r="E42" i="17"/>
  <c r="E58" i="5" s="1"/>
  <c r="M47" i="16"/>
  <c r="L91" i="16"/>
  <c r="C11" i="7"/>
  <c r="F8" i="9" s="1"/>
  <c r="F10" i="9" s="1"/>
  <c r="C16" i="7"/>
  <c r="K8" i="9" s="1"/>
  <c r="C12" i="7"/>
  <c r="G8" i="9" s="1"/>
  <c r="G10" i="9" s="1"/>
  <c r="C14" i="7"/>
  <c r="I8" i="9" s="1"/>
  <c r="I10" i="9" s="1"/>
  <c r="H9" i="7"/>
  <c r="J9" i="7" s="1"/>
  <c r="K9" i="7" s="1"/>
  <c r="L26" i="16"/>
  <c r="C13" i="7"/>
  <c r="H8" i="9" s="1"/>
  <c r="H10" i="9" s="1"/>
  <c r="L43" i="16"/>
  <c r="M43" i="16"/>
  <c r="M6" i="16"/>
  <c r="L6" i="16"/>
  <c r="C7" i="7"/>
  <c r="B8" i="9" s="1"/>
  <c r="B10" i="9" s="1"/>
  <c r="M71" i="16"/>
  <c r="L71" i="16"/>
  <c r="L25" i="16"/>
  <c r="M25" i="16"/>
  <c r="L96" i="16"/>
  <c r="M96" i="16"/>
  <c r="L80" i="16"/>
  <c r="M80" i="16"/>
  <c r="L64" i="16"/>
  <c r="M64" i="16"/>
  <c r="L48" i="16"/>
  <c r="M48" i="16"/>
  <c r="L32" i="16"/>
  <c r="M32" i="16"/>
  <c r="L16" i="16"/>
  <c r="M16" i="16"/>
  <c r="M42" i="16"/>
  <c r="L42" i="16"/>
  <c r="M10" i="16"/>
  <c r="L10" i="16"/>
  <c r="H14" i="7"/>
  <c r="J14" i="7" s="1"/>
  <c r="K14" i="7" s="1"/>
  <c r="I7" i="9"/>
  <c r="I11" i="9" s="1"/>
  <c r="D14" i="7"/>
  <c r="E14" i="7" s="1"/>
  <c r="L13" i="16"/>
  <c r="M13" i="16"/>
  <c r="L105" i="16"/>
  <c r="M105" i="16"/>
  <c r="L41" i="16"/>
  <c r="M41" i="16"/>
  <c r="M108" i="16"/>
  <c r="L108" i="16"/>
  <c r="M76" i="16"/>
  <c r="L76" i="16"/>
  <c r="M60" i="16"/>
  <c r="L60" i="16"/>
  <c r="M44" i="16"/>
  <c r="L44" i="16"/>
  <c r="M28" i="16"/>
  <c r="L28" i="16"/>
  <c r="L12" i="16"/>
  <c r="M12" i="16"/>
  <c r="B24" i="17"/>
  <c r="B25" i="17" s="1"/>
  <c r="L33" i="16"/>
  <c r="M33" i="16"/>
  <c r="L46" i="16"/>
  <c r="M46" i="16"/>
  <c r="L69" i="16"/>
  <c r="M69" i="16"/>
  <c r="G7" i="9"/>
  <c r="G11" i="9" s="1"/>
  <c r="H12" i="7"/>
  <c r="D12" i="7"/>
  <c r="E12" i="7" s="1"/>
  <c r="M54" i="16"/>
  <c r="L54" i="16"/>
  <c r="L29" i="16"/>
  <c r="M29" i="16"/>
  <c r="M103" i="16"/>
  <c r="L103" i="16"/>
  <c r="M82" i="16"/>
  <c r="L82" i="16"/>
  <c r="L57" i="16"/>
  <c r="M57" i="16"/>
  <c r="L39" i="16"/>
  <c r="M39" i="16"/>
  <c r="L18" i="16"/>
  <c r="M18" i="16"/>
  <c r="L104" i="16"/>
  <c r="M104" i="16"/>
  <c r="L88" i="16"/>
  <c r="M88" i="16"/>
  <c r="M72" i="16"/>
  <c r="L72" i="16"/>
  <c r="L56" i="16"/>
  <c r="M56" i="16"/>
  <c r="M40" i="16"/>
  <c r="L40" i="16"/>
  <c r="L24" i="16"/>
  <c r="M24" i="16"/>
  <c r="L37" i="16"/>
  <c r="M37" i="16"/>
  <c r="L65" i="16"/>
  <c r="M65" i="16"/>
  <c r="L94" i="16"/>
  <c r="M94" i="16"/>
  <c r="L113" i="16"/>
  <c r="M113" i="16"/>
  <c r="L31" i="16"/>
  <c r="M31" i="16"/>
  <c r="L78" i="16"/>
  <c r="M78" i="16"/>
  <c r="L97" i="16"/>
  <c r="M97" i="16"/>
  <c r="L109" i="16"/>
  <c r="M109" i="16"/>
  <c r="B7" i="9"/>
  <c r="H7" i="7"/>
  <c r="J7" i="7" s="1"/>
  <c r="K7" i="7" s="1"/>
  <c r="L61" i="16"/>
  <c r="M61" i="16"/>
  <c r="M22" i="16"/>
  <c r="L22" i="16"/>
  <c r="L89" i="16"/>
  <c r="M89" i="16"/>
  <c r="M50" i="16"/>
  <c r="L50" i="16"/>
  <c r="L112" i="16"/>
  <c r="M112" i="16"/>
  <c r="E7" i="9"/>
  <c r="H10" i="7"/>
  <c r="L19" i="16"/>
  <c r="M19" i="16"/>
  <c r="L85" i="16"/>
  <c r="M85" i="16"/>
  <c r="L99" i="16"/>
  <c r="M99" i="16"/>
  <c r="C7" i="9"/>
  <c r="C11" i="9" s="1"/>
  <c r="D8" i="7"/>
  <c r="E8" i="7" s="1"/>
  <c r="H8" i="7"/>
  <c r="J8" i="7" s="1"/>
  <c r="K8" i="7" s="1"/>
  <c r="L14" i="16"/>
  <c r="M14" i="16"/>
  <c r="L63" i="16"/>
  <c r="M63" i="16"/>
  <c r="L83" i="16"/>
  <c r="M83" i="16"/>
  <c r="M102" i="16"/>
  <c r="L102" i="16"/>
  <c r="C15" i="7"/>
  <c r="L111" i="16"/>
  <c r="M111" i="16"/>
  <c r="H7" i="9"/>
  <c r="H11" i="9" s="1"/>
  <c r="H13" i="7"/>
  <c r="J13" i="7" s="1"/>
  <c r="K13" i="7" s="1"/>
  <c r="L59" i="16"/>
  <c r="M59" i="16"/>
  <c r="M38" i="16"/>
  <c r="L38" i="16"/>
  <c r="L87" i="16"/>
  <c r="M87" i="16"/>
  <c r="M66" i="16"/>
  <c r="L66" i="16"/>
  <c r="L23" i="16"/>
  <c r="M23" i="16"/>
  <c r="L92" i="16"/>
  <c r="M92" i="16"/>
  <c r="B29" i="17"/>
  <c r="B30" i="17" s="1"/>
  <c r="D24" i="17"/>
  <c r="D25" i="17" s="1"/>
  <c r="D36" i="17" s="1"/>
  <c r="L51" i="16"/>
  <c r="M51" i="16"/>
  <c r="M74" i="16"/>
  <c r="L74" i="16"/>
  <c r="C10" i="7"/>
  <c r="E8" i="9" s="1"/>
  <c r="E10" i="9" s="1"/>
  <c r="L107" i="16"/>
  <c r="M107" i="16"/>
  <c r="C9" i="7"/>
  <c r="L45" i="16"/>
  <c r="M45" i="16"/>
  <c r="L27" i="16"/>
  <c r="M27" i="16"/>
  <c r="M11" i="16"/>
  <c r="L11" i="16"/>
  <c r="M98" i="16"/>
  <c r="L98" i="16"/>
  <c r="L73" i="16"/>
  <c r="M73" i="16"/>
  <c r="L55" i="16"/>
  <c r="M55" i="16"/>
  <c r="M34" i="16"/>
  <c r="L34" i="16"/>
  <c r="L8" i="16"/>
  <c r="M8" i="16"/>
  <c r="L100" i="16"/>
  <c r="M100" i="16"/>
  <c r="L84" i="16"/>
  <c r="M84" i="16"/>
  <c r="M68" i="16"/>
  <c r="L68" i="16"/>
  <c r="L52" i="16"/>
  <c r="M52" i="16"/>
  <c r="L36" i="16"/>
  <c r="M36" i="16"/>
  <c r="M20" i="16"/>
  <c r="L20" i="16"/>
  <c r="H11" i="7"/>
  <c r="F7" i="9"/>
  <c r="F25" i="4"/>
  <c r="F19" i="5"/>
  <c r="I45" i="9"/>
  <c r="F22" i="4"/>
  <c r="D33" i="9"/>
  <c r="J27" i="4"/>
  <c r="C23" i="4"/>
  <c r="I20" i="5"/>
  <c r="J35" i="5"/>
  <c r="F23" i="4"/>
  <c r="I26" i="5"/>
  <c r="E17" i="9"/>
  <c r="D19" i="5"/>
  <c r="D29" i="5" s="1"/>
  <c r="B20" i="5"/>
  <c r="B30" i="5" s="1"/>
  <c r="D28" i="8"/>
  <c r="D29" i="9"/>
  <c r="B20" i="4"/>
  <c r="F20" i="5"/>
  <c r="F30" i="5" s="1"/>
  <c r="F34" i="5"/>
  <c r="F24" i="4"/>
  <c r="F26" i="4"/>
  <c r="F25" i="5"/>
  <c r="F36" i="5" s="1"/>
  <c r="G26" i="4"/>
  <c r="G26" i="5"/>
  <c r="H26" i="5"/>
  <c r="G24" i="5"/>
  <c r="H29" i="9"/>
  <c r="F21" i="4"/>
  <c r="D50" i="9"/>
  <c r="B21" i="4"/>
  <c r="J20" i="5"/>
  <c r="C17" i="9"/>
  <c r="B22" i="4"/>
  <c r="G29" i="9"/>
  <c r="B25" i="4"/>
  <c r="B24" i="5"/>
  <c r="E51" i="9"/>
  <c r="J22" i="4"/>
  <c r="I28" i="8"/>
  <c r="G27" i="4"/>
  <c r="B23" i="4"/>
  <c r="J26" i="5"/>
  <c r="J36" i="5" s="1"/>
  <c r="B23" i="5"/>
  <c r="B22" i="5"/>
  <c r="B32" i="5" s="1"/>
  <c r="D21" i="4"/>
  <c r="D20" i="5"/>
  <c r="D31" i="5" s="1"/>
  <c r="I24" i="5"/>
  <c r="G25" i="5"/>
  <c r="D24" i="5"/>
  <c r="D34" i="5" s="1"/>
  <c r="I24" i="4"/>
  <c r="D22" i="5"/>
  <c r="D33" i="5" s="1"/>
  <c r="G31" i="5"/>
  <c r="E22" i="4"/>
  <c r="I25" i="4"/>
  <c r="C22" i="5"/>
  <c r="C50" i="9"/>
  <c r="I27" i="4"/>
  <c r="J21" i="5"/>
  <c r="E24" i="4"/>
  <c r="E28" i="8"/>
  <c r="I51" i="9"/>
  <c r="F51" i="9"/>
  <c r="B50" i="9"/>
  <c r="I25" i="5"/>
  <c r="E20" i="5"/>
  <c r="E31" i="5" s="1"/>
  <c r="E29" i="9"/>
  <c r="J22" i="5"/>
  <c r="J23" i="4"/>
  <c r="D26" i="5"/>
  <c r="F17" i="4"/>
  <c r="E23" i="5"/>
  <c r="H27" i="4"/>
  <c r="H25" i="5"/>
  <c r="F32" i="5"/>
  <c r="B51" i="9"/>
  <c r="D27" i="4"/>
  <c r="J51" i="9"/>
  <c r="B26" i="5"/>
  <c r="D25" i="4"/>
  <c r="G24" i="4"/>
  <c r="C51" i="9"/>
  <c r="F50" i="9"/>
  <c r="E50" i="9"/>
  <c r="E33" i="9"/>
  <c r="G22" i="4"/>
  <c r="H26" i="4"/>
  <c r="G25" i="4"/>
  <c r="G23" i="5"/>
  <c r="G33" i="5" s="1"/>
  <c r="H20" i="4"/>
  <c r="C37" i="9"/>
  <c r="I26" i="4"/>
  <c r="J24" i="4"/>
  <c r="B13" i="9"/>
  <c r="F29" i="5"/>
  <c r="G30" i="5"/>
  <c r="B26" i="4"/>
  <c r="I17" i="9"/>
  <c r="H25" i="4"/>
  <c r="G25" i="9"/>
  <c r="D24" i="4"/>
  <c r="G41" i="9"/>
  <c r="I23" i="5"/>
  <c r="E24" i="5"/>
  <c r="I22" i="4"/>
  <c r="E41" i="9"/>
  <c r="G32" i="5"/>
  <c r="C41" i="9"/>
  <c r="I19" i="5"/>
  <c r="I29" i="5" s="1"/>
  <c r="I20" i="4"/>
  <c r="I17" i="4"/>
  <c r="I21" i="4"/>
  <c r="F33" i="5"/>
  <c r="J25" i="4"/>
  <c r="H45" i="9"/>
  <c r="D25" i="5"/>
  <c r="E25" i="4"/>
  <c r="D26" i="4"/>
  <c r="B25" i="5"/>
  <c r="H23" i="5"/>
  <c r="H28" i="8"/>
  <c r="J10" i="7"/>
  <c r="K10" i="7" s="1"/>
  <c r="E13" i="9"/>
  <c r="G17" i="4"/>
  <c r="C33" i="9"/>
  <c r="G21" i="4"/>
  <c r="G20" i="4"/>
  <c r="B24" i="4"/>
  <c r="G17" i="9"/>
  <c r="K13" i="4"/>
  <c r="G23" i="4"/>
  <c r="F33" i="9"/>
  <c r="I21" i="5"/>
  <c r="C45" i="9"/>
  <c r="J17" i="4"/>
  <c r="J20" i="4"/>
  <c r="I22" i="5"/>
  <c r="F41" i="9"/>
  <c r="I23" i="4"/>
  <c r="F28" i="8"/>
  <c r="J26" i="4"/>
  <c r="H50" i="9"/>
  <c r="H24" i="5"/>
  <c r="J21" i="4"/>
  <c r="C24" i="4"/>
  <c r="G21" i="9"/>
  <c r="B27" i="4"/>
  <c r="C25" i="4"/>
  <c r="C23" i="5"/>
  <c r="J28" i="8"/>
  <c r="K14" i="4"/>
  <c r="C26" i="4"/>
  <c r="I21" i="9"/>
  <c r="J19" i="5"/>
  <c r="J29" i="5" s="1"/>
  <c r="C24" i="5"/>
  <c r="B17" i="4"/>
  <c r="B40" i="17"/>
  <c r="B36" i="17"/>
  <c r="B41" i="17"/>
  <c r="D40" i="17"/>
  <c r="D41" i="17"/>
  <c r="C29" i="17"/>
  <c r="C40" i="17"/>
  <c r="C36" i="17"/>
  <c r="C27" i="4"/>
  <c r="C26" i="5"/>
  <c r="K16" i="4"/>
  <c r="J21" i="9"/>
  <c r="J15" i="7"/>
  <c r="K15" i="7" s="1"/>
  <c r="J13" i="9"/>
  <c r="J53" i="9" s="1"/>
  <c r="J11" i="7"/>
  <c r="K11" i="7" s="1"/>
  <c r="F13" i="9"/>
  <c r="J12" i="7"/>
  <c r="K12" i="7" s="1"/>
  <c r="G13" i="9"/>
  <c r="G53" i="9" s="1"/>
  <c r="H22" i="4"/>
  <c r="E37" i="9"/>
  <c r="H51" i="9"/>
  <c r="C29" i="9"/>
  <c r="E17" i="4"/>
  <c r="E19" i="5"/>
  <c r="E20" i="4"/>
  <c r="J34" i="5"/>
  <c r="C21" i="5"/>
  <c r="C31" i="5" s="1"/>
  <c r="H23" i="4"/>
  <c r="H24" i="4"/>
  <c r="H22" i="5"/>
  <c r="H32" i="5" s="1"/>
  <c r="F37" i="9"/>
  <c r="I13" i="9"/>
  <c r="I53" i="9" s="1"/>
  <c r="E23" i="4"/>
  <c r="E22" i="5"/>
  <c r="E32" i="5" s="1"/>
  <c r="F29" i="9"/>
  <c r="K12" i="4"/>
  <c r="F27" i="4"/>
  <c r="J29" i="9"/>
  <c r="H13" i="9"/>
  <c r="D13" i="9"/>
  <c r="G51" i="9"/>
  <c r="C17" i="4"/>
  <c r="C19" i="5"/>
  <c r="C29" i="5" s="1"/>
  <c r="C21" i="4"/>
  <c r="C21" i="9"/>
  <c r="K9" i="4"/>
  <c r="C20" i="4"/>
  <c r="E21" i="4"/>
  <c r="H21" i="4"/>
  <c r="H17" i="4"/>
  <c r="H20" i="5"/>
  <c r="H30" i="5" s="1"/>
  <c r="D37" i="9"/>
  <c r="K10" i="4"/>
  <c r="E25" i="9"/>
  <c r="D22" i="4"/>
  <c r="D17" i="4"/>
  <c r="C22" i="4"/>
  <c r="E21" i="9"/>
  <c r="K11" i="4"/>
  <c r="D23" i="4"/>
  <c r="E26" i="4"/>
  <c r="E27" i="4"/>
  <c r="E25" i="5"/>
  <c r="I29" i="9"/>
  <c r="K15" i="4"/>
  <c r="C13" i="9"/>
  <c r="K17" i="8"/>
  <c r="D51" i="9"/>
  <c r="D11" i="7" l="1"/>
  <c r="E11" i="7" s="1"/>
  <c r="F11" i="9"/>
  <c r="D10" i="7"/>
  <c r="E10" i="7" s="1"/>
  <c r="D13" i="7"/>
  <c r="E13" i="7" s="1"/>
  <c r="D8" i="9"/>
  <c r="D10" i="9" s="1"/>
  <c r="D11" i="9" s="1"/>
  <c r="D9" i="7"/>
  <c r="E9" i="7" s="1"/>
  <c r="J8" i="9"/>
  <c r="J10" i="9" s="1"/>
  <c r="J11" i="9" s="1"/>
  <c r="D15" i="7"/>
  <c r="E15" i="7" s="1"/>
  <c r="D7" i="7"/>
  <c r="E7" i="7" s="1"/>
  <c r="B11" i="9"/>
  <c r="E11" i="9"/>
  <c r="E53" i="9"/>
  <c r="D32" i="5"/>
  <c r="I31" i="5"/>
  <c r="J31" i="5"/>
  <c r="C33" i="5"/>
  <c r="F31" i="5"/>
  <c r="F35" i="5"/>
  <c r="F37" i="5" s="1"/>
  <c r="F39" i="5" s="1"/>
  <c r="F40" i="5" s="1"/>
  <c r="B53" i="9"/>
  <c r="B31" i="5"/>
  <c r="I36" i="5"/>
  <c r="G35" i="5"/>
  <c r="H36" i="5"/>
  <c r="D30" i="5"/>
  <c r="G36" i="5"/>
  <c r="D53" i="9"/>
  <c r="E34" i="5"/>
  <c r="C53" i="9"/>
  <c r="E35" i="5"/>
  <c r="H34" i="5"/>
  <c r="B35" i="5"/>
  <c r="H49" i="9"/>
  <c r="I34" i="5"/>
  <c r="B33" i="5"/>
  <c r="D49" i="9"/>
  <c r="F28" i="4"/>
  <c r="F30" i="4" s="1"/>
  <c r="F36" i="4" s="1"/>
  <c r="C24" i="19" s="1"/>
  <c r="D35" i="5"/>
  <c r="I32" i="5"/>
  <c r="G34" i="5"/>
  <c r="G28" i="4"/>
  <c r="G30" i="4" s="1"/>
  <c r="G31" i="4" s="1"/>
  <c r="G37" i="4" s="1"/>
  <c r="L33" i="9" s="1"/>
  <c r="B34" i="5"/>
  <c r="J32" i="5"/>
  <c r="B36" i="5"/>
  <c r="J33" i="5"/>
  <c r="C28" i="4"/>
  <c r="C30" i="4" s="1"/>
  <c r="C31" i="4" s="1"/>
  <c r="C37" i="4" s="1"/>
  <c r="H33" i="5"/>
  <c r="I35" i="5"/>
  <c r="H53" i="9"/>
  <c r="H28" i="4"/>
  <c r="H30" i="4" s="1"/>
  <c r="H31" i="4" s="1"/>
  <c r="H37" i="4" s="1"/>
  <c r="B28" i="4"/>
  <c r="B30" i="4" s="1"/>
  <c r="F53" i="9"/>
  <c r="J28" i="4"/>
  <c r="J30" i="4" s="1"/>
  <c r="J31" i="4" s="1"/>
  <c r="J37" i="4" s="1"/>
  <c r="L45" i="9" s="1"/>
  <c r="G49" i="9"/>
  <c r="D28" i="4"/>
  <c r="D30" i="4" s="1"/>
  <c r="D31" i="4" s="1"/>
  <c r="D37" i="4" s="1"/>
  <c r="I28" i="4"/>
  <c r="I30" i="4" s="1"/>
  <c r="D36" i="5"/>
  <c r="C34" i="5"/>
  <c r="J30" i="5"/>
  <c r="I30" i="5"/>
  <c r="C49" i="9"/>
  <c r="H35" i="5"/>
  <c r="I33" i="5"/>
  <c r="I49" i="9"/>
  <c r="C35" i="5"/>
  <c r="D37" i="17"/>
  <c r="D57" i="5" s="1"/>
  <c r="C30" i="17"/>
  <c r="D42" i="17"/>
  <c r="D58" i="5" s="1"/>
  <c r="C37" i="17"/>
  <c r="C57" i="5" s="1"/>
  <c r="K36" i="17"/>
  <c r="B37" i="17"/>
  <c r="K40" i="17"/>
  <c r="B42" i="17"/>
  <c r="C32" i="5"/>
  <c r="E29" i="5"/>
  <c r="E30" i="5"/>
  <c r="J49" i="9"/>
  <c r="K16" i="7"/>
  <c r="K17" i="7"/>
  <c r="F49" i="9"/>
  <c r="E36" i="5"/>
  <c r="C30" i="5"/>
  <c r="H31" i="5"/>
  <c r="E49" i="9"/>
  <c r="K17" i="4"/>
  <c r="E28" i="4"/>
  <c r="E30" i="4" s="1"/>
  <c r="E33" i="5"/>
  <c r="C36" i="5"/>
  <c r="E37" i="5" l="1"/>
  <c r="E39" i="5" s="1"/>
  <c r="E42" i="5" s="1"/>
  <c r="F11" i="19"/>
  <c r="F25" i="19" s="1"/>
  <c r="D37" i="5"/>
  <c r="D55" i="11" s="1"/>
  <c r="H36" i="4"/>
  <c r="K37" i="9" s="1"/>
  <c r="B37" i="5"/>
  <c r="B39" i="5" s="1"/>
  <c r="B40" i="5" s="1"/>
  <c r="G37" i="5"/>
  <c r="G39" i="5" s="1"/>
  <c r="G40" i="5" s="1"/>
  <c r="G43" i="5" s="1"/>
  <c r="G47" i="5" s="1"/>
  <c r="F31" i="4"/>
  <c r="F37" i="4" s="1"/>
  <c r="F24" i="19" s="1"/>
  <c r="F42" i="5"/>
  <c r="F46" i="5" s="1"/>
  <c r="H37" i="5"/>
  <c r="H39" i="5" s="1"/>
  <c r="H40" i="5" s="1"/>
  <c r="H43" i="5" s="1"/>
  <c r="D36" i="4"/>
  <c r="K25" i="9" s="1"/>
  <c r="J37" i="5"/>
  <c r="J39" i="5" s="1"/>
  <c r="J40" i="5" s="1"/>
  <c r="J43" i="5" s="1"/>
  <c r="J47" i="5" s="1"/>
  <c r="G36" i="4"/>
  <c r="I37" i="5"/>
  <c r="I39" i="5" s="1"/>
  <c r="I40" i="5" s="1"/>
  <c r="J36" i="4"/>
  <c r="C36" i="4"/>
  <c r="K21" i="9" s="1"/>
  <c r="I31" i="4"/>
  <c r="I37" i="4" s="1"/>
  <c r="I36" i="4"/>
  <c r="F14" i="19"/>
  <c r="F28" i="19" s="1"/>
  <c r="B36" i="4"/>
  <c r="B31" i="4"/>
  <c r="B37" i="4" s="1"/>
  <c r="L17" i="9" s="1"/>
  <c r="B58" i="5"/>
  <c r="B57" i="5"/>
  <c r="K57" i="5" s="1"/>
  <c r="K9" i="9" s="1"/>
  <c r="K10" i="9" s="1"/>
  <c r="K37" i="17"/>
  <c r="C41" i="17"/>
  <c r="K30" i="17"/>
  <c r="L25" i="9"/>
  <c r="F9" i="19"/>
  <c r="F21" i="19" s="1"/>
  <c r="I17" i="7"/>
  <c r="I16" i="7"/>
  <c r="L37" i="9"/>
  <c r="F12" i="19"/>
  <c r="F26" i="19" s="1"/>
  <c r="L21" i="9"/>
  <c r="F8" i="19"/>
  <c r="C37" i="5"/>
  <c r="C39" i="5" s="1"/>
  <c r="E31" i="4"/>
  <c r="E36" i="4"/>
  <c r="C23" i="19" s="1"/>
  <c r="K30" i="4"/>
  <c r="D50" i="11" l="1"/>
  <c r="D51" i="11"/>
  <c r="E40" i="5"/>
  <c r="E43" i="5" s="1"/>
  <c r="C51" i="11"/>
  <c r="D59" i="11"/>
  <c r="C48" i="11"/>
  <c r="E48" i="11" s="1"/>
  <c r="C42" i="11"/>
  <c r="E42" i="11" s="1"/>
  <c r="C71" i="11"/>
  <c r="C72" i="11" s="1"/>
  <c r="C46" i="11"/>
  <c r="E46" i="11" s="1"/>
  <c r="D54" i="11"/>
  <c r="B78" i="11"/>
  <c r="B79" i="11" s="1"/>
  <c r="C79" i="11" s="1"/>
  <c r="D60" i="11"/>
  <c r="C49" i="11"/>
  <c r="E49" i="11" s="1"/>
  <c r="D57" i="11"/>
  <c r="C44" i="11"/>
  <c r="E44" i="11" s="1"/>
  <c r="D52" i="11"/>
  <c r="C8" i="19"/>
  <c r="D31" i="25" s="1"/>
  <c r="F31" i="25" s="1"/>
  <c r="H31" i="25" s="1"/>
  <c r="C43" i="11"/>
  <c r="E43" i="11" s="1"/>
  <c r="C53" i="11"/>
  <c r="D56" i="11"/>
  <c r="D53" i="11"/>
  <c r="D12" i="14"/>
  <c r="D14" i="14" s="1"/>
  <c r="D60" i="5" s="1"/>
  <c r="K60" i="5" s="1"/>
  <c r="C12" i="19"/>
  <c r="C26" i="19" s="1"/>
  <c r="D39" i="5"/>
  <c r="D42" i="5" s="1"/>
  <c r="C52" i="11"/>
  <c r="D58" i="11"/>
  <c r="C47" i="11"/>
  <c r="E47" i="11" s="1"/>
  <c r="C45" i="11"/>
  <c r="E45" i="11" s="1"/>
  <c r="C50" i="11"/>
  <c r="H42" i="5"/>
  <c r="H46" i="5" s="1"/>
  <c r="B42" i="5"/>
  <c r="B46" i="5" s="1"/>
  <c r="F43" i="5"/>
  <c r="F47" i="5" s="1"/>
  <c r="G42" i="5"/>
  <c r="G46" i="5" s="1"/>
  <c r="I43" i="5"/>
  <c r="I47" i="5" s="1"/>
  <c r="I42" i="5"/>
  <c r="I46" i="5" s="1"/>
  <c r="C9" i="19"/>
  <c r="C21" i="19" s="1"/>
  <c r="J42" i="5"/>
  <c r="J46" i="5" s="1"/>
  <c r="C11" i="19"/>
  <c r="C25" i="19" s="1"/>
  <c r="K33" i="9"/>
  <c r="K45" i="9"/>
  <c r="C14" i="19"/>
  <c r="C28" i="19" s="1"/>
  <c r="C7" i="19"/>
  <c r="K17" i="9"/>
  <c r="F7" i="19"/>
  <c r="I30" i="25" s="1"/>
  <c r="K30" i="25" s="1"/>
  <c r="M30" i="25" s="1"/>
  <c r="C13" i="19"/>
  <c r="C27" i="19" s="1"/>
  <c r="K41" i="9"/>
  <c r="B43" i="5"/>
  <c r="B47" i="5" s="1"/>
  <c r="F13" i="19"/>
  <c r="F27" i="19" s="1"/>
  <c r="L41" i="9"/>
  <c r="K41" i="17"/>
  <c r="C42" i="17"/>
  <c r="K29" i="9"/>
  <c r="C10" i="19"/>
  <c r="K36" i="4"/>
  <c r="F20" i="19"/>
  <c r="I31" i="25"/>
  <c r="K31" i="25" s="1"/>
  <c r="M31" i="25" s="1"/>
  <c r="E37" i="4"/>
  <c r="F23" i="19" s="1"/>
  <c r="K31" i="4"/>
  <c r="C40" i="5"/>
  <c r="C43" i="5" s="1"/>
  <c r="C42" i="5"/>
  <c r="H47" i="5"/>
  <c r="E46" i="5"/>
  <c r="E51" i="11" l="1"/>
  <c r="C78" i="11"/>
  <c r="D40" i="5"/>
  <c r="D43" i="5" s="1"/>
  <c r="K43" i="5" s="1"/>
  <c r="K52" i="5" s="1"/>
  <c r="E52" i="11"/>
  <c r="D15" i="14"/>
  <c r="I11" i="25" s="1"/>
  <c r="D65" i="11"/>
  <c r="C20" i="19"/>
  <c r="E53" i="11"/>
  <c r="D61" i="11"/>
  <c r="D64" i="11"/>
  <c r="D11" i="25"/>
  <c r="D22" i="25" s="1"/>
  <c r="F22" i="25" s="1"/>
  <c r="H22" i="25" s="1"/>
  <c r="C59" i="11"/>
  <c r="E59" i="11" s="1"/>
  <c r="D30" i="14"/>
  <c r="K30" i="14" s="1"/>
  <c r="C58" i="11"/>
  <c r="E58" i="11" s="1"/>
  <c r="K14" i="14"/>
  <c r="C63" i="11"/>
  <c r="C55" i="11"/>
  <c r="E55" i="11" s="1"/>
  <c r="C60" i="11"/>
  <c r="E60" i="11" s="1"/>
  <c r="C54" i="11"/>
  <c r="E54" i="11" s="1"/>
  <c r="C56" i="11"/>
  <c r="E56" i="11" s="1"/>
  <c r="D63" i="11"/>
  <c r="D62" i="11"/>
  <c r="E50" i="11"/>
  <c r="C64" i="11"/>
  <c r="C65" i="11"/>
  <c r="C62" i="11"/>
  <c r="E62" i="11" s="1"/>
  <c r="C61" i="11"/>
  <c r="C57" i="11"/>
  <c r="E57" i="11" s="1"/>
  <c r="K49" i="9"/>
  <c r="C15" i="19"/>
  <c r="F19" i="19"/>
  <c r="F29" i="19" s="1"/>
  <c r="D30" i="25"/>
  <c r="F30" i="25" s="1"/>
  <c r="H30" i="25" s="1"/>
  <c r="H39" i="25" s="1"/>
  <c r="C19" i="19"/>
  <c r="M39" i="25"/>
  <c r="C58" i="5"/>
  <c r="K58" i="5" s="1"/>
  <c r="L9" i="9" s="1"/>
  <c r="L10" i="9" s="1"/>
  <c r="K42" i="17"/>
  <c r="C47" i="5"/>
  <c r="D46" i="5"/>
  <c r="F11" i="25"/>
  <c r="H11" i="25" s="1"/>
  <c r="L29" i="9"/>
  <c r="L49" i="9" s="1"/>
  <c r="F10" i="19"/>
  <c r="F15" i="19" s="1"/>
  <c r="K37" i="4"/>
  <c r="D47" i="5"/>
  <c r="E47" i="5"/>
  <c r="C46" i="5"/>
  <c r="K42" i="5"/>
  <c r="K50" i="5" s="1"/>
  <c r="E65" i="11" l="1"/>
  <c r="D31" i="14"/>
  <c r="D34" i="8" s="1"/>
  <c r="K34" i="8" s="1"/>
  <c r="D61" i="5"/>
  <c r="K61" i="5" s="1"/>
  <c r="K15" i="14"/>
  <c r="D33" i="8"/>
  <c r="K33" i="8" s="1"/>
  <c r="E71" i="11"/>
  <c r="C29" i="19"/>
  <c r="E63" i="11"/>
  <c r="E61" i="11"/>
  <c r="E64" i="11"/>
  <c r="K46" i="5"/>
  <c r="D49" i="5" s="1"/>
  <c r="D50" i="5" s="1"/>
  <c r="D54" i="5" s="1"/>
  <c r="K47" i="5"/>
  <c r="C51" i="5" s="1"/>
  <c r="C52" i="5" s="1"/>
  <c r="C55" i="5" s="1"/>
  <c r="K11" i="25"/>
  <c r="M11" i="25" s="1"/>
  <c r="I22" i="25"/>
  <c r="K22" i="25" s="1"/>
  <c r="M22" i="25" s="1"/>
  <c r="K31" i="14" l="1"/>
  <c r="E72" i="11"/>
  <c r="C49" i="5"/>
  <c r="C50" i="5" s="1"/>
  <c r="C54" i="5" s="1"/>
  <c r="C30" i="8" s="1"/>
  <c r="C36" i="8" s="1"/>
  <c r="D63" i="5"/>
  <c r="D30" i="8"/>
  <c r="D36" i="8" s="1"/>
  <c r="C64" i="5"/>
  <c r="C31" i="8"/>
  <c r="C37" i="8" s="1"/>
  <c r="B49" i="5"/>
  <c r="J49" i="5"/>
  <c r="J50" i="5" s="1"/>
  <c r="J54" i="5" s="1"/>
  <c r="I49" i="5"/>
  <c r="I50" i="5" s="1"/>
  <c r="I54" i="5" s="1"/>
  <c r="G49" i="5"/>
  <c r="G50" i="5" s="1"/>
  <c r="G54" i="5" s="1"/>
  <c r="F49" i="5"/>
  <c r="F50" i="5" s="1"/>
  <c r="F54" i="5" s="1"/>
  <c r="E49" i="5"/>
  <c r="E50" i="5" s="1"/>
  <c r="E54" i="5" s="1"/>
  <c r="H49" i="5"/>
  <c r="H50" i="5" s="1"/>
  <c r="H54" i="5" s="1"/>
  <c r="C63" i="5"/>
  <c r="B51" i="5"/>
  <c r="F51" i="5"/>
  <c r="F52" i="5" s="1"/>
  <c r="F55" i="5" s="1"/>
  <c r="G51" i="5"/>
  <c r="G52" i="5" s="1"/>
  <c r="G55" i="5" s="1"/>
  <c r="I51" i="5"/>
  <c r="I52" i="5" s="1"/>
  <c r="I55" i="5" s="1"/>
  <c r="J51" i="5"/>
  <c r="J52" i="5" s="1"/>
  <c r="J55" i="5" s="1"/>
  <c r="H51" i="5"/>
  <c r="H52" i="5" s="1"/>
  <c r="H55" i="5" s="1"/>
  <c r="E51" i="5"/>
  <c r="E52" i="5" s="1"/>
  <c r="E55" i="5" s="1"/>
  <c r="D51" i="5"/>
  <c r="D52" i="5" s="1"/>
  <c r="D55" i="5" s="1"/>
  <c r="E64" i="5" l="1"/>
  <c r="G23" i="19" s="1"/>
  <c r="E31" i="8"/>
  <c r="E37" i="8" s="1"/>
  <c r="G64" i="5"/>
  <c r="G31" i="8"/>
  <c r="G37" i="8" s="1"/>
  <c r="K22" i="9"/>
  <c r="D8" i="19"/>
  <c r="G30" i="8"/>
  <c r="G36" i="8" s="1"/>
  <c r="G63" i="5"/>
  <c r="H8" i="19"/>
  <c r="H20" i="19" s="1"/>
  <c r="L23" i="9"/>
  <c r="H64" i="5"/>
  <c r="H31" i="8"/>
  <c r="H37" i="8" s="1"/>
  <c r="F64" i="5"/>
  <c r="G24" i="19" s="1"/>
  <c r="F31" i="8"/>
  <c r="F37" i="8" s="1"/>
  <c r="H24" i="19" s="1"/>
  <c r="H63" i="5"/>
  <c r="H30" i="8"/>
  <c r="H36" i="8" s="1"/>
  <c r="I63" i="5"/>
  <c r="I30" i="8"/>
  <c r="I36" i="8" s="1"/>
  <c r="G8" i="19"/>
  <c r="L22" i="9"/>
  <c r="J64" i="5"/>
  <c r="J31" i="8"/>
  <c r="J37" i="8" s="1"/>
  <c r="B52" i="5"/>
  <c r="B55" i="5" s="1"/>
  <c r="K51" i="5"/>
  <c r="E63" i="5"/>
  <c r="D23" i="19" s="1"/>
  <c r="E30" i="8"/>
  <c r="E36" i="8" s="1"/>
  <c r="J63" i="5"/>
  <c r="J30" i="8"/>
  <c r="J36" i="8" s="1"/>
  <c r="K27" i="9"/>
  <c r="E9" i="19"/>
  <c r="D64" i="5"/>
  <c r="D31" i="8"/>
  <c r="D37" i="8" s="1"/>
  <c r="I64" i="5"/>
  <c r="I31" i="8"/>
  <c r="I37" i="8" s="1"/>
  <c r="K23" i="9"/>
  <c r="E8" i="19"/>
  <c r="E20" i="19" s="1"/>
  <c r="F63" i="5"/>
  <c r="D24" i="19" s="1"/>
  <c r="F30" i="8"/>
  <c r="F36" i="8" s="1"/>
  <c r="E24" i="19" s="1"/>
  <c r="B50" i="5"/>
  <c r="B54" i="5" s="1"/>
  <c r="K49" i="5"/>
  <c r="K26" i="9"/>
  <c r="D9" i="19"/>
  <c r="K47" i="9" l="1"/>
  <c r="E14" i="19"/>
  <c r="K39" i="9"/>
  <c r="E12" i="19"/>
  <c r="H12" i="19"/>
  <c r="L39" i="9"/>
  <c r="D11" i="19"/>
  <c r="K34" i="9"/>
  <c r="L35" i="9"/>
  <c r="H11" i="19"/>
  <c r="H25" i="19" s="1"/>
  <c r="L27" i="9"/>
  <c r="H9" i="19"/>
  <c r="K54" i="5"/>
  <c r="B63" i="5"/>
  <c r="B30" i="8"/>
  <c r="G9" i="19"/>
  <c r="L26" i="9"/>
  <c r="K46" i="9"/>
  <c r="D14" i="19"/>
  <c r="K55" i="5"/>
  <c r="B64" i="5"/>
  <c r="B31" i="8"/>
  <c r="I42" i="25"/>
  <c r="I20" i="25"/>
  <c r="K20" i="25" s="1"/>
  <c r="M20" i="25" s="1"/>
  <c r="G20" i="19"/>
  <c r="I9" i="25"/>
  <c r="K9" i="25" s="1"/>
  <c r="M9" i="25" s="1"/>
  <c r="D12" i="19"/>
  <c r="K38" i="9"/>
  <c r="L38" i="9"/>
  <c r="G12" i="19"/>
  <c r="K35" i="9"/>
  <c r="E11" i="19"/>
  <c r="E25" i="19" s="1"/>
  <c r="L34" i="9"/>
  <c r="G11" i="19"/>
  <c r="D21" i="25"/>
  <c r="F21" i="25" s="1"/>
  <c r="H21" i="25" s="1"/>
  <c r="D21" i="19"/>
  <c r="D10" i="25"/>
  <c r="F10" i="25" s="1"/>
  <c r="H10" i="25" s="1"/>
  <c r="L43" i="9"/>
  <c r="H13" i="19"/>
  <c r="D43" i="25"/>
  <c r="E21" i="19"/>
  <c r="L47" i="9"/>
  <c r="H14" i="19"/>
  <c r="K43" i="9"/>
  <c r="E13" i="19"/>
  <c r="D20" i="25"/>
  <c r="F20" i="25" s="1"/>
  <c r="H20" i="25" s="1"/>
  <c r="D42" i="25"/>
  <c r="D20" i="19"/>
  <c r="D9" i="25"/>
  <c r="F9" i="25" s="1"/>
  <c r="H9" i="25" s="1"/>
  <c r="L31" i="9"/>
  <c r="H10" i="19"/>
  <c r="I44" i="25" s="1"/>
  <c r="E10" i="19"/>
  <c r="D44" i="25" s="1"/>
  <c r="K31" i="9"/>
  <c r="G13" i="19"/>
  <c r="L42" i="9"/>
  <c r="D10" i="19"/>
  <c r="D12" i="25" s="1"/>
  <c r="K30" i="9"/>
  <c r="G14" i="19"/>
  <c r="L46" i="9"/>
  <c r="K42" i="9"/>
  <c r="D13" i="19"/>
  <c r="G10" i="19"/>
  <c r="I12" i="25" s="1"/>
  <c r="L30" i="9"/>
  <c r="F44" i="25" l="1"/>
  <c r="H44" i="25" s="1"/>
  <c r="D54" i="25"/>
  <c r="F43" i="25"/>
  <c r="H43" i="25" s="1"/>
  <c r="D53" i="25"/>
  <c r="I10" i="25"/>
  <c r="K10" i="25" s="1"/>
  <c r="M10" i="25" s="1"/>
  <c r="G21" i="19"/>
  <c r="I21" i="25"/>
  <c r="K21" i="25" s="1"/>
  <c r="M21" i="25" s="1"/>
  <c r="I43" i="25"/>
  <c r="H21" i="19"/>
  <c r="D46" i="25"/>
  <c r="E26" i="19"/>
  <c r="K12" i="25"/>
  <c r="M12" i="25" s="1"/>
  <c r="I23" i="25"/>
  <c r="K23" i="25" s="1"/>
  <c r="M23" i="25" s="1"/>
  <c r="I27" i="25"/>
  <c r="K27" i="25" s="1"/>
  <c r="M27" i="25" s="1"/>
  <c r="G28" i="19"/>
  <c r="I16" i="25"/>
  <c r="K16" i="25" s="1"/>
  <c r="M16" i="25" s="1"/>
  <c r="I26" i="25"/>
  <c r="K26" i="25" s="1"/>
  <c r="M26" i="25" s="1"/>
  <c r="I15" i="25"/>
  <c r="K15" i="25" s="1"/>
  <c r="M15" i="25" s="1"/>
  <c r="G27" i="19"/>
  <c r="I54" i="25"/>
  <c r="K44" i="25"/>
  <c r="M44" i="25" s="1"/>
  <c r="D52" i="25"/>
  <c r="F42" i="25"/>
  <c r="H42" i="25" s="1"/>
  <c r="H28" i="19"/>
  <c r="I48" i="25"/>
  <c r="I47" i="25"/>
  <c r="H27" i="19"/>
  <c r="D25" i="25"/>
  <c r="F25" i="25" s="1"/>
  <c r="H25" i="25" s="1"/>
  <c r="D14" i="25"/>
  <c r="F14" i="25" s="1"/>
  <c r="H14" i="25" s="1"/>
  <c r="D26" i="19"/>
  <c r="K42" i="25"/>
  <c r="M42" i="25" s="1"/>
  <c r="I52" i="25"/>
  <c r="D28" i="19"/>
  <c r="D16" i="25"/>
  <c r="F16" i="25" s="1"/>
  <c r="H16" i="25" s="1"/>
  <c r="D27" i="25"/>
  <c r="F27" i="25" s="1"/>
  <c r="H27" i="25" s="1"/>
  <c r="B36" i="8"/>
  <c r="K30" i="8"/>
  <c r="D24" i="25"/>
  <c r="F24" i="25" s="1"/>
  <c r="H24" i="25" s="1"/>
  <c r="D13" i="25"/>
  <c r="F13" i="25" s="1"/>
  <c r="H13" i="25" s="1"/>
  <c r="D25" i="19"/>
  <c r="D45" i="25"/>
  <c r="D15" i="25"/>
  <c r="F15" i="25" s="1"/>
  <c r="H15" i="25" s="1"/>
  <c r="D26" i="25"/>
  <c r="F26" i="25" s="1"/>
  <c r="H26" i="25" s="1"/>
  <c r="D27" i="19"/>
  <c r="I13" i="25"/>
  <c r="K13" i="25" s="1"/>
  <c r="M13" i="25" s="1"/>
  <c r="G25" i="19"/>
  <c r="I24" i="25"/>
  <c r="K24" i="25" s="1"/>
  <c r="M24" i="25" s="1"/>
  <c r="I45" i="25"/>
  <c r="I14" i="25"/>
  <c r="K14" i="25" s="1"/>
  <c r="M14" i="25" s="1"/>
  <c r="G26" i="19"/>
  <c r="I25" i="25"/>
  <c r="K25" i="25" s="1"/>
  <c r="M25" i="25" s="1"/>
  <c r="B37" i="8"/>
  <c r="K31" i="8"/>
  <c r="D7" i="19"/>
  <c r="K63" i="5"/>
  <c r="K13" i="9" s="1"/>
  <c r="K18" i="9"/>
  <c r="K50" i="9" s="1"/>
  <c r="D48" i="25"/>
  <c r="E28" i="19"/>
  <c r="D23" i="25"/>
  <c r="F23" i="25" s="1"/>
  <c r="H23" i="25" s="1"/>
  <c r="F12" i="25"/>
  <c r="H12" i="25" s="1"/>
  <c r="D47" i="25"/>
  <c r="E27" i="19"/>
  <c r="K64" i="5"/>
  <c r="L13" i="9" s="1"/>
  <c r="G7" i="19"/>
  <c r="L18" i="9"/>
  <c r="L50" i="9" s="1"/>
  <c r="I46" i="25"/>
  <c r="H26" i="19"/>
  <c r="L53" i="9" l="1"/>
  <c r="I56" i="25"/>
  <c r="K46" i="25"/>
  <c r="M46" i="25" s="1"/>
  <c r="D41" i="25"/>
  <c r="D8" i="25"/>
  <c r="F8" i="25" s="1"/>
  <c r="H8" i="25" s="1"/>
  <c r="H17" i="25" s="1"/>
  <c r="D19" i="19"/>
  <c r="D29" i="19" s="1"/>
  <c r="D19" i="25"/>
  <c r="F19" i="25" s="1"/>
  <c r="H19" i="25" s="1"/>
  <c r="H28" i="25" s="1"/>
  <c r="D15" i="19"/>
  <c r="F53" i="25"/>
  <c r="H53" i="25" s="1"/>
  <c r="D63" i="25"/>
  <c r="F63" i="25" s="1"/>
  <c r="H63" i="25" s="1"/>
  <c r="G15" i="19"/>
  <c r="G19" i="19"/>
  <c r="G29" i="19" s="1"/>
  <c r="I41" i="25"/>
  <c r="I19" i="25"/>
  <c r="K19" i="25" s="1"/>
  <c r="M19" i="25" s="1"/>
  <c r="M28" i="25" s="1"/>
  <c r="I8" i="25"/>
  <c r="K8" i="25" s="1"/>
  <c r="M8" i="25" s="1"/>
  <c r="M17" i="25" s="1"/>
  <c r="F47" i="25"/>
  <c r="H47" i="25" s="1"/>
  <c r="D57" i="25"/>
  <c r="D58" i="25"/>
  <c r="F48" i="25"/>
  <c r="H48" i="25" s="1"/>
  <c r="D55" i="25"/>
  <c r="F45" i="25"/>
  <c r="H45" i="25" s="1"/>
  <c r="K47" i="25"/>
  <c r="M47" i="25" s="1"/>
  <c r="I57" i="25"/>
  <c r="D62" i="25"/>
  <c r="F62" i="25" s="1"/>
  <c r="H62" i="25" s="1"/>
  <c r="F52" i="25"/>
  <c r="H52" i="25" s="1"/>
  <c r="F46" i="25"/>
  <c r="H46" i="25" s="1"/>
  <c r="D56" i="25"/>
  <c r="K53" i="9"/>
  <c r="K37" i="8"/>
  <c r="L19" i="9"/>
  <c r="L51" i="9" s="1"/>
  <c r="H7" i="19"/>
  <c r="I55" i="25"/>
  <c r="K45" i="25"/>
  <c r="M45" i="25" s="1"/>
  <c r="K19" i="9"/>
  <c r="K51" i="9" s="1"/>
  <c r="E7" i="19"/>
  <c r="K36" i="8"/>
  <c r="I62" i="25"/>
  <c r="K62" i="25" s="1"/>
  <c r="M62" i="25" s="1"/>
  <c r="K52" i="25"/>
  <c r="M52" i="25" s="1"/>
  <c r="I58" i="25"/>
  <c r="K48" i="25"/>
  <c r="D64" i="25"/>
  <c r="F64" i="25" s="1"/>
  <c r="H64" i="25" s="1"/>
  <c r="F54" i="25"/>
  <c r="H54" i="25" s="1"/>
  <c r="K54" i="25"/>
  <c r="M54" i="25" s="1"/>
  <c r="I64" i="25"/>
  <c r="K64" i="25" s="1"/>
  <c r="M64" i="25" s="1"/>
  <c r="I53" i="25"/>
  <c r="K43" i="25"/>
  <c r="M43" i="25" s="1"/>
  <c r="D67" i="25" l="1"/>
  <c r="F67" i="25" s="1"/>
  <c r="H67" i="25" s="1"/>
  <c r="F57" i="25"/>
  <c r="H57" i="25" s="1"/>
  <c r="K41" i="25"/>
  <c r="M41" i="25" s="1"/>
  <c r="I51" i="25"/>
  <c r="K53" i="25"/>
  <c r="M53" i="25" s="1"/>
  <c r="I63" i="25"/>
  <c r="K63" i="25" s="1"/>
  <c r="M63" i="25" s="1"/>
  <c r="I65" i="25"/>
  <c r="K65" i="25" s="1"/>
  <c r="M65" i="25" s="1"/>
  <c r="K55" i="25"/>
  <c r="M55" i="25" s="1"/>
  <c r="K58" i="25"/>
  <c r="M58" i="25" s="1"/>
  <c r="I68" i="25"/>
  <c r="K68" i="25" s="1"/>
  <c r="M68" i="25" s="1"/>
  <c r="E15" i="19"/>
  <c r="E19" i="19"/>
  <c r="E29" i="19" s="1"/>
  <c r="H19" i="19"/>
  <c r="H29" i="19" s="1"/>
  <c r="H15" i="19"/>
  <c r="F55" i="25"/>
  <c r="H55" i="25" s="1"/>
  <c r="D65" i="25"/>
  <c r="F65" i="25" s="1"/>
  <c r="H65" i="25" s="1"/>
  <c r="F41" i="25"/>
  <c r="H41" i="25" s="1"/>
  <c r="H49" i="25" s="1"/>
  <c r="D51" i="25"/>
  <c r="D66" i="25"/>
  <c r="F66" i="25" s="1"/>
  <c r="H66" i="25" s="1"/>
  <c r="F56" i="25"/>
  <c r="H56" i="25" s="1"/>
  <c r="I67" i="25"/>
  <c r="K67" i="25" s="1"/>
  <c r="M67" i="25" s="1"/>
  <c r="K57" i="25"/>
  <c r="M57" i="25" s="1"/>
  <c r="F58" i="25"/>
  <c r="H58" i="25" s="1"/>
  <c r="D68" i="25"/>
  <c r="F68" i="25" s="1"/>
  <c r="H68" i="25" s="1"/>
  <c r="K56" i="25"/>
  <c r="M56" i="25" s="1"/>
  <c r="I66" i="25"/>
  <c r="K66" i="25" s="1"/>
  <c r="M66" i="25" s="1"/>
  <c r="K51" i="25" l="1"/>
  <c r="M51" i="25" s="1"/>
  <c r="M59" i="25" s="1"/>
  <c r="I61" i="25"/>
  <c r="K61" i="25" s="1"/>
  <c r="M61" i="25" s="1"/>
  <c r="M69" i="25" s="1"/>
  <c r="F51" i="25"/>
  <c r="H51" i="25" s="1"/>
  <c r="H59" i="25" s="1"/>
  <c r="D61" i="25"/>
  <c r="F61" i="25" s="1"/>
  <c r="H61" i="25" s="1"/>
  <c r="H69" i="25" s="1"/>
  <c r="H70" i="25" l="1"/>
  <c r="L48" i="25" l="1"/>
  <c r="M48" i="25" s="1"/>
  <c r="M49" i="25" s="1"/>
  <c r="M70" i="25" s="1"/>
</calcChain>
</file>

<file path=xl/comments1.xml><?xml version="1.0" encoding="utf-8"?>
<comments xmlns="http://schemas.openxmlformats.org/spreadsheetml/2006/main">
  <authors>
    <author>andrya.eagen</author>
  </authors>
  <commentList>
    <comment ref="S5" authorId="0" shapeId="0">
      <text>
        <r>
          <rPr>
            <b/>
            <sz val="9"/>
            <color indexed="81"/>
            <rFont val="Tahoma"/>
            <family val="2"/>
          </rPr>
          <t>andrya.eagen:</t>
        </r>
        <r>
          <rPr>
            <sz val="9"/>
            <color indexed="81"/>
            <rFont val="Tahoma"/>
            <family val="2"/>
          </rPr>
          <t xml:space="preserve">
Excludes TOA</t>
        </r>
      </text>
    </comment>
    <comment ref="B18" authorId="0" shapeId="0">
      <text>
        <r>
          <rPr>
            <b/>
            <sz val="9"/>
            <color indexed="81"/>
            <rFont val="Tahoma"/>
            <family val="2"/>
          </rPr>
          <t>andrya.eagen:</t>
        </r>
        <r>
          <rPr>
            <sz val="9"/>
            <color indexed="81"/>
            <rFont val="Tahoma"/>
            <family val="2"/>
          </rPr>
          <t xml:space="preserve">
Currently billed GS&gt;50 fixed charge only.</t>
        </r>
      </text>
    </comment>
    <comment ref="Q23" authorId="0" shapeId="0">
      <text>
        <r>
          <rPr>
            <b/>
            <sz val="9"/>
            <color indexed="81"/>
            <rFont val="Tahoma"/>
            <family val="2"/>
          </rPr>
          <t>andrya.eagen:</t>
        </r>
        <r>
          <rPr>
            <sz val="9"/>
            <color indexed="81"/>
            <rFont val="Tahoma"/>
            <family val="2"/>
          </rPr>
          <t xml:space="preserve">
Based 2014 Actual % Rec'ing TOA</t>
        </r>
      </text>
    </comment>
    <comment ref="B30" authorId="0" shapeId="0">
      <text>
        <r>
          <rPr>
            <b/>
            <sz val="9"/>
            <color indexed="81"/>
            <rFont val="Tahoma"/>
            <family val="2"/>
          </rPr>
          <t>andrya.eagen:</t>
        </r>
        <r>
          <rPr>
            <sz val="9"/>
            <color indexed="81"/>
            <rFont val="Tahoma"/>
            <family val="2"/>
          </rPr>
          <t xml:space="preserve">
Currently not charged volumetric rates.</t>
        </r>
      </text>
    </comment>
    <comment ref="B44" authorId="0" shapeId="0">
      <text>
        <r>
          <rPr>
            <b/>
            <sz val="9"/>
            <color indexed="81"/>
            <rFont val="Tahoma"/>
            <family val="2"/>
          </rPr>
          <t>andrya.eagen:</t>
        </r>
        <r>
          <rPr>
            <sz val="9"/>
            <color indexed="81"/>
            <rFont val="Tahoma"/>
            <family val="2"/>
          </rPr>
          <t xml:space="preserve">
Currently billed GS&gt;50 fixed charge only.</t>
        </r>
      </text>
    </comment>
    <comment ref="Q49" authorId="0" shapeId="0">
      <text>
        <r>
          <rPr>
            <b/>
            <sz val="9"/>
            <color indexed="81"/>
            <rFont val="Tahoma"/>
            <family val="2"/>
          </rPr>
          <t>andrya.eagen:</t>
        </r>
        <r>
          <rPr>
            <sz val="9"/>
            <color indexed="81"/>
            <rFont val="Tahoma"/>
            <family val="2"/>
          </rPr>
          <t xml:space="preserve">
Based 2014 Actual % Rec'ing TOA</t>
        </r>
      </text>
    </comment>
    <comment ref="B56" authorId="0" shapeId="0">
      <text>
        <r>
          <rPr>
            <b/>
            <sz val="9"/>
            <color indexed="81"/>
            <rFont val="Tahoma"/>
            <family val="2"/>
          </rPr>
          <t>andrya.eagen:</t>
        </r>
        <r>
          <rPr>
            <sz val="9"/>
            <color indexed="81"/>
            <rFont val="Tahoma"/>
            <family val="2"/>
          </rPr>
          <t xml:space="preserve">
Currently not charged volumetric rates.</t>
        </r>
      </text>
    </comment>
  </commentList>
</comments>
</file>

<file path=xl/sharedStrings.xml><?xml version="1.0" encoding="utf-8"?>
<sst xmlns="http://schemas.openxmlformats.org/spreadsheetml/2006/main" count="921" uniqueCount="410">
  <si>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</si>
  <si>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</si>
  <si>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</si>
  <si>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</si>
  <si>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</si>
  <si>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</si>
  <si>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</si>
  <si>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</si>
  <si>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</si>
  <si>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Embedded Distribution</t>
  </si>
  <si>
    <t xml:space="preserve">01_Residential </t>
  </si>
  <si>
    <t>02_GS&lt;50</t>
  </si>
  <si>
    <t>03_GS&gt;50</t>
  </si>
  <si>
    <t>10_EmbeddedDist</t>
  </si>
  <si>
    <t>05_LargeUse</t>
  </si>
  <si>
    <t>07_USL</t>
  </si>
  <si>
    <t>08_Sentinel</t>
  </si>
  <si>
    <t>08_StreetLights</t>
  </si>
  <si>
    <t>Total</t>
  </si>
  <si>
    <t>Average</t>
  </si>
  <si>
    <t>Year</t>
  </si>
  <si>
    <t>Customer Growth Rate</t>
  </si>
  <si>
    <t>Forecast Number of Customer/Connections</t>
  </si>
  <si>
    <t>Month</t>
  </si>
  <si>
    <t>kWh</t>
  </si>
  <si>
    <t>Manufacturing (x 1,000)</t>
  </si>
  <si>
    <t>Actual Purchases</t>
  </si>
  <si>
    <t>Modeled Purchases</t>
  </si>
  <si>
    <t>Difference</t>
  </si>
  <si>
    <t>Difference %</t>
  </si>
  <si>
    <t>Forecast Accuracy</t>
  </si>
  <si>
    <t>Determination of Loss Factor</t>
  </si>
  <si>
    <t>Total Billed</t>
  </si>
  <si>
    <t>Percentage of kW to kWh</t>
  </si>
  <si>
    <t>Entegrus Powerlines Inc.</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</si>
  <si>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</si>
  <si>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</si>
  <si>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</si>
  <si>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</si>
  <si>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</si>
  <si>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</si>
  <si>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</si>
  <si>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</si>
  <si>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</si>
  <si>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</si>
  <si>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</si>
  <si>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</si>
  <si>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</si>
  <si>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</si>
  <si>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</si>
  <si>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2015
Forecasted</t>
  </si>
  <si>
    <t>2016
Forecasted</t>
  </si>
  <si>
    <t>Billed kWh by Rate Class</t>
  </si>
  <si>
    <t>Customers</t>
  </si>
  <si>
    <t>kW</t>
  </si>
  <si>
    <t>USL</t>
  </si>
  <si>
    <t>TOTAL</t>
  </si>
  <si>
    <t>Connections</t>
  </si>
  <si>
    <t>Reconciliation of Purchases</t>
  </si>
  <si>
    <t>Check</t>
  </si>
  <si>
    <r>
      <t xml:space="preserve">CDM Adjustment </t>
    </r>
    <r>
      <rPr>
        <sz val="8"/>
        <color theme="1"/>
        <rFont val="Calibri"/>
        <family val="2"/>
      </rPr>
      <t>(Not in Model)</t>
    </r>
  </si>
  <si>
    <t>Losses</t>
  </si>
  <si>
    <t>Loss Factor</t>
  </si>
  <si>
    <t>2016 Load Forecast Accuracy &amp; Loss Factor</t>
  </si>
  <si>
    <t>Average Growth per Customer</t>
  </si>
  <si>
    <t>Restated Consumption (kWh)</t>
  </si>
  <si>
    <t>Average Consumption per Customer (kWh)</t>
  </si>
  <si>
    <t>Forecasted Average Consumption per Customer (kWh)</t>
  </si>
  <si>
    <t>Calculated Consumption Non-Weather Adjusted (kWh)</t>
  </si>
  <si>
    <t>Forecast Consumption by Rate Class (kWh)</t>
  </si>
  <si>
    <t>Restated Demand (kW)</t>
  </si>
  <si>
    <t>Notes:</t>
  </si>
  <si>
    <t>Forecast Demand by Rate Class (kW)</t>
  </si>
  <si>
    <t>Geomean</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</si>
  <si>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</si>
  <si>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</si>
  <si>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</si>
  <si>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</si>
  <si>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</si>
  <si>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</si>
  <si>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</si>
  <si>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</si>
  <si>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</si>
  <si>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</si>
  <si>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</si>
  <si>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</si>
  <si>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</si>
  <si>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</si>
  <si>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</si>
  <si>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</si>
  <si>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</si>
  <si>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</si>
  <si>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Date</t>
  </si>
  <si>
    <t>Forecast kWh</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</si>
  <si>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</si>
  <si>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</si>
  <si>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</si>
  <si>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</si>
  <si>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</si>
  <si>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</si>
  <si>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</si>
  <si>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</si>
  <si>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</si>
  <si>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</si>
  <si>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</si>
  <si>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</si>
  <si>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</si>
  <si>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</si>
  <si>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</si>
  <si>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</si>
  <si>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</si>
  <si>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</si>
  <si>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</si>
  <si>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</si>
  <si>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</si>
  <si>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</si>
  <si>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</si>
  <si>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</si>
  <si>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</si>
  <si>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</si>
  <si>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</si>
  <si>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</si>
  <si>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</si>
  <si>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</si>
  <si>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</si>
  <si>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</si>
  <si>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</si>
  <si>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</si>
  <si>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</si>
  <si>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</si>
  <si>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</si>
  <si>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</si>
  <si>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</si>
  <si>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</si>
  <si>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</si>
  <si>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</si>
  <si>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</si>
  <si>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</si>
  <si>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</si>
  <si>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</si>
  <si>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</si>
  <si>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</si>
  <si>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</si>
  <si>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</si>
  <si>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</si>
  <si>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</si>
  <si>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</si>
  <si>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</si>
  <si>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</si>
  <si>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</si>
  <si>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</si>
  <si>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</si>
  <si>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</si>
  <si>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</si>
  <si>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</si>
  <si>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</si>
  <si>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</si>
  <si>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</si>
  <si>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</si>
  <si>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</si>
  <si>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</si>
  <si>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</si>
  <si>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</si>
  <si>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</si>
  <si>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</si>
  <si>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</si>
  <si>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</si>
  <si>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</si>
  <si>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</si>
  <si>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</si>
  <si>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</si>
  <si>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</si>
  <si>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</si>
  <si>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</si>
  <si>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</si>
  <si>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</si>
  <si>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</si>
  <si>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</si>
  <si>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</si>
  <si>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</si>
  <si>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</si>
  <si>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</si>
  <si>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</si>
  <si>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</si>
  <si>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</si>
  <si>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</si>
  <si>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</si>
  <si>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</si>
  <si>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</si>
  <si>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</si>
  <si>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</si>
  <si>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</si>
  <si>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</si>
  <si>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</si>
  <si>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</si>
  <si>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</si>
  <si>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</si>
  <si>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</si>
  <si>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</si>
  <si>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</si>
  <si>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</si>
  <si>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</si>
  <si>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</si>
  <si>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</si>
  <si>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</si>
  <si>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</si>
  <si>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</si>
  <si>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</si>
  <si>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</si>
  <si>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</si>
  <si>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</si>
  <si>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</si>
  <si>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</si>
  <si>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</si>
  <si>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</si>
  <si>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</si>
  <si>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</si>
  <si>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</si>
  <si>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</si>
  <si>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</si>
  <si>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</si>
  <si>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</si>
  <si>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</si>
  <si>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</si>
  <si>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</si>
  <si>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</si>
  <si>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Customer A</t>
  </si>
  <si>
    <t>Customer B</t>
  </si>
  <si>
    <t>% kWh/kW</t>
  </si>
  <si>
    <t>Geometric Mean</t>
  </si>
  <si>
    <t>Historical kWh</t>
  </si>
  <si>
    <t>Forecasted kWh</t>
  </si>
  <si>
    <t>Historical kW</t>
  </si>
  <si>
    <t>Percentage kW/kWh</t>
  </si>
  <si>
    <t>Total kW Forecast</t>
  </si>
  <si>
    <t>Forecast % Error</t>
  </si>
  <si>
    <t>Absolute Forecast % Error</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</si>
  <si>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</si>
  <si>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</si>
  <si>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</si>
  <si>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</si>
  <si>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</si>
  <si>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</si>
  <si>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</si>
  <si>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</si>
  <si>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</si>
  <si>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</si>
  <si>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</si>
  <si>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</si>
  <si>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</si>
  <si>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</si>
  <si>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</si>
  <si>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</si>
  <si>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</si>
  <si>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</si>
  <si>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</si>
  <si>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95.0%</t>
  </si>
  <si>
    <t>Upper 95.0%</t>
  </si>
  <si>
    <t>Intercept</t>
  </si>
  <si>
    <t>Variable</t>
  </si>
  <si>
    <t>T-Stat</t>
  </si>
  <si>
    <t>Historical Purchases</t>
  </si>
  <si>
    <t>Large Lost kWh</t>
  </si>
  <si>
    <t>Small Lost kWh</t>
  </si>
  <si>
    <t>1) Average Loss Factor utilized for 2015 and 2016 Total Billed calculation is the average of 2007 to 2014 actual loss factors.</t>
  </si>
  <si>
    <t>Large Use (CK)</t>
  </si>
  <si>
    <t>Large Use (SMP)</t>
  </si>
  <si>
    <t>06_LargeUse_Ded</t>
  </si>
  <si>
    <t>Calculation of CDM Adjustment for the Load Forecast</t>
  </si>
  <si>
    <t>2015 Programs</t>
  </si>
  <si>
    <t>2016 Programs</t>
  </si>
  <si>
    <t>2017 Programs</t>
  </si>
  <si>
    <t>2018 Programs</t>
  </si>
  <si>
    <t>2019 Programs</t>
  </si>
  <si>
    <t>2020 Programs</t>
  </si>
  <si>
    <t>Intermediate</t>
  </si>
  <si>
    <t>% Allocator</t>
  </si>
  <si>
    <t>2015 Load Forecast Adjustment</t>
  </si>
  <si>
    <t>2014 Programs (50%)</t>
  </si>
  <si>
    <t>2015 Programs (50%)</t>
  </si>
  <si>
    <t>2016 Load Forecast Adjustment</t>
  </si>
  <si>
    <t>2015 Programs (100%)</t>
  </si>
  <si>
    <t>2016 Programs (50%)</t>
  </si>
  <si>
    <t>Total Planned Programs</t>
  </si>
  <si>
    <t>Allocated Tasked Savings</t>
  </si>
  <si>
    <t>2015 Tasked Savings</t>
  </si>
  <si>
    <t>2015 Planned Savings</t>
  </si>
  <si>
    <t>2016 Planned Savings</t>
  </si>
  <si>
    <t>2016 Tasked Savings</t>
  </si>
  <si>
    <t>Allocation of Tasked Savings by Year</t>
  </si>
  <si>
    <t>Planned Program Savings by Year</t>
  </si>
  <si>
    <t>Annual % of Planned</t>
  </si>
  <si>
    <t>Allocation of 2015 &amp; 2016 Tasked Savings by Rate Class</t>
  </si>
  <si>
    <t>Calculation of Load Forecast Adjustment by Rate Class</t>
  </si>
  <si>
    <t>EB-2015-0061, Cost of Service Application</t>
  </si>
  <si>
    <t>Historical and Weather Normalized Load Forecast</t>
  </si>
  <si>
    <t>Line No.</t>
  </si>
  <si>
    <t>Rate Class</t>
  </si>
  <si>
    <t>Cust/Conn</t>
  </si>
  <si>
    <t xml:space="preserve">GS&lt;50 </t>
  </si>
  <si>
    <t>GS&gt;50</t>
  </si>
  <si>
    <t>Sentinel Lights</t>
  </si>
  <si>
    <t>Street Lights</t>
  </si>
  <si>
    <t>Embedded Distributor</t>
  </si>
  <si>
    <t>Billing Determinant</t>
  </si>
  <si>
    <t>Rate</t>
  </si>
  <si>
    <t>Amount</t>
  </si>
  <si>
    <t>Commodity</t>
  </si>
  <si>
    <t>Wholesale Market Services &amp; Rural Rate Assistance</t>
  </si>
  <si>
    <t>General Service &lt;50</t>
  </si>
  <si>
    <t>General Service &gt;50</t>
  </si>
  <si>
    <t>Market Participant</t>
  </si>
  <si>
    <t>Large User</t>
  </si>
  <si>
    <t>Umetered Scatter Load</t>
  </si>
  <si>
    <t>Smart Metering Entiry</t>
  </si>
  <si>
    <t>Low Voltage</t>
  </si>
  <si>
    <t>Cust</t>
  </si>
  <si>
    <t>Transmission - Network</t>
  </si>
  <si>
    <t>Transmission - Connection</t>
  </si>
  <si>
    <t>GRAND TOTAL</t>
  </si>
  <si>
    <t>Supply Cost ($/MWh)
For the period from May 1, 2015 to April 30, 2016</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</si>
  <si>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</si>
  <si>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</si>
  <si>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</si>
  <si>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</si>
  <si>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</si>
  <si>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</si>
  <si>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</si>
  <si>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</si>
  <si>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</si>
  <si>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Intermediate w/Self Gen</t>
  </si>
  <si>
    <t>Standby</t>
  </si>
  <si>
    <t>Allocation %</t>
  </si>
  <si>
    <t>Commodty Rate ($/kWh)</t>
  </si>
  <si>
    <t>Weighted Average Rate ($/kWh)</t>
  </si>
  <si>
    <t>2014 RPP 
kWh</t>
  </si>
  <si>
    <t>2015 Proposed</t>
  </si>
  <si>
    <t>2016 Proposed</t>
  </si>
  <si>
    <t>Umetered Scattered Load</t>
  </si>
  <si>
    <t>2014 Non- RPP kWh</t>
  </si>
  <si>
    <t>RTSR - Network</t>
  </si>
  <si>
    <t>RTSR - Connection</t>
  </si>
  <si>
    <t>WMP</t>
  </si>
  <si>
    <t>Cost of Power Estimates</t>
  </si>
  <si>
    <t>Unmetered Scattered Load (Conn)</t>
  </si>
  <si>
    <t>Sentinel Lighting (Conn)</t>
  </si>
  <si>
    <t>Street Lighting (Conn)</t>
  </si>
  <si>
    <t>EPI Loss Factors:</t>
  </si>
  <si>
    <t>Total Sec &lt;5</t>
  </si>
  <si>
    <t>Total Sec &gt;5</t>
  </si>
  <si>
    <t>Total Pri &lt;5</t>
  </si>
  <si>
    <t>Total Pri &gt;5</t>
  </si>
  <si>
    <t>Unit</t>
  </si>
  <si>
    <t>Load Forecast</t>
  </si>
  <si>
    <t>Cost of Power Rates Utilized</t>
  </si>
  <si>
    <t>Time</t>
  </si>
  <si>
    <t>Heating Degrees</t>
  </si>
  <si>
    <t>Cooling Degrees</t>
  </si>
  <si>
    <t>Economic Adjustment Factor</t>
  </si>
  <si>
    <t>Year End Customer/Connections</t>
  </si>
  <si>
    <t>Restated Average Annual Customers/Connections</t>
  </si>
  <si>
    <t>Forecasted Customers/Connections</t>
  </si>
  <si>
    <t>CDM ADJUSTMENT</t>
  </si>
  <si>
    <t>WMP ADJUSTMENT</t>
  </si>
  <si>
    <t>TOTAL ADJUSTED WEATHER NORMALIZED LOAD FORECAST</t>
  </si>
  <si>
    <t>New Framework Programs</t>
  </si>
  <si>
    <t>Old Framework Programs</t>
  </si>
  <si>
    <t>Allocation of 2015 Tasked Savings</t>
  </si>
  <si>
    <t>Allocation of 2016 Tasked Savings</t>
  </si>
  <si>
    <t>Calculation of Wholesale Market Participant</t>
  </si>
  <si>
    <t>WMP Adjustment</t>
  </si>
  <si>
    <t>Add: WMP</t>
  </si>
  <si>
    <t>2015 &amp; 2016 kWh Purchases Forecast</t>
  </si>
  <si>
    <t>Regression Analysis</t>
  </si>
  <si>
    <t>Corrected Historical kWh</t>
  </si>
  <si>
    <t>CK Heating Degrees</t>
  </si>
  <si>
    <t>CK Cooling Degrees</t>
  </si>
  <si>
    <t>Manufacting 
(x 1,000)</t>
  </si>
  <si>
    <t>Total Adjusted Forecasted Customers/Connections</t>
  </si>
  <si>
    <t>Total Adjusted Demand (kW)</t>
  </si>
  <si>
    <t>Total Demand Forecast (kW)</t>
  </si>
  <si>
    <t xml:space="preserve">GS &lt; 50 kW </t>
  </si>
  <si>
    <t>GS &gt; 50 - 4,999 kW</t>
  </si>
  <si>
    <t xml:space="preserve">Large Use: </t>
  </si>
  <si>
    <t xml:space="preserve">CK </t>
  </si>
  <si>
    <t>SMP</t>
  </si>
  <si>
    <t>Street Lighting Connections</t>
  </si>
  <si>
    <t>Sentinel Lighting Connections</t>
  </si>
  <si>
    <t>Unmetered Scattered Load Connections</t>
  </si>
  <si>
    <t>Intermediate with Self Generation</t>
  </si>
  <si>
    <t>Customers/Connections</t>
  </si>
  <si>
    <t>Newbury</t>
  </si>
  <si>
    <t xml:space="preserve">Dutton </t>
  </si>
  <si>
    <t>CK</t>
  </si>
  <si>
    <t>Percentage of Total</t>
  </si>
  <si>
    <t>Billing Determinants</t>
  </si>
  <si>
    <t xml:space="preserve">Line No. </t>
  </si>
  <si>
    <t>Allocation of 2014 Billing Determinents</t>
  </si>
  <si>
    <t>2016 Cost of Service, 2016 Revenue at Old Rates</t>
  </si>
  <si>
    <t>2016 Allocated</t>
  </si>
  <si>
    <t>Dutton</t>
  </si>
  <si>
    <t>Approved 2015 Rates</t>
  </si>
  <si>
    <t>Distribution Revenue</t>
  </si>
  <si>
    <t>TOA</t>
  </si>
  <si>
    <t>Total Distribution Revenue</t>
  </si>
  <si>
    <t>FIXED REVENUE</t>
  </si>
  <si>
    <t>VOLUMETRIC REVENUE</t>
  </si>
  <si>
    <t>Conn</t>
  </si>
  <si>
    <t>Type</t>
  </si>
  <si>
    <t>Average Rates for CA Model</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</si>
</sst>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_);_(* \(#,##0\);_(* &quot;-&quot;??_);_(@_)"/>
    <numFmt numFmtId="165" formatCode="_(* #,##0.0000_);_(* \(#,##0.0000\);_(* &quot;-&quot;??_);_(@_)"/>
    <numFmt numFmtId="166" formatCode="_-* #,##0.00_-;\-* #,##0.00_-;_-* &quot;-&quot;??_-;_-@_-"/>
    <numFmt numFmtId="167" formatCode="0.0%"/>
    <numFmt numFmtId="168" formatCode="0.000%"/>
    <numFmt numFmtId="169" formatCode="0.0"/>
    <numFmt numFmtId="170" formatCode="_-* #,##0_-;\-* #,##0_-;_-* &quot;-&quot;??_-;_-@_-"/>
    <numFmt numFmtId="171" formatCode="&quot;$&quot;#,##0.0000"/>
    <numFmt numFmtId="172" formatCode="&quot;$&quot;#,##0"/>
    <numFmt numFmtId="173" formatCode="&quot;$&quot;#,##0.00"/>
    <numFmt numFmtId="174" formatCode="_(&quot;$&quot;* #,##0_);_(&quot;$&quot;* \(#,##0\);_(&quot;$&quot;* &quot;-&quot;??_);_(@_)"/>
  </numFmts>
  <fonts count="23"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sz val="8"/>
      <color theme="1"/>
      <name val="Calibri"/>
      <family val="2"/>
    </font>
    <font>
      <b/>
      <sz val="12"/>
      <color theme="1"/>
      <name val="Calibri"/>
      <family val="2"/>
    </font>
    <font>
      <sz val="11"/>
      <color theme="9"/>
      <name val="Calibri"/>
      <family val="2"/>
    </font>
    <font>
      <b/>
      <sz val="11"/>
      <color theme="0"/>
      <name val="Calibri"/>
      <family val="2"/>
    </font>
    <font>
      <b/>
      <sz val="11"/>
      <color theme="1"/>
      <name val="Calibri"/>
      <family val="2"/>
      <scheme val="minor"/>
    </font>
    <font>
      <i/>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sz val="9"/>
      <color indexed="81"/>
      <name val="Tahoma"/>
      <family val="2"/>
    </font>
    <font>
      <b/>
      <sz val="9"/>
      <color indexed="81"/>
      <name val="Tahoma"/>
      <family val="2"/>
    </font>
    <font>
      <b/>
      <sz val="24"/>
      <color theme="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499984740745262"/>
        <bgColor indexed="64"/>
      </patternFill>
    </fill>
  </fills>
  <borders count="5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1" fillId="6" borderId="0" applyNumberFormat="0" applyBorder="0" applyAlignment="0" applyProtection="0"/>
    <xf numFmtId="166" fontId="13" fillId="0" borderId="0" applyFont="0" applyFill="0" applyBorder="0" applyAlignment="0" applyProtection="0"/>
  </cellStyleXfs>
  <cellXfs count="530">
    <xf numFmtId="0" fontId="0" fillId="0" borderId="0" xfId="0"/>
    <xf numFmtId="164" fontId="0" fillId="0" borderId="0" xfId="1" applyNumberFormat="1" applyFont="1"/>
    <xf numFmtId="164" fontId="0" fillId="0" borderId="0" xfId="0" applyNumberFormat="1"/>
    <xf numFmtId="0" fontId="0" fillId="0" borderId="1" xfId="0" applyBorder="1"/>
    <xf numFmtId="0" fontId="2" fillId="2" borderId="1" xfId="0" applyFont="1" applyFill="1" applyBorder="1"/>
    <xf numFmtId="164" fontId="0" fillId="0" borderId="1" xfId="1" applyNumberFormat="1" applyFont="1" applyBorder="1"/>
    <xf numFmtId="164" fontId="0" fillId="0" borderId="1" xfId="0" applyNumberFormat="1" applyBorder="1"/>
    <xf numFmtId="165" fontId="0" fillId="0" borderId="1" xfId="1" applyNumberFormat="1" applyFont="1" applyBorder="1"/>
    <xf numFmtId="0" fontId="2" fillId="2" borderId="2" xfId="0" applyFont="1" applyFill="1" applyBorder="1"/>
    <xf numFmtId="0" fontId="2" fillId="2" borderId="3" xfId="0" applyFont="1" applyFill="1" applyBorder="1" applyAlignment="1">
      <alignment wrapText="1"/>
    </xf>
    <xf numFmtId="164" fontId="0" fillId="0" borderId="3" xfId="0" applyNumberFormat="1" applyBorder="1"/>
    <xf numFmtId="0" fontId="0" fillId="0" borderId="3" xfId="0" applyBorder="1"/>
    <xf numFmtId="0" fontId="0" fillId="0" borderId="7" xfId="0" applyBorder="1"/>
    <xf numFmtId="0" fontId="0" fillId="0" borderId="8" xfId="0" applyBorder="1"/>
    <xf numFmtId="0" fontId="0" fillId="0" borderId="9" xfId="0" applyBorder="1" applyAlignment="1">
      <alignment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4" fontId="0" fillId="0" borderId="3" xfId="1" applyNumberFormat="1" applyFont="1" applyBorder="1"/>
    <xf numFmtId="164" fontId="0" fillId="0" borderId="5" xfId="1" applyNumberFormat="1" applyFont="1" applyBorder="1"/>
    <xf numFmtId="164" fontId="0" fillId="0" borderId="6" xfId="1" applyNumberFormat="1" applyFont="1" applyBorder="1"/>
    <xf numFmtId="165" fontId="0" fillId="0" borderId="14" xfId="1" applyNumberFormat="1" applyFont="1" applyBorder="1"/>
    <xf numFmtId="0" fontId="0" fillId="0" borderId="15" xfId="0" applyBorder="1"/>
    <xf numFmtId="0" fontId="2" fillId="2" borderId="8" xfId="0" applyFont="1" applyFill="1" applyBorder="1"/>
    <xf numFmtId="0" fontId="2" fillId="2" borderId="9" xfId="0" applyFont="1" applyFill="1" applyBorder="1"/>
    <xf numFmtId="164" fontId="0" fillId="0" borderId="14" xfId="1" applyNumberFormat="1" applyFont="1" applyBorder="1"/>
    <xf numFmtId="164"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4" fontId="0" fillId="0" borderId="1" xfId="1" applyNumberFormat="1" applyFont="1" applyFill="1" applyBorder="1"/>
    <xf numFmtId="168" fontId="0" fillId="0" borderId="1" xfId="2" applyNumberFormat="1" applyFont="1" applyBorder="1"/>
    <xf numFmtId="0" fontId="2" fillId="3" borderId="1" xfId="0" applyFont="1" applyFill="1" applyBorder="1"/>
    <xf numFmtId="164" fontId="2" fillId="3" borderId="1" xfId="1" applyNumberFormat="1" applyFont="1" applyFill="1" applyBorder="1"/>
    <xf numFmtId="0" fontId="0" fillId="0" borderId="2" xfId="0" applyBorder="1"/>
    <xf numFmtId="0" fontId="2" fillId="2" borderId="3" xfId="0" applyFont="1" applyFill="1" applyBorder="1"/>
    <xf numFmtId="0" fontId="2" fillId="3" borderId="2" xfId="0" applyFont="1" applyFill="1" applyBorder="1"/>
    <xf numFmtId="164" fontId="2" fillId="3" borderId="3" xfId="1" applyNumberFormat="1" applyFont="1" applyFill="1" applyBorder="1"/>
    <xf numFmtId="0" fontId="0" fillId="0" borderId="4" xfId="0" applyBorder="1"/>
    <xf numFmtId="164" fontId="0" fillId="0" borderId="5" xfId="0" applyNumberFormat="1" applyBorder="1"/>
    <xf numFmtId="164" fontId="0" fillId="0" borderId="6" xfId="0" applyNumberFormat="1" applyBorder="1"/>
    <xf numFmtId="164" fontId="0" fillId="0" borderId="8" xfId="1" applyNumberFormat="1" applyFont="1" applyBorder="1"/>
    <xf numFmtId="164" fontId="0" fillId="0" borderId="9" xfId="1" applyNumberFormat="1" applyFont="1" applyBorder="1"/>
    <xf numFmtId="0" fontId="2" fillId="3" borderId="20" xfId="0" applyFont="1" applyFill="1" applyBorder="1" applyAlignment="1">
      <alignment horizontal="center" vertical="center" wrapText="1"/>
    </xf>
    <xf numFmtId="164" fontId="0" fillId="0" borderId="21" xfId="1" applyNumberFormat="1" applyFont="1" applyBorder="1"/>
    <xf numFmtId="164" fontId="0" fillId="0" borderId="22" xfId="1" applyNumberFormat="1" applyFont="1" applyBorder="1"/>
    <xf numFmtId="0" fontId="0" fillId="0" borderId="22" xfId="0" applyBorder="1"/>
    <xf numFmtId="164" fontId="0" fillId="0" borderId="22" xfId="0" applyNumberFormat="1" applyBorder="1"/>
    <xf numFmtId="168" fontId="0" fillId="0" borderId="22" xfId="2" applyNumberFormat="1" applyFont="1" applyBorder="1"/>
    <xf numFmtId="0" fontId="2" fillId="2" borderId="22" xfId="0" applyFont="1" applyFill="1" applyBorder="1"/>
    <xf numFmtId="164" fontId="2" fillId="3" borderId="22" xfId="1" applyNumberFormat="1" applyFont="1" applyFill="1" applyBorder="1"/>
    <xf numFmtId="164" fontId="0" fillId="0" borderId="23" xfId="0" applyNumberFormat="1" applyBorder="1"/>
    <xf numFmtId="0" fontId="2" fillId="3" borderId="10" xfId="0" applyFont="1" applyFill="1" applyBorder="1" applyAlignment="1">
      <alignment horizontal="center" vertical="center" wrapText="1"/>
    </xf>
    <xf numFmtId="164" fontId="0" fillId="0" borderId="7" xfId="1" applyNumberFormat="1" applyFont="1" applyBorder="1"/>
    <xf numFmtId="164" fontId="0" fillId="0" borderId="2" xfId="1" applyNumberFormat="1" applyFont="1" applyBorder="1"/>
    <xf numFmtId="164" fontId="0" fillId="0" borderId="2" xfId="0" applyNumberFormat="1" applyBorder="1"/>
    <xf numFmtId="164" fontId="2" fillId="3" borderId="2" xfId="1" applyNumberFormat="1" applyFont="1" applyFill="1" applyBorder="1"/>
    <xf numFmtId="164" fontId="0" fillId="0" borderId="4" xfId="0" applyNumberFormat="1" applyBorder="1"/>
    <xf numFmtId="0" fontId="0" fillId="0" borderId="13" xfId="0" applyBorder="1"/>
    <xf numFmtId="0" fontId="0" fillId="0" borderId="14" xfId="0" applyBorder="1"/>
    <xf numFmtId="0" fontId="0" fillId="0" borderId="24" xfId="0" applyBorder="1"/>
    <xf numFmtId="164" fontId="0" fillId="0" borderId="13" xfId="1" applyNumberFormat="1" applyFont="1" applyBorder="1"/>
    <xf numFmtId="164" fontId="0" fillId="0" borderId="15" xfId="1" applyNumberFormat="1" applyFont="1" applyBorder="1"/>
    <xf numFmtId="0" fontId="0" fillId="0" borderId="17" xfId="0" applyBorder="1"/>
    <xf numFmtId="164" fontId="0" fillId="0" borderId="18" xfId="0" applyNumberFormat="1" applyBorder="1"/>
    <xf numFmtId="164" fontId="0" fillId="0" borderId="25" xfId="0" applyNumberFormat="1" applyBorder="1"/>
    <xf numFmtId="164" fontId="0" fillId="0" borderId="17" xfId="0" applyNumberFormat="1" applyBorder="1"/>
    <xf numFmtId="164" fontId="0" fillId="0" borderId="19" xfId="0" applyNumberFormat="1" applyBorder="1"/>
    <xf numFmtId="0" fontId="3" fillId="2" borderId="1" xfId="0" applyFont="1" applyFill="1" applyBorder="1"/>
    <xf numFmtId="165" fontId="0" fillId="0" borderId="3" xfId="1" applyNumberFormat="1" applyFont="1" applyBorder="1"/>
    <xf numFmtId="165" fontId="0" fillId="0" borderId="3" xfId="0" applyNumberFormat="1" applyBorder="1"/>
    <xf numFmtId="0" fontId="0" fillId="0" borderId="5" xfId="0" applyBorder="1"/>
    <xf numFmtId="165" fontId="0" fillId="0" borderId="6" xfId="0" applyNumberFormat="1" applyBorder="1"/>
    <xf numFmtId="164" fontId="0" fillId="0" borderId="8" xfId="0" applyNumberFormat="1" applyBorder="1"/>
    <xf numFmtId="165" fontId="0" fillId="0" borderId="9" xfId="1" applyNumberFormat="1" applyFont="1" applyBorder="1"/>
    <xf numFmtId="0" fontId="3" fillId="2" borderId="7" xfId="0" applyFont="1" applyFill="1" applyBorder="1" applyAlignment="1">
      <alignment horizontal="left"/>
    </xf>
    <xf numFmtId="0" fontId="3" fillId="2" borderId="2" xfId="0" applyFont="1" applyFill="1" applyBorder="1"/>
    <xf numFmtId="0" fontId="2" fillId="3" borderId="10" xfId="0" applyFont="1" applyFill="1" applyBorder="1" applyAlignment="1">
      <alignment horizontal="left"/>
    </xf>
    <xf numFmtId="164" fontId="2" fillId="3" borderId="11" xfId="0" applyNumberFormat="1" applyFont="1" applyFill="1" applyBorder="1"/>
    <xf numFmtId="164" fontId="2" fillId="3" borderId="12" xfId="0" applyNumberFormat="1" applyFont="1" applyFill="1" applyBorder="1"/>
    <xf numFmtId="165"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2" xfId="0" applyFont="1" applyFill="1" applyBorder="1"/>
    <xf numFmtId="0" fontId="2" fillId="5" borderId="1" xfId="0" applyFont="1" applyFill="1" applyBorder="1"/>
    <xf numFmtId="164" fontId="2" fillId="5" borderId="1" xfId="1" applyNumberFormat="1" applyFont="1" applyFill="1" applyBorder="1"/>
    <xf numFmtId="164" fontId="2" fillId="5" borderId="22" xfId="1" applyNumberFormat="1" applyFont="1" applyFill="1" applyBorder="1"/>
    <xf numFmtId="164" fontId="2" fillId="5" borderId="2" xfId="1" applyNumberFormat="1" applyFont="1" applyFill="1" applyBorder="1"/>
    <xf numFmtId="164" fontId="2" fillId="5" borderId="3" xfId="1" applyNumberFormat="1" applyFont="1" applyFill="1" applyBorder="1"/>
    <xf numFmtId="164" fontId="0" fillId="0" borderId="0" xfId="1" applyNumberFormat="1" applyFont="1" applyBorder="1"/>
    <xf numFmtId="164" fontId="3" fillId="0" borderId="0" xfId="1" applyNumberFormat="1" applyFont="1" applyBorder="1"/>
    <xf numFmtId="164" fontId="3" fillId="0" borderId="16" xfId="1" applyNumberFormat="1" applyFont="1" applyBorder="1"/>
    <xf numFmtId="164"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4" fontId="7" fillId="0" borderId="1" xfId="1" applyNumberFormat="1" applyFont="1" applyBorder="1"/>
    <xf numFmtId="43" fontId="0" fillId="0" borderId="1" xfId="1" applyNumberFormat="1" applyFont="1" applyBorder="1"/>
    <xf numFmtId="0" fontId="6" fillId="3" borderId="1" xfId="0" applyFont="1" applyFill="1" applyBorder="1" applyAlignment="1">
      <alignment horizontal="center" vertical="center"/>
    </xf>
    <xf numFmtId="164" fontId="6" fillId="3" borderId="1" xfId="1" applyNumberFormat="1" applyFont="1" applyFill="1" applyBorder="1" applyAlignment="1">
      <alignment horizontal="center" vertical="center"/>
    </xf>
    <xf numFmtId="164"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4" fontId="2" fillId="3" borderId="1" xfId="1" applyNumberFormat="1" applyFont="1" applyFill="1" applyBorder="1" applyAlignment="1">
      <alignment horizontal="center" vertical="center"/>
    </xf>
    <xf numFmtId="10" fontId="0" fillId="0" borderId="1" xfId="0" applyNumberFormat="1" applyBorder="1"/>
    <xf numFmtId="0" fontId="3" fillId="2" borderId="3"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26" xfId="0" applyFont="1" applyFill="1" applyBorder="1"/>
    <xf numFmtId="0" fontId="0" fillId="2" borderId="27" xfId="0" applyFill="1" applyBorder="1"/>
    <xf numFmtId="0" fontId="0" fillId="2" borderId="28" xfId="0" applyFill="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4" fontId="0" fillId="0" borderId="3" xfId="1" applyNumberFormat="1" applyFont="1" applyFill="1" applyBorder="1"/>
    <xf numFmtId="0" fontId="0" fillId="0" borderId="0" xfId="0" applyFill="1"/>
    <xf numFmtId="0" fontId="0" fillId="0" borderId="4" xfId="0" applyFill="1" applyBorder="1" applyAlignment="1">
      <alignment horizontal="left"/>
    </xf>
    <xf numFmtId="164" fontId="0" fillId="0" borderId="5" xfId="1" applyNumberFormat="1" applyFont="1" applyFill="1" applyBorder="1"/>
    <xf numFmtId="164" fontId="0" fillId="0" borderId="6" xfId="1" applyNumberFormat="1" applyFont="1" applyFill="1" applyBorder="1"/>
    <xf numFmtId="0" fontId="0" fillId="0" borderId="2" xfId="0" applyBorder="1" applyAlignment="1">
      <alignment horizontal="left" vertical="center"/>
    </xf>
    <xf numFmtId="167" fontId="0" fillId="0" borderId="3" xfId="0" applyNumberFormat="1" applyBorder="1"/>
    <xf numFmtId="0" fontId="0" fillId="0" borderId="2" xfId="0" applyBorder="1" applyAlignment="1">
      <alignment vertical="center"/>
    </xf>
    <xf numFmtId="0" fontId="0" fillId="0" borderId="4" xfId="0" applyFill="1" applyBorder="1" applyAlignment="1">
      <alignment vertical="center"/>
    </xf>
    <xf numFmtId="164" fontId="0" fillId="0" borderId="5" xfId="0" applyNumberFormat="1" applyFill="1" applyBorder="1" applyAlignment="1">
      <alignment vertical="center"/>
    </xf>
    <xf numFmtId="164" fontId="0" fillId="0" borderId="6" xfId="0" applyNumberFormat="1" applyFill="1" applyBorder="1" applyAlignment="1">
      <alignment vertical="center"/>
    </xf>
    <xf numFmtId="0" fontId="0" fillId="0" borderId="29" xfId="0" applyBorder="1"/>
    <xf numFmtId="0" fontId="0" fillId="0" borderId="30" xfId="0" applyBorder="1"/>
    <xf numFmtId="0" fontId="0" fillId="0" borderId="31" xfId="0" applyBorder="1" applyAlignment="1">
      <alignment wrapText="1"/>
    </xf>
    <xf numFmtId="0" fontId="3" fillId="2" borderId="10" xfId="0" applyFont="1" applyFill="1" applyBorder="1" applyAlignment="1">
      <alignment horizontal="left"/>
    </xf>
    <xf numFmtId="0" fontId="2" fillId="2" borderId="11" xfId="0" applyFont="1" applyFill="1" applyBorder="1"/>
    <xf numFmtId="0" fontId="2" fillId="2" borderId="12" xfId="0" applyFont="1" applyFill="1" applyBorder="1"/>
    <xf numFmtId="0" fontId="0" fillId="0" borderId="17" xfId="0" applyBorder="1" applyAlignment="1">
      <alignment horizontal="left"/>
    </xf>
    <xf numFmtId="164" fontId="0" fillId="0" borderId="18" xfId="1" applyNumberFormat="1" applyFont="1" applyBorder="1"/>
    <xf numFmtId="0" fontId="0" fillId="0" borderId="19" xfId="0" applyBorder="1"/>
    <xf numFmtId="0" fontId="0" fillId="0" borderId="6" xfId="0" applyBorder="1"/>
    <xf numFmtId="10" fontId="0" fillId="0" borderId="18" xfId="1" applyNumberFormat="1" applyFont="1" applyBorder="1"/>
    <xf numFmtId="10" fontId="0" fillId="0" borderId="14" xfId="1" applyNumberFormat="1" applyFont="1" applyBorder="1"/>
    <xf numFmtId="0" fontId="2" fillId="3" borderId="10" xfId="0" applyFont="1" applyFill="1" applyBorder="1"/>
    <xf numFmtId="10" fontId="2" fillId="3" borderId="11" xfId="1" applyNumberFormat="1" applyFont="1" applyFill="1" applyBorder="1"/>
    <xf numFmtId="164"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0" fontId="0" fillId="0" borderId="13" xfId="0" applyBorder="1" applyAlignment="1">
      <alignment vertical="center"/>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0" fillId="0" borderId="5" xfId="1" applyNumberFormat="1" applyFont="1" applyBorder="1" applyAlignment="1">
      <alignment vertical="center"/>
    </xf>
    <xf numFmtId="164" fontId="0" fillId="0" borderId="6" xfId="1" applyNumberFormat="1" applyFont="1" applyBorder="1" applyAlignment="1">
      <alignment vertical="center"/>
    </xf>
    <xf numFmtId="164" fontId="0" fillId="0" borderId="19" xfId="1" applyNumberFormat="1" applyFont="1" applyBorder="1"/>
    <xf numFmtId="0" fontId="0" fillId="0" borderId="17" xfId="0" applyFill="1" applyBorder="1" applyAlignment="1">
      <alignment vertical="center"/>
    </xf>
    <xf numFmtId="164" fontId="0" fillId="0" borderId="18" xfId="0" applyNumberFormat="1" applyFill="1" applyBorder="1" applyAlignment="1">
      <alignment vertical="center"/>
    </xf>
    <xf numFmtId="164" fontId="0" fillId="0" borderId="19" xfId="0" applyNumberFormat="1" applyFill="1" applyBorder="1" applyAlignment="1">
      <alignment vertical="center"/>
    </xf>
    <xf numFmtId="0" fontId="4" fillId="0" borderId="0" xfId="3"/>
    <xf numFmtId="168" fontId="0" fillId="0" borderId="0" xfId="6" applyNumberFormat="1" applyFont="1"/>
    <xf numFmtId="0" fontId="10" fillId="0" borderId="32" xfId="3" applyFont="1" applyFill="1" applyBorder="1" applyAlignment="1">
      <alignment horizontal="centerContinuous"/>
    </xf>
    <xf numFmtId="0" fontId="4" fillId="0" borderId="0" xfId="3" applyFill="1" applyBorder="1" applyAlignment="1"/>
    <xf numFmtId="0" fontId="4" fillId="0" borderId="16" xfId="3" applyFill="1" applyBorder="1" applyAlignment="1"/>
    <xf numFmtId="0" fontId="10" fillId="0" borderId="32" xfId="3" applyFont="1" applyFill="1" applyBorder="1" applyAlignment="1">
      <alignment horizontal="center"/>
    </xf>
    <xf numFmtId="169" fontId="4" fillId="0" borderId="0" xfId="3" applyNumberFormat="1" applyFill="1" applyBorder="1" applyAlignment="1"/>
    <xf numFmtId="168" fontId="4" fillId="0" borderId="0" xfId="3" applyNumberFormat="1"/>
    <xf numFmtId="169" fontId="4" fillId="0" borderId="16" xfId="3" applyNumberFormat="1" applyFill="1" applyBorder="1" applyAlignment="1"/>
    <xf numFmtId="0" fontId="4" fillId="0" borderId="0" xfId="3" applyAlignment="1">
      <alignment horizontal="center" vertical="center" wrapText="1"/>
    </xf>
    <xf numFmtId="0" fontId="12" fillId="0" borderId="0" xfId="3" applyFont="1" applyBorder="1"/>
    <xf numFmtId="0" fontId="12" fillId="0" borderId="16" xfId="3" applyFont="1" applyBorder="1"/>
    <xf numFmtId="0" fontId="12" fillId="2" borderId="26" xfId="3" applyFont="1" applyFill="1" applyBorder="1"/>
    <xf numFmtId="0" fontId="12" fillId="2" borderId="27" xfId="3" applyFont="1" applyFill="1" applyBorder="1"/>
    <xf numFmtId="0" fontId="12" fillId="2" borderId="28" xfId="3" applyFont="1" applyFill="1" applyBorder="1"/>
    <xf numFmtId="0" fontId="9" fillId="3" borderId="10" xfId="3" applyFont="1" applyFill="1" applyBorder="1" applyAlignment="1">
      <alignment horizontal="center" vertical="center"/>
    </xf>
    <xf numFmtId="0" fontId="9" fillId="3" borderId="11" xfId="3" applyFont="1" applyFill="1" applyBorder="1" applyAlignment="1">
      <alignment horizontal="center" vertical="center"/>
    </xf>
    <xf numFmtId="0" fontId="9" fillId="3" borderId="12" xfId="3" applyFont="1" applyFill="1" applyBorder="1" applyAlignment="1">
      <alignment horizontal="center" vertical="center"/>
    </xf>
    <xf numFmtId="0" fontId="9" fillId="3" borderId="33" xfId="3" applyFont="1" applyFill="1" applyBorder="1" applyAlignment="1">
      <alignment horizontal="center" vertical="center"/>
    </xf>
    <xf numFmtId="0" fontId="4" fillId="0" borderId="7" xfId="3" applyBorder="1" applyAlignment="1">
      <alignment horizontal="left"/>
    </xf>
    <xf numFmtId="170" fontId="0" fillId="0" borderId="8" xfId="9" applyNumberFormat="1" applyFont="1" applyBorder="1"/>
    <xf numFmtId="170" fontId="0" fillId="0" borderId="9" xfId="9" applyNumberFormat="1" applyFont="1" applyBorder="1"/>
    <xf numFmtId="0" fontId="4" fillId="0" borderId="34" xfId="3" applyBorder="1"/>
    <xf numFmtId="170" fontId="0" fillId="0" borderId="0" xfId="9" applyNumberFormat="1" applyFont="1"/>
    <xf numFmtId="0" fontId="4" fillId="0" borderId="2" xfId="3" applyBorder="1" applyAlignment="1">
      <alignment horizontal="left"/>
    </xf>
    <xf numFmtId="170" fontId="0" fillId="0" borderId="1" xfId="9" applyNumberFormat="1" applyFont="1" applyBorder="1"/>
    <xf numFmtId="170" fontId="0" fillId="0" borderId="3" xfId="9" applyNumberFormat="1" applyFont="1" applyBorder="1"/>
    <xf numFmtId="0" fontId="4" fillId="0" borderId="35" xfId="3" applyBorder="1"/>
    <xf numFmtId="0" fontId="4" fillId="0" borderId="13" xfId="3" applyBorder="1" applyAlignment="1">
      <alignment horizontal="left"/>
    </xf>
    <xf numFmtId="170" fontId="0" fillId="0" borderId="14" xfId="9" applyNumberFormat="1" applyFont="1" applyBorder="1"/>
    <xf numFmtId="170" fontId="0" fillId="0" borderId="15" xfId="9" applyNumberFormat="1" applyFont="1" applyBorder="1"/>
    <xf numFmtId="0" fontId="4" fillId="0" borderId="36" xfId="3" applyBorder="1"/>
    <xf numFmtId="0" fontId="9" fillId="0" borderId="26" xfId="3" applyFont="1" applyBorder="1"/>
    <xf numFmtId="10" fontId="9" fillId="0" borderId="27" xfId="6" applyNumberFormat="1" applyFont="1" applyBorder="1"/>
    <xf numFmtId="10" fontId="9" fillId="0" borderId="28" xfId="6" applyNumberFormat="1" applyFont="1" applyBorder="1"/>
    <xf numFmtId="10" fontId="4" fillId="0" borderId="36" xfId="3" applyNumberFormat="1" applyBorder="1"/>
    <xf numFmtId="0" fontId="9" fillId="5" borderId="10" xfId="3" applyFont="1" applyFill="1" applyBorder="1"/>
    <xf numFmtId="170" fontId="9" fillId="5" borderId="11" xfId="9" applyNumberFormat="1" applyFont="1" applyFill="1" applyBorder="1"/>
    <xf numFmtId="170" fontId="9" fillId="5" borderId="12" xfId="9" applyNumberFormat="1" applyFont="1" applyFill="1" applyBorder="1"/>
    <xf numFmtId="170" fontId="4" fillId="0" borderId="0" xfId="3" applyNumberFormat="1"/>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wrapText="1"/>
    </xf>
    <xf numFmtId="0" fontId="2" fillId="3" borderId="12" xfId="3" applyFont="1" applyFill="1" applyBorder="1" applyAlignment="1">
      <alignment horizontal="center" vertical="center" wrapText="1"/>
    </xf>
    <xf numFmtId="3" fontId="4" fillId="0" borderId="1" xfId="3" applyNumberFormat="1" applyBorder="1"/>
    <xf numFmtId="0" fontId="4" fillId="0" borderId="1" xfId="3" applyBorder="1"/>
    <xf numFmtId="3" fontId="4" fillId="0" borderId="3" xfId="3" applyNumberFormat="1" applyBorder="1"/>
    <xf numFmtId="0" fontId="4" fillId="0" borderId="13" xfId="3" applyBorder="1" applyAlignment="1">
      <alignment horizontal="left" wrapText="1"/>
    </xf>
    <xf numFmtId="3" fontId="4" fillId="0" borderId="14" xfId="3" applyNumberFormat="1" applyBorder="1"/>
    <xf numFmtId="0" fontId="4" fillId="0" borderId="14" xfId="3" applyBorder="1"/>
    <xf numFmtId="3" fontId="4" fillId="0" borderId="15" xfId="3" applyNumberFormat="1" applyBorder="1"/>
    <xf numFmtId="0" fontId="9" fillId="3" borderId="17" xfId="3" applyFont="1" applyFill="1" applyBorder="1"/>
    <xf numFmtId="170" fontId="9" fillId="3" borderId="18" xfId="9" applyNumberFormat="1" applyFont="1" applyFill="1" applyBorder="1"/>
    <xf numFmtId="170" fontId="9" fillId="3" borderId="19" xfId="9" applyNumberFormat="1" applyFont="1" applyFill="1" applyBorder="1"/>
    <xf numFmtId="0" fontId="4" fillId="0" borderId="13" xfId="3" applyBorder="1"/>
    <xf numFmtId="167" fontId="0" fillId="0" borderId="14" xfId="6" applyNumberFormat="1" applyFont="1" applyBorder="1"/>
    <xf numFmtId="170" fontId="4" fillId="0" borderId="15" xfId="3" applyNumberFormat="1" applyBorder="1"/>
    <xf numFmtId="0" fontId="9" fillId="5" borderId="11" xfId="3" applyFont="1" applyFill="1" applyBorder="1"/>
    <xf numFmtId="170" fontId="9" fillId="5" borderId="12" xfId="3" applyNumberFormat="1" applyFont="1" applyFill="1" applyBorder="1"/>
    <xf numFmtId="10" fontId="0" fillId="0" borderId="14" xfId="6" applyNumberFormat="1" applyFont="1" applyBorder="1"/>
    <xf numFmtId="0" fontId="4" fillId="0" borderId="15" xfId="3" applyBorder="1"/>
    <xf numFmtId="0" fontId="4" fillId="0" borderId="2" xfId="3" applyBorder="1"/>
    <xf numFmtId="170" fontId="4" fillId="0" borderId="3" xfId="3" applyNumberFormat="1" applyBorder="1"/>
    <xf numFmtId="0" fontId="14" fillId="0" borderId="13" xfId="3" applyFont="1" applyBorder="1"/>
    <xf numFmtId="170" fontId="14" fillId="0" borderId="14" xfId="9" applyNumberFormat="1" applyFont="1" applyBorder="1"/>
    <xf numFmtId="170" fontId="14" fillId="0" borderId="15" xfId="3" applyNumberFormat="1" applyFont="1" applyBorder="1"/>
    <xf numFmtId="0" fontId="9" fillId="5" borderId="29" xfId="3" applyFont="1" applyFill="1" applyBorder="1" applyAlignment="1">
      <alignment horizontal="left" vertical="center"/>
    </xf>
    <xf numFmtId="0" fontId="9" fillId="5" borderId="30" xfId="3" applyFont="1" applyFill="1" applyBorder="1" applyAlignment="1">
      <alignment horizontal="center" vertical="center"/>
    </xf>
    <xf numFmtId="0" fontId="9" fillId="5" borderId="31" xfId="3" applyFont="1" applyFill="1" applyBorder="1" applyAlignment="1">
      <alignment horizontal="center" vertical="center"/>
    </xf>
    <xf numFmtId="0" fontId="9" fillId="5" borderId="38" xfId="3" applyFont="1" applyFill="1" applyBorder="1" applyAlignment="1">
      <alignment horizontal="center" vertical="center"/>
    </xf>
    <xf numFmtId="0" fontId="9" fillId="4" borderId="10" xfId="3" applyFont="1" applyFill="1" applyBorder="1"/>
    <xf numFmtId="170" fontId="9" fillId="4" borderId="11" xfId="9" applyNumberFormat="1" applyFont="1" applyFill="1" applyBorder="1"/>
    <xf numFmtId="170" fontId="9" fillId="4" borderId="12" xfId="9" applyNumberFormat="1" applyFont="1" applyFill="1" applyBorder="1"/>
    <xf numFmtId="170" fontId="9" fillId="4" borderId="33" xfId="9" applyNumberFormat="1" applyFont="1" applyFill="1" applyBorder="1"/>
    <xf numFmtId="0" fontId="4" fillId="5" borderId="37" xfId="3" applyFill="1" applyBorder="1"/>
    <xf numFmtId="0" fontId="4" fillId="2" borderId="40" xfId="3" applyFill="1" applyBorder="1"/>
    <xf numFmtId="170" fontId="0" fillId="2" borderId="40" xfId="9" applyNumberFormat="1" applyFont="1" applyFill="1" applyBorder="1"/>
    <xf numFmtId="0" fontId="4" fillId="2" borderId="33" xfId="3" applyFill="1" applyBorder="1"/>
    <xf numFmtId="0" fontId="12" fillId="2" borderId="39" xfId="3" applyFont="1" applyFill="1" applyBorder="1"/>
    <xf numFmtId="0" fontId="9" fillId="4" borderId="17" xfId="3" applyFont="1" applyFill="1" applyBorder="1"/>
    <xf numFmtId="0" fontId="9" fillId="4" borderId="18" xfId="3" applyFont="1" applyFill="1" applyBorder="1"/>
    <xf numFmtId="170" fontId="9" fillId="4" borderId="18" xfId="9" applyNumberFormat="1" applyFont="1" applyFill="1" applyBorder="1"/>
    <xf numFmtId="0" fontId="9" fillId="4" borderId="19" xfId="3" applyFont="1" applyFill="1" applyBorder="1"/>
    <xf numFmtId="0" fontId="9" fillId="4" borderId="7" xfId="3" applyFont="1" applyFill="1" applyBorder="1"/>
    <xf numFmtId="0" fontId="9" fillId="4" borderId="8" xfId="3" applyFont="1" applyFill="1" applyBorder="1"/>
    <xf numFmtId="170" fontId="9" fillId="4" borderId="8" xfId="9" applyNumberFormat="1" applyFont="1" applyFill="1" applyBorder="1"/>
    <xf numFmtId="0" fontId="9" fillId="4" borderId="9" xfId="3" applyFont="1" applyFill="1" applyBorder="1"/>
    <xf numFmtId="0" fontId="4" fillId="0" borderId="0" xfId="3" applyFont="1"/>
    <xf numFmtId="171" fontId="0" fillId="0" borderId="1" xfId="0" applyNumberFormat="1" applyBorder="1"/>
    <xf numFmtId="172" fontId="0" fillId="0" borderId="3" xfId="0" applyNumberFormat="1" applyBorder="1"/>
    <xf numFmtId="171" fontId="0" fillId="0" borderId="14" xfId="0" applyNumberFormat="1" applyBorder="1"/>
    <xf numFmtId="0" fontId="2" fillId="0" borderId="11" xfId="0" applyFont="1" applyBorder="1"/>
    <xf numFmtId="164"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4" fontId="2" fillId="3" borderId="11" xfId="1" applyNumberFormat="1" applyFont="1" applyFill="1" applyBorder="1"/>
    <xf numFmtId="164"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6" fillId="2" borderId="18" xfId="0" applyFont="1" applyFill="1" applyBorder="1"/>
    <xf numFmtId="0" fontId="0" fillId="2" borderId="18" xfId="0" applyFill="1" applyBorder="1"/>
    <xf numFmtId="0" fontId="0" fillId="2" borderId="19" xfId="0" applyFill="1" applyBorder="1"/>
    <xf numFmtId="0" fontId="0" fillId="0" borderId="13" xfId="0" applyBorder="1" applyAlignment="1">
      <alignment horizontal="center"/>
    </xf>
    <xf numFmtId="172" fontId="0" fillId="0" borderId="15" xfId="0" applyNumberFormat="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4"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8" fillId="2" borderId="25" xfId="0" applyFont="1" applyFill="1" applyBorder="1"/>
    <xf numFmtId="0" fontId="2" fillId="3" borderId="20" xfId="0" applyFont="1" applyFill="1" applyBorder="1"/>
    <xf numFmtId="164" fontId="2" fillId="3" borderId="4" xfId="1" applyNumberFormat="1" applyFont="1" applyFill="1" applyBorder="1" applyAlignment="1">
      <alignment horizontal="center" vertical="center" wrapText="1"/>
    </xf>
    <xf numFmtId="164" fontId="0" fillId="2" borderId="17" xfId="1" applyNumberFormat="1" applyFont="1" applyFill="1" applyBorder="1"/>
    <xf numFmtId="164"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6" fillId="7" borderId="10" xfId="0" applyFont="1" applyFill="1" applyBorder="1" applyAlignment="1">
      <alignment horizontal="center"/>
    </xf>
    <xf numFmtId="0" fontId="6" fillId="7" borderId="11" xfId="0" applyFont="1" applyFill="1" applyBorder="1"/>
    <xf numFmtId="164" fontId="6" fillId="7" borderId="11" xfId="1" applyNumberFormat="1" applyFont="1" applyFill="1" applyBorder="1"/>
    <xf numFmtId="172" fontId="6" fillId="7" borderId="11" xfId="0" applyNumberFormat="1" applyFont="1" applyFill="1" applyBorder="1"/>
    <xf numFmtId="172" fontId="6" fillId="7" borderId="12"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3" xfId="0" applyNumberFormat="1" applyBorder="1"/>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5" fontId="0" fillId="0" borderId="8" xfId="1" applyNumberFormat="1" applyFont="1" applyBorder="1"/>
    <xf numFmtId="165" fontId="0" fillId="0" borderId="5" xfId="1" applyNumberFormat="1" applyFont="1" applyBorder="1"/>
    <xf numFmtId="165" fontId="0" fillId="0" borderId="6" xfId="1" applyNumberFormat="1" applyFont="1" applyBorder="1"/>
    <xf numFmtId="164"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17"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8" fillId="0" borderId="17" xfId="0" applyFont="1" applyBorder="1" applyAlignment="1">
      <alignment vertical="center"/>
    </xf>
    <xf numFmtId="0" fontId="18" fillId="0" borderId="2" xfId="0" applyFont="1" applyBorder="1" applyAlignment="1">
      <alignment vertical="center"/>
    </xf>
    <xf numFmtId="0" fontId="0" fillId="0" borderId="2" xfId="0" applyFill="1" applyBorder="1" applyAlignment="1">
      <alignment horizontal="left" vertical="center"/>
    </xf>
    <xf numFmtId="164" fontId="0" fillId="0" borderId="3" xfId="0" applyNumberFormat="1" applyFill="1" applyBorder="1" applyAlignment="1">
      <alignment vertical="center"/>
    </xf>
    <xf numFmtId="0" fontId="0" fillId="0" borderId="4" xfId="0" applyFill="1" applyBorder="1" applyAlignment="1">
      <alignment horizontal="left" vertical="center"/>
    </xf>
    <xf numFmtId="0" fontId="3" fillId="2" borderId="17" xfId="0" applyFont="1" applyFill="1" applyBorder="1"/>
    <xf numFmtId="0" fontId="2" fillId="2" borderId="18" xfId="0" applyFont="1" applyFill="1" applyBorder="1"/>
    <xf numFmtId="0" fontId="2" fillId="2" borderId="19" xfId="0" applyFont="1" applyFill="1" applyBorder="1" applyAlignment="1">
      <alignment wrapText="1"/>
    </xf>
    <xf numFmtId="0" fontId="3" fillId="2" borderId="29" xfId="0" applyFont="1" applyFill="1" applyBorder="1" applyAlignment="1">
      <alignment horizontal="left"/>
    </xf>
    <xf numFmtId="0" fontId="2" fillId="2" borderId="30" xfId="0" applyFont="1" applyFill="1" applyBorder="1"/>
    <xf numFmtId="43" fontId="2" fillId="2" borderId="30" xfId="0" applyNumberFormat="1" applyFont="1" applyFill="1" applyBorder="1"/>
    <xf numFmtId="0" fontId="2" fillId="2" borderId="31" xfId="0" applyFont="1" applyFill="1" applyBorder="1"/>
    <xf numFmtId="168" fontId="0" fillId="0" borderId="18" xfId="2" applyNumberFormat="1" applyFont="1" applyBorder="1"/>
    <xf numFmtId="168" fontId="0" fillId="0" borderId="5" xfId="2" applyNumberFormat="1" applyFont="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9" xfId="0" applyFont="1" applyBorder="1" applyAlignment="1">
      <alignment horizontal="center"/>
    </xf>
    <xf numFmtId="0" fontId="2" fillId="0" borderId="30" xfId="0" applyFont="1" applyBorder="1"/>
    <xf numFmtId="164" fontId="2" fillId="0" borderId="30" xfId="1" applyNumberFormat="1" applyFont="1" applyBorder="1"/>
    <xf numFmtId="164" fontId="2" fillId="0" borderId="31" xfId="1" applyNumberFormat="1" applyFont="1" applyBorder="1"/>
    <xf numFmtId="0" fontId="2" fillId="0" borderId="20" xfId="0" applyFont="1" applyBorder="1"/>
    <xf numFmtId="0" fontId="2" fillId="3" borderId="41" xfId="0" applyFont="1" applyFill="1" applyBorder="1" applyAlignment="1">
      <alignment horizontal="center" vertical="center"/>
    </xf>
    <xf numFmtId="164" fontId="0" fillId="0" borderId="46" xfId="1" applyNumberFormat="1" applyFont="1" applyBorder="1"/>
    <xf numFmtId="164" fontId="0" fillId="0" borderId="47" xfId="1" applyNumberFormat="1" applyFont="1" applyBorder="1"/>
    <xf numFmtId="164" fontId="2" fillId="0" borderId="48" xfId="1" applyNumberFormat="1" applyFont="1" applyBorder="1"/>
    <xf numFmtId="0" fontId="2" fillId="3" borderId="4" xfId="0" applyFont="1" applyFill="1" applyBorder="1" applyAlignment="1">
      <alignment horizontal="center" vertical="center"/>
    </xf>
    <xf numFmtId="164" fontId="2" fillId="0" borderId="10" xfId="1" applyNumberFormat="1" applyFont="1" applyBorder="1"/>
    <xf numFmtId="0" fontId="3" fillId="2" borderId="17" xfId="0" applyFont="1" applyFill="1" applyBorder="1" applyAlignment="1">
      <alignment horizontal="left"/>
    </xf>
    <xf numFmtId="0" fontId="2" fillId="2" borderId="19" xfId="0" applyFont="1" applyFill="1" applyBorder="1"/>
    <xf numFmtId="164" fontId="4" fillId="0" borderId="0" xfId="1" applyNumberFormat="1" applyFont="1"/>
    <xf numFmtId="43" fontId="4" fillId="0" borderId="0" xfId="1" applyNumberFormat="1" applyFont="1"/>
    <xf numFmtId="164" fontId="4" fillId="0" borderId="16" xfId="1" applyNumberFormat="1" applyFont="1" applyBorder="1"/>
    <xf numFmtId="0" fontId="4" fillId="0" borderId="16" xfId="3" applyBorder="1"/>
    <xf numFmtId="43" fontId="4" fillId="0" borderId="16" xfId="1" applyNumberFormat="1" applyFont="1" applyBorder="1"/>
    <xf numFmtId="168" fontId="0" fillId="0" borderId="16" xfId="6" applyNumberFormat="1" applyFont="1" applyBorder="1"/>
    <xf numFmtId="164" fontId="4" fillId="0" borderId="0" xfId="1" applyNumberFormat="1" applyFont="1" applyFill="1" applyBorder="1" applyAlignment="1"/>
    <xf numFmtId="164" fontId="4" fillId="0" borderId="16" xfId="1" applyNumberFormat="1" applyFont="1" applyFill="1" applyBorder="1" applyAlignment="1"/>
    <xf numFmtId="164" fontId="4" fillId="0" borderId="1" xfId="1" applyNumberFormat="1" applyFont="1" applyBorder="1"/>
    <xf numFmtId="43" fontId="4" fillId="0" borderId="1" xfId="1" applyNumberFormat="1" applyFont="1" applyBorder="1"/>
    <xf numFmtId="168" fontId="0" fillId="0" borderId="1" xfId="6" applyNumberFormat="1" applyFont="1" applyBorder="1"/>
    <xf numFmtId="168" fontId="0" fillId="0" borderId="3" xfId="6" applyNumberFormat="1" applyFont="1" applyBorder="1"/>
    <xf numFmtId="0" fontId="4" fillId="0" borderId="4" xfId="3" applyBorder="1"/>
    <xf numFmtId="164" fontId="4" fillId="0" borderId="5" xfId="1" applyNumberFormat="1" applyFont="1" applyBorder="1"/>
    <xf numFmtId="0" fontId="4" fillId="0" borderId="5" xfId="3" applyBorder="1"/>
    <xf numFmtId="43" fontId="4" fillId="0" borderId="5" xfId="1" applyNumberFormat="1" applyFont="1" applyBorder="1"/>
    <xf numFmtId="168" fontId="0" fillId="0" borderId="5" xfId="6" applyNumberFormat="1" applyFont="1" applyBorder="1"/>
    <xf numFmtId="168" fontId="0" fillId="0" borderId="6" xfId="6" applyNumberFormat="1" applyFont="1" applyBorder="1"/>
    <xf numFmtId="0" fontId="4" fillId="0" borderId="7" xfId="3" applyBorder="1"/>
    <xf numFmtId="164" fontId="4" fillId="0" borderId="8" xfId="1" applyNumberFormat="1" applyFont="1" applyBorder="1"/>
    <xf numFmtId="0" fontId="4" fillId="0" borderId="8" xfId="3" applyBorder="1"/>
    <xf numFmtId="43" fontId="4" fillId="0" borderId="8" xfId="1" applyNumberFormat="1" applyFont="1" applyBorder="1"/>
    <xf numFmtId="168" fontId="0" fillId="0" borderId="8" xfId="6" applyNumberFormat="1" applyFont="1" applyBorder="1"/>
    <xf numFmtId="168" fontId="0" fillId="0" borderId="9" xfId="6" applyNumberFormat="1" applyFont="1" applyBorder="1"/>
    <xf numFmtId="0" fontId="9" fillId="3" borderId="10" xfId="3" applyFont="1" applyFill="1" applyBorder="1" applyAlignment="1">
      <alignment horizontal="center" vertical="center" wrapText="1"/>
    </xf>
    <xf numFmtId="164" fontId="9" fillId="3" borderId="11" xfId="1" applyNumberFormat="1" applyFont="1" applyFill="1" applyBorder="1" applyAlignment="1">
      <alignment horizontal="center" vertical="center" wrapText="1"/>
    </xf>
    <xf numFmtId="0" fontId="9" fillId="3" borderId="11" xfId="3" applyFont="1" applyFill="1" applyBorder="1" applyAlignment="1">
      <alignment horizontal="center" vertical="center" wrapText="1"/>
    </xf>
    <xf numFmtId="43" fontId="9" fillId="3" borderId="11" xfId="1" applyNumberFormat="1" applyFont="1" applyFill="1" applyBorder="1" applyAlignment="1">
      <alignment horizontal="center" vertical="center" wrapText="1"/>
    </xf>
    <xf numFmtId="168" fontId="2" fillId="3" borderId="11" xfId="6" applyNumberFormat="1" applyFont="1" applyFill="1" applyBorder="1" applyAlignment="1">
      <alignment horizontal="center" vertical="center" wrapText="1"/>
    </xf>
    <xf numFmtId="168" fontId="2" fillId="3" borderId="12" xfId="6" applyNumberFormat="1" applyFont="1" applyFill="1" applyBorder="1" applyAlignment="1">
      <alignment horizontal="center" vertical="center" wrapText="1"/>
    </xf>
    <xf numFmtId="10" fontId="4" fillId="0" borderId="0" xfId="2" applyNumberFormat="1" applyFont="1" applyFill="1" applyBorder="1" applyAlignment="1"/>
    <xf numFmtId="0" fontId="15" fillId="3" borderId="10" xfId="3" applyFont="1" applyFill="1" applyBorder="1"/>
    <xf numFmtId="170" fontId="15" fillId="3" borderId="11" xfId="9" applyNumberFormat="1" applyFont="1" applyFill="1" applyBorder="1"/>
    <xf numFmtId="170" fontId="15" fillId="3" borderId="12" xfId="3" applyNumberFormat="1" applyFont="1" applyFill="1" applyBorder="1"/>
    <xf numFmtId="0" fontId="9" fillId="2" borderId="17" xfId="3" applyFont="1" applyFill="1" applyBorder="1"/>
    <xf numFmtId="0" fontId="9" fillId="2" borderId="18" xfId="3" applyFont="1" applyFill="1" applyBorder="1"/>
    <xf numFmtId="170" fontId="9" fillId="2" borderId="18" xfId="9" applyNumberFormat="1" applyFont="1" applyFill="1" applyBorder="1"/>
    <xf numFmtId="0" fontId="9" fillId="2" borderId="19" xfId="3" applyFont="1" applyFill="1" applyBorder="1"/>
    <xf numFmtId="164" fontId="0" fillId="8" borderId="3" xfId="1" applyNumberFormat="1" applyFont="1" applyFill="1" applyBorder="1"/>
    <xf numFmtId="164" fontId="0" fillId="8" borderId="1" xfId="1" applyNumberFormat="1" applyFont="1" applyFill="1" applyBorder="1"/>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9" fillId="3" borderId="10" xfId="0" applyFont="1" applyFill="1" applyBorder="1" applyAlignment="1">
      <alignment horizontal="left"/>
    </xf>
    <xf numFmtId="0" fontId="0" fillId="0" borderId="1" xfId="0" applyBorder="1" applyAlignment="1">
      <alignment horizontal="center"/>
    </xf>
    <xf numFmtId="164" fontId="0" fillId="9" borderId="1" xfId="1" applyNumberFormat="1" applyFont="1" applyFill="1" applyBorder="1"/>
    <xf numFmtId="0" fontId="3" fillId="0" borderId="0" xfId="0" applyFont="1" applyAlignment="1">
      <alignment horizontal="left"/>
    </xf>
    <xf numFmtId="173" fontId="0" fillId="0" borderId="0" xfId="0" applyNumberFormat="1"/>
    <xf numFmtId="0" fontId="0" fillId="0" borderId="8" xfId="0" applyBorder="1" applyAlignment="1">
      <alignment horizontal="center"/>
    </xf>
    <xf numFmtId="173" fontId="0" fillId="0" borderId="1" xfId="0" applyNumberFormat="1" applyBorder="1"/>
    <xf numFmtId="173" fontId="0" fillId="0" borderId="3" xfId="0" applyNumberFormat="1" applyBorder="1"/>
    <xf numFmtId="0" fontId="2" fillId="2" borderId="7" xfId="0" applyFont="1" applyFill="1" applyBorder="1" applyAlignment="1">
      <alignment horizontal="center"/>
    </xf>
    <xf numFmtId="0" fontId="2" fillId="2" borderId="17" xfId="0" applyFont="1" applyFill="1" applyBorder="1" applyAlignment="1">
      <alignment horizontal="center"/>
    </xf>
    <xf numFmtId="173" fontId="0" fillId="0" borderId="14" xfId="0" applyNumberFormat="1" applyBorder="1"/>
    <xf numFmtId="173" fontId="0" fillId="0" borderId="15" xfId="0" applyNumberFormat="1" applyBorder="1"/>
    <xf numFmtId="0" fontId="9" fillId="3" borderId="11" xfId="3" applyFont="1" applyFill="1" applyBorder="1"/>
    <xf numFmtId="173" fontId="2" fillId="3" borderId="11" xfId="0" applyNumberFormat="1" applyFont="1" applyFill="1" applyBorder="1"/>
    <xf numFmtId="173" fontId="2" fillId="3" borderId="12" xfId="0" applyNumberFormat="1" applyFont="1" applyFill="1" applyBorder="1"/>
    <xf numFmtId="0" fontId="2" fillId="4" borderId="42" xfId="0" applyFont="1" applyFill="1" applyBorder="1" applyAlignment="1">
      <alignment horizontal="center" vertical="center"/>
    </xf>
    <xf numFmtId="0" fontId="2" fillId="4" borderId="43" xfId="0" applyFont="1" applyFill="1" applyBorder="1" applyAlignment="1">
      <alignment vertical="center"/>
    </xf>
    <xf numFmtId="164" fontId="2" fillId="4" borderId="43" xfId="1" applyNumberFormat="1" applyFont="1" applyFill="1" applyBorder="1" applyAlignment="1">
      <alignment vertical="center"/>
    </xf>
    <xf numFmtId="173" fontId="2" fillId="4" borderId="43" xfId="0" applyNumberFormat="1" applyFont="1" applyFill="1" applyBorder="1" applyAlignment="1">
      <alignment vertical="center"/>
    </xf>
    <xf numFmtId="173" fontId="2" fillId="4" borderId="51" xfId="0" applyNumberFormat="1" applyFont="1" applyFill="1" applyBorder="1" applyAlignment="1">
      <alignment vertical="center"/>
    </xf>
    <xf numFmtId="164" fontId="2" fillId="2" borderId="18" xfId="1" applyNumberFormat="1" applyFont="1" applyFill="1" applyBorder="1"/>
    <xf numFmtId="0" fontId="2" fillId="2" borderId="25" xfId="0" applyFont="1" applyFill="1" applyBorder="1"/>
    <xf numFmtId="0" fontId="4" fillId="0" borderId="22" xfId="3" applyBorder="1"/>
    <xf numFmtId="0" fontId="4" fillId="0" borderId="24" xfId="3" applyBorder="1"/>
    <xf numFmtId="0" fontId="9" fillId="3" borderId="20" xfId="3" applyFont="1" applyFill="1" applyBorder="1"/>
    <xf numFmtId="0" fontId="9" fillId="2" borderId="25" xfId="3" applyFont="1" applyFill="1" applyBorder="1"/>
    <xf numFmtId="0" fontId="0" fillId="0" borderId="22" xfId="0" applyFill="1" applyBorder="1"/>
    <xf numFmtId="0" fontId="0" fillId="0" borderId="24" xfId="0" applyFill="1" applyBorder="1"/>
    <xf numFmtId="0" fontId="2" fillId="4" borderId="53" xfId="0" applyFont="1" applyFill="1" applyBorder="1" applyAlignment="1">
      <alignment vertical="center"/>
    </xf>
    <xf numFmtId="0" fontId="2" fillId="2" borderId="50" xfId="0" applyFont="1" applyFill="1" applyBorder="1"/>
    <xf numFmtId="173" fontId="0" fillId="0" borderId="46" xfId="0" applyNumberFormat="1" applyBorder="1"/>
    <xf numFmtId="173" fontId="0" fillId="0" borderId="47" xfId="0" applyNumberFormat="1" applyBorder="1"/>
    <xf numFmtId="0" fontId="2" fillId="3" borderId="6" xfId="0" applyFont="1" applyFill="1" applyBorder="1" applyAlignment="1">
      <alignment horizontal="center" vertical="center" wrapText="1"/>
    </xf>
    <xf numFmtId="0" fontId="2" fillId="2" borderId="17" xfId="0" applyFont="1" applyFill="1" applyBorder="1"/>
    <xf numFmtId="164" fontId="2" fillId="2" borderId="17" xfId="1" applyNumberFormat="1" applyFont="1" applyFill="1" applyBorder="1"/>
    <xf numFmtId="164" fontId="2" fillId="2" borderId="19" xfId="1" applyNumberFormat="1" applyFont="1" applyFill="1" applyBorder="1"/>
    <xf numFmtId="43" fontId="0" fillId="0" borderId="2" xfId="1" applyNumberFormat="1" applyFont="1" applyBorder="1"/>
    <xf numFmtId="164" fontId="2" fillId="4" borderId="42" xfId="1" applyNumberFormat="1" applyFont="1" applyFill="1" applyBorder="1" applyAlignment="1">
      <alignment vertical="center"/>
    </xf>
    <xf numFmtId="164" fontId="2" fillId="4" borderId="51" xfId="1" applyNumberFormat="1" applyFont="1" applyFill="1" applyBorder="1" applyAlignment="1">
      <alignment vertical="center"/>
    </xf>
    <xf numFmtId="173" fontId="2" fillId="3" borderId="48" xfId="0" applyNumberFormat="1" applyFont="1" applyFill="1" applyBorder="1"/>
    <xf numFmtId="173" fontId="2" fillId="4" borderId="54" xfId="0" applyNumberFormat="1" applyFont="1" applyFill="1" applyBorder="1" applyAlignment="1">
      <alignment vertical="center"/>
    </xf>
    <xf numFmtId="173" fontId="0" fillId="0" borderId="2" xfId="0" applyNumberFormat="1" applyBorder="1"/>
    <xf numFmtId="173" fontId="0" fillId="0" borderId="13" xfId="0" applyNumberFormat="1" applyBorder="1"/>
    <xf numFmtId="171" fontId="0" fillId="0" borderId="2" xfId="0" applyNumberFormat="1" applyBorder="1"/>
    <xf numFmtId="171" fontId="0" fillId="0" borderId="13" xfId="0" applyNumberFormat="1" applyBorder="1"/>
    <xf numFmtId="0" fontId="2" fillId="4" borderId="42" xfId="0" applyFont="1" applyFill="1" applyBorder="1" applyAlignment="1">
      <alignment vertical="center"/>
    </xf>
    <xf numFmtId="0" fontId="2" fillId="4" borderId="51" xfId="0" applyFont="1" applyFill="1" applyBorder="1" applyAlignment="1">
      <alignment vertical="center"/>
    </xf>
    <xf numFmtId="167" fontId="0" fillId="0" borderId="3" xfId="2" applyNumberFormat="1" applyFont="1" applyBorder="1"/>
    <xf numFmtId="167" fontId="0" fillId="0" borderId="46" xfId="2" applyNumberFormat="1" applyFont="1" applyBorder="1"/>
    <xf numFmtId="0" fontId="0" fillId="0" borderId="46" xfId="0" applyBorder="1"/>
    <xf numFmtId="164" fontId="0" fillId="9" borderId="2" xfId="1" applyNumberFormat="1" applyFont="1" applyFill="1" applyBorder="1"/>
    <xf numFmtId="164" fontId="0" fillId="9" borderId="3" xfId="1" applyNumberFormat="1" applyFont="1" applyFill="1" applyBorder="1"/>
    <xf numFmtId="0" fontId="2" fillId="2" borderId="21" xfId="0" applyFont="1" applyFill="1" applyBorder="1"/>
    <xf numFmtId="0" fontId="2" fillId="2" borderId="7" xfId="0" applyFont="1" applyFill="1" applyBorder="1"/>
    <xf numFmtId="0" fontId="2" fillId="2" borderId="55" xfId="0" applyFont="1" applyFill="1" applyBorder="1"/>
    <xf numFmtId="0" fontId="2" fillId="5" borderId="13" xfId="0" applyFont="1" applyFill="1" applyBorder="1" applyAlignment="1">
      <alignment horizontal="center"/>
    </xf>
    <xf numFmtId="0" fontId="9" fillId="5" borderId="24" xfId="3" applyFont="1" applyFill="1" applyBorder="1"/>
    <xf numFmtId="164" fontId="9" fillId="5" borderId="13" xfId="1" applyNumberFormat="1" applyFont="1" applyFill="1" applyBorder="1"/>
    <xf numFmtId="164" fontId="9" fillId="5" borderId="14" xfId="1" applyNumberFormat="1" applyFont="1" applyFill="1" applyBorder="1"/>
    <xf numFmtId="164" fontId="9" fillId="5" borderId="15" xfId="1" applyNumberFormat="1" applyFont="1" applyFill="1" applyBorder="1"/>
    <xf numFmtId="0" fontId="2" fillId="5" borderId="47" xfId="0" applyFont="1" applyFill="1" applyBorder="1"/>
    <xf numFmtId="0" fontId="2" fillId="5" borderId="14" xfId="0" applyFont="1" applyFill="1" applyBorder="1"/>
    <xf numFmtId="0" fontId="2" fillId="5" borderId="15" xfId="0" applyFont="1" applyFill="1" applyBorder="1"/>
    <xf numFmtId="0" fontId="2" fillId="5" borderId="4" xfId="0" applyFont="1" applyFill="1" applyBorder="1" applyAlignment="1">
      <alignment horizontal="center"/>
    </xf>
    <xf numFmtId="0" fontId="9" fillId="5" borderId="23" xfId="3" applyFont="1" applyFill="1" applyBorder="1"/>
    <xf numFmtId="164" fontId="9" fillId="5" borderId="4" xfId="1" applyNumberFormat="1" applyFont="1" applyFill="1" applyBorder="1"/>
    <xf numFmtId="164" fontId="9" fillId="5" borderId="5" xfId="1" applyNumberFormat="1" applyFont="1" applyFill="1" applyBorder="1"/>
    <xf numFmtId="164" fontId="9" fillId="5" borderId="6" xfId="1" applyNumberFormat="1" applyFont="1" applyFill="1" applyBorder="1"/>
    <xf numFmtId="0" fontId="2" fillId="5" borderId="41" xfId="0" applyFont="1" applyFill="1" applyBorder="1"/>
    <xf numFmtId="0" fontId="2" fillId="5" borderId="5" xfId="0" applyFont="1" applyFill="1" applyBorder="1"/>
    <xf numFmtId="0" fontId="2" fillId="5" borderId="6" xfId="0" applyFont="1" applyFill="1" applyBorder="1"/>
    <xf numFmtId="0" fontId="3" fillId="0" borderId="16" xfId="0" applyFont="1" applyBorder="1" applyAlignment="1">
      <alignment horizontal="left"/>
    </xf>
    <xf numFmtId="0" fontId="8" fillId="10" borderId="29" xfId="0" applyFont="1" applyFill="1" applyBorder="1" applyAlignment="1">
      <alignment horizontal="center" vertical="center"/>
    </xf>
    <xf numFmtId="0" fontId="8" fillId="10" borderId="30" xfId="0" applyFont="1" applyFill="1" applyBorder="1" applyAlignment="1">
      <alignment vertical="center"/>
    </xf>
    <xf numFmtId="0" fontId="8" fillId="10" borderId="56" xfId="0" applyFont="1" applyFill="1" applyBorder="1" applyAlignment="1">
      <alignment vertical="center"/>
    </xf>
    <xf numFmtId="164" fontId="8" fillId="10" borderId="29" xfId="1" applyNumberFormat="1" applyFont="1" applyFill="1" applyBorder="1" applyAlignment="1">
      <alignment vertical="center"/>
    </xf>
    <xf numFmtId="164" fontId="8" fillId="10" borderId="30" xfId="1" applyNumberFormat="1" applyFont="1" applyFill="1" applyBorder="1" applyAlignment="1">
      <alignment vertical="center"/>
    </xf>
    <xf numFmtId="164" fontId="8" fillId="10" borderId="31" xfId="1" applyNumberFormat="1" applyFont="1" applyFill="1" applyBorder="1" applyAlignment="1">
      <alignment vertical="center"/>
    </xf>
    <xf numFmtId="0" fontId="8" fillId="10" borderId="29" xfId="0" applyFont="1" applyFill="1" applyBorder="1" applyAlignment="1">
      <alignment vertical="center"/>
    </xf>
    <xf numFmtId="0" fontId="8" fillId="10" borderId="31" xfId="0" applyFont="1" applyFill="1" applyBorder="1" applyAlignment="1">
      <alignment vertical="center"/>
    </xf>
    <xf numFmtId="173" fontId="8" fillId="10" borderId="57" xfId="0" applyNumberFormat="1" applyFont="1" applyFill="1" applyBorder="1" applyAlignment="1">
      <alignment vertical="center"/>
    </xf>
    <xf numFmtId="173" fontId="8" fillId="10" borderId="30" xfId="0" applyNumberFormat="1" applyFont="1" applyFill="1" applyBorder="1" applyAlignment="1">
      <alignment vertical="center"/>
    </xf>
    <xf numFmtId="173" fontId="8" fillId="10" borderId="31" xfId="0" applyNumberFormat="1" applyFont="1" applyFill="1" applyBorder="1" applyAlignment="1">
      <alignment vertical="center"/>
    </xf>
    <xf numFmtId="0" fontId="22" fillId="10" borderId="30" xfId="0" applyFont="1" applyFill="1" applyBorder="1" applyAlignment="1">
      <alignment horizontal="left" vertical="center"/>
    </xf>
    <xf numFmtId="172" fontId="0" fillId="0" borderId="46" xfId="0" applyNumberFormat="1" applyBorder="1"/>
    <xf numFmtId="172" fontId="0" fillId="0" borderId="1" xfId="0" applyNumberFormat="1" applyBorder="1"/>
    <xf numFmtId="172" fontId="0" fillId="0" borderId="47" xfId="0" applyNumberFormat="1" applyBorder="1"/>
    <xf numFmtId="172" fontId="0" fillId="0" borderId="14" xfId="0" applyNumberFormat="1" applyBorder="1"/>
    <xf numFmtId="0" fontId="0" fillId="0" borderId="0" xfId="0" applyAlignment="1">
      <alignment horizontal="left" vertical="top"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3" xfId="0" applyFont="1" applyFill="1" applyBorder="1" applyAlignment="1">
      <alignment horizontal="center"/>
    </xf>
    <xf numFmtId="0" fontId="2" fillId="3" borderId="41" xfId="0" applyFont="1" applyFill="1" applyBorder="1" applyAlignment="1">
      <alignment horizontal="center"/>
    </xf>
    <xf numFmtId="0" fontId="2" fillId="3" borderId="4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0" xfId="0" applyFont="1" applyFill="1" applyBorder="1" applyAlignment="1">
      <alignment horizontal="center" vertical="center" wrapText="1"/>
    </xf>
    <xf numFmtId="173" fontId="0" fillId="0" borderId="16" xfId="0" applyNumberFormat="1" applyBorder="1"/>
  </cellXfs>
  <cellStyles count="10">
    <cellStyle name="Comma" xfId="1" builtinId="3"/>
    <cellStyle name="Comma 2" xfId="4"/>
    <cellStyle name="Comma 3" xfId="7"/>
    <cellStyle name="Comma 4" xfId="9"/>
    <cellStyle name="Currency" xfId="5" builtinId="4"/>
    <cellStyle name="Good 2" xf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ontarioenergyboard.ca/oeb/Industry/Regulatory%20Proceedings/Policy%20Initiatives%20and%20Consultations/Regulated%20Price%20Pla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4</xdr:col>
      <xdr:colOff>590550</xdr:colOff>
      <xdr:row>19</xdr:row>
      <xdr:rowOff>180975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762000"/>
          <a:ext cx="5114925" cy="1704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Load%20Forecasts/2015-08-17-%20Load%20Foreca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llocation%20of%20Forecast/2006-2014%20Historic%20Rate%20Class%20Data%20v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gulatory/2016%20Cost%20of%20Service%20Prep/7_Cost%20Allocation/Tab%20I8/2006%20Load%20Profiles/Calculation%20of%20Weather%20Sensitive%20Load%20201507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DM/IESO%20CDM%20EE%20Cost%20Effectiveness%20Tool%20-%20Entegrus%20Powerline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DM/Estimated%20persistence%20of%20Entegrus%202014%20preliminary%20results%20(August%2014%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gulatory/2016%20Cost%20of%20Service%20Prep/8_Rate%20Design/Exhibit8%20Tables%20for%20Evidenc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gulatory/2016%20Cost%20of%20Service%20Prep/COS16%20Master%20Data%20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April)"/>
      <sheetName val="Forecast"/>
      <sheetName val="Distribution - All Time"/>
      <sheetName val="DSP Charts"/>
      <sheetName val="kWh Chart"/>
      <sheetName val="Complete Data Set"/>
      <sheetName val="Metered-Purchased Correction"/>
      <sheetName val="Economic Adjustment Factor"/>
      <sheetName val="Weather Normals"/>
      <sheetName val="Manufacturing Forecast"/>
      <sheetName val="Small-Load-Loss Raw"/>
      <sheetName val="Small-Load-Loss Processed"/>
    </sheetNames>
    <sheetDataSet>
      <sheetData sheetId="0" refreshError="1"/>
      <sheetData sheetId="1"/>
      <sheetData sheetId="2">
        <row r="3">
          <cell r="C3" t="str">
            <v>Year</v>
          </cell>
        </row>
        <row r="6">
          <cell r="O6">
            <v>0.96207399470908816</v>
          </cell>
        </row>
        <row r="7">
          <cell r="O7">
            <v>0.92558637129550259</v>
          </cell>
        </row>
        <row r="8">
          <cell r="O8">
            <v>0.92193864439822337</v>
          </cell>
        </row>
        <row r="9">
          <cell r="O9">
            <v>2145168.8054860975</v>
          </cell>
        </row>
        <row r="10">
          <cell r="O10">
            <v>108</v>
          </cell>
        </row>
        <row r="14">
          <cell r="O14">
            <v>5</v>
          </cell>
          <cell r="P14">
            <v>5838315843419600</v>
          </cell>
          <cell r="Q14">
            <v>1167663168683920</v>
          </cell>
          <cell r="R14">
            <v>253.74333039731269</v>
          </cell>
          <cell r="S14">
            <v>7.2175474937938835E-56</v>
          </cell>
        </row>
        <row r="15">
          <cell r="O15">
            <v>102</v>
          </cell>
          <cell r="P15">
            <v>469378418811126.37</v>
          </cell>
          <cell r="Q15">
            <v>4601749204030.6504</v>
          </cell>
        </row>
        <row r="16">
          <cell r="O16">
            <v>107</v>
          </cell>
          <cell r="P16">
            <v>6307694262230726</v>
          </cell>
        </row>
        <row r="19">
          <cell r="O19">
            <v>1300695332.4640992</v>
          </cell>
          <cell r="P19">
            <v>162375763.65895224</v>
          </cell>
          <cell r="Q19">
            <v>8.0104031731978758</v>
          </cell>
          <cell r="R19">
            <v>1.9394131258925524E-12</v>
          </cell>
          <cell r="S19">
            <v>978623775.14104044</v>
          </cell>
          <cell r="T19">
            <v>1622766889.787158</v>
          </cell>
          <cell r="U19">
            <v>978623775.14104044</v>
          </cell>
          <cell r="V19">
            <v>1622766889.787158</v>
          </cell>
        </row>
        <row r="20">
          <cell r="O20">
            <v>-627256.41941589501</v>
          </cell>
          <cell r="P20">
            <v>80626.691887799068</v>
          </cell>
          <cell r="Q20">
            <v>-7.7797613262961534</v>
          </cell>
          <cell r="R20">
            <v>6.1096083543632409E-12</v>
          </cell>
          <cell r="S20">
            <v>-787179.08048895479</v>
          </cell>
          <cell r="T20">
            <v>-467333.75834283524</v>
          </cell>
          <cell r="U20">
            <v>-787179.08048895479</v>
          </cell>
          <cell r="V20">
            <v>-467333.75834283524</v>
          </cell>
        </row>
        <row r="21">
          <cell r="O21">
            <v>19737.516212979423</v>
          </cell>
          <cell r="P21">
            <v>1186.0139475359658</v>
          </cell>
          <cell r="Q21">
            <v>16.641892158170325</v>
          </cell>
          <cell r="R21">
            <v>7.8328750322773386E-31</v>
          </cell>
          <cell r="S21">
            <v>17385.063171452388</v>
          </cell>
          <cell r="T21">
            <v>22089.969254506457</v>
          </cell>
          <cell r="U21">
            <v>17385.063171452388</v>
          </cell>
          <cell r="V21">
            <v>22089.969254506457</v>
          </cell>
        </row>
        <row r="22">
          <cell r="O22">
            <v>161357.28282464572</v>
          </cell>
          <cell r="P22">
            <v>10064.050776496253</v>
          </cell>
          <cell r="Q22">
            <v>16.033035445477097</v>
          </cell>
          <cell r="R22">
            <v>1.2379419534004461E-29</v>
          </cell>
          <cell r="S22">
            <v>141395.28582752933</v>
          </cell>
          <cell r="T22">
            <v>181319.27982176212</v>
          </cell>
          <cell r="U22">
            <v>141395.28582752933</v>
          </cell>
          <cell r="V22">
            <v>181319.27982176212</v>
          </cell>
        </row>
        <row r="23">
          <cell r="O23">
            <v>0.69404585611958125</v>
          </cell>
          <cell r="P23">
            <v>5.1647499814454045E-2</v>
          </cell>
          <cell r="Q23">
            <v>13.438130763598858</v>
          </cell>
          <cell r="R23">
            <v>2.6400664482301366E-24</v>
          </cell>
          <cell r="S23">
            <v>0.59160328512098437</v>
          </cell>
          <cell r="T23">
            <v>0.79648842711817813</v>
          </cell>
          <cell r="U23">
            <v>0.59160328512098437</v>
          </cell>
          <cell r="V23">
            <v>0.79648842711817813</v>
          </cell>
        </row>
        <row r="24">
          <cell r="O24">
            <v>6778225.2920919145</v>
          </cell>
          <cell r="P24">
            <v>481058.1829811075</v>
          </cell>
          <cell r="Q24">
            <v>14.090240082992445</v>
          </cell>
          <cell r="R24">
            <v>1.1231951861626398E-25</v>
          </cell>
          <cell r="S24">
            <v>5824048.6670560129</v>
          </cell>
          <cell r="T24">
            <v>7732401.917127816</v>
          </cell>
          <cell r="U24">
            <v>5824048.6670560129</v>
          </cell>
          <cell r="V24">
            <v>7732401.917127816</v>
          </cell>
        </row>
        <row r="28">
          <cell r="O28">
            <v>8.0104031731978758</v>
          </cell>
        </row>
        <row r="29">
          <cell r="O29">
            <v>-7.7797613262961534</v>
          </cell>
        </row>
        <row r="30">
          <cell r="O30">
            <v>16.641892158170325</v>
          </cell>
        </row>
        <row r="31">
          <cell r="O31">
            <v>16.033035445477097</v>
          </cell>
        </row>
        <row r="32">
          <cell r="O32">
            <v>13.438130763598858</v>
          </cell>
        </row>
        <row r="33">
          <cell r="O33">
            <v>14.090240082992445</v>
          </cell>
        </row>
      </sheetData>
      <sheetData sheetId="3" refreshError="1"/>
      <sheetData sheetId="4" refreshError="1"/>
      <sheetData sheetId="5" refreshError="1"/>
      <sheetData sheetId="6">
        <row r="2">
          <cell r="A2">
            <v>2006</v>
          </cell>
          <cell r="D2">
            <v>92275261.504992813</v>
          </cell>
          <cell r="E2">
            <v>4080530.0899352999</v>
          </cell>
          <cell r="F2">
            <v>1554252.736451613</v>
          </cell>
          <cell r="H2">
            <v>0.41911749784950603</v>
          </cell>
          <cell r="I2">
            <v>514.4</v>
          </cell>
          <cell r="J2">
            <v>0</v>
          </cell>
          <cell r="K2">
            <v>48705740</v>
          </cell>
        </row>
        <row r="3">
          <cell r="A3">
            <v>2006</v>
          </cell>
          <cell r="D3">
            <v>85895793.720881715</v>
          </cell>
          <cell r="E3">
            <v>3698718.8483095099</v>
          </cell>
          <cell r="F3">
            <v>1201808.080967742</v>
          </cell>
          <cell r="H3">
            <v>-0.50700916400478402</v>
          </cell>
          <cell r="I3">
            <v>577.9</v>
          </cell>
          <cell r="J3">
            <v>0</v>
          </cell>
          <cell r="K3">
            <v>48533977</v>
          </cell>
        </row>
        <row r="4">
          <cell r="A4">
            <v>2006</v>
          </cell>
          <cell r="D4">
            <v>91568195.673591882</v>
          </cell>
          <cell r="E4">
            <v>4382301.6419677697</v>
          </cell>
          <cell r="F4">
            <v>1811912.1977419355</v>
          </cell>
          <cell r="H4">
            <v>6.2739784171715995E-2</v>
          </cell>
          <cell r="I4">
            <v>512.19999999999993</v>
          </cell>
          <cell r="J4">
            <v>0</v>
          </cell>
          <cell r="K4">
            <v>51567190</v>
          </cell>
        </row>
        <row r="5">
          <cell r="A5">
            <v>2006</v>
          </cell>
          <cell r="D5">
            <v>79308310.869970053</v>
          </cell>
          <cell r="E5">
            <v>3964441.9018554599</v>
          </cell>
          <cell r="F5">
            <v>1283786.3377419356</v>
          </cell>
          <cell r="H5">
            <v>-0.69420914264628397</v>
          </cell>
          <cell r="I5">
            <v>298.3</v>
          </cell>
          <cell r="J5">
            <v>0</v>
          </cell>
          <cell r="K5">
            <v>49484981</v>
          </cell>
        </row>
        <row r="6">
          <cell r="A6">
            <v>2006</v>
          </cell>
          <cell r="D6">
            <v>86611522.87133956</v>
          </cell>
          <cell r="E6">
            <v>4321758.2631988497</v>
          </cell>
          <cell r="F6">
            <v>1263782.2103225808</v>
          </cell>
          <cell r="H6">
            <v>-0.29386468836728802</v>
          </cell>
          <cell r="I6">
            <v>145.99999999999997</v>
          </cell>
          <cell r="J6">
            <v>29.2</v>
          </cell>
          <cell r="K6">
            <v>50769986</v>
          </cell>
        </row>
        <row r="7">
          <cell r="A7">
            <v>2006</v>
          </cell>
          <cell r="D7">
            <v>91680969.573947981</v>
          </cell>
          <cell r="E7">
            <v>4360325.99438476</v>
          </cell>
          <cell r="F7">
            <v>1625891.6051612902</v>
          </cell>
          <cell r="H7">
            <v>0.37476870063614698</v>
          </cell>
          <cell r="I7">
            <v>35.700000000000003</v>
          </cell>
          <cell r="J7">
            <v>40.299999999999997</v>
          </cell>
          <cell r="K7">
            <v>51542946</v>
          </cell>
        </row>
        <row r="8">
          <cell r="A8">
            <v>2006</v>
          </cell>
          <cell r="D8">
            <v>105876112.80314283</v>
          </cell>
          <cell r="E8">
            <v>3930918.0851631099</v>
          </cell>
          <cell r="F8">
            <v>1131201.8793548387</v>
          </cell>
          <cell r="H8">
            <v>1.1308832727931699</v>
          </cell>
          <cell r="I8">
            <v>6.2</v>
          </cell>
          <cell r="J8">
            <v>125.50000000000001</v>
          </cell>
          <cell r="K8">
            <v>45043016</v>
          </cell>
        </row>
        <row r="9">
          <cell r="A9">
            <v>2006</v>
          </cell>
          <cell r="D9">
            <v>104632861.64742087</v>
          </cell>
          <cell r="E9">
            <v>4748540.6031951904</v>
          </cell>
          <cell r="F9">
            <v>1744245.6551612904</v>
          </cell>
          <cell r="H9">
            <v>1.5427178235774599</v>
          </cell>
          <cell r="I9">
            <v>10.100000000000001</v>
          </cell>
          <cell r="J9">
            <v>66.8</v>
          </cell>
          <cell r="K9">
            <v>50664482</v>
          </cell>
        </row>
        <row r="10">
          <cell r="A10">
            <v>2006</v>
          </cell>
          <cell r="D10">
            <v>87025571.120068073</v>
          </cell>
          <cell r="E10">
            <v>4018353.8822212201</v>
          </cell>
          <cell r="F10">
            <v>1395584.0722580645</v>
          </cell>
          <cell r="H10">
            <v>0.608962832123631</v>
          </cell>
          <cell r="I10">
            <v>89.3</v>
          </cell>
          <cell r="J10">
            <v>8.3999999999999986</v>
          </cell>
          <cell r="K10">
            <v>48620316</v>
          </cell>
        </row>
        <row r="11">
          <cell r="A11">
            <v>2006</v>
          </cell>
          <cell r="D11">
            <v>89135907.006907359</v>
          </cell>
          <cell r="E11">
            <v>3794587.2472534101</v>
          </cell>
          <cell r="F11">
            <v>1169193.3325806451</v>
          </cell>
          <cell r="H11">
            <v>0.23319624263806399</v>
          </cell>
          <cell r="I11">
            <v>293.89999999999998</v>
          </cell>
          <cell r="J11">
            <v>1.7</v>
          </cell>
          <cell r="K11">
            <v>48023316</v>
          </cell>
        </row>
        <row r="12">
          <cell r="A12">
            <v>2006</v>
          </cell>
          <cell r="D12">
            <v>91093979.435759187</v>
          </cell>
          <cell r="E12">
            <v>3731625.8161315899</v>
          </cell>
          <cell r="F12">
            <v>1118961.8341935484</v>
          </cell>
          <cell r="H12">
            <v>-2.0326425795801999E-2</v>
          </cell>
          <cell r="I12">
            <v>378.30000000000018</v>
          </cell>
          <cell r="J12">
            <v>0</v>
          </cell>
          <cell r="K12">
            <v>49712772</v>
          </cell>
        </row>
        <row r="13">
          <cell r="A13">
            <v>2006</v>
          </cell>
          <cell r="D13">
            <v>90288886.871977687</v>
          </cell>
          <cell r="E13">
            <v>2986152.8601531899</v>
          </cell>
          <cell r="F13">
            <v>957899.81967741938</v>
          </cell>
          <cell r="H13">
            <v>5.2494343901185E-2</v>
          </cell>
          <cell r="I13">
            <v>491.8</v>
          </cell>
          <cell r="J13">
            <v>0</v>
          </cell>
          <cell r="K13">
            <v>48603292</v>
          </cell>
        </row>
        <row r="14">
          <cell r="A14">
            <v>2007</v>
          </cell>
          <cell r="D14">
            <v>94700935.5</v>
          </cell>
          <cell r="E14">
            <v>3572942.4690551702</v>
          </cell>
          <cell r="F14">
            <v>1116755.5054838709</v>
          </cell>
          <cell r="H14">
            <v>0.41911749784950603</v>
          </cell>
          <cell r="I14">
            <v>633.19999999999993</v>
          </cell>
          <cell r="J14">
            <v>0</v>
          </cell>
          <cell r="K14">
            <v>47937774</v>
          </cell>
        </row>
        <row r="15">
          <cell r="A15">
            <v>2007</v>
          </cell>
          <cell r="D15">
            <v>91441924.900000006</v>
          </cell>
          <cell r="E15">
            <v>3562267.1908874498</v>
          </cell>
          <cell r="F15">
            <v>888613.15935483866</v>
          </cell>
          <cell r="H15">
            <v>-0.50700916400478402</v>
          </cell>
          <cell r="I15">
            <v>742.8</v>
          </cell>
          <cell r="J15">
            <v>0</v>
          </cell>
          <cell r="K15">
            <v>47414981</v>
          </cell>
        </row>
        <row r="16">
          <cell r="A16">
            <v>2007</v>
          </cell>
          <cell r="D16">
            <v>91789982.799999997</v>
          </cell>
          <cell r="E16">
            <v>3623409.8639526302</v>
          </cell>
          <cell r="F16">
            <v>1189209.6883870969</v>
          </cell>
          <cell r="H16">
            <v>6.2739784171715995E-2</v>
          </cell>
          <cell r="I16">
            <v>485.29999999999995</v>
          </cell>
          <cell r="J16">
            <v>0</v>
          </cell>
          <cell r="K16">
            <v>51609130</v>
          </cell>
        </row>
        <row r="17">
          <cell r="A17">
            <v>2007</v>
          </cell>
          <cell r="D17">
            <v>82921569.200000003</v>
          </cell>
          <cell r="E17">
            <v>3224311.66625976</v>
          </cell>
          <cell r="F17">
            <v>854276.63967741933</v>
          </cell>
          <cell r="H17">
            <v>-0.69420914264628397</v>
          </cell>
          <cell r="I17">
            <v>351.89999999999986</v>
          </cell>
          <cell r="J17">
            <v>0</v>
          </cell>
          <cell r="K17">
            <v>49374218</v>
          </cell>
        </row>
        <row r="18">
          <cell r="A18">
            <v>2007</v>
          </cell>
          <cell r="D18">
            <v>85875464.299999997</v>
          </cell>
          <cell r="E18">
            <v>3090738.7011060701</v>
          </cell>
          <cell r="F18">
            <v>686927.99</v>
          </cell>
          <cell r="H18">
            <v>-0.29386468836728802</v>
          </cell>
          <cell r="I18">
            <v>137.5</v>
          </cell>
          <cell r="J18">
            <v>24.900000000000002</v>
          </cell>
          <cell r="K18">
            <v>50724181</v>
          </cell>
        </row>
        <row r="19">
          <cell r="A19">
            <v>2007</v>
          </cell>
          <cell r="D19">
            <v>95885759.900000006</v>
          </cell>
          <cell r="E19">
            <v>3366406.4738159101</v>
          </cell>
          <cell r="F19">
            <v>935416.05290322576</v>
          </cell>
          <cell r="H19">
            <v>0.37476870063614698</v>
          </cell>
          <cell r="I19">
            <v>29.999999999999996</v>
          </cell>
          <cell r="J19">
            <v>65.8</v>
          </cell>
          <cell r="K19">
            <v>48667556</v>
          </cell>
        </row>
        <row r="20">
          <cell r="A20">
            <v>2007</v>
          </cell>
          <cell r="D20">
            <v>95780411</v>
          </cell>
          <cell r="E20">
            <v>3496124.95468139</v>
          </cell>
          <cell r="F20">
            <v>640251.1893548388</v>
          </cell>
          <cell r="H20">
            <v>1.1308832727931699</v>
          </cell>
          <cell r="I20">
            <v>16.8</v>
          </cell>
          <cell r="J20">
            <v>67.499999999999986</v>
          </cell>
          <cell r="K20">
            <v>45502574</v>
          </cell>
        </row>
        <row r="21">
          <cell r="A21">
            <v>2007</v>
          </cell>
          <cell r="D21">
            <v>106146790.59999999</v>
          </cell>
          <cell r="E21">
            <v>4247265.7207031203</v>
          </cell>
          <cell r="F21">
            <v>1013036.6490322582</v>
          </cell>
          <cell r="H21">
            <v>1.5427178235774599</v>
          </cell>
          <cell r="I21">
            <v>14</v>
          </cell>
          <cell r="J21">
            <v>86.8</v>
          </cell>
          <cell r="K21">
            <v>48002098</v>
          </cell>
        </row>
        <row r="22">
          <cell r="A22">
            <v>2007</v>
          </cell>
          <cell r="D22">
            <v>92664788.099999994</v>
          </cell>
          <cell r="E22">
            <v>3717095.5415191599</v>
          </cell>
          <cell r="F22">
            <v>860376.36096774193</v>
          </cell>
          <cell r="H22">
            <v>0.608962832123631</v>
          </cell>
          <cell r="I22">
            <v>63.7</v>
          </cell>
          <cell r="J22">
            <v>40.200000000000003</v>
          </cell>
          <cell r="K22">
            <v>46749201</v>
          </cell>
        </row>
        <row r="23">
          <cell r="A23">
            <v>2007</v>
          </cell>
          <cell r="D23">
            <v>89956145.599999994</v>
          </cell>
          <cell r="E23">
            <v>3438960.7632141099</v>
          </cell>
          <cell r="F23">
            <v>866900.77419354836</v>
          </cell>
          <cell r="H23">
            <v>0.23319624263806399</v>
          </cell>
          <cell r="I23">
            <v>144.00000000000003</v>
          </cell>
          <cell r="J23">
            <v>29.6</v>
          </cell>
          <cell r="K23">
            <v>48531421</v>
          </cell>
        </row>
        <row r="24">
          <cell r="A24">
            <v>2007</v>
          </cell>
          <cell r="D24">
            <v>88189942</v>
          </cell>
          <cell r="E24">
            <v>2960291.37338256</v>
          </cell>
          <cell r="F24">
            <v>675073.64612903213</v>
          </cell>
          <cell r="H24">
            <v>-2.0326425795801999E-2</v>
          </cell>
          <cell r="I24">
            <v>445.9</v>
          </cell>
          <cell r="J24">
            <v>0</v>
          </cell>
          <cell r="K24">
            <v>48279982</v>
          </cell>
        </row>
        <row r="25">
          <cell r="A25">
            <v>2007</v>
          </cell>
          <cell r="D25">
            <v>88023622</v>
          </cell>
          <cell r="E25">
            <v>2804858.44841003</v>
          </cell>
          <cell r="F25">
            <v>569647.00096774194</v>
          </cell>
          <cell r="H25">
            <v>5.2494343901185E-2</v>
          </cell>
          <cell r="I25">
            <v>624.19999999999993</v>
          </cell>
          <cell r="J25">
            <v>0</v>
          </cell>
          <cell r="K25">
            <v>41182527</v>
          </cell>
        </row>
        <row r="26">
          <cell r="A26">
            <v>2008</v>
          </cell>
          <cell r="D26">
            <v>93493708.900000006</v>
          </cell>
          <cell r="E26">
            <v>3315213.5600128099</v>
          </cell>
          <cell r="F26">
            <v>578743.77516129031</v>
          </cell>
          <cell r="H26">
            <v>0.41911749784950603</v>
          </cell>
          <cell r="I26">
            <v>636.80000000000007</v>
          </cell>
          <cell r="J26">
            <v>0</v>
          </cell>
          <cell r="K26">
            <v>42681474</v>
          </cell>
        </row>
        <row r="27">
          <cell r="A27">
            <v>2008</v>
          </cell>
          <cell r="D27">
            <v>89086653.700000003</v>
          </cell>
          <cell r="E27">
            <v>3234025.3358764602</v>
          </cell>
          <cell r="F27">
            <v>798075.42870967765</v>
          </cell>
          <cell r="H27">
            <v>-0.50700916400478402</v>
          </cell>
          <cell r="I27">
            <v>669.8</v>
          </cell>
          <cell r="J27">
            <v>0</v>
          </cell>
          <cell r="K27">
            <v>44980567</v>
          </cell>
        </row>
        <row r="28">
          <cell r="A28">
            <v>2008</v>
          </cell>
          <cell r="D28">
            <v>91324558.099999994</v>
          </cell>
          <cell r="E28">
            <v>3367292.3364257799</v>
          </cell>
          <cell r="F28">
            <v>324813.41870967741</v>
          </cell>
          <cell r="H28">
            <v>6.2739784171715995E-2</v>
          </cell>
          <cell r="I28">
            <v>606.90000000000009</v>
          </cell>
          <cell r="J28">
            <v>0</v>
          </cell>
          <cell r="K28">
            <v>44399361</v>
          </cell>
        </row>
        <row r="29">
          <cell r="A29">
            <v>2008</v>
          </cell>
          <cell r="D29">
            <v>82206529.299999997</v>
          </cell>
          <cell r="E29">
            <v>3326520.8597869799</v>
          </cell>
          <cell r="F29">
            <v>272732.77451612905</v>
          </cell>
          <cell r="H29">
            <v>-0.69420914264628397</v>
          </cell>
          <cell r="I29">
            <v>278.5</v>
          </cell>
          <cell r="J29">
            <v>0</v>
          </cell>
          <cell r="K29">
            <v>45575941</v>
          </cell>
        </row>
        <row r="30">
          <cell r="A30">
            <v>2008</v>
          </cell>
          <cell r="D30">
            <v>82342887</v>
          </cell>
          <cell r="E30">
            <v>3166229.8803100502</v>
          </cell>
          <cell r="F30">
            <v>423731.035483871</v>
          </cell>
          <cell r="H30">
            <v>-0.29386468836728802</v>
          </cell>
          <cell r="I30">
            <v>211.70000000000005</v>
          </cell>
          <cell r="J30">
            <v>4.0999999999999996</v>
          </cell>
          <cell r="K30">
            <v>46853489</v>
          </cell>
        </row>
        <row r="31">
          <cell r="A31">
            <v>2008</v>
          </cell>
          <cell r="D31">
            <v>94261624.299999997</v>
          </cell>
          <cell r="E31">
            <v>3589956.8756103502</v>
          </cell>
          <cell r="F31">
            <v>324924.99193548388</v>
          </cell>
          <cell r="H31">
            <v>0.37476870063614698</v>
          </cell>
          <cell r="I31">
            <v>21.8</v>
          </cell>
          <cell r="J31">
            <v>72.599999999999994</v>
          </cell>
          <cell r="K31">
            <v>48111832</v>
          </cell>
        </row>
        <row r="32">
          <cell r="A32">
            <v>2008</v>
          </cell>
          <cell r="D32">
            <v>102930302</v>
          </cell>
          <cell r="E32">
            <v>3283392.4124145498</v>
          </cell>
          <cell r="F32">
            <v>229771.80516129028</v>
          </cell>
          <cell r="H32">
            <v>1.1308832727931699</v>
          </cell>
          <cell r="I32">
            <v>9.2000000000000011</v>
          </cell>
          <cell r="J32">
            <v>97.3</v>
          </cell>
          <cell r="K32">
            <v>46431669</v>
          </cell>
        </row>
        <row r="33">
          <cell r="A33">
            <v>2008</v>
          </cell>
          <cell r="D33">
            <v>95324172.900000006</v>
          </cell>
          <cell r="E33">
            <v>3144912.8173370301</v>
          </cell>
          <cell r="F33">
            <v>519977.68064516131</v>
          </cell>
          <cell r="H33">
            <v>1.5427178235774599</v>
          </cell>
          <cell r="I33">
            <v>23.3</v>
          </cell>
          <cell r="J33">
            <v>45.699999999999996</v>
          </cell>
          <cell r="K33">
            <v>46291039</v>
          </cell>
        </row>
        <row r="34">
          <cell r="A34">
            <v>2008</v>
          </cell>
          <cell r="D34">
            <v>86959025.299999997</v>
          </cell>
          <cell r="E34">
            <v>2760353.51422119</v>
          </cell>
          <cell r="F34">
            <v>317350.61806451605</v>
          </cell>
          <cell r="H34">
            <v>0.608962832123631</v>
          </cell>
          <cell r="I34">
            <v>64.5</v>
          </cell>
          <cell r="J34">
            <v>25.3</v>
          </cell>
          <cell r="K34">
            <v>46613408</v>
          </cell>
        </row>
        <row r="35">
          <cell r="A35">
            <v>2008</v>
          </cell>
          <cell r="D35">
            <v>81389669.700000003</v>
          </cell>
          <cell r="E35">
            <v>2369884.8213806101</v>
          </cell>
          <cell r="F35">
            <v>468384.42322580644</v>
          </cell>
          <cell r="H35">
            <v>0.23319624263806399</v>
          </cell>
          <cell r="I35">
            <v>291.39999999999998</v>
          </cell>
          <cell r="J35">
            <v>0.1</v>
          </cell>
          <cell r="K35">
            <v>45988896</v>
          </cell>
        </row>
        <row r="36">
          <cell r="A36">
            <v>2008</v>
          </cell>
          <cell r="D36">
            <v>82439298.599999994</v>
          </cell>
          <cell r="E36">
            <v>2358679.9074859601</v>
          </cell>
          <cell r="F36">
            <v>367796.45806451613</v>
          </cell>
          <cell r="H36">
            <v>-2.0326425795801999E-2</v>
          </cell>
          <cell r="I36">
            <v>452.3</v>
          </cell>
          <cell r="J36">
            <v>0</v>
          </cell>
          <cell r="K36">
            <v>43334946</v>
          </cell>
        </row>
        <row r="37">
          <cell r="A37">
            <v>2008</v>
          </cell>
          <cell r="D37">
            <v>84813532.799999997</v>
          </cell>
          <cell r="E37">
            <v>2136379.0502967802</v>
          </cell>
          <cell r="F37">
            <v>299356.21580645163</v>
          </cell>
          <cell r="H37">
            <v>5.2494343901185E-2</v>
          </cell>
          <cell r="I37">
            <v>656.99999999999989</v>
          </cell>
          <cell r="J37">
            <v>0</v>
          </cell>
          <cell r="K37">
            <v>37504764</v>
          </cell>
        </row>
        <row r="38">
          <cell r="A38">
            <v>2009</v>
          </cell>
          <cell r="D38">
            <v>87308875.799999997</v>
          </cell>
          <cell r="E38">
            <v>3023377.9320678702</v>
          </cell>
          <cell r="F38">
            <v>257414.28774193549</v>
          </cell>
          <cell r="H38">
            <v>0.41911749784950603</v>
          </cell>
          <cell r="I38">
            <v>871.70000000000016</v>
          </cell>
          <cell r="J38">
            <v>0</v>
          </cell>
          <cell r="K38">
            <v>33349265</v>
          </cell>
        </row>
        <row r="39">
          <cell r="A39">
            <v>2009</v>
          </cell>
          <cell r="D39">
            <v>77097974.099999994</v>
          </cell>
          <cell r="E39">
            <v>2605509.4699706999</v>
          </cell>
          <cell r="F39">
            <v>337005.72870967735</v>
          </cell>
          <cell r="H39">
            <v>-0.50700916400478402</v>
          </cell>
          <cell r="I39">
            <v>610.40000000000009</v>
          </cell>
          <cell r="J39">
            <v>0</v>
          </cell>
          <cell r="K39">
            <v>35341102</v>
          </cell>
        </row>
        <row r="40">
          <cell r="A40">
            <v>2009</v>
          </cell>
          <cell r="D40">
            <v>79993358</v>
          </cell>
          <cell r="E40">
            <v>2599571.3484878498</v>
          </cell>
          <cell r="F40">
            <v>251363.23032258064</v>
          </cell>
          <cell r="H40">
            <v>6.2739784171715995E-2</v>
          </cell>
          <cell r="I40">
            <v>524.59999999999991</v>
          </cell>
          <cell r="J40">
            <v>0</v>
          </cell>
          <cell r="K40">
            <v>36682400</v>
          </cell>
        </row>
        <row r="41">
          <cell r="A41">
            <v>2009</v>
          </cell>
          <cell r="D41">
            <v>70555972</v>
          </cell>
          <cell r="E41">
            <v>2127458.4418945299</v>
          </cell>
          <cell r="F41">
            <v>468803.64387096767</v>
          </cell>
          <cell r="H41">
            <v>-0.69420914264628397</v>
          </cell>
          <cell r="I41">
            <v>307.3</v>
          </cell>
          <cell r="J41">
            <v>1.6</v>
          </cell>
          <cell r="K41">
            <v>36521367</v>
          </cell>
        </row>
        <row r="42">
          <cell r="A42">
            <v>2009</v>
          </cell>
          <cell r="D42">
            <v>67517058</v>
          </cell>
          <cell r="E42">
            <v>2083263.82945251</v>
          </cell>
          <cell r="F42">
            <v>440549.50322580646</v>
          </cell>
          <cell r="H42">
            <v>-0.29386468836728802</v>
          </cell>
          <cell r="I42">
            <v>159.49999999999997</v>
          </cell>
          <cell r="J42">
            <v>4.0999999999999996</v>
          </cell>
          <cell r="K42">
            <v>34102278</v>
          </cell>
        </row>
        <row r="43">
          <cell r="A43">
            <v>2009</v>
          </cell>
          <cell r="D43">
            <v>72770574.700000003</v>
          </cell>
          <cell r="E43">
            <v>1692829.84088134</v>
          </cell>
          <cell r="F43">
            <v>292499.32322580647</v>
          </cell>
          <cell r="H43">
            <v>0.37476870063614698</v>
          </cell>
          <cell r="I43">
            <v>53.000000000000007</v>
          </cell>
          <cell r="J43">
            <v>31.5</v>
          </cell>
          <cell r="K43">
            <v>35283385</v>
          </cell>
        </row>
        <row r="44">
          <cell r="A44">
            <v>2009</v>
          </cell>
          <cell r="D44">
            <v>76889947</v>
          </cell>
          <cell r="E44">
            <v>654889.87072682299</v>
          </cell>
          <cell r="F44">
            <v>281046.14548387099</v>
          </cell>
          <cell r="H44">
            <v>1.1308832727931699</v>
          </cell>
          <cell r="I44">
            <v>23.599999999999998</v>
          </cell>
          <cell r="J44">
            <v>38.199999999999996</v>
          </cell>
          <cell r="K44">
            <v>36559330</v>
          </cell>
        </row>
        <row r="45">
          <cell r="A45">
            <v>2009</v>
          </cell>
          <cell r="D45">
            <v>87060730</v>
          </cell>
          <cell r="E45">
            <v>677717.22112655605</v>
          </cell>
          <cell r="F45">
            <v>267654.81387096772</v>
          </cell>
          <cell r="H45">
            <v>1.5427178235774599</v>
          </cell>
          <cell r="I45">
            <v>23.5</v>
          </cell>
          <cell r="J45">
            <v>71.8</v>
          </cell>
          <cell r="K45">
            <v>36544471</v>
          </cell>
        </row>
        <row r="46">
          <cell r="A46">
            <v>2009</v>
          </cell>
          <cell r="D46">
            <v>77242678.299999997</v>
          </cell>
          <cell r="E46">
            <v>682956.84535407997</v>
          </cell>
          <cell r="F46">
            <v>256989.42354838707</v>
          </cell>
          <cell r="H46">
            <v>0.608962832123631</v>
          </cell>
          <cell r="I46">
            <v>76.7</v>
          </cell>
          <cell r="J46">
            <v>18.899999999999999</v>
          </cell>
          <cell r="K46">
            <v>38926914</v>
          </cell>
        </row>
        <row r="47">
          <cell r="A47">
            <v>2009</v>
          </cell>
          <cell r="D47">
            <v>74523816.700000003</v>
          </cell>
          <cell r="E47">
            <v>666502.85945510794</v>
          </cell>
          <cell r="F47">
            <v>167840.09387096774</v>
          </cell>
          <cell r="H47">
            <v>0.23319624263806399</v>
          </cell>
          <cell r="I47">
            <v>291.29999999999995</v>
          </cell>
          <cell r="J47">
            <v>0</v>
          </cell>
          <cell r="K47">
            <v>38337783</v>
          </cell>
        </row>
        <row r="48">
          <cell r="A48">
            <v>2009</v>
          </cell>
          <cell r="D48">
            <v>74187824.299999997</v>
          </cell>
          <cell r="E48">
            <v>516762.80983543303</v>
          </cell>
          <cell r="F48">
            <v>218904.94451612904</v>
          </cell>
          <cell r="H48">
            <v>-2.0326425795801999E-2</v>
          </cell>
          <cell r="I48">
            <v>353.2999999999999</v>
          </cell>
          <cell r="J48">
            <v>0</v>
          </cell>
          <cell r="K48">
            <v>38015352</v>
          </cell>
        </row>
        <row r="49">
          <cell r="A49">
            <v>2009</v>
          </cell>
          <cell r="D49">
            <v>80483064</v>
          </cell>
          <cell r="E49">
            <v>579144.011512756</v>
          </cell>
          <cell r="F49">
            <v>85110.967741935485</v>
          </cell>
          <cell r="H49">
            <v>5.2494343901185E-2</v>
          </cell>
          <cell r="I49">
            <v>634.20000000000005</v>
          </cell>
          <cell r="J49">
            <v>0</v>
          </cell>
          <cell r="K49">
            <v>37905631</v>
          </cell>
        </row>
        <row r="50">
          <cell r="A50">
            <v>2010</v>
          </cell>
          <cell r="D50">
            <v>84309598.661133051</v>
          </cell>
          <cell r="E50">
            <v>620679.12614250102</v>
          </cell>
          <cell r="F50">
            <v>0</v>
          </cell>
          <cell r="H50">
            <v>0.41911749784950603</v>
          </cell>
          <cell r="I50">
            <v>726.79999999999984</v>
          </cell>
          <cell r="J50">
            <v>0</v>
          </cell>
          <cell r="K50">
            <v>37285840</v>
          </cell>
        </row>
        <row r="51">
          <cell r="A51">
            <v>2010</v>
          </cell>
          <cell r="D51">
            <v>75616770.637021244</v>
          </cell>
          <cell r="E51">
            <v>531012.84810829104</v>
          </cell>
          <cell r="F51">
            <v>0</v>
          </cell>
          <cell r="H51">
            <v>-0.50700916400478402</v>
          </cell>
          <cell r="I51">
            <v>636.9</v>
          </cell>
          <cell r="J51">
            <v>0</v>
          </cell>
          <cell r="K51">
            <v>38195753</v>
          </cell>
        </row>
        <row r="52">
          <cell r="A52">
            <v>2010</v>
          </cell>
          <cell r="D52">
            <v>76144148.134326309</v>
          </cell>
          <cell r="E52">
            <v>500341.84064292902</v>
          </cell>
          <cell r="F52">
            <v>0</v>
          </cell>
          <cell r="H52">
            <v>6.2739784171715995E-2</v>
          </cell>
          <cell r="I52">
            <v>453.19999999999993</v>
          </cell>
          <cell r="J52">
            <v>0</v>
          </cell>
          <cell r="K52">
            <v>41328149</v>
          </cell>
        </row>
        <row r="53">
          <cell r="A53">
            <v>2010</v>
          </cell>
          <cell r="D53">
            <v>67578857.433261707</v>
          </cell>
          <cell r="E53">
            <v>418758.56623268098</v>
          </cell>
          <cell r="F53">
            <v>0</v>
          </cell>
          <cell r="H53">
            <v>-0.69420914264628397</v>
          </cell>
          <cell r="I53">
            <v>246.19999999999996</v>
          </cell>
          <cell r="J53">
            <v>0</v>
          </cell>
          <cell r="K53">
            <v>40413693</v>
          </cell>
        </row>
        <row r="54">
          <cell r="A54">
            <v>2010</v>
          </cell>
          <cell r="D54">
            <v>74789718.315234318</v>
          </cell>
          <cell r="E54">
            <v>397677.80594253499</v>
          </cell>
          <cell r="F54">
            <v>0</v>
          </cell>
          <cell r="H54">
            <v>-0.29386468836728802</v>
          </cell>
          <cell r="I54">
            <v>117.2</v>
          </cell>
          <cell r="J54">
            <v>20</v>
          </cell>
          <cell r="K54">
            <v>41055161</v>
          </cell>
        </row>
        <row r="55">
          <cell r="A55">
            <v>2010</v>
          </cell>
          <cell r="D55">
            <v>84514689.010146856</v>
          </cell>
          <cell r="E55">
            <v>383437.64016151399</v>
          </cell>
          <cell r="F55">
            <v>0</v>
          </cell>
          <cell r="H55">
            <v>0.37476870063614698</v>
          </cell>
          <cell r="I55">
            <v>22.7</v>
          </cell>
          <cell r="J55">
            <v>62.699999999999996</v>
          </cell>
          <cell r="K55">
            <v>42286604</v>
          </cell>
        </row>
        <row r="56">
          <cell r="A56">
            <v>2010</v>
          </cell>
          <cell r="D56">
            <v>97389830.117670745</v>
          </cell>
          <cell r="E56">
            <v>461309.91030883702</v>
          </cell>
          <cell r="F56">
            <v>0</v>
          </cell>
          <cell r="H56">
            <v>1.1308832727931699</v>
          </cell>
          <cell r="I56">
            <v>6.5</v>
          </cell>
          <cell r="J56">
            <v>136.30000000000001</v>
          </cell>
          <cell r="K56">
            <v>38393943</v>
          </cell>
        </row>
        <row r="57">
          <cell r="A57">
            <v>2010</v>
          </cell>
          <cell r="D57">
            <v>98212442.320097148</v>
          </cell>
          <cell r="E57">
            <v>273584.72761154099</v>
          </cell>
          <cell r="F57">
            <v>0</v>
          </cell>
          <cell r="H57">
            <v>1.5427178235774599</v>
          </cell>
          <cell r="I57">
            <v>5.4</v>
          </cell>
          <cell r="J57">
            <v>88.4</v>
          </cell>
          <cell r="K57">
            <v>41231739</v>
          </cell>
        </row>
        <row r="58">
          <cell r="A58">
            <v>2010</v>
          </cell>
          <cell r="D58">
            <v>79192860.331475571</v>
          </cell>
          <cell r="E58">
            <v>256466.90879440299</v>
          </cell>
          <cell r="F58">
            <v>0</v>
          </cell>
          <cell r="H58">
            <v>0.608962832123631</v>
          </cell>
          <cell r="I58">
            <v>88</v>
          </cell>
          <cell r="J58">
            <v>35.299999999999997</v>
          </cell>
          <cell r="K58">
            <v>41624078</v>
          </cell>
        </row>
        <row r="59">
          <cell r="A59">
            <v>2010</v>
          </cell>
          <cell r="D59">
            <v>75023853.843606114</v>
          </cell>
          <cell r="E59">
            <v>271066.15382003703</v>
          </cell>
          <cell r="F59">
            <v>0</v>
          </cell>
          <cell r="H59">
            <v>0.23319624263806399</v>
          </cell>
          <cell r="I59">
            <v>223.60000000000005</v>
          </cell>
          <cell r="J59">
            <v>0</v>
          </cell>
          <cell r="K59">
            <v>41735406</v>
          </cell>
        </row>
        <row r="60">
          <cell r="A60">
            <v>2010</v>
          </cell>
          <cell r="D60">
            <v>76439083.25392735</v>
          </cell>
          <cell r="E60">
            <v>298587.11596870399</v>
          </cell>
          <cell r="F60">
            <v>0</v>
          </cell>
          <cell r="H60">
            <v>-2.0326425795801999E-2</v>
          </cell>
          <cell r="I60">
            <v>414.10000000000008</v>
          </cell>
          <cell r="J60">
            <v>0</v>
          </cell>
          <cell r="K60">
            <v>40600131</v>
          </cell>
        </row>
        <row r="61">
          <cell r="A61">
            <v>2010</v>
          </cell>
          <cell r="D61">
            <v>81766621.892099589</v>
          </cell>
          <cell r="E61">
            <v>377747.07706832798</v>
          </cell>
          <cell r="F61">
            <v>0</v>
          </cell>
          <cell r="H61">
            <v>5.2494343901185E-2</v>
          </cell>
          <cell r="I61">
            <v>707.90000000000009</v>
          </cell>
          <cell r="J61">
            <v>0</v>
          </cell>
          <cell r="K61">
            <v>39964231</v>
          </cell>
        </row>
        <row r="62">
          <cell r="A62">
            <v>2011</v>
          </cell>
          <cell r="D62">
            <v>83706926.409999996</v>
          </cell>
          <cell r="E62">
            <v>384376.99633979797</v>
          </cell>
          <cell r="F62">
            <v>0</v>
          </cell>
          <cell r="H62">
            <v>0.41911749784950603</v>
          </cell>
          <cell r="I62">
            <v>791.40000000000032</v>
          </cell>
          <cell r="J62">
            <v>0</v>
          </cell>
          <cell r="K62">
            <v>41385749</v>
          </cell>
        </row>
        <row r="63">
          <cell r="A63">
            <v>2011</v>
          </cell>
          <cell r="D63">
            <v>75367134.579999998</v>
          </cell>
          <cell r="E63">
            <v>349597.11366915703</v>
          </cell>
          <cell r="F63">
            <v>0</v>
          </cell>
          <cell r="H63">
            <v>-0.50700916400478402</v>
          </cell>
          <cell r="I63">
            <v>674.80000000000018</v>
          </cell>
          <cell r="J63">
            <v>0</v>
          </cell>
          <cell r="K63">
            <v>40385682</v>
          </cell>
        </row>
        <row r="64">
          <cell r="A64">
            <v>2011</v>
          </cell>
          <cell r="D64">
            <v>80344897.799999997</v>
          </cell>
          <cell r="E64">
            <v>340423.90155982901</v>
          </cell>
          <cell r="F64">
            <v>0</v>
          </cell>
          <cell r="H64">
            <v>6.2739784171715995E-2</v>
          </cell>
          <cell r="I64">
            <v>347.40000000000009</v>
          </cell>
          <cell r="J64">
            <v>0</v>
          </cell>
          <cell r="K64">
            <v>43636079</v>
          </cell>
        </row>
        <row r="65">
          <cell r="A65">
            <v>2011</v>
          </cell>
          <cell r="D65">
            <v>70865312.989999995</v>
          </cell>
          <cell r="E65">
            <v>269467.87193298299</v>
          </cell>
          <cell r="F65">
            <v>0</v>
          </cell>
          <cell r="H65">
            <v>-0.69420914264628397</v>
          </cell>
          <cell r="I65">
            <v>341.09999999999997</v>
          </cell>
          <cell r="J65">
            <v>0</v>
          </cell>
          <cell r="K65">
            <v>40502825</v>
          </cell>
        </row>
        <row r="66">
          <cell r="A66">
            <v>2011</v>
          </cell>
          <cell r="D66">
            <v>72286371.620000005</v>
          </cell>
          <cell r="E66">
            <v>252420.57922744699</v>
          </cell>
          <cell r="F66">
            <v>0</v>
          </cell>
          <cell r="H66">
            <v>-0.29386468836728802</v>
          </cell>
          <cell r="I66">
            <v>144.70000000000005</v>
          </cell>
          <cell r="J66">
            <v>20.200000000000003</v>
          </cell>
          <cell r="K66">
            <v>41346450</v>
          </cell>
        </row>
        <row r="67">
          <cell r="A67">
            <v>2011</v>
          </cell>
          <cell r="D67">
            <v>79668877.659999996</v>
          </cell>
          <cell r="E67">
            <v>239945.916801452</v>
          </cell>
          <cell r="F67">
            <v>0</v>
          </cell>
          <cell r="H67">
            <v>0.37476870063614698</v>
          </cell>
          <cell r="I67">
            <v>28.400000000000002</v>
          </cell>
          <cell r="J67">
            <v>52.499999999999993</v>
          </cell>
          <cell r="K67">
            <v>42150675</v>
          </cell>
        </row>
        <row r="68">
          <cell r="A68">
            <v>2011</v>
          </cell>
          <cell r="D68">
            <v>98736539.680000007</v>
          </cell>
          <cell r="E68">
            <v>254826.78520965501</v>
          </cell>
          <cell r="F68">
            <v>0</v>
          </cell>
          <cell r="H68">
            <v>1.1308832727931699</v>
          </cell>
          <cell r="I68">
            <v>0.1</v>
          </cell>
          <cell r="J68">
            <v>170.00000000000006</v>
          </cell>
          <cell r="K68">
            <v>40454374</v>
          </cell>
        </row>
        <row r="69">
          <cell r="A69">
            <v>2011</v>
          </cell>
          <cell r="D69">
            <v>93571080.129999995</v>
          </cell>
          <cell r="E69">
            <v>256562.342046737</v>
          </cell>
          <cell r="F69">
            <v>0</v>
          </cell>
          <cell r="H69">
            <v>1.5427178235774599</v>
          </cell>
          <cell r="I69">
            <v>5.1000000000000005</v>
          </cell>
          <cell r="J69">
            <v>75.900000000000006</v>
          </cell>
          <cell r="K69">
            <v>44495143</v>
          </cell>
        </row>
        <row r="70">
          <cell r="A70">
            <v>2011</v>
          </cell>
          <cell r="D70">
            <v>81593769.969999999</v>
          </cell>
          <cell r="E70">
            <v>232498.59032249401</v>
          </cell>
          <cell r="F70">
            <v>0</v>
          </cell>
          <cell r="H70">
            <v>0.608962832123631</v>
          </cell>
          <cell r="I70">
            <v>77.599999999999994</v>
          </cell>
          <cell r="J70">
            <v>32.699999999999996</v>
          </cell>
          <cell r="K70">
            <v>44495209</v>
          </cell>
        </row>
        <row r="71">
          <cell r="A71">
            <v>2011</v>
          </cell>
          <cell r="D71">
            <v>76273617.739999995</v>
          </cell>
          <cell r="E71">
            <v>224362.322841644</v>
          </cell>
          <cell r="F71">
            <v>0</v>
          </cell>
          <cell r="H71">
            <v>0.23319624263806399</v>
          </cell>
          <cell r="I71">
            <v>228.29999999999998</v>
          </cell>
          <cell r="J71">
            <v>0</v>
          </cell>
          <cell r="K71">
            <v>44798937</v>
          </cell>
        </row>
        <row r="72">
          <cell r="A72">
            <v>2011</v>
          </cell>
          <cell r="D72">
            <v>77445742.620000005</v>
          </cell>
          <cell r="E72">
            <v>224929.06146430899</v>
          </cell>
          <cell r="F72">
            <v>0</v>
          </cell>
          <cell r="H72">
            <v>-2.0326425795801999E-2</v>
          </cell>
          <cell r="I72">
            <v>333.5</v>
          </cell>
          <cell r="J72">
            <v>0</v>
          </cell>
          <cell r="K72">
            <v>44900275</v>
          </cell>
        </row>
        <row r="73">
          <cell r="A73">
            <v>2011</v>
          </cell>
          <cell r="D73">
            <v>78733416.469999999</v>
          </cell>
          <cell r="E73">
            <v>257071.20935058501</v>
          </cell>
          <cell r="F73">
            <v>0</v>
          </cell>
          <cell r="H73">
            <v>5.2494343901185E-2</v>
          </cell>
          <cell r="I73">
            <v>507.69999999999993</v>
          </cell>
          <cell r="J73">
            <v>0</v>
          </cell>
          <cell r="K73">
            <v>44435561</v>
          </cell>
        </row>
        <row r="74">
          <cell r="A74">
            <v>2012</v>
          </cell>
          <cell r="D74">
            <v>83350470.774909541</v>
          </cell>
          <cell r="E74">
            <v>296559.85457229603</v>
          </cell>
          <cell r="F74">
            <v>0</v>
          </cell>
          <cell r="H74">
            <v>0.41911749784950603</v>
          </cell>
          <cell r="I74">
            <v>613.20000000000016</v>
          </cell>
          <cell r="J74">
            <v>0</v>
          </cell>
          <cell r="K74">
            <v>44700072</v>
          </cell>
        </row>
        <row r="75">
          <cell r="A75">
            <v>2012</v>
          </cell>
          <cell r="D75">
            <v>77534215.551245511</v>
          </cell>
          <cell r="E75">
            <v>270658.73049545201</v>
          </cell>
          <cell r="F75">
            <v>0</v>
          </cell>
          <cell r="H75">
            <v>-0.50700916400478402</v>
          </cell>
          <cell r="I75">
            <v>530.19999999999993</v>
          </cell>
          <cell r="J75">
            <v>0</v>
          </cell>
          <cell r="K75">
            <v>42889850</v>
          </cell>
        </row>
        <row r="76">
          <cell r="A76">
            <v>2012</v>
          </cell>
          <cell r="D76">
            <v>76965960.904990226</v>
          </cell>
          <cell r="E76">
            <v>273220.977241516</v>
          </cell>
          <cell r="F76">
            <v>0</v>
          </cell>
          <cell r="H76">
            <v>6.2739784171715995E-2</v>
          </cell>
          <cell r="I76">
            <v>320.90000000000003</v>
          </cell>
          <cell r="J76">
            <v>0</v>
          </cell>
          <cell r="K76">
            <v>46011356</v>
          </cell>
        </row>
        <row r="77">
          <cell r="A77">
            <v>2012</v>
          </cell>
          <cell r="D77">
            <v>70563282.782406002</v>
          </cell>
          <cell r="E77">
            <v>239875.21442222499</v>
          </cell>
          <cell r="F77">
            <v>0</v>
          </cell>
          <cell r="H77">
            <v>-0.69420914264628397</v>
          </cell>
          <cell r="I77">
            <v>329.2999999999999</v>
          </cell>
          <cell r="J77">
            <v>0</v>
          </cell>
          <cell r="K77">
            <v>45391465</v>
          </cell>
        </row>
        <row r="78">
          <cell r="A78">
            <v>2012</v>
          </cell>
          <cell r="D78">
            <v>76978073.119081989</v>
          </cell>
          <cell r="E78">
            <v>242769.89865589101</v>
          </cell>
          <cell r="F78">
            <v>0</v>
          </cell>
          <cell r="H78">
            <v>-0.29386468836728802</v>
          </cell>
          <cell r="I78">
            <v>85.100000000000009</v>
          </cell>
          <cell r="J78">
            <v>18.7</v>
          </cell>
          <cell r="K78">
            <v>47528183</v>
          </cell>
        </row>
        <row r="79">
          <cell r="A79">
            <v>2012</v>
          </cell>
          <cell r="D79">
            <v>87498949.417635188</v>
          </cell>
          <cell r="E79">
            <v>228549.91664791101</v>
          </cell>
          <cell r="F79">
            <v>0</v>
          </cell>
          <cell r="H79">
            <v>0.37476870063614698</v>
          </cell>
          <cell r="I79">
            <v>1</v>
          </cell>
          <cell r="J79">
            <v>28.7</v>
          </cell>
          <cell r="K79">
            <v>47227131</v>
          </cell>
        </row>
        <row r="80">
          <cell r="A80">
            <v>2012</v>
          </cell>
          <cell r="D80">
            <v>99161585.282704368</v>
          </cell>
          <cell r="E80">
            <v>203412.83810997001</v>
          </cell>
          <cell r="F80">
            <v>0</v>
          </cell>
          <cell r="H80">
            <v>1.1308832727931699</v>
          </cell>
          <cell r="I80">
            <v>0</v>
          </cell>
          <cell r="J80">
            <v>115.6</v>
          </cell>
          <cell r="K80">
            <v>42833426</v>
          </cell>
        </row>
        <row r="81">
          <cell r="A81">
            <v>2012</v>
          </cell>
          <cell r="D81">
            <v>91562639.407286748</v>
          </cell>
          <cell r="E81">
            <v>236207.08723449701</v>
          </cell>
          <cell r="F81">
            <v>0</v>
          </cell>
          <cell r="H81">
            <v>1.5427178235774599</v>
          </cell>
          <cell r="I81">
            <v>9.7999999999999989</v>
          </cell>
          <cell r="J81">
            <v>64.2</v>
          </cell>
          <cell r="K81">
            <v>46525071</v>
          </cell>
        </row>
        <row r="82">
          <cell r="A82">
            <v>2012</v>
          </cell>
          <cell r="D82">
            <v>79318221.605655447</v>
          </cell>
          <cell r="E82">
            <v>221821.155338287</v>
          </cell>
          <cell r="F82">
            <v>0</v>
          </cell>
          <cell r="H82">
            <v>0.608962832123631</v>
          </cell>
          <cell r="I82">
            <v>101.20000000000002</v>
          </cell>
          <cell r="J82">
            <v>27.4</v>
          </cell>
          <cell r="K82">
            <v>44793226</v>
          </cell>
        </row>
        <row r="83">
          <cell r="A83">
            <v>2012</v>
          </cell>
          <cell r="D83">
            <v>76122124.602700442</v>
          </cell>
          <cell r="E83">
            <v>224738.66151428199</v>
          </cell>
          <cell r="F83">
            <v>0</v>
          </cell>
          <cell r="H83">
            <v>0.23319624263806399</v>
          </cell>
          <cell r="I83">
            <v>238.10000000000002</v>
          </cell>
          <cell r="J83">
            <v>2.7</v>
          </cell>
          <cell r="K83">
            <v>45235573</v>
          </cell>
        </row>
        <row r="84">
          <cell r="A84">
            <v>2012</v>
          </cell>
          <cell r="D84">
            <v>77701975.993199721</v>
          </cell>
          <cell r="E84">
            <v>291203.158073425</v>
          </cell>
          <cell r="F84">
            <v>0</v>
          </cell>
          <cell r="H84">
            <v>-2.0326425795801999E-2</v>
          </cell>
          <cell r="I84">
            <v>437.49999999999994</v>
          </cell>
          <cell r="J84">
            <v>0</v>
          </cell>
          <cell r="K84">
            <v>45914231</v>
          </cell>
        </row>
        <row r="85">
          <cell r="A85">
            <v>2012</v>
          </cell>
          <cell r="D85">
            <v>76850464.918402866</v>
          </cell>
          <cell r="E85">
            <v>282595.17002296401</v>
          </cell>
          <cell r="F85">
            <v>0</v>
          </cell>
          <cell r="H85">
            <v>5.2494343901185E-2</v>
          </cell>
          <cell r="I85">
            <v>501.40000000000009</v>
          </cell>
          <cell r="J85">
            <v>0</v>
          </cell>
          <cell r="K85">
            <v>41774375</v>
          </cell>
        </row>
        <row r="86">
          <cell r="A86">
            <v>2013</v>
          </cell>
          <cell r="D86">
            <v>83735387.97302936</v>
          </cell>
          <cell r="E86">
            <v>285594.26222228998</v>
          </cell>
          <cell r="F86">
            <v>0</v>
          </cell>
          <cell r="H86">
            <v>0.41911749784950603</v>
          </cell>
          <cell r="I86">
            <v>639.30000000000007</v>
          </cell>
          <cell r="J86">
            <v>0</v>
          </cell>
          <cell r="K86">
            <v>43255833</v>
          </cell>
        </row>
        <row r="87">
          <cell r="A87">
            <v>2013</v>
          </cell>
          <cell r="D87">
            <v>76915645.530566543</v>
          </cell>
          <cell r="E87">
            <v>315742.53616774001</v>
          </cell>
          <cell r="F87">
            <v>0</v>
          </cell>
          <cell r="H87">
            <v>-0.50700916400478402</v>
          </cell>
          <cell r="I87">
            <v>617</v>
          </cell>
          <cell r="J87">
            <v>0</v>
          </cell>
          <cell r="K87">
            <v>43116627</v>
          </cell>
        </row>
        <row r="88">
          <cell r="A88">
            <v>2013</v>
          </cell>
          <cell r="D88">
            <v>78384467.025207594</v>
          </cell>
          <cell r="E88">
            <v>283012.35421562102</v>
          </cell>
          <cell r="F88">
            <v>0</v>
          </cell>
          <cell r="H88">
            <v>6.2739784171715995E-2</v>
          </cell>
          <cell r="I88">
            <v>547.9</v>
          </cell>
          <cell r="J88">
            <v>0</v>
          </cell>
          <cell r="K88">
            <v>44960463</v>
          </cell>
        </row>
        <row r="89">
          <cell r="A89">
            <v>2013</v>
          </cell>
          <cell r="D89">
            <v>72681683.443277434</v>
          </cell>
          <cell r="E89">
            <v>197772.51174354501</v>
          </cell>
          <cell r="F89">
            <v>0</v>
          </cell>
          <cell r="H89">
            <v>-0.69420914264628397</v>
          </cell>
          <cell r="I89">
            <v>353.59999999999997</v>
          </cell>
          <cell r="J89">
            <v>0</v>
          </cell>
          <cell r="K89">
            <v>44976603</v>
          </cell>
        </row>
        <row r="90">
          <cell r="A90">
            <v>2013</v>
          </cell>
          <cell r="D90">
            <v>75087148.648424909</v>
          </cell>
          <cell r="E90">
            <v>164779.47694778399</v>
          </cell>
          <cell r="F90">
            <v>0</v>
          </cell>
          <cell r="H90">
            <v>-0.29386468836728802</v>
          </cell>
          <cell r="I90">
            <v>123.20000000000002</v>
          </cell>
          <cell r="J90">
            <v>34.9</v>
          </cell>
          <cell r="K90">
            <v>46651790</v>
          </cell>
        </row>
        <row r="91">
          <cell r="A91">
            <v>2013</v>
          </cell>
          <cell r="D91">
            <v>79035304.977132231</v>
          </cell>
          <cell r="E91">
            <v>127637.383321762</v>
          </cell>
          <cell r="F91">
            <v>0</v>
          </cell>
          <cell r="H91">
            <v>0.37476870063614698</v>
          </cell>
          <cell r="I91">
            <v>42.3</v>
          </cell>
          <cell r="J91">
            <v>59.4</v>
          </cell>
          <cell r="K91">
            <v>45335122</v>
          </cell>
        </row>
        <row r="92">
          <cell r="A92">
            <v>2013</v>
          </cell>
          <cell r="D92">
            <v>94541769.624440745</v>
          </cell>
          <cell r="E92">
            <v>0</v>
          </cell>
          <cell r="F92">
            <v>0</v>
          </cell>
          <cell r="H92">
            <v>1.1308832727931699</v>
          </cell>
          <cell r="I92">
            <v>10.8</v>
          </cell>
          <cell r="J92">
            <v>105.5</v>
          </cell>
          <cell r="K92">
            <v>44400265</v>
          </cell>
        </row>
        <row r="93">
          <cell r="A93">
            <v>2013</v>
          </cell>
          <cell r="D93">
            <v>89781914.584842682</v>
          </cell>
          <cell r="E93">
            <v>0</v>
          </cell>
          <cell r="F93">
            <v>0</v>
          </cell>
          <cell r="H93">
            <v>1.5427178235774599</v>
          </cell>
          <cell r="I93">
            <v>19.2</v>
          </cell>
          <cell r="J93">
            <v>58.999999999999993</v>
          </cell>
          <cell r="K93">
            <v>45231055</v>
          </cell>
        </row>
        <row r="94">
          <cell r="A94">
            <v>2013</v>
          </cell>
          <cell r="D94">
            <v>80998234.489394829</v>
          </cell>
          <cell r="E94">
            <v>0</v>
          </cell>
          <cell r="F94">
            <v>0</v>
          </cell>
          <cell r="H94">
            <v>0.608962832123631</v>
          </cell>
          <cell r="I94">
            <v>89.399999999999991</v>
          </cell>
          <cell r="J94">
            <v>30.8</v>
          </cell>
          <cell r="K94">
            <v>45667260</v>
          </cell>
        </row>
        <row r="95">
          <cell r="A95">
            <v>2013</v>
          </cell>
          <cell r="D95">
            <v>79087293.630566046</v>
          </cell>
          <cell r="E95">
            <v>0</v>
          </cell>
          <cell r="F95">
            <v>0</v>
          </cell>
          <cell r="H95">
            <v>0.23319624263806399</v>
          </cell>
          <cell r="I95">
            <v>195.69999999999996</v>
          </cell>
          <cell r="J95">
            <v>9.1999999999999993</v>
          </cell>
          <cell r="K95">
            <v>46815382</v>
          </cell>
        </row>
        <row r="96">
          <cell r="A96">
            <v>2013</v>
          </cell>
          <cell r="D96">
            <v>79031975.338957369</v>
          </cell>
          <cell r="E96">
            <v>0</v>
          </cell>
          <cell r="F96">
            <v>0</v>
          </cell>
          <cell r="H96">
            <v>-2.0326425795801999E-2</v>
          </cell>
          <cell r="I96">
            <v>452.49999999999994</v>
          </cell>
          <cell r="J96">
            <v>0</v>
          </cell>
          <cell r="K96">
            <v>46503422</v>
          </cell>
        </row>
        <row r="97">
          <cell r="A97">
            <v>2013</v>
          </cell>
          <cell r="D97">
            <v>81479866.280675709</v>
          </cell>
          <cell r="E97">
            <v>0</v>
          </cell>
          <cell r="F97">
            <v>0</v>
          </cell>
          <cell r="H97">
            <v>5.2494343901185E-2</v>
          </cell>
          <cell r="I97">
            <v>648.89999999999986</v>
          </cell>
          <cell r="J97">
            <v>0</v>
          </cell>
          <cell r="K97">
            <v>44126783</v>
          </cell>
        </row>
        <row r="98">
          <cell r="A98">
            <v>2014</v>
          </cell>
          <cell r="D98">
            <v>89964154.906155244</v>
          </cell>
          <cell r="E98">
            <v>0</v>
          </cell>
          <cell r="F98">
            <v>0</v>
          </cell>
          <cell r="H98">
            <v>0.41911749784950603</v>
          </cell>
          <cell r="I98">
            <v>826.30000000000007</v>
          </cell>
          <cell r="J98">
            <v>0</v>
          </cell>
          <cell r="K98">
            <v>43836746</v>
          </cell>
        </row>
        <row r="99">
          <cell r="A99">
            <v>2014</v>
          </cell>
          <cell r="D99">
            <v>79548214.208967507</v>
          </cell>
          <cell r="E99">
            <v>0</v>
          </cell>
          <cell r="F99">
            <v>0</v>
          </cell>
          <cell r="H99">
            <v>-0.50700916400478402</v>
          </cell>
          <cell r="I99">
            <v>758.4</v>
          </cell>
          <cell r="J99">
            <v>0</v>
          </cell>
          <cell r="K99">
            <v>44788193</v>
          </cell>
        </row>
        <row r="100">
          <cell r="A100">
            <v>2014</v>
          </cell>
          <cell r="D100">
            <v>85916309.077656254</v>
          </cell>
          <cell r="E100">
            <v>0</v>
          </cell>
          <cell r="F100">
            <v>0</v>
          </cell>
          <cell r="H100">
            <v>6.2739784171715995E-2</v>
          </cell>
          <cell r="I100">
            <v>656.80000000000007</v>
          </cell>
          <cell r="J100">
            <v>0</v>
          </cell>
          <cell r="K100">
            <v>47969252</v>
          </cell>
        </row>
        <row r="101">
          <cell r="A101">
            <v>2014</v>
          </cell>
          <cell r="D101">
            <v>70343409.861830845</v>
          </cell>
          <cell r="E101">
            <v>0</v>
          </cell>
          <cell r="F101">
            <v>0</v>
          </cell>
          <cell r="H101">
            <v>-0.69420914264628397</v>
          </cell>
          <cell r="I101">
            <v>342</v>
          </cell>
          <cell r="J101">
            <v>0</v>
          </cell>
          <cell r="K101">
            <v>47134140</v>
          </cell>
        </row>
        <row r="102">
          <cell r="A102">
            <v>2014</v>
          </cell>
          <cell r="D102">
            <v>71981983.570672125</v>
          </cell>
          <cell r="E102">
            <v>0</v>
          </cell>
          <cell r="F102">
            <v>0</v>
          </cell>
          <cell r="H102">
            <v>-0.29386468836728802</v>
          </cell>
          <cell r="I102">
            <v>140.9</v>
          </cell>
          <cell r="J102">
            <v>14</v>
          </cell>
          <cell r="K102">
            <v>49398644</v>
          </cell>
        </row>
        <row r="103">
          <cell r="A103">
            <v>2014</v>
          </cell>
          <cell r="D103">
            <v>82005909.827866927</v>
          </cell>
          <cell r="E103">
            <v>0</v>
          </cell>
          <cell r="F103">
            <v>0</v>
          </cell>
          <cell r="H103">
            <v>0.37476870063614698</v>
          </cell>
          <cell r="I103">
            <v>18.499999999999996</v>
          </cell>
          <cell r="J103">
            <v>73.899999999999991</v>
          </cell>
          <cell r="K103">
            <v>48856376</v>
          </cell>
        </row>
        <row r="104">
          <cell r="A104">
            <v>2014</v>
          </cell>
          <cell r="D104">
            <v>86507061.367286459</v>
          </cell>
          <cell r="E104">
            <v>0</v>
          </cell>
          <cell r="F104">
            <v>0</v>
          </cell>
          <cell r="H104">
            <v>1.1308832727931699</v>
          </cell>
          <cell r="I104">
            <v>15.899999999999999</v>
          </cell>
          <cell r="J104">
            <v>49.399999999999984</v>
          </cell>
          <cell r="K104">
            <v>44707266.637499996</v>
          </cell>
        </row>
        <row r="105">
          <cell r="A105">
            <v>2014</v>
          </cell>
          <cell r="D105">
            <v>87881427.978607193</v>
          </cell>
          <cell r="E105">
            <v>0</v>
          </cell>
          <cell r="F105">
            <v>0</v>
          </cell>
          <cell r="H105">
            <v>1.5427178235774599</v>
          </cell>
          <cell r="I105">
            <v>17.100000000000001</v>
          </cell>
          <cell r="J105">
            <v>60.300000000000004</v>
          </cell>
          <cell r="K105">
            <v>47025014.574999996</v>
          </cell>
        </row>
        <row r="106">
          <cell r="A106">
            <v>2014</v>
          </cell>
          <cell r="D106">
            <v>80675294.254468709</v>
          </cell>
          <cell r="E106">
            <v>0</v>
          </cell>
          <cell r="F106">
            <v>0</v>
          </cell>
          <cell r="H106">
            <v>0.608962832123631</v>
          </cell>
          <cell r="I106">
            <v>97.100000000000009</v>
          </cell>
          <cell r="J106">
            <v>26.900000000000002</v>
          </cell>
          <cell r="K106">
            <v>46360999.074999996</v>
          </cell>
        </row>
        <row r="107">
          <cell r="A107">
            <v>2014</v>
          </cell>
          <cell r="D107">
            <v>77280642.136512533</v>
          </cell>
          <cell r="E107">
            <v>0</v>
          </cell>
          <cell r="F107">
            <v>0</v>
          </cell>
          <cell r="H107">
            <v>0.23319624263806399</v>
          </cell>
          <cell r="I107">
            <v>231.49999999999997</v>
          </cell>
          <cell r="J107">
            <v>0</v>
          </cell>
          <cell r="K107">
            <v>47176114.437499993</v>
          </cell>
        </row>
        <row r="108">
          <cell r="A108">
            <v>2014</v>
          </cell>
          <cell r="D108">
            <v>79307673.390512124</v>
          </cell>
          <cell r="E108">
            <v>0</v>
          </cell>
          <cell r="F108">
            <v>0</v>
          </cell>
          <cell r="H108">
            <v>-2.0326425795801999E-2</v>
          </cell>
          <cell r="I108">
            <v>469.39999999999992</v>
          </cell>
          <cell r="J108">
            <v>0</v>
          </cell>
          <cell r="K108">
            <v>47364047.162499994</v>
          </cell>
        </row>
        <row r="109">
          <cell r="A109">
            <v>2014</v>
          </cell>
          <cell r="D109">
            <v>79700906.800489813</v>
          </cell>
          <cell r="E109">
            <v>0</v>
          </cell>
          <cell r="F109">
            <v>0</v>
          </cell>
          <cell r="H109">
            <v>5.2494343901185E-2</v>
          </cell>
          <cell r="I109">
            <v>526.70000000000005</v>
          </cell>
          <cell r="J109">
            <v>0</v>
          </cell>
          <cell r="K109">
            <v>44024343.474999994</v>
          </cell>
        </row>
        <row r="110">
          <cell r="A110">
            <v>2015</v>
          </cell>
          <cell r="H110">
            <v>0.41911749784950603</v>
          </cell>
          <cell r="I110">
            <v>678.35</v>
          </cell>
          <cell r="J110">
            <v>0</v>
          </cell>
          <cell r="K110">
            <v>46204336.345312499</v>
          </cell>
        </row>
        <row r="111">
          <cell r="A111">
            <v>2015</v>
          </cell>
          <cell r="H111">
            <v>-0.50700916400478402</v>
          </cell>
          <cell r="I111">
            <v>632.47500000000002</v>
          </cell>
          <cell r="J111">
            <v>0</v>
          </cell>
          <cell r="K111">
            <v>45180277.449062496</v>
          </cell>
        </row>
        <row r="112">
          <cell r="A112">
            <v>2015</v>
          </cell>
          <cell r="H112">
            <v>6.2739784171715995E-2</v>
          </cell>
          <cell r="I112">
            <v>474.8</v>
          </cell>
          <cell r="J112">
            <v>0</v>
          </cell>
          <cell r="K112">
            <v>47788633.668437496</v>
          </cell>
        </row>
        <row r="113">
          <cell r="A113">
            <v>2015</v>
          </cell>
          <cell r="H113">
            <v>-0.69420914264628397</v>
          </cell>
          <cell r="I113">
            <v>313.27499999999992</v>
          </cell>
          <cell r="J113">
            <v>0.2</v>
          </cell>
          <cell r="K113">
            <v>47471475.721249998</v>
          </cell>
        </row>
        <row r="114">
          <cell r="A114">
            <v>2015</v>
          </cell>
          <cell r="H114">
            <v>-0.29386468836728802</v>
          </cell>
          <cell r="I114">
            <v>140.61250000000001</v>
          </cell>
          <cell r="J114">
            <v>19.512500000000003</v>
          </cell>
          <cell r="K114">
            <v>49473917.066562496</v>
          </cell>
        </row>
        <row r="115">
          <cell r="A115">
            <v>2015</v>
          </cell>
          <cell r="H115">
            <v>0.37476870063614698</v>
          </cell>
          <cell r="I115">
            <v>29.362499999999997</v>
          </cell>
          <cell r="J115">
            <v>51.687499999999993</v>
          </cell>
          <cell r="K115">
            <v>48624108.529062495</v>
          </cell>
        </row>
        <row r="116">
          <cell r="A116">
            <v>2015</v>
          </cell>
          <cell r="H116">
            <v>1.1308832727931699</v>
          </cell>
          <cell r="I116">
            <v>9.15</v>
          </cell>
          <cell r="J116">
            <v>106.98750000000001</v>
          </cell>
          <cell r="K116">
            <v>45824948.303437494</v>
          </cell>
        </row>
        <row r="117">
          <cell r="A117">
            <v>2015</v>
          </cell>
          <cell r="H117">
            <v>1.5427178235774599</v>
          </cell>
          <cell r="I117">
            <v>13.8</v>
          </cell>
          <cell r="J117">
            <v>69.824999999999989</v>
          </cell>
          <cell r="K117">
            <v>48200639.939374998</v>
          </cell>
        </row>
        <row r="118">
          <cell r="A118">
            <v>2015</v>
          </cell>
          <cell r="H118">
            <v>0.608962832123631</v>
          </cell>
          <cell r="I118">
            <v>81.3</v>
          </cell>
          <cell r="J118">
            <v>27.375000000000004</v>
          </cell>
          <cell r="K118">
            <v>47520024.051874995</v>
          </cell>
        </row>
        <row r="119">
          <cell r="A119">
            <v>2015</v>
          </cell>
          <cell r="H119">
            <v>0.23319624263806399</v>
          </cell>
          <cell r="I119">
            <v>238.28749999999999</v>
          </cell>
          <cell r="J119">
            <v>5.4124999999999996</v>
          </cell>
          <cell r="K119">
            <v>48355517.298437499</v>
          </cell>
        </row>
        <row r="120">
          <cell r="A120">
            <v>2015</v>
          </cell>
          <cell r="H120">
            <v>-2.0326425795801999E-2</v>
          </cell>
          <cell r="I120">
            <v>408.42500000000007</v>
          </cell>
          <cell r="J120">
            <v>0</v>
          </cell>
          <cell r="K120">
            <v>48548148.341562495</v>
          </cell>
        </row>
        <row r="121">
          <cell r="A121">
            <v>2015</v>
          </cell>
          <cell r="H121">
            <v>5.2494343901185E-2</v>
          </cell>
          <cell r="I121">
            <v>596.63749999999993</v>
          </cell>
          <cell r="J121">
            <v>0</v>
          </cell>
          <cell r="K121">
            <v>45124952.061874993</v>
          </cell>
        </row>
        <row r="122">
          <cell r="A122">
            <v>2016</v>
          </cell>
          <cell r="H122">
            <v>0.41911749784950603</v>
          </cell>
          <cell r="I122">
            <v>678.35</v>
          </cell>
          <cell r="J122">
            <v>0</v>
          </cell>
          <cell r="K122">
            <v>47359444.753945306</v>
          </cell>
        </row>
        <row r="123">
          <cell r="A123">
            <v>2016</v>
          </cell>
          <cell r="H123">
            <v>-0.50700916400478402</v>
          </cell>
          <cell r="I123">
            <v>632.47500000000002</v>
          </cell>
          <cell r="J123">
            <v>0</v>
          </cell>
          <cell r="K123">
            <v>46309784.385289058</v>
          </cell>
        </row>
        <row r="124">
          <cell r="A124">
            <v>2016</v>
          </cell>
          <cell r="H124">
            <v>6.2739784171715995E-2</v>
          </cell>
          <cell r="I124">
            <v>474.8</v>
          </cell>
          <cell r="J124">
            <v>0</v>
          </cell>
          <cell r="K124">
            <v>48983349.510148428</v>
          </cell>
        </row>
        <row r="125">
          <cell r="A125">
            <v>2016</v>
          </cell>
          <cell r="H125">
            <v>-0.69420914264628397</v>
          </cell>
          <cell r="I125">
            <v>313.27499999999992</v>
          </cell>
          <cell r="J125">
            <v>0.2</v>
          </cell>
          <cell r="K125">
            <v>48658262.614281245</v>
          </cell>
        </row>
        <row r="126">
          <cell r="A126">
            <v>2016</v>
          </cell>
          <cell r="H126">
            <v>-0.29386468836728802</v>
          </cell>
          <cell r="I126">
            <v>140.61250000000001</v>
          </cell>
          <cell r="J126">
            <v>19.512500000000003</v>
          </cell>
          <cell r="K126">
            <v>50710764.993226558</v>
          </cell>
        </row>
        <row r="127">
          <cell r="A127">
            <v>2016</v>
          </cell>
          <cell r="H127">
            <v>0.37476870063614698</v>
          </cell>
          <cell r="I127">
            <v>29.362499999999997</v>
          </cell>
          <cell r="J127">
            <v>51.687499999999993</v>
          </cell>
          <cell r="K127">
            <v>49839711.242289059</v>
          </cell>
        </row>
        <row r="128">
          <cell r="A128">
            <v>2016</v>
          </cell>
          <cell r="H128">
            <v>1.1308832727931699</v>
          </cell>
          <cell r="I128">
            <v>9.15</v>
          </cell>
          <cell r="J128">
            <v>106.98750000000001</v>
          </cell>
          <cell r="K128">
            <v>46970572.011023432</v>
          </cell>
        </row>
        <row r="129">
          <cell r="A129">
            <v>2016</v>
          </cell>
          <cell r="H129">
            <v>1.5427178235774599</v>
          </cell>
          <cell r="I129">
            <v>13.8</v>
          </cell>
          <cell r="J129">
            <v>69.824999999999989</v>
          </cell>
          <cell r="K129">
            <v>49405655.937859371</v>
          </cell>
        </row>
        <row r="130">
          <cell r="A130">
            <v>2016</v>
          </cell>
          <cell r="H130">
            <v>0.608962832123631</v>
          </cell>
          <cell r="I130">
            <v>81.3</v>
          </cell>
          <cell r="J130">
            <v>27.375000000000004</v>
          </cell>
          <cell r="K130">
            <v>48708024.653171867</v>
          </cell>
        </row>
        <row r="131">
          <cell r="A131">
            <v>2016</v>
          </cell>
          <cell r="H131">
            <v>0.23319624263806399</v>
          </cell>
          <cell r="I131">
            <v>238.28749999999999</v>
          </cell>
          <cell r="J131">
            <v>5.4124999999999996</v>
          </cell>
          <cell r="K131">
            <v>49564405.230898432</v>
          </cell>
        </row>
        <row r="132">
          <cell r="A132">
            <v>2016</v>
          </cell>
          <cell r="H132">
            <v>-2.0326425795801999E-2</v>
          </cell>
          <cell r="I132">
            <v>408.42500000000007</v>
          </cell>
          <cell r="J132">
            <v>0</v>
          </cell>
          <cell r="K132">
            <v>49761852.050101556</v>
          </cell>
        </row>
        <row r="133">
          <cell r="A133">
            <v>2016</v>
          </cell>
          <cell r="H133">
            <v>5.2494343901185E-2</v>
          </cell>
          <cell r="I133">
            <v>596.63749999999993</v>
          </cell>
          <cell r="J133">
            <v>0</v>
          </cell>
          <cell r="K133">
            <v>46253075.863421872</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Data"/>
      <sheetName val="Tracking"/>
      <sheetName val="ADJ01_SMP-Intermediate"/>
      <sheetName val="ADJ02_DUT-LgGS"/>
      <sheetName val="ADJ03_Dresden"/>
      <sheetName val="ADJ04_ConAgra"/>
      <sheetName val="ADJ05_TilburyTS"/>
      <sheetName val="ADJ06_MarketPart"/>
      <sheetName val="ADJ07_COS10"/>
      <sheetName val="ADJ08_Greenfield"/>
    </sheetNames>
    <sheetDataSet>
      <sheetData sheetId="0" refreshError="1"/>
      <sheetData sheetId="1">
        <row r="1">
          <cell r="B1" t="str">
            <v>Year</v>
          </cell>
          <cell r="D1" t="str">
            <v>Rate Class</v>
          </cell>
          <cell r="E1" t="str">
            <v>SubClass</v>
          </cell>
          <cell r="F1" t="str">
            <v>No of Cust</v>
          </cell>
          <cell r="G1" t="str">
            <v>kWh</v>
          </cell>
          <cell r="H1" t="str">
            <v>kW</v>
          </cell>
        </row>
        <row r="2">
          <cell r="B2">
            <v>2006</v>
          </cell>
          <cell r="D2" t="str">
            <v>03_GS&gt;50</v>
          </cell>
          <cell r="F2">
            <v>-5</v>
          </cell>
          <cell r="G2">
            <v>-37350394.509999998</v>
          </cell>
          <cell r="H2">
            <v>-82292</v>
          </cell>
        </row>
        <row r="3">
          <cell r="B3">
            <v>2007</v>
          </cell>
          <cell r="D3" t="str">
            <v>03_GS&gt;50</v>
          </cell>
          <cell r="F3">
            <v>-5</v>
          </cell>
          <cell r="G3">
            <v>-39993250.670000002</v>
          </cell>
          <cell r="H3">
            <v>-97733.16</v>
          </cell>
        </row>
        <row r="4">
          <cell r="B4">
            <v>2008</v>
          </cell>
          <cell r="D4" t="str">
            <v>03_GS&gt;50</v>
          </cell>
          <cell r="F4">
            <v>-5</v>
          </cell>
          <cell r="G4">
            <v>-38445873.869999997</v>
          </cell>
          <cell r="H4">
            <v>-82292.84</v>
          </cell>
        </row>
        <row r="5">
          <cell r="B5">
            <v>2009</v>
          </cell>
          <cell r="D5" t="str">
            <v>03_GS&gt;50</v>
          </cell>
          <cell r="F5">
            <v>-5</v>
          </cell>
          <cell r="G5">
            <v>-33587264.979999997</v>
          </cell>
          <cell r="H5">
            <v>-78519.839999999997</v>
          </cell>
        </row>
        <row r="6">
          <cell r="B6">
            <v>2010</v>
          </cell>
          <cell r="D6" t="str">
            <v>03_GS&gt;50</v>
          </cell>
          <cell r="F6">
            <v>-5</v>
          </cell>
          <cell r="G6">
            <v>-40898961.689999998</v>
          </cell>
          <cell r="H6">
            <v>-87783.92</v>
          </cell>
        </row>
        <row r="7">
          <cell r="B7">
            <v>2011</v>
          </cell>
          <cell r="D7" t="str">
            <v>03_GS&gt;50</v>
          </cell>
          <cell r="F7">
            <v>-5</v>
          </cell>
          <cell r="G7">
            <v>-43881539.880000003</v>
          </cell>
          <cell r="H7">
            <v>-97443.36</v>
          </cell>
        </row>
        <row r="8">
          <cell r="B8">
            <v>2012</v>
          </cell>
          <cell r="D8" t="str">
            <v>03_GS&gt;50</v>
          </cell>
          <cell r="F8">
            <v>-5</v>
          </cell>
          <cell r="G8">
            <v>-45917019.710000001</v>
          </cell>
          <cell r="H8">
            <v>-91706.72</v>
          </cell>
        </row>
        <row r="9">
          <cell r="B9">
            <v>2013</v>
          </cell>
          <cell r="D9" t="str">
            <v>03_GS&gt;50</v>
          </cell>
          <cell r="F9">
            <v>-5</v>
          </cell>
          <cell r="G9">
            <v>-46466946.689999998</v>
          </cell>
          <cell r="H9">
            <v>-92137.08</v>
          </cell>
        </row>
        <row r="10">
          <cell r="B10">
            <v>2014</v>
          </cell>
          <cell r="D10" t="str">
            <v>03_GS&gt;50</v>
          </cell>
          <cell r="F10">
            <v>-6</v>
          </cell>
          <cell r="G10">
            <v>-50548562</v>
          </cell>
          <cell r="H10">
            <v>-99969</v>
          </cell>
        </row>
        <row r="11">
          <cell r="B11">
            <v>2006</v>
          </cell>
          <cell r="D11" t="str">
            <v>04_Intermediate</v>
          </cell>
          <cell r="F11">
            <v>5</v>
          </cell>
          <cell r="G11">
            <v>37350394.509999998</v>
          </cell>
          <cell r="H11">
            <v>82291.999999999985</v>
          </cell>
        </row>
        <row r="12">
          <cell r="B12">
            <v>2007</v>
          </cell>
          <cell r="D12" t="str">
            <v>04_Intermediate</v>
          </cell>
          <cell r="F12">
            <v>5</v>
          </cell>
          <cell r="G12">
            <v>39993250.669999987</v>
          </cell>
          <cell r="H12">
            <v>97733.159999999989</v>
          </cell>
        </row>
        <row r="13">
          <cell r="B13">
            <v>2008</v>
          </cell>
          <cell r="D13" t="str">
            <v>04_Intermediate</v>
          </cell>
          <cell r="F13">
            <v>5</v>
          </cell>
          <cell r="G13">
            <v>38445873.869999997</v>
          </cell>
          <cell r="H13">
            <v>82292.84</v>
          </cell>
        </row>
        <row r="14">
          <cell r="B14">
            <v>2009</v>
          </cell>
          <cell r="D14" t="str">
            <v>04_Intermediate</v>
          </cell>
          <cell r="F14">
            <v>5</v>
          </cell>
          <cell r="G14">
            <v>33587264.979999989</v>
          </cell>
          <cell r="H14">
            <v>78519.840000000026</v>
          </cell>
        </row>
        <row r="15">
          <cell r="B15">
            <v>2010</v>
          </cell>
          <cell r="D15" t="str">
            <v>04_Intermediate</v>
          </cell>
          <cell r="F15">
            <v>5</v>
          </cell>
          <cell r="G15">
            <v>40898961.689999998</v>
          </cell>
          <cell r="H15">
            <v>87783.919999999955</v>
          </cell>
        </row>
        <row r="16">
          <cell r="B16">
            <v>2011</v>
          </cell>
          <cell r="D16" t="str">
            <v>04_Intermediate</v>
          </cell>
          <cell r="F16">
            <v>5</v>
          </cell>
          <cell r="G16">
            <v>43881539.879999988</v>
          </cell>
          <cell r="H16">
            <v>97443.359999999986</v>
          </cell>
        </row>
        <row r="17">
          <cell r="B17">
            <v>2012</v>
          </cell>
          <cell r="D17" t="str">
            <v>04_Intermediate</v>
          </cell>
          <cell r="F17">
            <v>5</v>
          </cell>
          <cell r="G17">
            <v>45917019.710000016</v>
          </cell>
          <cell r="H17">
            <v>91706.719999999987</v>
          </cell>
        </row>
        <row r="18">
          <cell r="B18">
            <v>2013</v>
          </cell>
          <cell r="D18" t="str">
            <v>04_Intermediate</v>
          </cell>
          <cell r="F18">
            <v>5</v>
          </cell>
          <cell r="G18">
            <v>46466946.690000005</v>
          </cell>
          <cell r="H18">
            <v>92137.08</v>
          </cell>
        </row>
        <row r="19">
          <cell r="B19">
            <v>2014</v>
          </cell>
          <cell r="D19" t="str">
            <v>04_Intermediate</v>
          </cell>
          <cell r="F19">
            <v>6</v>
          </cell>
          <cell r="G19">
            <v>50548561.609999977</v>
          </cell>
          <cell r="H19">
            <v>99969.490000000034</v>
          </cell>
        </row>
        <row r="20">
          <cell r="B20">
            <v>2009</v>
          </cell>
          <cell r="D20" t="str">
            <v>02_GS&lt;50</v>
          </cell>
          <cell r="F20">
            <v>-3</v>
          </cell>
          <cell r="G20">
            <v>-843406.84</v>
          </cell>
        </row>
        <row r="21">
          <cell r="B21">
            <v>2010</v>
          </cell>
          <cell r="D21" t="str">
            <v>02_GS&lt;50</v>
          </cell>
          <cell r="F21">
            <v>-3</v>
          </cell>
          <cell r="G21">
            <v>-1286732.83</v>
          </cell>
        </row>
        <row r="22">
          <cell r="B22">
            <v>2011</v>
          </cell>
          <cell r="D22" t="str">
            <v>02_GS&lt;50</v>
          </cell>
          <cell r="F22">
            <v>-3</v>
          </cell>
          <cell r="G22">
            <v>-1209867.1299999999</v>
          </cell>
        </row>
        <row r="23">
          <cell r="B23">
            <v>2012</v>
          </cell>
          <cell r="D23" t="str">
            <v>02_GS&lt;50</v>
          </cell>
          <cell r="F23">
            <v>-3</v>
          </cell>
          <cell r="G23">
            <v>-1149186.32</v>
          </cell>
        </row>
        <row r="24">
          <cell r="B24">
            <v>2013</v>
          </cell>
          <cell r="D24" t="str">
            <v>02_GS&lt;50</v>
          </cell>
          <cell r="F24">
            <v>-3</v>
          </cell>
          <cell r="G24">
            <v>-1234918.55</v>
          </cell>
        </row>
        <row r="25">
          <cell r="B25">
            <v>2014</v>
          </cell>
          <cell r="D25" t="str">
            <v>02_GS&lt;50</v>
          </cell>
          <cell r="F25">
            <v>-3</v>
          </cell>
          <cell r="G25">
            <v>-1282767.1399999999</v>
          </cell>
        </row>
        <row r="26">
          <cell r="B26">
            <v>2009</v>
          </cell>
          <cell r="D26" t="str">
            <v>03_GS&gt;50</v>
          </cell>
          <cell r="F26">
            <v>3</v>
          </cell>
          <cell r="G26">
            <v>843406.84000000032</v>
          </cell>
          <cell r="H26">
            <v>785.76</v>
          </cell>
        </row>
        <row r="27">
          <cell r="B27">
            <v>2010</v>
          </cell>
          <cell r="D27" t="str">
            <v>03_GS&gt;50</v>
          </cell>
          <cell r="F27">
            <v>3</v>
          </cell>
          <cell r="G27">
            <v>1286732.8299999996</v>
          </cell>
          <cell r="H27">
            <v>2388.8399999999997</v>
          </cell>
        </row>
        <row r="28">
          <cell r="B28">
            <v>2011</v>
          </cell>
          <cell r="D28" t="str">
            <v>03_GS&gt;50</v>
          </cell>
          <cell r="F28">
            <v>3</v>
          </cell>
          <cell r="G28">
            <v>1209867.1299999997</v>
          </cell>
          <cell r="H28">
            <v>2951.08</v>
          </cell>
        </row>
        <row r="29">
          <cell r="B29">
            <v>2012</v>
          </cell>
          <cell r="D29" t="str">
            <v>03_GS&gt;50</v>
          </cell>
          <cell r="F29">
            <v>3</v>
          </cell>
          <cell r="G29">
            <v>1149186.32</v>
          </cell>
          <cell r="H29">
            <v>3116.900000000001</v>
          </cell>
        </row>
        <row r="30">
          <cell r="B30">
            <v>2013</v>
          </cell>
          <cell r="D30" t="str">
            <v>03_GS&gt;50</v>
          </cell>
          <cell r="F30">
            <v>3</v>
          </cell>
          <cell r="G30">
            <v>1234918.5499999996</v>
          </cell>
          <cell r="H30">
            <v>3159.4800000000005</v>
          </cell>
        </row>
        <row r="31">
          <cell r="B31">
            <v>2014</v>
          </cell>
          <cell r="D31" t="str">
            <v>03_GS&gt;50</v>
          </cell>
          <cell r="F31">
            <v>3</v>
          </cell>
          <cell r="G31">
            <v>1282767.1400000001</v>
          </cell>
          <cell r="H31">
            <v>3048.85</v>
          </cell>
        </row>
        <row r="32">
          <cell r="B32">
            <v>2007</v>
          </cell>
          <cell r="D32" t="str">
            <v>03_GS&gt;50</v>
          </cell>
          <cell r="F32">
            <v>-1</v>
          </cell>
          <cell r="G32">
            <v>-5294429.4000000004</v>
          </cell>
          <cell r="H32">
            <v>-10732.8</v>
          </cell>
        </row>
        <row r="33">
          <cell r="B33">
            <v>2008</v>
          </cell>
          <cell r="D33" t="str">
            <v>03_GS&gt;50</v>
          </cell>
          <cell r="F33">
            <v>-1</v>
          </cell>
          <cell r="G33">
            <v>-5200140.78</v>
          </cell>
          <cell r="H33">
            <v>-10432</v>
          </cell>
        </row>
        <row r="34">
          <cell r="B34">
            <v>2009</v>
          </cell>
          <cell r="D34" t="str">
            <v>03_GS&gt;50</v>
          </cell>
          <cell r="F34">
            <v>-1</v>
          </cell>
          <cell r="G34">
            <v>-5213282.71</v>
          </cell>
          <cell r="H34">
            <v>-10438.4</v>
          </cell>
        </row>
        <row r="35">
          <cell r="B35">
            <v>2010</v>
          </cell>
          <cell r="D35" t="str">
            <v>03_GS&gt;50</v>
          </cell>
          <cell r="F35">
            <v>-1</v>
          </cell>
          <cell r="G35">
            <v>-4851463.66</v>
          </cell>
          <cell r="H35">
            <v>-10284.799999999999</v>
          </cell>
        </row>
        <row r="36">
          <cell r="B36">
            <v>2011</v>
          </cell>
          <cell r="D36" t="str">
            <v>03_GS&gt;50</v>
          </cell>
          <cell r="F36">
            <v>-1</v>
          </cell>
          <cell r="G36">
            <v>-4151566.98</v>
          </cell>
          <cell r="H36">
            <v>-11257.6</v>
          </cell>
        </row>
        <row r="37">
          <cell r="B37">
            <v>2012</v>
          </cell>
          <cell r="D37" t="str">
            <v>03_GS&gt;50</v>
          </cell>
          <cell r="F37">
            <v>-1</v>
          </cell>
          <cell r="G37">
            <v>-4555496</v>
          </cell>
          <cell r="H37">
            <v>-10054.4</v>
          </cell>
        </row>
        <row r="38">
          <cell r="B38">
            <v>2013</v>
          </cell>
          <cell r="D38" t="str">
            <v>03_GS&gt;50</v>
          </cell>
          <cell r="F38">
            <v>-1</v>
          </cell>
          <cell r="G38">
            <v>-4612024.0999999996</v>
          </cell>
          <cell r="H38">
            <v>-9926.4</v>
          </cell>
        </row>
        <row r="39">
          <cell r="B39">
            <v>2014</v>
          </cell>
          <cell r="D39" t="str">
            <v>03_GS&gt;50</v>
          </cell>
          <cell r="F39">
            <v>-1</v>
          </cell>
          <cell r="G39">
            <v>-4634800.51</v>
          </cell>
          <cell r="H39">
            <v>-16051.2</v>
          </cell>
        </row>
        <row r="40">
          <cell r="B40">
            <v>2007</v>
          </cell>
          <cell r="D40" t="str">
            <v>10_EmbeddedDist</v>
          </cell>
          <cell r="F40">
            <v>1</v>
          </cell>
          <cell r="G40">
            <v>5294429.4000000004</v>
          </cell>
          <cell r="H40">
            <v>10732.8</v>
          </cell>
        </row>
        <row r="41">
          <cell r="B41">
            <v>2008</v>
          </cell>
          <cell r="D41" t="str">
            <v>10_EmbeddedDist</v>
          </cell>
          <cell r="F41">
            <v>1</v>
          </cell>
          <cell r="G41">
            <v>5200140.78</v>
          </cell>
          <cell r="H41">
            <v>10432</v>
          </cell>
        </row>
        <row r="42">
          <cell r="B42">
            <v>2009</v>
          </cell>
          <cell r="D42" t="str">
            <v>10_EmbeddedDist</v>
          </cell>
          <cell r="F42">
            <v>1</v>
          </cell>
          <cell r="G42">
            <v>5213282.71</v>
          </cell>
          <cell r="H42">
            <v>10438.4</v>
          </cell>
        </row>
        <row r="43">
          <cell r="B43">
            <v>2010</v>
          </cell>
          <cell r="D43" t="str">
            <v>10_EmbeddedDist</v>
          </cell>
          <cell r="F43">
            <v>1</v>
          </cell>
          <cell r="G43">
            <v>4851463.66</v>
          </cell>
          <cell r="H43">
            <v>10284.799999999999</v>
          </cell>
        </row>
        <row r="44">
          <cell r="B44">
            <v>2011</v>
          </cell>
          <cell r="D44" t="str">
            <v>10_EmbeddedDist</v>
          </cell>
          <cell r="F44">
            <v>1</v>
          </cell>
          <cell r="G44">
            <v>4151566.98</v>
          </cell>
          <cell r="H44">
            <v>11257.599999999999</v>
          </cell>
        </row>
        <row r="45">
          <cell r="B45">
            <v>2012</v>
          </cell>
          <cell r="D45" t="str">
            <v>10_EmbeddedDist</v>
          </cell>
          <cell r="F45">
            <v>1</v>
          </cell>
          <cell r="G45">
            <v>4555496</v>
          </cell>
          <cell r="H45">
            <v>10054.400000000001</v>
          </cell>
        </row>
        <row r="46">
          <cell r="B46">
            <v>2013</v>
          </cell>
          <cell r="D46" t="str">
            <v>10_EmbeddedDist</v>
          </cell>
          <cell r="F46">
            <v>1</v>
          </cell>
          <cell r="G46">
            <v>4612024.0999999996</v>
          </cell>
          <cell r="H46">
            <v>9926.4000000000015</v>
          </cell>
        </row>
        <row r="47">
          <cell r="B47">
            <v>2014</v>
          </cell>
          <cell r="D47" t="str">
            <v>10_EmbeddedDist</v>
          </cell>
          <cell r="F47">
            <v>1</v>
          </cell>
          <cell r="G47">
            <v>4634800.5100000007</v>
          </cell>
          <cell r="H47">
            <v>16051.200000000003</v>
          </cell>
        </row>
        <row r="48">
          <cell r="B48">
            <v>2010</v>
          </cell>
          <cell r="D48" t="str">
            <v>03_GS&gt;50</v>
          </cell>
          <cell r="F48">
            <v>-1</v>
          </cell>
          <cell r="G48">
            <v>-4179555.75</v>
          </cell>
          <cell r="H48">
            <v>-11644.8</v>
          </cell>
        </row>
        <row r="49">
          <cell r="B49">
            <v>2011</v>
          </cell>
          <cell r="D49" t="str">
            <v>03_GS&gt;50</v>
          </cell>
          <cell r="F49">
            <v>-1</v>
          </cell>
          <cell r="G49">
            <v>-5347163.8600000003</v>
          </cell>
          <cell r="H49">
            <v>-19257.599999999999</v>
          </cell>
        </row>
        <row r="50">
          <cell r="B50">
            <v>2012</v>
          </cell>
          <cell r="D50" t="str">
            <v>03_GS&gt;50</v>
          </cell>
          <cell r="F50">
            <v>-1</v>
          </cell>
          <cell r="G50">
            <v>-5353925.6500000004</v>
          </cell>
          <cell r="H50">
            <v>-15753.6</v>
          </cell>
        </row>
        <row r="51">
          <cell r="B51">
            <v>2013</v>
          </cell>
          <cell r="D51" t="str">
            <v>03_GS&gt;50</v>
          </cell>
          <cell r="F51">
            <v>-1</v>
          </cell>
          <cell r="G51">
            <v>-5215587.37</v>
          </cell>
          <cell r="H51">
            <v>-13814.4</v>
          </cell>
        </row>
        <row r="52">
          <cell r="B52">
            <v>2014</v>
          </cell>
          <cell r="D52" t="str">
            <v>03_GS&gt;50</v>
          </cell>
          <cell r="F52">
            <v>-1</v>
          </cell>
          <cell r="G52">
            <v>-5907905.7199999997</v>
          </cell>
          <cell r="H52">
            <v>-15369.6</v>
          </cell>
        </row>
        <row r="53">
          <cell r="B53">
            <v>2010</v>
          </cell>
          <cell r="D53" t="str">
            <v>04_Intermediate</v>
          </cell>
          <cell r="F53">
            <v>1</v>
          </cell>
          <cell r="G53">
            <v>4179555.7499999995</v>
          </cell>
          <cell r="H53">
            <v>11644.8</v>
          </cell>
        </row>
        <row r="54">
          <cell r="B54">
            <v>2011</v>
          </cell>
          <cell r="D54" t="str">
            <v>04_Intermediate</v>
          </cell>
          <cell r="F54">
            <v>1</v>
          </cell>
          <cell r="G54">
            <v>5347163.8599999994</v>
          </cell>
          <cell r="H54">
            <v>19257.600000000002</v>
          </cell>
        </row>
        <row r="55">
          <cell r="B55">
            <v>2012</v>
          </cell>
          <cell r="D55" t="str">
            <v>04_Intermediate</v>
          </cell>
          <cell r="F55">
            <v>1</v>
          </cell>
          <cell r="G55">
            <v>5353925.6500000004</v>
          </cell>
          <cell r="H55">
            <v>15753.6</v>
          </cell>
        </row>
        <row r="56">
          <cell r="B56">
            <v>2013</v>
          </cell>
          <cell r="D56" t="str">
            <v>04_Intermediate</v>
          </cell>
          <cell r="F56">
            <v>1</v>
          </cell>
          <cell r="G56">
            <v>5215587.3699999992</v>
          </cell>
          <cell r="H56">
            <v>13814.400000000001</v>
          </cell>
        </row>
        <row r="57">
          <cell r="B57">
            <v>2014</v>
          </cell>
          <cell r="D57" t="str">
            <v>04_Intermediate</v>
          </cell>
          <cell r="F57">
            <v>1</v>
          </cell>
          <cell r="G57">
            <v>5907905.7199999997</v>
          </cell>
          <cell r="H57">
            <v>15369.599999999999</v>
          </cell>
        </row>
        <row r="58">
          <cell r="B58">
            <v>2012</v>
          </cell>
          <cell r="D58" t="str">
            <v>03_GS&gt;50</v>
          </cell>
          <cell r="F58">
            <v>-1</v>
          </cell>
          <cell r="G58">
            <v>-1862328.28</v>
          </cell>
          <cell r="H58">
            <v>-4197.63</v>
          </cell>
        </row>
        <row r="59">
          <cell r="B59">
            <v>2013</v>
          </cell>
          <cell r="D59" t="str">
            <v>03_GS&gt;50</v>
          </cell>
          <cell r="F59">
            <v>-1</v>
          </cell>
          <cell r="G59">
            <v>-4199611</v>
          </cell>
          <cell r="H59">
            <v>-9630</v>
          </cell>
        </row>
        <row r="60">
          <cell r="B60">
            <v>2014</v>
          </cell>
          <cell r="D60" t="str">
            <v>03_GS&gt;50</v>
          </cell>
          <cell r="F60">
            <v>-1</v>
          </cell>
          <cell r="G60">
            <v>-4077695</v>
          </cell>
          <cell r="H60">
            <v>-7504</v>
          </cell>
        </row>
        <row r="61">
          <cell r="B61">
            <v>2012</v>
          </cell>
          <cell r="D61" t="str">
            <v>WMP</v>
          </cell>
          <cell r="E61" t="str">
            <v>MPART</v>
          </cell>
          <cell r="F61">
            <v>1</v>
          </cell>
          <cell r="G61">
            <v>1862328.28</v>
          </cell>
          <cell r="H61">
            <v>4197.63</v>
          </cell>
        </row>
        <row r="62">
          <cell r="B62">
            <v>2013</v>
          </cell>
          <cell r="D62" t="str">
            <v>WMP</v>
          </cell>
          <cell r="E62" t="str">
            <v>MPART</v>
          </cell>
          <cell r="F62">
            <v>1</v>
          </cell>
          <cell r="G62">
            <v>4199611</v>
          </cell>
          <cell r="H62">
            <v>9630</v>
          </cell>
        </row>
        <row r="63">
          <cell r="B63">
            <v>2014</v>
          </cell>
          <cell r="D63" t="str">
            <v>WMP</v>
          </cell>
          <cell r="E63" t="str">
            <v>MPART</v>
          </cell>
          <cell r="F63">
            <v>1</v>
          </cell>
          <cell r="G63">
            <v>4077694.92</v>
          </cell>
          <cell r="H63">
            <v>7504.07</v>
          </cell>
        </row>
        <row r="64">
          <cell r="B64">
            <v>2014</v>
          </cell>
          <cell r="D64" t="str">
            <v>04_Intermediate</v>
          </cell>
          <cell r="F64">
            <v>-1</v>
          </cell>
          <cell r="G64">
            <v>-2297436.08</v>
          </cell>
          <cell r="H64">
            <v>-10157.93</v>
          </cell>
        </row>
        <row r="65">
          <cell r="B65">
            <v>2014</v>
          </cell>
          <cell r="D65" t="str">
            <v>WMP</v>
          </cell>
          <cell r="E65" t="str">
            <v>MPART</v>
          </cell>
          <cell r="F65">
            <v>1</v>
          </cell>
          <cell r="G65">
            <v>2297436.08</v>
          </cell>
          <cell r="H65">
            <v>10157.93</v>
          </cell>
        </row>
        <row r="66">
          <cell r="B66">
            <v>2006</v>
          </cell>
          <cell r="D66" t="str">
            <v>04_Intermediate</v>
          </cell>
          <cell r="F66">
            <v>12</v>
          </cell>
          <cell r="G66">
            <v>120264371.73999998</v>
          </cell>
          <cell r="H66">
            <v>279604.27999999991</v>
          </cell>
        </row>
        <row r="67">
          <cell r="B67">
            <v>2007</v>
          </cell>
          <cell r="D67" t="str">
            <v>04_Intermediate</v>
          </cell>
          <cell r="F67">
            <v>12</v>
          </cell>
          <cell r="G67">
            <v>115433515.27999999</v>
          </cell>
          <cell r="H67">
            <v>264272.12000000005</v>
          </cell>
        </row>
        <row r="68">
          <cell r="B68">
            <v>2008</v>
          </cell>
          <cell r="D68" t="str">
            <v>04_Intermediate</v>
          </cell>
          <cell r="F68">
            <v>12</v>
          </cell>
          <cell r="G68">
            <v>105346207.74999999</v>
          </cell>
          <cell r="H68">
            <v>261106.59999999998</v>
          </cell>
        </row>
        <row r="69">
          <cell r="B69">
            <v>2009</v>
          </cell>
          <cell r="D69" t="str">
            <v>04_Intermediate</v>
          </cell>
          <cell r="F69">
            <v>12</v>
          </cell>
          <cell r="G69">
            <v>82876563.159999996</v>
          </cell>
          <cell r="H69">
            <v>241187.36000000004</v>
          </cell>
        </row>
        <row r="70">
          <cell r="B70">
            <v>2010</v>
          </cell>
          <cell r="D70" t="str">
            <v>04_Intermediate</v>
          </cell>
          <cell r="G70">
            <v>38253767.120000012</v>
          </cell>
          <cell r="H70">
            <v>104573.92</v>
          </cell>
        </row>
        <row r="71">
          <cell r="B71">
            <v>2006</v>
          </cell>
          <cell r="D71" t="str">
            <v>03_GS&gt;50</v>
          </cell>
          <cell r="F71">
            <v>-12</v>
          </cell>
          <cell r="G71">
            <v>-120264371.73999999</v>
          </cell>
          <cell r="H71">
            <v>-279604.28000000003</v>
          </cell>
        </row>
        <row r="72">
          <cell r="B72">
            <v>2007</v>
          </cell>
          <cell r="D72" t="str">
            <v>03_GS&gt;50</v>
          </cell>
          <cell r="F72">
            <v>-12</v>
          </cell>
          <cell r="G72">
            <v>-115433515.28</v>
          </cell>
          <cell r="H72">
            <v>-264272.12</v>
          </cell>
        </row>
        <row r="73">
          <cell r="B73">
            <v>2008</v>
          </cell>
          <cell r="D73" t="str">
            <v>03_GS&gt;50</v>
          </cell>
          <cell r="F73">
            <v>-12</v>
          </cell>
          <cell r="G73">
            <v>-105346207.75</v>
          </cell>
          <cell r="H73">
            <v>-261106.6</v>
          </cell>
        </row>
        <row r="74">
          <cell r="B74">
            <v>2009</v>
          </cell>
          <cell r="D74" t="str">
            <v>03_GS&gt;50</v>
          </cell>
          <cell r="F74">
            <v>-12</v>
          </cell>
          <cell r="G74">
            <v>-82876563.159999996</v>
          </cell>
          <cell r="H74">
            <v>-241187.36</v>
          </cell>
        </row>
        <row r="75">
          <cell r="B75">
            <v>2010</v>
          </cell>
          <cell r="D75" t="str">
            <v>03_GS&gt;50</v>
          </cell>
          <cell r="F75">
            <v>-12</v>
          </cell>
          <cell r="G75">
            <v>-38253767.119999997</v>
          </cell>
          <cell r="H75">
            <v>-104573.92</v>
          </cell>
        </row>
        <row r="76">
          <cell r="B76">
            <v>2006</v>
          </cell>
          <cell r="D76" t="str">
            <v>03_GS&gt;50</v>
          </cell>
          <cell r="F76">
            <v>-1</v>
          </cell>
          <cell r="G76">
            <v>-37646337.700000003</v>
          </cell>
          <cell r="H76">
            <v>102618.23999999999</v>
          </cell>
        </row>
        <row r="77">
          <cell r="B77">
            <v>2007</v>
          </cell>
          <cell r="D77" t="str">
            <v>03_GS&gt;50</v>
          </cell>
          <cell r="F77">
            <v>-1</v>
          </cell>
          <cell r="G77">
            <v>-39060368.329999998</v>
          </cell>
          <cell r="H77">
            <v>-89460.479999999996</v>
          </cell>
        </row>
        <row r="78">
          <cell r="B78">
            <v>2006</v>
          </cell>
          <cell r="D78" t="str">
            <v>06_LargeUse_Ded</v>
          </cell>
          <cell r="F78">
            <v>1</v>
          </cell>
          <cell r="G78">
            <v>37646337.700000003</v>
          </cell>
          <cell r="H78">
            <v>102618.23999999999</v>
          </cell>
        </row>
        <row r="79">
          <cell r="B79">
            <v>2007</v>
          </cell>
          <cell r="D79" t="str">
            <v>06_LargeUse_Ded</v>
          </cell>
          <cell r="F79">
            <v>1</v>
          </cell>
          <cell r="G79">
            <v>39060368.329999998</v>
          </cell>
          <cell r="H79">
            <v>89460.479999999981</v>
          </cell>
        </row>
        <row r="80">
          <cell r="B80">
            <v>2008</v>
          </cell>
          <cell r="D80" t="str">
            <v>06_LargeUse_Ded</v>
          </cell>
          <cell r="F80">
            <v>1</v>
          </cell>
          <cell r="G80">
            <v>53567353.030000009</v>
          </cell>
          <cell r="H80">
            <v>103570.56</v>
          </cell>
        </row>
        <row r="81">
          <cell r="B81">
            <v>2009</v>
          </cell>
          <cell r="D81" t="str">
            <v>06_LargeUse_Ded</v>
          </cell>
          <cell r="F81">
            <v>1</v>
          </cell>
          <cell r="G81">
            <v>30357885.310000002</v>
          </cell>
          <cell r="H81">
            <v>80071.680000000008</v>
          </cell>
        </row>
        <row r="82">
          <cell r="B82">
            <v>2010</v>
          </cell>
          <cell r="D82" t="str">
            <v>06_LargeUse_Ded</v>
          </cell>
          <cell r="G82">
            <v>11892520.560000001</v>
          </cell>
          <cell r="H82">
            <v>30597.119999999999</v>
          </cell>
        </row>
        <row r="83">
          <cell r="B83">
            <v>2008</v>
          </cell>
          <cell r="D83" t="str">
            <v>03_GS&gt;50</v>
          </cell>
          <cell r="F83">
            <v>-1</v>
          </cell>
          <cell r="G83">
            <v>-53567353.030000001</v>
          </cell>
          <cell r="H83">
            <v>-103570.56</v>
          </cell>
        </row>
        <row r="84">
          <cell r="B84">
            <v>2009</v>
          </cell>
          <cell r="D84" t="str">
            <v>03_GS&gt;50</v>
          </cell>
          <cell r="F84">
            <v>-1</v>
          </cell>
          <cell r="G84">
            <v>-30357885.309999999</v>
          </cell>
          <cell r="H84">
            <v>-80071.679999999993</v>
          </cell>
        </row>
        <row r="85">
          <cell r="B85">
            <v>2010</v>
          </cell>
          <cell r="D85" t="str">
            <v>03_GS&gt;50</v>
          </cell>
          <cell r="F85">
            <v>-1</v>
          </cell>
          <cell r="G85">
            <v>-11892520.560000001</v>
          </cell>
          <cell r="H85">
            <v>-30597.119999999999</v>
          </cell>
        </row>
        <row r="86">
          <cell r="B86">
            <v>2010</v>
          </cell>
          <cell r="D86" t="str">
            <v>04_Intermediate</v>
          </cell>
          <cell r="F86">
            <v>-21</v>
          </cell>
          <cell r="G86">
            <v>-154444396</v>
          </cell>
          <cell r="H86">
            <v>-387789</v>
          </cell>
        </row>
        <row r="87">
          <cell r="B87">
            <v>2011</v>
          </cell>
          <cell r="D87" t="str">
            <v>04_Intermediate</v>
          </cell>
          <cell r="F87">
            <v>-20</v>
          </cell>
          <cell r="G87">
            <v>-163607961</v>
          </cell>
          <cell r="H87">
            <v>-407686</v>
          </cell>
        </row>
        <row r="88">
          <cell r="B88">
            <v>2012</v>
          </cell>
          <cell r="D88" t="str">
            <v>04_Intermediate</v>
          </cell>
          <cell r="F88">
            <v>-19</v>
          </cell>
          <cell r="G88">
            <v>-165770057</v>
          </cell>
          <cell r="H88">
            <v>-386248</v>
          </cell>
        </row>
        <row r="89">
          <cell r="B89">
            <v>2013</v>
          </cell>
          <cell r="D89" t="str">
            <v>04_Intermediate</v>
          </cell>
          <cell r="F89">
            <v>-19</v>
          </cell>
          <cell r="G89">
            <v>-164104185</v>
          </cell>
          <cell r="H89">
            <v>-384296</v>
          </cell>
        </row>
        <row r="90">
          <cell r="B90">
            <v>2014</v>
          </cell>
          <cell r="D90" t="str">
            <v>04_Intermediate</v>
          </cell>
          <cell r="F90">
            <v>-18</v>
          </cell>
          <cell r="G90">
            <v>-167890901</v>
          </cell>
          <cell r="H90">
            <v>-378468</v>
          </cell>
        </row>
        <row r="91">
          <cell r="B91">
            <v>2010</v>
          </cell>
          <cell r="D91" t="str">
            <v>03_GS&gt;50</v>
          </cell>
          <cell r="F91">
            <v>21</v>
          </cell>
          <cell r="G91">
            <v>154444396</v>
          </cell>
          <cell r="H91">
            <v>387789</v>
          </cell>
        </row>
        <row r="92">
          <cell r="B92">
            <v>2011</v>
          </cell>
          <cell r="D92" t="str">
            <v>03_GS&gt;50</v>
          </cell>
          <cell r="F92">
            <v>20</v>
          </cell>
          <cell r="G92">
            <v>163607961</v>
          </cell>
          <cell r="H92">
            <v>407686</v>
          </cell>
        </row>
        <row r="93">
          <cell r="B93">
            <v>2012</v>
          </cell>
          <cell r="D93" t="str">
            <v>03_GS&gt;50</v>
          </cell>
          <cell r="F93">
            <v>19</v>
          </cell>
          <cell r="G93">
            <v>165770057</v>
          </cell>
          <cell r="H93">
            <v>386248</v>
          </cell>
        </row>
        <row r="94">
          <cell r="B94">
            <v>2013</v>
          </cell>
          <cell r="D94" t="str">
            <v>03_GS&gt;50</v>
          </cell>
          <cell r="F94">
            <v>19</v>
          </cell>
          <cell r="G94">
            <v>164104185</v>
          </cell>
          <cell r="H94">
            <v>384296</v>
          </cell>
        </row>
        <row r="95">
          <cell r="B95">
            <v>2014</v>
          </cell>
          <cell r="D95" t="str">
            <v>03_GS&gt;50</v>
          </cell>
          <cell r="F95">
            <v>18</v>
          </cell>
          <cell r="G95">
            <v>167890901</v>
          </cell>
          <cell r="H95">
            <v>378468</v>
          </cell>
        </row>
        <row r="96">
          <cell r="B96">
            <v>2006</v>
          </cell>
          <cell r="D96" t="str">
            <v>04_Intermediate</v>
          </cell>
          <cell r="F96">
            <v>-17</v>
          </cell>
          <cell r="G96">
            <v>-157614766</v>
          </cell>
          <cell r="H96">
            <v>-361896</v>
          </cell>
        </row>
        <row r="97">
          <cell r="B97">
            <v>2007</v>
          </cell>
          <cell r="D97" t="str">
            <v>04_Intermediate</v>
          </cell>
          <cell r="F97">
            <v>-17</v>
          </cell>
          <cell r="G97">
            <v>-155426766</v>
          </cell>
          <cell r="H97">
            <v>-362005</v>
          </cell>
        </row>
        <row r="98">
          <cell r="B98">
            <v>2008</v>
          </cell>
          <cell r="D98" t="str">
            <v>04_Intermediate</v>
          </cell>
          <cell r="F98">
            <v>-17</v>
          </cell>
          <cell r="G98">
            <v>-143792082</v>
          </cell>
          <cell r="H98">
            <v>-343399</v>
          </cell>
        </row>
        <row r="99">
          <cell r="B99">
            <v>2009</v>
          </cell>
          <cell r="D99" t="str">
            <v>04_Intermediate</v>
          </cell>
          <cell r="F99">
            <v>-17</v>
          </cell>
          <cell r="G99">
            <v>-116463828</v>
          </cell>
          <cell r="H99">
            <v>-319707</v>
          </cell>
        </row>
        <row r="100">
          <cell r="B100">
            <v>2006</v>
          </cell>
          <cell r="D100" t="str">
            <v>03_GS&gt;50</v>
          </cell>
          <cell r="F100">
            <v>17</v>
          </cell>
          <cell r="G100">
            <v>157614766</v>
          </cell>
          <cell r="H100">
            <v>361896</v>
          </cell>
        </row>
        <row r="101">
          <cell r="B101">
            <v>2007</v>
          </cell>
          <cell r="D101" t="str">
            <v>03_GS&gt;50</v>
          </cell>
          <cell r="F101">
            <v>17</v>
          </cell>
          <cell r="G101">
            <v>155426766</v>
          </cell>
          <cell r="H101">
            <v>362005</v>
          </cell>
        </row>
        <row r="102">
          <cell r="B102">
            <v>2008</v>
          </cell>
          <cell r="D102" t="str">
            <v>03_GS&gt;50</v>
          </cell>
          <cell r="F102">
            <v>17</v>
          </cell>
          <cell r="G102">
            <v>143792082</v>
          </cell>
          <cell r="H102">
            <v>343399</v>
          </cell>
        </row>
        <row r="103">
          <cell r="B103">
            <v>2009</v>
          </cell>
          <cell r="D103" t="str">
            <v>03_GS&gt;50</v>
          </cell>
          <cell r="F103">
            <v>17</v>
          </cell>
          <cell r="G103">
            <v>116463828</v>
          </cell>
          <cell r="H103">
            <v>319707</v>
          </cell>
        </row>
        <row r="104">
          <cell r="B104">
            <v>2006</v>
          </cell>
          <cell r="D104" t="str">
            <v>06_LargeUse_Ded</v>
          </cell>
          <cell r="F104">
            <v>2</v>
          </cell>
          <cell r="G104">
            <v>54726070</v>
          </cell>
          <cell r="H104">
            <v>126002</v>
          </cell>
        </row>
        <row r="105">
          <cell r="B105">
            <v>2006</v>
          </cell>
          <cell r="D105" t="str">
            <v>05_LargeUse</v>
          </cell>
          <cell r="F105">
            <v>1</v>
          </cell>
          <cell r="G105">
            <v>36694466.899999999</v>
          </cell>
          <cell r="H105">
            <v>72885.3</v>
          </cell>
        </row>
        <row r="106">
          <cell r="B106">
            <v>2007</v>
          </cell>
          <cell r="D106" t="str">
            <v>06_LargeUse_Ded</v>
          </cell>
          <cell r="F106">
            <v>2</v>
          </cell>
          <cell r="G106">
            <v>50214733.195402294</v>
          </cell>
          <cell r="H106">
            <v>117142.23</v>
          </cell>
        </row>
        <row r="107">
          <cell r="B107">
            <v>2007</v>
          </cell>
          <cell r="D107" t="str">
            <v xml:space="preserve">01_Residential </v>
          </cell>
          <cell r="F107">
            <v>507</v>
          </cell>
          <cell r="G107">
            <v>4496905</v>
          </cell>
        </row>
        <row r="108">
          <cell r="B108">
            <v>2007</v>
          </cell>
          <cell r="D108" t="str">
            <v>02_GS&lt;50</v>
          </cell>
          <cell r="F108">
            <v>87</v>
          </cell>
          <cell r="G108">
            <v>3470612</v>
          </cell>
        </row>
        <row r="109">
          <cell r="B109">
            <v>2007</v>
          </cell>
          <cell r="D109" t="str">
            <v>08_StreetLights</v>
          </cell>
          <cell r="G109">
            <v>119252</v>
          </cell>
          <cell r="H109">
            <v>343</v>
          </cell>
        </row>
        <row r="110">
          <cell r="B110">
            <v>2007</v>
          </cell>
          <cell r="D110" t="str">
            <v>08_Sentinel</v>
          </cell>
          <cell r="G110">
            <v>881</v>
          </cell>
        </row>
        <row r="111">
          <cell r="B111">
            <v>2007</v>
          </cell>
          <cell r="D111" t="str">
            <v xml:space="preserve">01_Residential </v>
          </cell>
          <cell r="F111">
            <v>164</v>
          </cell>
          <cell r="G111">
            <v>1527065</v>
          </cell>
        </row>
        <row r="112">
          <cell r="B112">
            <v>2007</v>
          </cell>
          <cell r="D112" t="str">
            <v>02_GS&lt;50</v>
          </cell>
          <cell r="F112">
            <v>29</v>
          </cell>
          <cell r="G112">
            <v>496590</v>
          </cell>
        </row>
        <row r="113">
          <cell r="B113">
            <v>2007</v>
          </cell>
          <cell r="D113" t="str">
            <v>03_GS&gt;50</v>
          </cell>
          <cell r="F113">
            <v>4</v>
          </cell>
          <cell r="G113">
            <v>1796270</v>
          </cell>
          <cell r="H113">
            <v>4486</v>
          </cell>
        </row>
        <row r="114">
          <cell r="B114">
            <v>2007</v>
          </cell>
          <cell r="D114" t="str">
            <v>08_StreetLights</v>
          </cell>
          <cell r="G114">
            <v>566646</v>
          </cell>
        </row>
        <row r="115">
          <cell r="B115">
            <v>2008</v>
          </cell>
          <cell r="D115" t="str">
            <v xml:space="preserve">01_Residential </v>
          </cell>
          <cell r="F115">
            <v>511</v>
          </cell>
          <cell r="G115">
            <v>4532729</v>
          </cell>
        </row>
        <row r="116">
          <cell r="B116">
            <v>2008</v>
          </cell>
          <cell r="D116" t="str">
            <v>02_GS&lt;50</v>
          </cell>
          <cell r="F116">
            <v>88</v>
          </cell>
          <cell r="G116">
            <v>3424650</v>
          </cell>
        </row>
        <row r="117">
          <cell r="B117">
            <v>2008</v>
          </cell>
          <cell r="D117" t="str">
            <v>08_StreetLights</v>
          </cell>
          <cell r="G117">
            <v>119768</v>
          </cell>
          <cell r="H117">
            <v>343</v>
          </cell>
        </row>
        <row r="118">
          <cell r="B118">
            <v>2008</v>
          </cell>
          <cell r="D118" t="str">
            <v>08_Sentinel</v>
          </cell>
          <cell r="G118">
            <v>881</v>
          </cell>
        </row>
        <row r="119">
          <cell r="B119">
            <v>2008</v>
          </cell>
          <cell r="D119" t="str">
            <v xml:space="preserve">01_Residential </v>
          </cell>
          <cell r="F119">
            <v>168</v>
          </cell>
          <cell r="G119">
            <v>1535162</v>
          </cell>
        </row>
        <row r="120">
          <cell r="B120">
            <v>2008</v>
          </cell>
          <cell r="D120" t="str">
            <v>02_GS&lt;50</v>
          </cell>
          <cell r="F120">
            <v>29</v>
          </cell>
          <cell r="G120">
            <v>501413</v>
          </cell>
        </row>
        <row r="121">
          <cell r="B121">
            <v>2008</v>
          </cell>
          <cell r="D121" t="str">
            <v>03_GS&gt;50</v>
          </cell>
          <cell r="F121">
            <v>4</v>
          </cell>
          <cell r="G121">
            <v>1707320</v>
          </cell>
          <cell r="H121">
            <v>4228</v>
          </cell>
        </row>
        <row r="122">
          <cell r="B122">
            <v>2008</v>
          </cell>
          <cell r="D122" t="str">
            <v>08_StreetLights</v>
          </cell>
          <cell r="G122">
            <v>56933</v>
          </cell>
        </row>
        <row r="123">
          <cell r="B123">
            <v>2008</v>
          </cell>
          <cell r="D123" t="str">
            <v xml:space="preserve">01_Residential </v>
          </cell>
          <cell r="F123">
            <v>6246</v>
          </cell>
          <cell r="G123">
            <v>57013718</v>
          </cell>
          <cell r="H123">
            <v>0</v>
          </cell>
        </row>
        <row r="124">
          <cell r="B124">
            <v>2008</v>
          </cell>
          <cell r="D124" t="str">
            <v>02_GS&lt;50</v>
          </cell>
          <cell r="F124">
            <v>687</v>
          </cell>
          <cell r="G124">
            <v>20650087</v>
          </cell>
          <cell r="H124">
            <v>0</v>
          </cell>
        </row>
        <row r="125">
          <cell r="B125">
            <v>2008</v>
          </cell>
          <cell r="D125" t="str">
            <v>03_GS&gt;50</v>
          </cell>
          <cell r="F125">
            <v>92</v>
          </cell>
          <cell r="G125">
            <v>89348572</v>
          </cell>
          <cell r="H125">
            <v>244554</v>
          </cell>
        </row>
        <row r="126">
          <cell r="B126">
            <v>2007</v>
          </cell>
          <cell r="D126" t="str">
            <v>05_LargeUse</v>
          </cell>
          <cell r="F126">
            <v>1</v>
          </cell>
          <cell r="G126">
            <v>27015842.100000001</v>
          </cell>
          <cell r="H126">
            <v>57864.6</v>
          </cell>
        </row>
        <row r="127">
          <cell r="B127">
            <v>2008</v>
          </cell>
          <cell r="D127" t="str">
            <v>08_StreetLights</v>
          </cell>
          <cell r="F127">
            <v>1958</v>
          </cell>
          <cell r="G127">
            <v>1452618</v>
          </cell>
          <cell r="H127">
            <v>4316</v>
          </cell>
        </row>
        <row r="128">
          <cell r="B128">
            <v>2008</v>
          </cell>
          <cell r="D128" t="str">
            <v>08_Sentinel</v>
          </cell>
          <cell r="F128">
            <v>47</v>
          </cell>
          <cell r="G128">
            <v>42320</v>
          </cell>
          <cell r="H128">
            <v>118</v>
          </cell>
        </row>
        <row r="129">
          <cell r="B129">
            <v>2009</v>
          </cell>
          <cell r="D129" t="str">
            <v xml:space="preserve">01_Residential </v>
          </cell>
          <cell r="F129">
            <v>28463</v>
          </cell>
          <cell r="G129">
            <v>229006740</v>
          </cell>
          <cell r="H129">
            <v>0</v>
          </cell>
        </row>
        <row r="130">
          <cell r="B130">
            <v>2009</v>
          </cell>
          <cell r="D130" t="str">
            <v>02_GS&lt;50</v>
          </cell>
          <cell r="F130">
            <v>3102</v>
          </cell>
          <cell r="G130">
            <v>93203879</v>
          </cell>
          <cell r="H130">
            <v>0</v>
          </cell>
        </row>
        <row r="131">
          <cell r="B131">
            <v>2009</v>
          </cell>
          <cell r="D131" t="str">
            <v>03_GS&gt;50</v>
          </cell>
          <cell r="F131">
            <v>410</v>
          </cell>
          <cell r="G131">
            <v>344365172</v>
          </cell>
          <cell r="H131">
            <v>986256</v>
          </cell>
        </row>
        <row r="132">
          <cell r="B132">
            <v>2009</v>
          </cell>
          <cell r="D132" t="str">
            <v>08_StreetLights</v>
          </cell>
          <cell r="F132">
            <v>10679</v>
          </cell>
          <cell r="G132">
            <v>6592774</v>
          </cell>
          <cell r="H132">
            <v>19516</v>
          </cell>
        </row>
        <row r="133">
          <cell r="B133">
            <v>2009</v>
          </cell>
          <cell r="D133" t="str">
            <v>07_USL</v>
          </cell>
          <cell r="F133">
            <v>192</v>
          </cell>
          <cell r="G133">
            <v>844634</v>
          </cell>
          <cell r="H133">
            <v>0</v>
          </cell>
        </row>
        <row r="134">
          <cell r="B134">
            <v>2009</v>
          </cell>
          <cell r="D134" t="str">
            <v>08_Sentinel</v>
          </cell>
          <cell r="F134">
            <v>340</v>
          </cell>
          <cell r="G134">
            <v>396774</v>
          </cell>
          <cell r="H134">
            <v>1098</v>
          </cell>
        </row>
        <row r="135">
          <cell r="B135">
            <v>2009</v>
          </cell>
          <cell r="D135" t="str">
            <v xml:space="preserve">01_Residential </v>
          </cell>
          <cell r="F135">
            <v>511</v>
          </cell>
          <cell r="G135">
            <v>4425564</v>
          </cell>
        </row>
        <row r="136">
          <cell r="B136">
            <v>2009</v>
          </cell>
          <cell r="D136" t="str">
            <v>02_GS&lt;50</v>
          </cell>
          <cell r="F136">
            <v>87</v>
          </cell>
          <cell r="G136">
            <v>3383150</v>
          </cell>
        </row>
        <row r="137">
          <cell r="B137">
            <v>2009</v>
          </cell>
          <cell r="D137" t="str">
            <v>08_StreetLights</v>
          </cell>
          <cell r="F137">
            <v>207</v>
          </cell>
          <cell r="G137">
            <v>116532</v>
          </cell>
          <cell r="H137">
            <v>324</v>
          </cell>
        </row>
        <row r="138">
          <cell r="B138">
            <v>2009</v>
          </cell>
          <cell r="D138" t="str">
            <v>07_USL</v>
          </cell>
          <cell r="F138">
            <v>2</v>
          </cell>
          <cell r="G138">
            <v>9588</v>
          </cell>
        </row>
        <row r="139">
          <cell r="B139">
            <v>2009</v>
          </cell>
          <cell r="D139" t="str">
            <v>08_Sentinel</v>
          </cell>
          <cell r="F139">
            <v>1</v>
          </cell>
          <cell r="G139">
            <v>881</v>
          </cell>
        </row>
        <row r="140">
          <cell r="B140">
            <v>2009</v>
          </cell>
          <cell r="D140" t="str">
            <v xml:space="preserve">01_Residential </v>
          </cell>
          <cell r="F140">
            <v>168</v>
          </cell>
          <cell r="G140">
            <v>1466596</v>
          </cell>
        </row>
        <row r="141">
          <cell r="B141">
            <v>2009</v>
          </cell>
          <cell r="D141" t="str">
            <v>02_GS&lt;50</v>
          </cell>
          <cell r="F141">
            <v>31</v>
          </cell>
          <cell r="G141">
            <v>495321</v>
          </cell>
        </row>
        <row r="142">
          <cell r="B142">
            <v>2009</v>
          </cell>
          <cell r="D142" t="str">
            <v>03_GS&gt;50</v>
          </cell>
          <cell r="F142">
            <v>4</v>
          </cell>
          <cell r="G142">
            <v>1585480</v>
          </cell>
          <cell r="H142">
            <v>3837</v>
          </cell>
        </row>
        <row r="143">
          <cell r="B143">
            <v>2009</v>
          </cell>
          <cell r="D143" t="str">
            <v>08_StreetLights</v>
          </cell>
          <cell r="F143">
            <v>87</v>
          </cell>
          <cell r="G143">
            <v>61374</v>
          </cell>
          <cell r="H143">
            <v>50</v>
          </cell>
        </row>
        <row r="144">
          <cell r="B144">
            <v>2009</v>
          </cell>
          <cell r="D144" t="str">
            <v>07_USL</v>
          </cell>
        </row>
        <row r="145">
          <cell r="B145">
            <v>2009</v>
          </cell>
          <cell r="D145" t="str">
            <v>08_Sentinel</v>
          </cell>
        </row>
        <row r="146">
          <cell r="B146">
            <v>2009</v>
          </cell>
          <cell r="D146" t="str">
            <v xml:space="preserve">01_Residential </v>
          </cell>
          <cell r="F146">
            <v>6305</v>
          </cell>
          <cell r="G146">
            <v>56192789</v>
          </cell>
          <cell r="H146">
            <v>0</v>
          </cell>
        </row>
        <row r="147">
          <cell r="B147">
            <v>2009</v>
          </cell>
          <cell r="D147" t="str">
            <v>02_GS&lt;50</v>
          </cell>
          <cell r="F147">
            <v>662</v>
          </cell>
          <cell r="G147">
            <v>18279724</v>
          </cell>
          <cell r="H147">
            <v>0</v>
          </cell>
        </row>
        <row r="148">
          <cell r="B148">
            <v>2009</v>
          </cell>
          <cell r="D148" t="str">
            <v>03_GS&gt;50</v>
          </cell>
          <cell r="F148">
            <v>91</v>
          </cell>
          <cell r="G148">
            <v>84572093</v>
          </cell>
          <cell r="H148">
            <v>231274</v>
          </cell>
        </row>
        <row r="149">
          <cell r="B149">
            <v>2008</v>
          </cell>
          <cell r="D149" t="str">
            <v>05_LargeUse</v>
          </cell>
          <cell r="F149">
            <v>1</v>
          </cell>
          <cell r="G149">
            <v>22647906</v>
          </cell>
          <cell r="H149">
            <v>51576</v>
          </cell>
        </row>
        <row r="150">
          <cell r="B150">
            <v>2009</v>
          </cell>
          <cell r="D150" t="str">
            <v>08_StreetLights</v>
          </cell>
          <cell r="F150">
            <v>1958</v>
          </cell>
          <cell r="G150">
            <v>1464757</v>
          </cell>
          <cell r="H150">
            <v>4656</v>
          </cell>
        </row>
        <row r="151">
          <cell r="B151">
            <v>2009</v>
          </cell>
          <cell r="D151" t="str">
            <v>07_USL</v>
          </cell>
          <cell r="F151">
            <v>49</v>
          </cell>
          <cell r="G151">
            <v>304425</v>
          </cell>
          <cell r="H151">
            <v>0</v>
          </cell>
        </row>
        <row r="152">
          <cell r="B152">
            <v>2009</v>
          </cell>
          <cell r="D152" t="str">
            <v>08_Sentinel</v>
          </cell>
          <cell r="F152">
            <v>47</v>
          </cell>
          <cell r="G152">
            <v>42498</v>
          </cell>
          <cell r="H152">
            <v>119</v>
          </cell>
        </row>
        <row r="153">
          <cell r="B153">
            <v>2010</v>
          </cell>
          <cell r="D153" t="str">
            <v xml:space="preserve">01_Residential </v>
          </cell>
          <cell r="F153">
            <v>28512</v>
          </cell>
          <cell r="G153">
            <v>236272579</v>
          </cell>
          <cell r="H153">
            <v>0</v>
          </cell>
        </row>
        <row r="154">
          <cell r="B154">
            <v>2010</v>
          </cell>
          <cell r="D154" t="str">
            <v>02_GS&lt;50</v>
          </cell>
          <cell r="F154">
            <v>3176</v>
          </cell>
          <cell r="G154">
            <v>95572850</v>
          </cell>
          <cell r="H154">
            <v>0</v>
          </cell>
        </row>
        <row r="155">
          <cell r="B155">
            <v>2010</v>
          </cell>
          <cell r="D155" t="str">
            <v>03_GS&gt;50</v>
          </cell>
          <cell r="F155">
            <v>386</v>
          </cell>
          <cell r="G155">
            <v>286767502.50854516</v>
          </cell>
          <cell r="H155">
            <v>798376</v>
          </cell>
        </row>
        <row r="156">
          <cell r="B156">
            <v>2010</v>
          </cell>
          <cell r="D156" t="str">
            <v>04_Intermediate</v>
          </cell>
          <cell r="F156">
            <v>15</v>
          </cell>
          <cell r="G156">
            <v>71112111.690316394</v>
          </cell>
          <cell r="H156">
            <v>183786</v>
          </cell>
        </row>
        <row r="157">
          <cell r="B157">
            <v>2010</v>
          </cell>
          <cell r="D157" t="str">
            <v>06_LargeUse_Ded</v>
          </cell>
          <cell r="F157">
            <v>1</v>
          </cell>
          <cell r="G157">
            <v>16602632.853307767</v>
          </cell>
          <cell r="H157">
            <v>44183</v>
          </cell>
        </row>
        <row r="158">
          <cell r="B158">
            <v>2008</v>
          </cell>
          <cell r="D158" t="str">
            <v>06_LargeUse_Ded</v>
          </cell>
          <cell r="F158">
            <v>2</v>
          </cell>
          <cell r="G158">
            <v>45183824</v>
          </cell>
          <cell r="H158">
            <v>107163</v>
          </cell>
        </row>
        <row r="159">
          <cell r="B159">
            <v>2010</v>
          </cell>
          <cell r="D159" t="str">
            <v>08_StreetLights</v>
          </cell>
          <cell r="F159">
            <v>10679</v>
          </cell>
          <cell r="G159">
            <v>6592641</v>
          </cell>
          <cell r="H159">
            <v>19516</v>
          </cell>
        </row>
        <row r="160">
          <cell r="B160">
            <v>2010</v>
          </cell>
          <cell r="D160" t="str">
            <v>07_USL</v>
          </cell>
          <cell r="F160">
            <v>192</v>
          </cell>
          <cell r="G160">
            <v>870035</v>
          </cell>
          <cell r="H160">
            <v>0</v>
          </cell>
        </row>
        <row r="161">
          <cell r="B161">
            <v>2010</v>
          </cell>
          <cell r="D161" t="str">
            <v>08_Sentinel</v>
          </cell>
          <cell r="F161">
            <v>340</v>
          </cell>
          <cell r="G161">
            <v>390325</v>
          </cell>
          <cell r="H161">
            <v>1103</v>
          </cell>
        </row>
        <row r="162">
          <cell r="B162">
            <v>2010</v>
          </cell>
          <cell r="D162" t="str">
            <v xml:space="preserve">01_Residential </v>
          </cell>
          <cell r="F162">
            <v>517</v>
          </cell>
          <cell r="G162">
            <v>4619375</v>
          </cell>
          <cell r="H162">
            <v>0</v>
          </cell>
        </row>
        <row r="163">
          <cell r="B163">
            <v>2010</v>
          </cell>
          <cell r="D163" t="str">
            <v>02_GS&lt;50</v>
          </cell>
          <cell r="F163">
            <v>86</v>
          </cell>
          <cell r="G163">
            <v>3510725</v>
          </cell>
          <cell r="H163">
            <v>0</v>
          </cell>
        </row>
        <row r="164">
          <cell r="B164">
            <v>2010</v>
          </cell>
          <cell r="D164" t="str">
            <v>08_StreetLights</v>
          </cell>
          <cell r="F164">
            <v>207</v>
          </cell>
          <cell r="G164">
            <v>115944</v>
          </cell>
          <cell r="H164">
            <v>343</v>
          </cell>
        </row>
        <row r="165">
          <cell r="B165">
            <v>2010</v>
          </cell>
          <cell r="D165" t="str">
            <v>07_USL</v>
          </cell>
          <cell r="F165">
            <v>2</v>
          </cell>
          <cell r="G165">
            <v>9588</v>
          </cell>
          <cell r="H165">
            <v>0</v>
          </cell>
        </row>
        <row r="166">
          <cell r="B166">
            <v>2010</v>
          </cell>
          <cell r="D166" t="str">
            <v>08_Sentinel</v>
          </cell>
          <cell r="F166">
            <v>2</v>
          </cell>
          <cell r="G166">
            <v>882</v>
          </cell>
          <cell r="H166">
            <v>2.4500000000000002</v>
          </cell>
        </row>
        <row r="167">
          <cell r="B167">
            <v>2010</v>
          </cell>
          <cell r="D167" t="str">
            <v xml:space="preserve">01_Residential </v>
          </cell>
          <cell r="F167">
            <v>168</v>
          </cell>
          <cell r="G167">
            <v>1471602</v>
          </cell>
          <cell r="H167">
            <v>0</v>
          </cell>
        </row>
        <row r="168">
          <cell r="B168">
            <v>2010</v>
          </cell>
          <cell r="D168" t="str">
            <v>02_GS&lt;50</v>
          </cell>
          <cell r="F168">
            <v>31</v>
          </cell>
          <cell r="G168">
            <v>499285</v>
          </cell>
          <cell r="H168">
            <v>0</v>
          </cell>
        </row>
        <row r="169">
          <cell r="B169">
            <v>2010</v>
          </cell>
          <cell r="D169" t="str">
            <v>03_GS&gt;50</v>
          </cell>
          <cell r="F169">
            <v>4</v>
          </cell>
          <cell r="G169">
            <v>1611160</v>
          </cell>
          <cell r="H169">
            <v>3907.9</v>
          </cell>
        </row>
        <row r="170">
          <cell r="B170">
            <v>2010</v>
          </cell>
          <cell r="D170" t="str">
            <v>08_StreetLights</v>
          </cell>
          <cell r="F170">
            <v>87</v>
          </cell>
          <cell r="G170">
            <v>55055</v>
          </cell>
          <cell r="H170">
            <v>163</v>
          </cell>
        </row>
        <row r="171">
          <cell r="B171">
            <v>2010</v>
          </cell>
          <cell r="D171" t="str">
            <v xml:space="preserve">01_Residential </v>
          </cell>
          <cell r="F171">
            <v>6299</v>
          </cell>
          <cell r="G171">
            <v>58904267</v>
          </cell>
          <cell r="H171">
            <v>0</v>
          </cell>
        </row>
        <row r="172">
          <cell r="B172">
            <v>2010</v>
          </cell>
          <cell r="D172" t="str">
            <v>02_GS&lt;50</v>
          </cell>
          <cell r="F172">
            <v>662</v>
          </cell>
          <cell r="G172">
            <v>17998806</v>
          </cell>
          <cell r="H172">
            <v>0</v>
          </cell>
        </row>
        <row r="173">
          <cell r="B173">
            <v>2010</v>
          </cell>
          <cell r="D173" t="str">
            <v>03_GS&gt;50</v>
          </cell>
          <cell r="F173">
            <v>91</v>
          </cell>
          <cell r="G173">
            <v>91846588</v>
          </cell>
          <cell r="H173">
            <v>235476.1</v>
          </cell>
        </row>
        <row r="174">
          <cell r="B174">
            <v>2010</v>
          </cell>
          <cell r="D174" t="str">
            <v>08_StreetLights</v>
          </cell>
          <cell r="F174">
            <v>1958</v>
          </cell>
          <cell r="G174">
            <v>1458103</v>
          </cell>
          <cell r="H174">
            <v>4316</v>
          </cell>
        </row>
        <row r="175">
          <cell r="B175">
            <v>2010</v>
          </cell>
          <cell r="D175" t="str">
            <v>07_USL</v>
          </cell>
          <cell r="F175">
            <v>51</v>
          </cell>
          <cell r="G175">
            <v>311683</v>
          </cell>
          <cell r="H175">
            <v>0</v>
          </cell>
        </row>
        <row r="176">
          <cell r="B176">
            <v>2010</v>
          </cell>
          <cell r="D176" t="str">
            <v>08_Sentinel</v>
          </cell>
          <cell r="F176">
            <v>46</v>
          </cell>
          <cell r="G176">
            <v>42724</v>
          </cell>
          <cell r="H176">
            <v>118.55</v>
          </cell>
        </row>
        <row r="177">
          <cell r="B177">
            <v>2011</v>
          </cell>
          <cell r="D177" t="str">
            <v xml:space="preserve">01_Residential </v>
          </cell>
          <cell r="F177">
            <v>28649</v>
          </cell>
          <cell r="G177">
            <v>235820564</v>
          </cell>
          <cell r="H177">
            <v>0</v>
          </cell>
        </row>
        <row r="178">
          <cell r="B178">
            <v>2011</v>
          </cell>
          <cell r="D178" t="str">
            <v>02_GS&lt;50</v>
          </cell>
          <cell r="F178">
            <v>3083</v>
          </cell>
          <cell r="G178">
            <v>96444412</v>
          </cell>
          <cell r="H178">
            <v>0</v>
          </cell>
        </row>
        <row r="179">
          <cell r="B179">
            <v>2011</v>
          </cell>
          <cell r="D179" t="str">
            <v>03_GS&gt;50</v>
          </cell>
          <cell r="F179">
            <v>385</v>
          </cell>
          <cell r="G179">
            <v>237594548</v>
          </cell>
          <cell r="H179">
            <v>666408</v>
          </cell>
        </row>
        <row r="180">
          <cell r="B180">
            <v>2011</v>
          </cell>
          <cell r="D180" t="str">
            <v>04_Intermediate</v>
          </cell>
          <cell r="F180">
            <v>14</v>
          </cell>
          <cell r="G180">
            <v>114379257</v>
          </cell>
          <cell r="H180">
            <v>290985</v>
          </cell>
        </row>
        <row r="181">
          <cell r="B181">
            <v>2011</v>
          </cell>
          <cell r="D181" t="str">
            <v>06_LargeUse_Ded</v>
          </cell>
          <cell r="F181">
            <v>1</v>
          </cell>
          <cell r="G181">
            <v>28996883</v>
          </cell>
          <cell r="H181">
            <v>68609</v>
          </cell>
        </row>
        <row r="182">
          <cell r="B182">
            <v>2009</v>
          </cell>
          <cell r="D182" t="str">
            <v>06_LargeUse_Ded</v>
          </cell>
          <cell r="F182">
            <v>1</v>
          </cell>
          <cell r="G182">
            <v>22651157</v>
          </cell>
          <cell r="H182">
            <v>77988</v>
          </cell>
        </row>
        <row r="183">
          <cell r="B183">
            <v>2011</v>
          </cell>
          <cell r="D183" t="str">
            <v>08_StreetLights</v>
          </cell>
          <cell r="F183">
            <v>10679</v>
          </cell>
          <cell r="G183">
            <v>6592773</v>
          </cell>
          <cell r="H183">
            <v>19516</v>
          </cell>
        </row>
        <row r="184">
          <cell r="B184">
            <v>2011</v>
          </cell>
          <cell r="D184" t="str">
            <v>07_USL</v>
          </cell>
          <cell r="F184">
            <v>192</v>
          </cell>
          <cell r="G184">
            <v>902912</v>
          </cell>
        </row>
        <row r="185">
          <cell r="B185">
            <v>2011</v>
          </cell>
          <cell r="D185" t="str">
            <v>08_Sentinel</v>
          </cell>
          <cell r="F185">
            <v>340</v>
          </cell>
          <cell r="G185">
            <v>311048</v>
          </cell>
          <cell r="H185">
            <v>861</v>
          </cell>
        </row>
        <row r="186">
          <cell r="B186">
            <v>2011</v>
          </cell>
        </row>
        <row r="187">
          <cell r="B187">
            <v>2011</v>
          </cell>
          <cell r="D187" t="str">
            <v xml:space="preserve">01_Residential </v>
          </cell>
          <cell r="F187">
            <v>521</v>
          </cell>
          <cell r="G187">
            <v>4677383</v>
          </cell>
          <cell r="H187">
            <v>0</v>
          </cell>
        </row>
        <row r="188">
          <cell r="B188">
            <v>2011</v>
          </cell>
          <cell r="D188" t="str">
            <v>02_GS&lt;50</v>
          </cell>
          <cell r="F188">
            <v>87</v>
          </cell>
          <cell r="G188">
            <v>3384817</v>
          </cell>
          <cell r="H188">
            <v>0</v>
          </cell>
        </row>
        <row r="189">
          <cell r="B189">
            <v>2011</v>
          </cell>
          <cell r="D189" t="str">
            <v>08_StreetLights</v>
          </cell>
          <cell r="F189">
            <v>207</v>
          </cell>
          <cell r="G189">
            <v>115944</v>
          </cell>
          <cell r="H189">
            <v>343</v>
          </cell>
        </row>
        <row r="190">
          <cell r="B190">
            <v>2011</v>
          </cell>
          <cell r="D190" t="str">
            <v>07_USL</v>
          </cell>
          <cell r="F190">
            <v>2</v>
          </cell>
          <cell r="G190">
            <v>9588</v>
          </cell>
          <cell r="H190">
            <v>0</v>
          </cell>
        </row>
        <row r="191">
          <cell r="B191">
            <v>2011</v>
          </cell>
          <cell r="D191" t="str">
            <v>08_Sentinel</v>
          </cell>
          <cell r="F191">
            <v>1</v>
          </cell>
          <cell r="G191">
            <v>881</v>
          </cell>
          <cell r="H191">
            <v>2.4472222222222224</v>
          </cell>
        </row>
        <row r="192">
          <cell r="B192">
            <v>2011</v>
          </cell>
          <cell r="D192" t="str">
            <v xml:space="preserve">01_Residential </v>
          </cell>
          <cell r="F192">
            <v>168</v>
          </cell>
          <cell r="G192">
            <v>1437085</v>
          </cell>
          <cell r="H192">
            <v>0</v>
          </cell>
        </row>
        <row r="193">
          <cell r="B193">
            <v>2011</v>
          </cell>
          <cell r="D193" t="str">
            <v>02_GS&lt;50</v>
          </cell>
          <cell r="F193">
            <v>31</v>
          </cell>
          <cell r="G193">
            <v>513918</v>
          </cell>
          <cell r="H193">
            <v>0</v>
          </cell>
        </row>
        <row r="194">
          <cell r="B194">
            <v>2011</v>
          </cell>
          <cell r="D194" t="str">
            <v>03_GS&gt;50</v>
          </cell>
          <cell r="F194">
            <v>5</v>
          </cell>
          <cell r="G194">
            <v>1690380</v>
          </cell>
          <cell r="H194">
            <v>4452.0999999999995</v>
          </cell>
        </row>
        <row r="195">
          <cell r="B195">
            <v>2011</v>
          </cell>
          <cell r="D195" t="str">
            <v>08_StreetLights</v>
          </cell>
          <cell r="F195">
            <v>87</v>
          </cell>
          <cell r="G195">
            <v>55053</v>
          </cell>
          <cell r="H195">
            <v>163</v>
          </cell>
        </row>
        <row r="196">
          <cell r="B196">
            <v>2011</v>
          </cell>
          <cell r="D196" t="str">
            <v xml:space="preserve">01_Residential </v>
          </cell>
          <cell r="F196">
            <v>6422</v>
          </cell>
          <cell r="G196">
            <v>57560954</v>
          </cell>
          <cell r="H196">
            <v>0</v>
          </cell>
        </row>
        <row r="197">
          <cell r="B197">
            <v>2011</v>
          </cell>
          <cell r="D197" t="str">
            <v>02_GS&lt;50</v>
          </cell>
          <cell r="F197">
            <v>664</v>
          </cell>
          <cell r="G197">
            <v>17572286</v>
          </cell>
          <cell r="H197">
            <v>0</v>
          </cell>
        </row>
        <row r="198">
          <cell r="B198">
            <v>2011</v>
          </cell>
          <cell r="D198" t="str">
            <v>03_GS&gt;50</v>
          </cell>
          <cell r="F198">
            <v>89</v>
          </cell>
          <cell r="G198">
            <v>93983144</v>
          </cell>
          <cell r="H198">
            <v>235543.9</v>
          </cell>
        </row>
        <row r="199">
          <cell r="B199">
            <v>2009</v>
          </cell>
          <cell r="D199" t="str">
            <v>05_LargeUse</v>
          </cell>
          <cell r="F199">
            <v>1</v>
          </cell>
          <cell r="G199">
            <v>17181839</v>
          </cell>
          <cell r="H199">
            <v>38952</v>
          </cell>
        </row>
        <row r="200">
          <cell r="B200">
            <v>2011</v>
          </cell>
          <cell r="D200" t="str">
            <v>08_StreetLights</v>
          </cell>
          <cell r="F200">
            <v>1958</v>
          </cell>
          <cell r="G200">
            <v>1458104</v>
          </cell>
          <cell r="H200">
            <v>4316.2</v>
          </cell>
        </row>
        <row r="201">
          <cell r="B201">
            <v>2011</v>
          </cell>
          <cell r="D201" t="str">
            <v>07_USL</v>
          </cell>
          <cell r="F201">
            <v>51</v>
          </cell>
          <cell r="G201">
            <v>336500</v>
          </cell>
          <cell r="H201">
            <v>0</v>
          </cell>
        </row>
        <row r="202">
          <cell r="B202">
            <v>2011</v>
          </cell>
          <cell r="D202" t="str">
            <v>08_Sentinel</v>
          </cell>
          <cell r="F202">
            <v>47</v>
          </cell>
          <cell r="G202">
            <v>41908</v>
          </cell>
          <cell r="H202">
            <v>116.55277777777778</v>
          </cell>
        </row>
        <row r="203">
          <cell r="B203">
            <v>2012</v>
          </cell>
          <cell r="D203" t="str">
            <v xml:space="preserve">01_Residential </v>
          </cell>
          <cell r="F203">
            <v>28704</v>
          </cell>
          <cell r="G203">
            <v>233649318</v>
          </cell>
          <cell r="H203">
            <v>0</v>
          </cell>
        </row>
        <row r="204">
          <cell r="B204">
            <v>2012</v>
          </cell>
          <cell r="D204" t="str">
            <v>02_GS&lt;50</v>
          </cell>
          <cell r="F204">
            <v>3082</v>
          </cell>
          <cell r="G204">
            <v>90524721</v>
          </cell>
          <cell r="H204">
            <v>0</v>
          </cell>
        </row>
        <row r="205">
          <cell r="B205">
            <v>2012</v>
          </cell>
          <cell r="D205" t="str">
            <v>03_GS&gt;50</v>
          </cell>
          <cell r="F205">
            <v>392</v>
          </cell>
          <cell r="G205">
            <v>246167990</v>
          </cell>
          <cell r="H205">
            <v>677184</v>
          </cell>
        </row>
        <row r="206">
          <cell r="B206">
            <v>2012</v>
          </cell>
          <cell r="D206" t="str">
            <v>04_Intermediate</v>
          </cell>
          <cell r="F206">
            <v>13</v>
          </cell>
          <cell r="G206">
            <v>114499112</v>
          </cell>
          <cell r="H206">
            <v>278788</v>
          </cell>
        </row>
        <row r="207">
          <cell r="B207">
            <v>2012</v>
          </cell>
          <cell r="D207" t="str">
            <v>06_LargeUse_Ded</v>
          </cell>
          <cell r="F207">
            <v>1</v>
          </cell>
          <cell r="G207">
            <v>28118306</v>
          </cell>
          <cell r="H207">
            <v>66670</v>
          </cell>
        </row>
        <row r="208">
          <cell r="B208">
            <v>2012</v>
          </cell>
          <cell r="D208" t="str">
            <v>08_StreetLights</v>
          </cell>
          <cell r="F208">
            <v>10679</v>
          </cell>
          <cell r="G208">
            <v>6615542</v>
          </cell>
          <cell r="H208">
            <v>19516</v>
          </cell>
        </row>
        <row r="209">
          <cell r="B209">
            <v>2012</v>
          </cell>
          <cell r="D209" t="str">
            <v>07_USL</v>
          </cell>
          <cell r="F209">
            <v>192</v>
          </cell>
          <cell r="G209">
            <v>904732</v>
          </cell>
          <cell r="H209">
            <v>0</v>
          </cell>
        </row>
        <row r="210">
          <cell r="B210">
            <v>2012</v>
          </cell>
          <cell r="D210" t="str">
            <v>08_Sentinel</v>
          </cell>
          <cell r="F210">
            <v>340</v>
          </cell>
          <cell r="G210">
            <v>361472</v>
          </cell>
          <cell r="H210">
            <v>1016</v>
          </cell>
        </row>
        <row r="211">
          <cell r="B211">
            <v>2012</v>
          </cell>
          <cell r="D211" t="str">
            <v xml:space="preserve">01_Residential </v>
          </cell>
          <cell r="F211">
            <v>531</v>
          </cell>
          <cell r="G211">
            <v>4455818</v>
          </cell>
          <cell r="H211">
            <v>0</v>
          </cell>
        </row>
        <row r="212">
          <cell r="B212">
            <v>2012</v>
          </cell>
          <cell r="D212" t="str">
            <v>02_GS&lt;50</v>
          </cell>
          <cell r="F212">
            <v>87</v>
          </cell>
          <cell r="G212">
            <v>3185486</v>
          </cell>
          <cell r="H212">
            <v>0</v>
          </cell>
        </row>
        <row r="213">
          <cell r="B213">
            <v>2012</v>
          </cell>
          <cell r="D213" t="str">
            <v>08_StreetLights</v>
          </cell>
          <cell r="F213">
            <v>207</v>
          </cell>
          <cell r="G213">
            <v>116338</v>
          </cell>
          <cell r="H213">
            <v>343</v>
          </cell>
        </row>
        <row r="214">
          <cell r="B214">
            <v>2012</v>
          </cell>
          <cell r="D214" t="str">
            <v>07_USL</v>
          </cell>
          <cell r="F214">
            <v>2</v>
          </cell>
          <cell r="G214">
            <v>9588</v>
          </cell>
          <cell r="H214">
            <v>0</v>
          </cell>
        </row>
        <row r="215">
          <cell r="B215">
            <v>2012</v>
          </cell>
          <cell r="D215" t="str">
            <v>08_Sentinel</v>
          </cell>
          <cell r="F215">
            <v>1</v>
          </cell>
          <cell r="G215">
            <v>881</v>
          </cell>
          <cell r="H215">
            <v>2.4472222222222224</v>
          </cell>
        </row>
        <row r="216">
          <cell r="B216">
            <v>2012</v>
          </cell>
          <cell r="D216" t="str">
            <v xml:space="preserve">01_Residential </v>
          </cell>
          <cell r="F216">
            <v>168</v>
          </cell>
          <cell r="G216">
            <v>1346561</v>
          </cell>
          <cell r="H216">
            <v>0</v>
          </cell>
        </row>
        <row r="217">
          <cell r="B217">
            <v>2012</v>
          </cell>
          <cell r="D217" t="str">
            <v>02_GS&lt;50</v>
          </cell>
          <cell r="F217">
            <v>32</v>
          </cell>
          <cell r="G217">
            <v>477970</v>
          </cell>
          <cell r="H217">
            <v>0</v>
          </cell>
        </row>
        <row r="218">
          <cell r="B218">
            <v>2012</v>
          </cell>
          <cell r="D218" t="str">
            <v>03_GS&gt;50</v>
          </cell>
          <cell r="F218">
            <v>5</v>
          </cell>
          <cell r="G218">
            <v>1652160</v>
          </cell>
          <cell r="H218">
            <v>4438.4000000000005</v>
          </cell>
        </row>
        <row r="219">
          <cell r="B219">
            <v>2012</v>
          </cell>
          <cell r="D219" t="str">
            <v>08_StreetLights</v>
          </cell>
          <cell r="F219">
            <v>87</v>
          </cell>
          <cell r="G219">
            <v>55239</v>
          </cell>
          <cell r="H219">
            <v>163</v>
          </cell>
        </row>
        <row r="220">
          <cell r="B220">
            <v>2012</v>
          </cell>
          <cell r="D220" t="str">
            <v xml:space="preserve">01_Residential </v>
          </cell>
          <cell r="F220">
            <v>6469</v>
          </cell>
          <cell r="G220">
            <v>57204582</v>
          </cell>
          <cell r="H220">
            <v>0</v>
          </cell>
        </row>
        <row r="221">
          <cell r="B221">
            <v>2012</v>
          </cell>
          <cell r="D221" t="str">
            <v>02_GS&lt;50</v>
          </cell>
          <cell r="F221">
            <v>657</v>
          </cell>
          <cell r="G221">
            <v>15968049</v>
          </cell>
          <cell r="H221">
            <v>0</v>
          </cell>
        </row>
        <row r="222">
          <cell r="B222">
            <v>2012</v>
          </cell>
          <cell r="D222" t="str">
            <v>03_GS&gt;50</v>
          </cell>
          <cell r="F222">
            <v>90</v>
          </cell>
          <cell r="G222">
            <v>96514821</v>
          </cell>
          <cell r="H222">
            <v>238895.6</v>
          </cell>
        </row>
        <row r="223">
          <cell r="B223">
            <v>2012</v>
          </cell>
          <cell r="D223" t="str">
            <v>08_StreetLights</v>
          </cell>
          <cell r="F223">
            <v>1958</v>
          </cell>
          <cell r="G223">
            <v>1463048</v>
          </cell>
          <cell r="H223">
            <v>4316.2</v>
          </cell>
        </row>
        <row r="224">
          <cell r="B224">
            <v>2012</v>
          </cell>
          <cell r="D224" t="str">
            <v>07_USL</v>
          </cell>
          <cell r="F224">
            <v>51</v>
          </cell>
          <cell r="G224">
            <v>298717</v>
          </cell>
          <cell r="H224">
            <v>0</v>
          </cell>
        </row>
        <row r="225">
          <cell r="B225">
            <v>2012</v>
          </cell>
          <cell r="D225" t="str">
            <v>08_Sentinel</v>
          </cell>
          <cell r="F225">
            <v>47</v>
          </cell>
          <cell r="G225">
            <v>42906</v>
          </cell>
          <cell r="H225">
            <v>119.55277777777778</v>
          </cell>
        </row>
        <row r="226">
          <cell r="B226">
            <v>2013</v>
          </cell>
          <cell r="D226" t="str">
            <v xml:space="preserve">01_Residential </v>
          </cell>
          <cell r="F226">
            <v>28799</v>
          </cell>
          <cell r="G226">
            <v>216352313</v>
          </cell>
          <cell r="H226">
            <v>0</v>
          </cell>
        </row>
        <row r="227">
          <cell r="B227">
            <v>2013</v>
          </cell>
          <cell r="D227" t="str">
            <v>02_GS&lt;50</v>
          </cell>
          <cell r="F227">
            <v>3087</v>
          </cell>
          <cell r="G227">
            <v>84825628</v>
          </cell>
          <cell r="H227">
            <v>0</v>
          </cell>
        </row>
        <row r="228">
          <cell r="B228">
            <v>2013</v>
          </cell>
          <cell r="D228" t="str">
            <v>03_GS&gt;50</v>
          </cell>
          <cell r="F228">
            <v>381</v>
          </cell>
          <cell r="G228">
            <v>254848303.64429528</v>
          </cell>
          <cell r="H228">
            <v>691390</v>
          </cell>
        </row>
        <row r="229">
          <cell r="B229">
            <v>2013</v>
          </cell>
          <cell r="D229" t="str">
            <v>04_Intermediate</v>
          </cell>
          <cell r="F229">
            <v>13</v>
          </cell>
          <cell r="G229">
            <v>112421650.80153404</v>
          </cell>
          <cell r="H229">
            <v>278345</v>
          </cell>
        </row>
        <row r="230">
          <cell r="B230">
            <v>2013</v>
          </cell>
          <cell r="D230" t="str">
            <v>06_LargeUse_Ded</v>
          </cell>
          <cell r="F230">
            <v>1</v>
          </cell>
          <cell r="G230">
            <v>39427413.279952668</v>
          </cell>
          <cell r="H230">
            <v>87871</v>
          </cell>
        </row>
        <row r="231">
          <cell r="B231">
            <v>2013</v>
          </cell>
          <cell r="D231" t="str">
            <v>08_StreetLights</v>
          </cell>
          <cell r="F231">
            <v>10623</v>
          </cell>
          <cell r="G231">
            <v>6163072</v>
          </cell>
          <cell r="H231">
            <v>18186</v>
          </cell>
        </row>
        <row r="232">
          <cell r="B232">
            <v>2013</v>
          </cell>
          <cell r="D232" t="str">
            <v>07_USL</v>
          </cell>
          <cell r="F232">
            <v>199</v>
          </cell>
          <cell r="G232">
            <v>904820</v>
          </cell>
          <cell r="H232">
            <v>0</v>
          </cell>
        </row>
        <row r="233">
          <cell r="B233">
            <v>2013</v>
          </cell>
          <cell r="D233" t="str">
            <v>08_Sentinel</v>
          </cell>
          <cell r="F233">
            <v>440</v>
          </cell>
          <cell r="G233">
            <v>364770</v>
          </cell>
          <cell r="H233">
            <v>1002</v>
          </cell>
        </row>
        <row r="234">
          <cell r="B234">
            <v>2013</v>
          </cell>
          <cell r="D234" t="str">
            <v xml:space="preserve">01_Residential </v>
          </cell>
          <cell r="F234">
            <v>542</v>
          </cell>
          <cell r="G234">
            <v>4459461</v>
          </cell>
          <cell r="H234">
            <v>0</v>
          </cell>
        </row>
        <row r="235">
          <cell r="B235">
            <v>2013</v>
          </cell>
          <cell r="D235" t="str">
            <v>02_GS&lt;50</v>
          </cell>
          <cell r="F235">
            <v>89</v>
          </cell>
          <cell r="G235">
            <v>3350792</v>
          </cell>
          <cell r="H235">
            <v>0</v>
          </cell>
        </row>
        <row r="236">
          <cell r="B236">
            <v>2013</v>
          </cell>
          <cell r="D236" t="str">
            <v>08_StreetLights</v>
          </cell>
          <cell r="F236">
            <v>208</v>
          </cell>
          <cell r="G236">
            <v>115994</v>
          </cell>
          <cell r="H236">
            <v>343</v>
          </cell>
        </row>
        <row r="237">
          <cell r="B237">
            <v>2013</v>
          </cell>
          <cell r="D237" t="str">
            <v>08_Sentinel</v>
          </cell>
          <cell r="F237">
            <v>1</v>
          </cell>
          <cell r="G237">
            <v>881</v>
          </cell>
          <cell r="H237">
            <v>2</v>
          </cell>
        </row>
        <row r="238">
          <cell r="B238">
            <v>2013</v>
          </cell>
          <cell r="D238" t="str">
            <v xml:space="preserve">01_Residential </v>
          </cell>
          <cell r="F238">
            <v>170</v>
          </cell>
          <cell r="G238">
            <v>1295687</v>
          </cell>
          <cell r="H238">
            <v>0</v>
          </cell>
        </row>
        <row r="239">
          <cell r="B239">
            <v>2013</v>
          </cell>
          <cell r="D239" t="str">
            <v>02_GS&lt;50</v>
          </cell>
          <cell r="F239">
            <v>33</v>
          </cell>
          <cell r="G239">
            <v>469879</v>
          </cell>
          <cell r="H239">
            <v>0</v>
          </cell>
        </row>
        <row r="240">
          <cell r="B240">
            <v>2013</v>
          </cell>
          <cell r="D240" t="str">
            <v>03_GS&gt;50</v>
          </cell>
          <cell r="F240">
            <v>4</v>
          </cell>
          <cell r="G240">
            <v>1575940</v>
          </cell>
          <cell r="H240">
            <v>4253</v>
          </cell>
        </row>
        <row r="241">
          <cell r="B241">
            <v>2013</v>
          </cell>
          <cell r="D241" t="str">
            <v>08_StreetLights</v>
          </cell>
          <cell r="F241">
            <v>74</v>
          </cell>
          <cell r="G241">
            <v>55076</v>
          </cell>
          <cell r="H241">
            <v>163</v>
          </cell>
        </row>
        <row r="242">
          <cell r="B242">
            <v>2013</v>
          </cell>
          <cell r="D242" t="str">
            <v xml:space="preserve">01_Residential </v>
          </cell>
          <cell r="F242">
            <v>6505</v>
          </cell>
          <cell r="G242">
            <v>58964339</v>
          </cell>
          <cell r="H242">
            <v>0</v>
          </cell>
        </row>
        <row r="243">
          <cell r="B243">
            <v>2013</v>
          </cell>
          <cell r="D243" t="str">
            <v>02_GS&lt;50</v>
          </cell>
          <cell r="F243">
            <v>663</v>
          </cell>
          <cell r="G243">
            <v>18380349</v>
          </cell>
          <cell r="H243">
            <v>0</v>
          </cell>
        </row>
        <row r="244">
          <cell r="B244">
            <v>2013</v>
          </cell>
          <cell r="D244" t="str">
            <v>03_GS&gt;50</v>
          </cell>
          <cell r="F244">
            <v>97</v>
          </cell>
          <cell r="G244">
            <v>94846331</v>
          </cell>
          <cell r="H244">
            <v>265664</v>
          </cell>
        </row>
        <row r="245">
          <cell r="B245">
            <v>2010</v>
          </cell>
          <cell r="D245" t="str">
            <v>06_LargeUse_Ded</v>
          </cell>
          <cell r="F245">
            <v>0.5</v>
          </cell>
          <cell r="G245">
            <v>6535793</v>
          </cell>
          <cell r="H245">
            <v>27746</v>
          </cell>
        </row>
        <row r="246">
          <cell r="B246">
            <v>2013</v>
          </cell>
          <cell r="D246" t="str">
            <v>08_StreetLights</v>
          </cell>
          <cell r="F246">
            <v>2369</v>
          </cell>
          <cell r="G246">
            <v>1458104</v>
          </cell>
          <cell r="H246">
            <v>4316</v>
          </cell>
        </row>
        <row r="247">
          <cell r="B247">
            <v>2013</v>
          </cell>
          <cell r="D247" t="str">
            <v>07_USL</v>
          </cell>
          <cell r="F247">
            <v>52</v>
          </cell>
          <cell r="G247">
            <v>323846</v>
          </cell>
          <cell r="H247">
            <v>0</v>
          </cell>
        </row>
        <row r="248">
          <cell r="B248">
            <v>2013</v>
          </cell>
          <cell r="D248" t="str">
            <v>08_Sentinel</v>
          </cell>
          <cell r="F248">
            <v>52</v>
          </cell>
          <cell r="G248">
            <v>44509</v>
          </cell>
          <cell r="H248">
            <v>126</v>
          </cell>
        </row>
        <row r="249">
          <cell r="B249">
            <v>2014</v>
          </cell>
          <cell r="D249" t="str">
            <v xml:space="preserve">01_Residential </v>
          </cell>
          <cell r="F249">
            <v>28836</v>
          </cell>
          <cell r="G249">
            <v>225602338.60690317</v>
          </cell>
          <cell r="H249">
            <v>0</v>
          </cell>
        </row>
        <row r="250">
          <cell r="B250">
            <v>2014</v>
          </cell>
          <cell r="D250" t="str">
            <v>02_GS&lt;50</v>
          </cell>
          <cell r="F250">
            <v>3092</v>
          </cell>
          <cell r="G250">
            <v>88516284.126289561</v>
          </cell>
          <cell r="H250">
            <v>0</v>
          </cell>
        </row>
        <row r="251">
          <cell r="B251">
            <v>2014</v>
          </cell>
          <cell r="D251" t="str">
            <v>03_GS&gt;50</v>
          </cell>
          <cell r="F251">
            <v>386</v>
          </cell>
          <cell r="G251">
            <v>245152652.91698945</v>
          </cell>
          <cell r="H251">
            <v>694185</v>
          </cell>
        </row>
        <row r="252">
          <cell r="B252">
            <v>2014</v>
          </cell>
          <cell r="D252" t="str">
            <v>04_Intermediate</v>
          </cell>
          <cell r="F252">
            <v>12</v>
          </cell>
          <cell r="G252">
            <v>113731870.00479385</v>
          </cell>
          <cell r="H252">
            <v>273287</v>
          </cell>
        </row>
        <row r="253">
          <cell r="B253">
            <v>2014</v>
          </cell>
          <cell r="D253" t="str">
            <v>06_LargeUse_Ded</v>
          </cell>
          <cell r="F253">
            <v>1</v>
          </cell>
          <cell r="G253">
            <v>33167215.004141606</v>
          </cell>
          <cell r="H253">
            <v>81852</v>
          </cell>
        </row>
        <row r="254">
          <cell r="B254">
            <v>2014</v>
          </cell>
          <cell r="D254" t="str">
            <v>08_StreetLights</v>
          </cell>
          <cell r="F254">
            <v>10623</v>
          </cell>
          <cell r="G254">
            <v>5912082.511025887</v>
          </cell>
          <cell r="H254">
            <v>17520.12</v>
          </cell>
        </row>
        <row r="255">
          <cell r="B255">
            <v>2014</v>
          </cell>
          <cell r="D255" t="str">
            <v>07_USL</v>
          </cell>
          <cell r="F255">
            <v>199</v>
          </cell>
          <cell r="G255">
            <v>923683.96</v>
          </cell>
        </row>
        <row r="256">
          <cell r="B256">
            <v>2014</v>
          </cell>
          <cell r="D256" t="str">
            <v>08_Sentinel</v>
          </cell>
          <cell r="F256">
            <v>411</v>
          </cell>
          <cell r="G256">
            <v>364562.62511984661</v>
          </cell>
          <cell r="H256">
            <v>1022.0166666666667</v>
          </cell>
        </row>
        <row r="257">
          <cell r="B257">
            <v>2014</v>
          </cell>
          <cell r="D257" t="str">
            <v xml:space="preserve">01_Residential </v>
          </cell>
          <cell r="F257">
            <v>552</v>
          </cell>
          <cell r="G257">
            <v>4528709</v>
          </cell>
          <cell r="H257">
            <v>0</v>
          </cell>
        </row>
        <row r="258">
          <cell r="B258">
            <v>2014</v>
          </cell>
          <cell r="D258" t="str">
            <v>02_GS&lt;50</v>
          </cell>
          <cell r="F258">
            <v>89</v>
          </cell>
          <cell r="G258">
            <v>3437363</v>
          </cell>
          <cell r="H258">
            <v>0</v>
          </cell>
        </row>
        <row r="259">
          <cell r="B259">
            <v>2014</v>
          </cell>
          <cell r="D259" t="str">
            <v>08_StreetLights</v>
          </cell>
          <cell r="F259">
            <v>208</v>
          </cell>
          <cell r="G259">
            <v>116024</v>
          </cell>
          <cell r="H259">
            <v>343.4</v>
          </cell>
        </row>
        <row r="260">
          <cell r="B260">
            <v>2014</v>
          </cell>
          <cell r="D260" t="str">
            <v>08_Sentinel</v>
          </cell>
          <cell r="F260">
            <v>1</v>
          </cell>
          <cell r="G260">
            <v>881</v>
          </cell>
          <cell r="H260">
            <v>2</v>
          </cell>
        </row>
        <row r="261">
          <cell r="B261">
            <v>2014</v>
          </cell>
          <cell r="D261" t="str">
            <v xml:space="preserve">01_Residential </v>
          </cell>
          <cell r="F261">
            <v>171</v>
          </cell>
          <cell r="G261">
            <v>1358770</v>
          </cell>
          <cell r="H261">
            <v>0</v>
          </cell>
        </row>
        <row r="262">
          <cell r="B262">
            <v>2014</v>
          </cell>
          <cell r="D262" t="str">
            <v>02_GS&lt;50</v>
          </cell>
          <cell r="F262">
            <v>32</v>
          </cell>
          <cell r="G262">
            <v>534747</v>
          </cell>
          <cell r="H262">
            <v>0</v>
          </cell>
        </row>
        <row r="263">
          <cell r="B263">
            <v>2014</v>
          </cell>
          <cell r="D263" t="str">
            <v>03_GS&gt;50</v>
          </cell>
          <cell r="F263">
            <v>4</v>
          </cell>
          <cell r="G263">
            <v>1478160</v>
          </cell>
          <cell r="H263">
            <v>3877.7</v>
          </cell>
        </row>
        <row r="264">
          <cell r="B264">
            <v>2014</v>
          </cell>
          <cell r="D264" t="str">
            <v>08_StreetLights</v>
          </cell>
          <cell r="F264">
            <v>74</v>
          </cell>
          <cell r="G264">
            <v>55093</v>
          </cell>
          <cell r="H264">
            <v>163.1</v>
          </cell>
        </row>
        <row r="265">
          <cell r="B265">
            <v>2014</v>
          </cell>
          <cell r="D265" t="str">
            <v xml:space="preserve">01_Residential </v>
          </cell>
          <cell r="F265">
            <v>6572</v>
          </cell>
          <cell r="G265">
            <v>57965625.719457015</v>
          </cell>
          <cell r="H265">
            <v>0</v>
          </cell>
        </row>
        <row r="266">
          <cell r="B266">
            <v>2014</v>
          </cell>
          <cell r="D266" t="str">
            <v>02_GS&lt;50</v>
          </cell>
          <cell r="F266">
            <v>661</v>
          </cell>
          <cell r="G266">
            <v>17337883.176470589</v>
          </cell>
          <cell r="H266">
            <v>0</v>
          </cell>
        </row>
        <row r="267">
          <cell r="B267">
            <v>2014</v>
          </cell>
          <cell r="D267" t="str">
            <v>03_GS&gt;50</v>
          </cell>
          <cell r="F267">
            <v>96</v>
          </cell>
          <cell r="G267">
            <v>106710585.06033182</v>
          </cell>
          <cell r="H267">
            <v>240319.3</v>
          </cell>
        </row>
        <row r="268">
          <cell r="B268">
            <v>2010</v>
          </cell>
          <cell r="D268" t="str">
            <v>05_LargeUse</v>
          </cell>
          <cell r="F268">
            <v>1</v>
          </cell>
          <cell r="G268">
            <v>29034336</v>
          </cell>
          <cell r="H268">
            <v>56098</v>
          </cell>
        </row>
        <row r="269">
          <cell r="B269">
            <v>2014</v>
          </cell>
          <cell r="D269" t="str">
            <v>08_StreetLights</v>
          </cell>
          <cell r="F269">
            <v>2361</v>
          </cell>
          <cell r="G269">
            <v>1450049.8190045247</v>
          </cell>
          <cell r="H269">
            <v>4315.7</v>
          </cell>
        </row>
        <row r="270">
          <cell r="B270">
            <v>2014</v>
          </cell>
          <cell r="D270" t="str">
            <v>07_USL</v>
          </cell>
          <cell r="F270">
            <v>51</v>
          </cell>
          <cell r="G270">
            <v>325760</v>
          </cell>
          <cell r="H270">
            <v>0</v>
          </cell>
        </row>
        <row r="271">
          <cell r="B271">
            <v>2014</v>
          </cell>
          <cell r="D271" t="str">
            <v>08_Sentinel</v>
          </cell>
          <cell r="F271">
            <v>69</v>
          </cell>
          <cell r="G271">
            <v>43208.128205128203</v>
          </cell>
          <cell r="H271">
            <v>120.24722222222222</v>
          </cell>
        </row>
        <row r="272">
          <cell r="B272">
            <v>2008</v>
          </cell>
          <cell r="D272" t="str">
            <v xml:space="preserve">01_Residential </v>
          </cell>
          <cell r="F272">
            <v>28504</v>
          </cell>
          <cell r="G272">
            <v>232973162</v>
          </cell>
          <cell r="H272">
            <v>0</v>
          </cell>
        </row>
        <row r="273">
          <cell r="B273">
            <v>2008</v>
          </cell>
          <cell r="D273" t="str">
            <v>02_GS&lt;50</v>
          </cell>
          <cell r="F273">
            <v>3155</v>
          </cell>
          <cell r="G273">
            <v>101240646</v>
          </cell>
          <cell r="H273">
            <v>0</v>
          </cell>
        </row>
        <row r="274">
          <cell r="B274">
            <v>2008</v>
          </cell>
          <cell r="D274" t="str">
            <v>03_GS&gt;50</v>
          </cell>
          <cell r="F274">
            <v>433</v>
          </cell>
          <cell r="G274">
            <v>431804159</v>
          </cell>
          <cell r="H274">
            <v>1141824</v>
          </cell>
        </row>
        <row r="275">
          <cell r="B275">
            <v>2011</v>
          </cell>
          <cell r="D275" t="str">
            <v>06_LargeUse_Ded</v>
          </cell>
        </row>
        <row r="276">
          <cell r="B276">
            <v>2008</v>
          </cell>
          <cell r="D276" t="str">
            <v>08_StreetLights</v>
          </cell>
          <cell r="F276">
            <v>10679</v>
          </cell>
          <cell r="G276">
            <v>6570411</v>
          </cell>
          <cell r="H276">
            <v>19576</v>
          </cell>
        </row>
        <row r="277">
          <cell r="B277">
            <v>2008</v>
          </cell>
          <cell r="D277" t="str">
            <v>08_Sentinel</v>
          </cell>
          <cell r="F277">
            <v>344</v>
          </cell>
          <cell r="G277">
            <v>393539</v>
          </cell>
          <cell r="H277">
            <v>1104</v>
          </cell>
        </row>
        <row r="278">
          <cell r="B278">
            <v>2006</v>
          </cell>
          <cell r="D278" t="str">
            <v xml:space="preserve">01_Residential </v>
          </cell>
          <cell r="F278">
            <v>28347</v>
          </cell>
          <cell r="G278">
            <v>239607514</v>
          </cell>
          <cell r="H278">
            <v>0</v>
          </cell>
        </row>
        <row r="279">
          <cell r="B279">
            <v>2006</v>
          </cell>
          <cell r="D279" t="str">
            <v>02_GS&lt;50</v>
          </cell>
          <cell r="F279">
            <v>3198</v>
          </cell>
          <cell r="G279">
            <v>103834053</v>
          </cell>
          <cell r="H279">
            <v>0</v>
          </cell>
        </row>
        <row r="280">
          <cell r="B280">
            <v>2006</v>
          </cell>
          <cell r="D280" t="str">
            <v>03_GS&gt;50</v>
          </cell>
          <cell r="F280">
            <v>412</v>
          </cell>
          <cell r="G280">
            <v>457282285</v>
          </cell>
          <cell r="H280">
            <v>1183867</v>
          </cell>
        </row>
        <row r="281">
          <cell r="B281">
            <v>2011</v>
          </cell>
          <cell r="D281" t="str">
            <v>05_LargeUse</v>
          </cell>
          <cell r="F281">
            <v>1</v>
          </cell>
          <cell r="G281">
            <v>34298990</v>
          </cell>
          <cell r="H281">
            <v>63856</v>
          </cell>
        </row>
        <row r="282">
          <cell r="B282">
            <v>2006</v>
          </cell>
          <cell r="D282" t="str">
            <v>08_StreetLights</v>
          </cell>
          <cell r="F282">
            <v>10510</v>
          </cell>
          <cell r="G282">
            <v>6662695</v>
          </cell>
          <cell r="H282">
            <v>20133</v>
          </cell>
        </row>
        <row r="283">
          <cell r="B283">
            <v>2006</v>
          </cell>
          <cell r="D283" t="str">
            <v>08_Sentinel</v>
          </cell>
          <cell r="F283">
            <v>346</v>
          </cell>
          <cell r="G283">
            <v>411813</v>
          </cell>
          <cell r="H283">
            <v>1771</v>
          </cell>
        </row>
        <row r="284">
          <cell r="B284">
            <v>2006</v>
          </cell>
          <cell r="D284" t="str">
            <v xml:space="preserve">01_Residential </v>
          </cell>
          <cell r="F284">
            <v>6126</v>
          </cell>
          <cell r="G284">
            <v>57128546.499605514</v>
          </cell>
          <cell r="H284">
            <v>0</v>
          </cell>
        </row>
        <row r="285">
          <cell r="B285">
            <v>2006</v>
          </cell>
          <cell r="D285" t="str">
            <v>02_GS&lt;50</v>
          </cell>
          <cell r="F285">
            <v>691</v>
          </cell>
          <cell r="G285">
            <v>21953404.451721411</v>
          </cell>
          <cell r="H285">
            <v>0</v>
          </cell>
        </row>
        <row r="286">
          <cell r="B286">
            <v>2006</v>
          </cell>
          <cell r="D286" t="str">
            <v>03_GS&gt;50</v>
          </cell>
          <cell r="F286">
            <v>91</v>
          </cell>
          <cell r="G286">
            <v>86515487.480292246</v>
          </cell>
          <cell r="H286">
            <v>235443</v>
          </cell>
        </row>
        <row r="287">
          <cell r="B287">
            <v>2012</v>
          </cell>
          <cell r="D287" t="str">
            <v>05_LargeUse</v>
          </cell>
          <cell r="F287">
            <v>1</v>
          </cell>
          <cell r="G287">
            <v>34317082</v>
          </cell>
          <cell r="H287">
            <v>67537</v>
          </cell>
        </row>
        <row r="288">
          <cell r="B288">
            <v>2006</v>
          </cell>
          <cell r="D288" t="str">
            <v>08_StreetLights</v>
          </cell>
          <cell r="F288">
            <v>1958</v>
          </cell>
          <cell r="G288">
            <v>1448602.8989464766</v>
          </cell>
          <cell r="H288">
            <v>4315.5</v>
          </cell>
        </row>
        <row r="289">
          <cell r="B289">
            <v>2006</v>
          </cell>
          <cell r="D289" t="str">
            <v>08_Sentinel</v>
          </cell>
          <cell r="F289">
            <v>47</v>
          </cell>
          <cell r="G289">
            <v>42849.028740967071</v>
          </cell>
          <cell r="H289">
            <v>126</v>
          </cell>
        </row>
        <row r="290">
          <cell r="B290">
            <v>2006</v>
          </cell>
          <cell r="D290" t="str">
            <v xml:space="preserve">01_Residential </v>
          </cell>
          <cell r="F290">
            <v>506</v>
          </cell>
          <cell r="G290">
            <v>4091958</v>
          </cell>
        </row>
        <row r="291">
          <cell r="B291">
            <v>2006</v>
          </cell>
          <cell r="D291" t="str">
            <v>02_GS&lt;50</v>
          </cell>
          <cell r="F291">
            <v>94</v>
          </cell>
          <cell r="G291">
            <v>3316831</v>
          </cell>
        </row>
        <row r="292">
          <cell r="B292">
            <v>2006</v>
          </cell>
          <cell r="D292" t="str">
            <v>08_StreetLights</v>
          </cell>
          <cell r="G292">
            <v>119252</v>
          </cell>
          <cell r="H292">
            <v>343</v>
          </cell>
        </row>
        <row r="293">
          <cell r="B293">
            <v>2006</v>
          </cell>
          <cell r="D293" t="str">
            <v>07_USL</v>
          </cell>
          <cell r="G293">
            <v>0</v>
          </cell>
        </row>
        <row r="294">
          <cell r="B294">
            <v>2006</v>
          </cell>
          <cell r="D294" t="str">
            <v xml:space="preserve">01_Residential </v>
          </cell>
          <cell r="F294">
            <v>163</v>
          </cell>
          <cell r="G294">
            <v>1527065</v>
          </cell>
        </row>
        <row r="295">
          <cell r="B295">
            <v>2006</v>
          </cell>
          <cell r="D295" t="str">
            <v>02_GS&lt;50</v>
          </cell>
          <cell r="F295">
            <v>26</v>
          </cell>
          <cell r="G295">
            <v>496590</v>
          </cell>
        </row>
        <row r="296">
          <cell r="B296">
            <v>2006</v>
          </cell>
          <cell r="D296" t="str">
            <v>03_GS&gt;50</v>
          </cell>
          <cell r="F296">
            <v>4</v>
          </cell>
          <cell r="G296">
            <v>1796270</v>
          </cell>
          <cell r="H296">
            <v>4486</v>
          </cell>
        </row>
        <row r="297">
          <cell r="B297">
            <v>2006</v>
          </cell>
          <cell r="D297" t="str">
            <v>08_StreetLights</v>
          </cell>
          <cell r="G297">
            <v>566646</v>
          </cell>
        </row>
        <row r="298">
          <cell r="B298">
            <v>2007</v>
          </cell>
          <cell r="D298" t="str">
            <v xml:space="preserve">01_Residential </v>
          </cell>
          <cell r="F298">
            <v>28391</v>
          </cell>
          <cell r="G298">
            <v>236072777.32951289</v>
          </cell>
          <cell r="H298">
            <v>0</v>
          </cell>
        </row>
        <row r="299">
          <cell r="B299">
            <v>2007</v>
          </cell>
          <cell r="D299" t="str">
            <v>02_GS&lt;50</v>
          </cell>
          <cell r="F299">
            <v>3190</v>
          </cell>
          <cell r="G299">
            <v>101917289.48233047</v>
          </cell>
          <cell r="H299">
            <v>0</v>
          </cell>
        </row>
        <row r="300">
          <cell r="B300">
            <v>2007</v>
          </cell>
          <cell r="D300" t="str">
            <v>03_GS&gt;50</v>
          </cell>
          <cell r="F300">
            <v>419</v>
          </cell>
          <cell r="G300">
            <v>373904613.3734479</v>
          </cell>
          <cell r="H300">
            <v>988088.42999999993</v>
          </cell>
        </row>
        <row r="301">
          <cell r="B301">
            <v>2007</v>
          </cell>
          <cell r="D301" t="str">
            <v>03_GS&gt;50</v>
          </cell>
          <cell r="F301">
            <v>4</v>
          </cell>
          <cell r="G301">
            <v>69832593.276026741</v>
          </cell>
          <cell r="H301">
            <v>166506</v>
          </cell>
        </row>
        <row r="302">
          <cell r="B302">
            <v>2007</v>
          </cell>
          <cell r="D302" t="str">
            <v>03_GS&gt;50</v>
          </cell>
          <cell r="F302">
            <v>1</v>
          </cell>
          <cell r="G302">
            <v>5547628</v>
          </cell>
          <cell r="H302">
            <v>11674</v>
          </cell>
        </row>
        <row r="303">
          <cell r="B303">
            <v>2013</v>
          </cell>
          <cell r="D303" t="str">
            <v>05_LargeUse</v>
          </cell>
          <cell r="F303">
            <v>1</v>
          </cell>
          <cell r="G303">
            <v>32247068</v>
          </cell>
          <cell r="H303">
            <v>67914</v>
          </cell>
        </row>
        <row r="304">
          <cell r="B304">
            <v>2007</v>
          </cell>
          <cell r="D304" t="str">
            <v>08_StreetLights</v>
          </cell>
          <cell r="F304">
            <v>10510</v>
          </cell>
          <cell r="G304">
            <v>6663852</v>
          </cell>
          <cell r="H304">
            <v>27153.45</v>
          </cell>
        </row>
        <row r="305">
          <cell r="B305">
            <v>2007</v>
          </cell>
          <cell r="D305" t="str">
            <v>08_Sentinel</v>
          </cell>
          <cell r="F305">
            <v>347</v>
          </cell>
          <cell r="G305">
            <v>402663.06685768859</v>
          </cell>
          <cell r="H305">
            <v>1117.9805555555556</v>
          </cell>
        </row>
        <row r="306">
          <cell r="B306">
            <v>2007</v>
          </cell>
          <cell r="D306" t="str">
            <v xml:space="preserve">01_Residential </v>
          </cell>
          <cell r="F306">
            <v>6176</v>
          </cell>
          <cell r="G306">
            <v>57541658.987933636</v>
          </cell>
          <cell r="H306">
            <v>0</v>
          </cell>
        </row>
        <row r="307">
          <cell r="B307">
            <v>2007</v>
          </cell>
          <cell r="D307" t="str">
            <v>02_GS&lt;50</v>
          </cell>
          <cell r="F307">
            <v>687</v>
          </cell>
          <cell r="G307">
            <v>20879378.850678731</v>
          </cell>
          <cell r="H307">
            <v>0</v>
          </cell>
        </row>
        <row r="308">
          <cell r="B308">
            <v>2007</v>
          </cell>
          <cell r="D308" t="str">
            <v>03_GS&gt;50</v>
          </cell>
          <cell r="F308">
            <v>93</v>
          </cell>
          <cell r="G308">
            <v>91696955.368024141</v>
          </cell>
          <cell r="H308">
            <v>248441.9</v>
          </cell>
        </row>
        <row r="309">
          <cell r="B309">
            <v>2014</v>
          </cell>
          <cell r="D309" t="str">
            <v>05_LargeUse</v>
          </cell>
          <cell r="F309">
            <v>1</v>
          </cell>
          <cell r="G309">
            <v>31573402.002986562</v>
          </cell>
          <cell r="H309">
            <v>65619</v>
          </cell>
        </row>
        <row r="310">
          <cell r="B310">
            <v>2007</v>
          </cell>
          <cell r="D310" t="str">
            <v>08_StreetLights</v>
          </cell>
          <cell r="F310">
            <v>1958</v>
          </cell>
          <cell r="G310">
            <v>1448032</v>
          </cell>
          <cell r="H310">
            <v>4315.6000000000004</v>
          </cell>
        </row>
        <row r="311">
          <cell r="B311">
            <v>2007</v>
          </cell>
          <cell r="D311" t="str">
            <v>08_Sentinel</v>
          </cell>
          <cell r="F311">
            <v>47</v>
          </cell>
          <cell r="G311">
            <v>41824.7269984917</v>
          </cell>
          <cell r="H311">
            <v>116.1797972180325</v>
          </cell>
        </row>
      </sheetData>
      <sheetData sheetId="2" refreshError="1"/>
      <sheetData sheetId="3" refreshError="1"/>
      <sheetData sheetId="4" refreshError="1"/>
      <sheetData sheetId="5" refreshError="1"/>
      <sheetData sheetId="6" refreshError="1"/>
      <sheetData sheetId="7" refreshError="1"/>
      <sheetData sheetId="8">
        <row r="4">
          <cell r="C4">
            <v>1862328.28</v>
          </cell>
          <cell r="D4">
            <v>4197.63</v>
          </cell>
        </row>
        <row r="5">
          <cell r="C5">
            <v>4199611</v>
          </cell>
          <cell r="D5">
            <v>9630</v>
          </cell>
        </row>
        <row r="9">
          <cell r="C9">
            <v>4077694.92</v>
          </cell>
          <cell r="D9">
            <v>7504.07</v>
          </cell>
        </row>
        <row r="10">
          <cell r="C10">
            <v>2297436.08</v>
          </cell>
          <cell r="D10">
            <v>10157.93</v>
          </cell>
        </row>
      </sheetData>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H8">
            <v>0.33901945272638984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TECTURE"/>
      <sheetName val="GUIDE"/>
      <sheetName val="CDM Plan Summary"/>
      <sheetName val="OPA ADMIN ONLY"/>
      <sheetName val="Detailed CDM Plan Summary"/>
      <sheetName val="PROGRAM DESIGN &gt;&gt;"/>
      <sheetName val="Custom Measure Input"/>
      <sheetName val="Measure Selection &amp; CE Results"/>
      <sheetName val="Program Budget Input"/>
      <sheetName val="External Inputs"/>
      <sheetName val="RESULTS &gt;&gt;"/>
      <sheetName val="Program Portfolio CE Results"/>
      <sheetName val="Measure Savings Results"/>
      <sheetName val="Summary CE Results"/>
      <sheetName val="ADMIN INPUT &gt;&gt;"/>
      <sheetName val="ADMIN OPTIONS"/>
      <sheetName val="CE Parameters"/>
      <sheetName val="Rates Table"/>
      <sheetName val="Avoided Cost Table"/>
      <sheetName val="DEFINED INPUTS &gt;&gt;"/>
      <sheetName val="Custom Load Profile Input"/>
      <sheetName val="Formatted Load Profiles"/>
      <sheetName val="Formatted Measure List"/>
      <sheetName val="CALCULATION &gt;&gt;"/>
      <sheetName val="Levelized Rates Table"/>
      <sheetName val="Levelized Avoided Cost Table"/>
      <sheetName val="Measure CE Results"/>
      <sheetName val="VBA References"/>
      <sheetName val="Revision History"/>
    </sheetNames>
    <sheetDataSet>
      <sheetData sheetId="0"/>
      <sheetData sheetId="1"/>
      <sheetData sheetId="2">
        <row r="32">
          <cell r="D32">
            <v>835.46400149999988</v>
          </cell>
          <cell r="F32">
            <v>4450.0149107871239</v>
          </cell>
        </row>
        <row r="33">
          <cell r="D33">
            <v>46.067988306320501</v>
          </cell>
          <cell r="F33">
            <v>252.6477689211178</v>
          </cell>
        </row>
        <row r="34">
          <cell r="D34">
            <v>75.408789194634778</v>
          </cell>
          <cell r="F34">
            <v>295.98140707740873</v>
          </cell>
        </row>
        <row r="35">
          <cell r="D35">
            <v>0</v>
          </cell>
          <cell r="F35">
            <v>9.1960874536095503</v>
          </cell>
        </row>
        <row r="36">
          <cell r="D36">
            <v>24.512346354089004</v>
          </cell>
          <cell r="F36">
            <v>0</v>
          </cell>
        </row>
        <row r="37">
          <cell r="D37">
            <v>0</v>
          </cell>
          <cell r="F37">
            <v>56.999964600000006</v>
          </cell>
        </row>
        <row r="38">
          <cell r="D38">
            <v>94.816912500000001</v>
          </cell>
          <cell r="F38">
            <v>606.82823999999994</v>
          </cell>
        </row>
        <row r="39">
          <cell r="D39">
            <v>2828.7819044999997</v>
          </cell>
        </row>
        <row r="40">
          <cell r="D40">
            <v>138.2039649189615</v>
          </cell>
        </row>
        <row r="41">
          <cell r="D41">
            <v>41.210999999999999</v>
          </cell>
        </row>
        <row r="42">
          <cell r="D42">
            <v>1.8392174907219101</v>
          </cell>
        </row>
        <row r="43">
          <cell r="D43">
            <v>73.537039062267013</v>
          </cell>
        </row>
        <row r="44">
          <cell r="D44">
            <v>284.4507375</v>
          </cell>
        </row>
        <row r="45">
          <cell r="D45">
            <v>23731.898400000002</v>
          </cell>
        </row>
        <row r="46">
          <cell r="D46">
            <v>185.01536758390435</v>
          </cell>
        </row>
        <row r="47">
          <cell r="D47">
            <v>414.21974200000005</v>
          </cell>
        </row>
        <row r="48">
          <cell r="D48">
            <v>0</v>
          </cell>
          <cell r="F48">
            <v>450.23885000000001</v>
          </cell>
        </row>
        <row r="49">
          <cell r="F49">
            <v>96.688749999999999</v>
          </cell>
        </row>
      </sheetData>
      <sheetData sheetId="3"/>
      <sheetData sheetId="4">
        <row r="19">
          <cell r="F19">
            <v>28775.427410910896</v>
          </cell>
          <cell r="H19">
            <v>28775.427410910896</v>
          </cell>
          <cell r="J19">
            <v>28775.427410910896</v>
          </cell>
          <cell r="L19">
            <v>28775.427410910896</v>
          </cell>
          <cell r="N19">
            <v>28396.159760910898</v>
          </cell>
          <cell r="P19">
            <v>28396.159760910898</v>
          </cell>
        </row>
        <row r="20">
          <cell r="H20">
            <v>6218.5959788392584</v>
          </cell>
          <cell r="J20">
            <v>6218.5959788392584</v>
          </cell>
          <cell r="L20">
            <v>6218.5959788392584</v>
          </cell>
          <cell r="N20">
            <v>6218.5959788392584</v>
          </cell>
          <cell r="P20">
            <v>5611.7677388392594</v>
          </cell>
        </row>
        <row r="21">
          <cell r="H21">
            <v>0</v>
          </cell>
          <cell r="J21">
            <v>6049.7227290270494</v>
          </cell>
          <cell r="L21">
            <v>6049.7227290270494</v>
          </cell>
          <cell r="N21">
            <v>6049.7227290270494</v>
          </cell>
          <cell r="P21">
            <v>6049.7227290270494</v>
          </cell>
        </row>
        <row r="22">
          <cell r="H22">
            <v>0</v>
          </cell>
          <cell r="J22">
            <v>0</v>
          </cell>
          <cell r="L22">
            <v>12078.19491539017</v>
          </cell>
          <cell r="N22">
            <v>12078.19491539017</v>
          </cell>
          <cell r="P22">
            <v>12078.19491539017</v>
          </cell>
        </row>
        <row r="23">
          <cell r="H23">
            <v>0</v>
          </cell>
          <cell r="J23">
            <v>0</v>
          </cell>
          <cell r="L23">
            <v>0</v>
          </cell>
          <cell r="N23">
            <v>5165.7833899952793</v>
          </cell>
          <cell r="P23">
            <v>5165.7833899952793</v>
          </cell>
        </row>
        <row r="24">
          <cell r="H24">
            <v>0</v>
          </cell>
          <cell r="J24">
            <v>0</v>
          </cell>
          <cell r="L24">
            <v>0</v>
          </cell>
          <cell r="N24">
            <v>0</v>
          </cell>
          <cell r="P24">
            <v>4777.5188415844232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Persistence summary"/>
      <sheetName val="Preliminary Results"/>
      <sheetName val="Projected 2014 Persistence"/>
      <sheetName val="2013 Persistence Data"/>
      <sheetName val="Raw 2013 Persistence Data"/>
      <sheetName val="CK 2014 allocation"/>
      <sheetName val="MPDC 2014 allocation"/>
      <sheetName val="BillingDeterminants"/>
    </sheetNames>
    <sheetDataSet>
      <sheetData sheetId="0">
        <row r="18">
          <cell r="C18">
            <v>1679864.0697452123</v>
          </cell>
        </row>
        <row r="19">
          <cell r="C19">
            <v>1675268.4038364314</v>
          </cell>
          <cell r="D19">
            <v>1181877.1275095697</v>
          </cell>
          <cell r="E19">
            <v>4025767.6388938073</v>
          </cell>
          <cell r="F19">
            <v>106756.45529507556</v>
          </cell>
          <cell r="G19">
            <v>3788169.0496896994</v>
          </cell>
          <cell r="K19">
            <v>20104.999398254939</v>
          </cell>
        </row>
        <row r="20">
          <cell r="C20">
            <v>1614734.1632996572</v>
          </cell>
          <cell r="D20">
            <v>1156190.4621849549</v>
          </cell>
          <cell r="E20">
            <v>3968139.4785981355</v>
          </cell>
          <cell r="F20">
            <v>105228.25529194951</v>
          </cell>
          <cell r="G20">
            <v>3738440.1967773451</v>
          </cell>
          <cell r="K20">
            <v>20104.999398254939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w Voltage"/>
      <sheetName val="RTSR 1"/>
      <sheetName val="TOA"/>
      <sheetName val="Specific Service Charges"/>
      <sheetName val="RSC"/>
      <sheetName val="Loss Factors"/>
    </sheetNames>
    <sheetDataSet>
      <sheetData sheetId="0"/>
      <sheetData sheetId="1">
        <row r="18">
          <cell r="M18">
            <v>7.3000000000000001E-3</v>
          </cell>
          <cell r="N18">
            <v>5.4000000000000003E-3</v>
          </cell>
        </row>
        <row r="19">
          <cell r="M19">
            <v>6.4000000000000003E-3</v>
          </cell>
          <cell r="N19">
            <v>4.7999999999999996E-3</v>
          </cell>
        </row>
        <row r="20">
          <cell r="M20">
            <v>2.7772999999999999</v>
          </cell>
          <cell r="N20">
            <v>2.0087000000000002</v>
          </cell>
        </row>
        <row r="21">
          <cell r="M21">
            <v>2.9468999999999999</v>
          </cell>
          <cell r="N21">
            <v>2.2082999999999999</v>
          </cell>
        </row>
        <row r="22">
          <cell r="M22">
            <v>6.4000000000000003E-3</v>
          </cell>
          <cell r="N22">
            <v>4.7999999999999996E-3</v>
          </cell>
        </row>
        <row r="23">
          <cell r="M23">
            <v>2.0402999999999998</v>
          </cell>
          <cell r="N23">
            <v>1.5096000000000001</v>
          </cell>
        </row>
        <row r="24">
          <cell r="M24">
            <v>2.0192000000000001</v>
          </cell>
          <cell r="N24">
            <v>1.4744999999999999</v>
          </cell>
        </row>
        <row r="25">
          <cell r="M25">
            <v>0</v>
          </cell>
          <cell r="N25">
            <v>0</v>
          </cell>
        </row>
      </sheetData>
      <sheetData sheetId="2" refreshError="1"/>
      <sheetData sheetId="3" refreshError="1"/>
      <sheetData sheetId="4" refreshError="1"/>
      <sheetData sheetId="5">
        <row r="4">
          <cell r="D4">
            <v>1.0427999999999999</v>
          </cell>
          <cell r="H4">
            <v>1.0431999999999999</v>
          </cell>
        </row>
        <row r="5">
          <cell r="D5">
            <v>1.0429999999999999</v>
          </cell>
          <cell r="H5">
            <v>1.0148999999999999</v>
          </cell>
        </row>
        <row r="6">
          <cell r="D6">
            <v>1.0324</v>
          </cell>
          <cell r="H6">
            <v>1.0327999999999999</v>
          </cell>
        </row>
        <row r="7">
          <cell r="D7">
            <v>1.0141</v>
          </cell>
          <cell r="H7">
            <v>1.0048999999999999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oad Forecast"/>
      <sheetName val="COP"/>
      <sheetName val="LV Rates"/>
      <sheetName val="Revenue-Old"/>
      <sheetName val="Rate Base"/>
      <sheetName val="Other Revenue"/>
      <sheetName val="Stranded Meter"/>
      <sheetName val="OM&amp;A"/>
      <sheetName val="RRWF"/>
      <sheetName val="CA"/>
      <sheetName val="Proposed Rates All"/>
    </sheetNames>
    <sheetDataSet>
      <sheetData sheetId="0"/>
      <sheetData sheetId="1"/>
      <sheetData sheetId="2"/>
      <sheetData sheetId="3">
        <row r="6">
          <cell r="I6">
            <v>1.8E-3</v>
          </cell>
        </row>
        <row r="7">
          <cell r="I7">
            <v>1.6000000000000001E-3</v>
          </cell>
        </row>
        <row r="8">
          <cell r="I8">
            <v>0.6512</v>
          </cell>
        </row>
        <row r="9">
          <cell r="I9">
            <v>0.71589999999999998</v>
          </cell>
        </row>
        <row r="10">
          <cell r="I10">
            <v>1.6000000000000001E-3</v>
          </cell>
        </row>
        <row r="11">
          <cell r="I11">
            <v>0.4894</v>
          </cell>
        </row>
        <row r="12">
          <cell r="I12">
            <v>0.47799999999999998</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
  <sheetViews>
    <sheetView workbookViewId="0">
      <pane ySplit="5" topLeftCell="A119" activePane="bottomLeft" state="frozen"/>
      <selection activeCell="J58" sqref="J58"/>
      <selection pane="bottomLeft" activeCell="M135" sqref="M135"/>
    </sheetView>
  </sheetViews>
  <sheetFormatPr defaultRowHeight="15" x14ac:dyDescent="0.25"/>
  <cols>
    <col min="1" max="1" width="7.7109375" style="162" bestFit="1" customWidth="1"/>
    <col min="2" max="5" width="12.7109375" style="360" customWidth="1"/>
    <col min="6" max="6" width="12.7109375" style="162" customWidth="1"/>
    <col min="7" max="9" width="12.7109375" style="360" customWidth="1"/>
    <col min="10" max="10" width="12.7109375" style="361" customWidth="1"/>
    <col min="11" max="11" width="12.7109375" style="360" customWidth="1"/>
    <col min="12" max="13" width="12.7109375" style="163" customWidth="1"/>
    <col min="14" max="14" width="12.5703125" style="162" bestFit="1" customWidth="1"/>
    <col min="15" max="15" width="14.28515625" style="162" bestFit="1" customWidth="1"/>
    <col min="16" max="16384" width="9.140625" style="162"/>
  </cols>
  <sheetData>
    <row r="1" spans="1:13" ht="18.75" x14ac:dyDescent="0.3">
      <c r="A1" s="30" t="s">
        <v>0</v>
      </c>
    </row>
    <row r="2" spans="1:13" ht="18.75" x14ac:dyDescent="0.3">
      <c r="A2" s="30" t="s">
        <v>294</v>
      </c>
    </row>
    <row r="3" spans="1:13" ht="19.5" thickBot="1" x14ac:dyDescent="0.35">
      <c r="A3" s="32" t="s">
        <v>372</v>
      </c>
      <c r="B3" s="362"/>
      <c r="C3" s="362"/>
      <c r="D3" s="362"/>
      <c r="E3" s="362"/>
      <c r="F3" s="363"/>
      <c r="G3" s="362"/>
      <c r="H3" s="362"/>
      <c r="I3" s="362"/>
      <c r="J3" s="364"/>
      <c r="K3" s="362"/>
      <c r="L3" s="365"/>
      <c r="M3" s="365"/>
    </row>
    <row r="5" spans="1:13" s="171" customFormat="1" ht="45" x14ac:dyDescent="0.25">
      <c r="A5" s="384" t="s">
        <v>92</v>
      </c>
      <c r="B5" s="385" t="s">
        <v>261</v>
      </c>
      <c r="C5" s="385" t="s">
        <v>262</v>
      </c>
      <c r="D5" s="385" t="s">
        <v>263</v>
      </c>
      <c r="E5" s="385" t="s">
        <v>374</v>
      </c>
      <c r="F5" s="386" t="s">
        <v>20</v>
      </c>
      <c r="G5" s="385" t="s">
        <v>375</v>
      </c>
      <c r="H5" s="385" t="s">
        <v>376</v>
      </c>
      <c r="I5" s="385" t="s">
        <v>377</v>
      </c>
      <c r="J5" s="387" t="s">
        <v>358</v>
      </c>
      <c r="K5" s="385" t="s">
        <v>93</v>
      </c>
      <c r="L5" s="388" t="s">
        <v>235</v>
      </c>
      <c r="M5" s="389" t="s">
        <v>236</v>
      </c>
    </row>
    <row r="6" spans="1:13" x14ac:dyDescent="0.25">
      <c r="A6" s="378" t="s">
        <v>94</v>
      </c>
      <c r="B6" s="379">
        <f>'[10]Complete Data Set'!D2</f>
        <v>92275261.504992813</v>
      </c>
      <c r="C6" s="379">
        <f>'[10]Complete Data Set'!E2</f>
        <v>4080530.0899352999</v>
      </c>
      <c r="D6" s="379">
        <f>'[10]Complete Data Set'!F2</f>
        <v>1554252.736451613</v>
      </c>
      <c r="E6" s="379">
        <f>B6-C6-D6</f>
        <v>86640478.678605899</v>
      </c>
      <c r="F6" s="380">
        <f>'[10]Complete Data Set'!A2</f>
        <v>2006</v>
      </c>
      <c r="G6" s="379">
        <f>'[10]Complete Data Set'!I2</f>
        <v>514.4</v>
      </c>
      <c r="H6" s="381">
        <f>'[10]Complete Data Set'!J2</f>
        <v>0</v>
      </c>
      <c r="I6" s="379">
        <f>'[10]Complete Data Set'!K2</f>
        <v>48705740</v>
      </c>
      <c r="J6" s="381">
        <f>'[10]Complete Data Set'!H2</f>
        <v>0.41911749784950603</v>
      </c>
      <c r="K6" s="47">
        <f>'Regression Analysis'!B$19+'Regression Analysis'!B$20*F6+'Regression Analysis'!B$21*G6+'Regression Analysis'!B$22*H6+'Regression Analysis'!B$23*I6+'Regression Analysis'!B$24*J6</f>
        <v>89216823.296289876</v>
      </c>
      <c r="L6" s="382">
        <f t="shared" ref="L6:L69" si="0">(K6-E6)/E6</f>
        <v>2.973603859278022E-2</v>
      </c>
      <c r="M6" s="383">
        <f t="shared" ref="M6:M17" si="1">ABS(K6-E6)/K6</f>
        <v>2.887734087020688E-2</v>
      </c>
    </row>
    <row r="7" spans="1:13" x14ac:dyDescent="0.25">
      <c r="A7" s="222" t="s">
        <v>95</v>
      </c>
      <c r="B7" s="368">
        <f>'[10]Complete Data Set'!D3</f>
        <v>85895793.720881715</v>
      </c>
      <c r="C7" s="368">
        <f>'[10]Complete Data Set'!E3</f>
        <v>3698718.8483095099</v>
      </c>
      <c r="D7" s="368">
        <f>'[10]Complete Data Set'!F3</f>
        <v>1201808.080967742</v>
      </c>
      <c r="E7" s="368">
        <f t="shared" ref="E7:E70" si="2">B7-C7-D7</f>
        <v>80995266.791604459</v>
      </c>
      <c r="F7" s="206">
        <f>'[10]Complete Data Set'!A3</f>
        <v>2006</v>
      </c>
      <c r="G7" s="368">
        <f>'[10]Complete Data Set'!I3</f>
        <v>577.9</v>
      </c>
      <c r="H7" s="368">
        <f>'[10]Complete Data Set'!J3</f>
        <v>0</v>
      </c>
      <c r="I7" s="368">
        <f>'[10]Complete Data Set'!K3</f>
        <v>48533977</v>
      </c>
      <c r="J7" s="369">
        <f>'[10]Complete Data Set'!H3</f>
        <v>-0.50700916400478402</v>
      </c>
      <c r="K7" s="5">
        <f>'Regression Analysis'!B$19+'Regression Analysis'!B$20*F7+'Regression Analysis'!B$21*G7+'Regression Analysis'!B$22*H7+'Regression Analysis'!B$23*I7+'Regression Analysis'!B$24*J7</f>
        <v>84073449.014367998</v>
      </c>
      <c r="L7" s="370">
        <f t="shared" si="0"/>
        <v>3.8004470442495122E-2</v>
      </c>
      <c r="M7" s="371">
        <f t="shared" si="1"/>
        <v>3.6613012298775595E-2</v>
      </c>
    </row>
    <row r="8" spans="1:13" x14ac:dyDescent="0.25">
      <c r="A8" s="222" t="s">
        <v>96</v>
      </c>
      <c r="B8" s="368">
        <f>'[10]Complete Data Set'!D4</f>
        <v>91568195.673591882</v>
      </c>
      <c r="C8" s="368">
        <f>'[10]Complete Data Set'!E4</f>
        <v>4382301.6419677697</v>
      </c>
      <c r="D8" s="368">
        <f>'[10]Complete Data Set'!F4</f>
        <v>1811912.1977419355</v>
      </c>
      <c r="E8" s="368">
        <f t="shared" si="2"/>
        <v>85373981.833882168</v>
      </c>
      <c r="F8" s="206">
        <f>'[10]Complete Data Set'!A4</f>
        <v>2006</v>
      </c>
      <c r="G8" s="368">
        <f>'[10]Complete Data Set'!I4</f>
        <v>512.19999999999993</v>
      </c>
      <c r="H8" s="368">
        <f>'[10]Complete Data Set'!J4</f>
        <v>0</v>
      </c>
      <c r="I8" s="368">
        <f>'[10]Complete Data Set'!K4</f>
        <v>51567190</v>
      </c>
      <c r="J8" s="369">
        <f>'[10]Complete Data Set'!H4</f>
        <v>6.2739784171715995E-2</v>
      </c>
      <c r="K8" s="5">
        <f>'Regression Analysis'!B$19+'Regression Analysis'!B$20*F8+'Regression Analysis'!B$21*G8+'Regression Analysis'!B$22*H8+'Regression Analysis'!B$23*I8+'Regression Analysis'!B$24*J8</f>
        <v>88743769.843226016</v>
      </c>
      <c r="L8" s="370">
        <f t="shared" si="0"/>
        <v>3.9470901285835164E-2</v>
      </c>
      <c r="M8" s="371">
        <f t="shared" si="1"/>
        <v>3.7972107960895576E-2</v>
      </c>
    </row>
    <row r="9" spans="1:13" x14ac:dyDescent="0.25">
      <c r="A9" s="222" t="s">
        <v>97</v>
      </c>
      <c r="B9" s="368">
        <f>'[10]Complete Data Set'!D5</f>
        <v>79308310.869970053</v>
      </c>
      <c r="C9" s="368">
        <f>'[10]Complete Data Set'!E5</f>
        <v>3964441.9018554599</v>
      </c>
      <c r="D9" s="368">
        <f>'[10]Complete Data Set'!F5</f>
        <v>1283786.3377419356</v>
      </c>
      <c r="E9" s="368">
        <f t="shared" si="2"/>
        <v>74060082.630372658</v>
      </c>
      <c r="F9" s="206">
        <f>'[10]Complete Data Set'!A5</f>
        <v>2006</v>
      </c>
      <c r="G9" s="368">
        <f>'[10]Complete Data Set'!I5</f>
        <v>298.3</v>
      </c>
      <c r="H9" s="368">
        <f>'[10]Complete Data Set'!J5</f>
        <v>0</v>
      </c>
      <c r="I9" s="368">
        <f>'[10]Complete Data Set'!K5</f>
        <v>49484981</v>
      </c>
      <c r="J9" s="369">
        <f>'[10]Complete Data Set'!H5</f>
        <v>-0.69420914264628397</v>
      </c>
      <c r="K9" s="5">
        <f>'Regression Analysis'!B$19+'Regression Analysis'!B$20*F9+'Regression Analysis'!B$21*G9+'Regression Analysis'!B$22*H9+'Regression Analysis'!B$23*I9+'Regression Analysis'!B$24*J9</f>
        <v>77945996.236665219</v>
      </c>
      <c r="L9" s="370">
        <f t="shared" si="0"/>
        <v>5.2469744405860483E-2</v>
      </c>
      <c r="M9" s="371">
        <f t="shared" si="1"/>
        <v>4.9853921867825918E-2</v>
      </c>
    </row>
    <row r="10" spans="1:13" x14ac:dyDescent="0.25">
      <c r="A10" s="222" t="s">
        <v>98</v>
      </c>
      <c r="B10" s="368">
        <f>'[10]Complete Data Set'!D6</f>
        <v>86611522.87133956</v>
      </c>
      <c r="C10" s="368">
        <f>'[10]Complete Data Set'!E6</f>
        <v>4321758.2631988497</v>
      </c>
      <c r="D10" s="368">
        <f>'[10]Complete Data Set'!F6</f>
        <v>1263782.2103225808</v>
      </c>
      <c r="E10" s="368">
        <f t="shared" si="2"/>
        <v>81025982.397818133</v>
      </c>
      <c r="F10" s="206">
        <f>'[10]Complete Data Set'!A6</f>
        <v>2006</v>
      </c>
      <c r="G10" s="368">
        <f>'[10]Complete Data Set'!I6</f>
        <v>145.99999999999997</v>
      </c>
      <c r="H10" s="368">
        <f>'[10]Complete Data Set'!J6</f>
        <v>29.2</v>
      </c>
      <c r="I10" s="368">
        <f>'[10]Complete Data Set'!K6</f>
        <v>50769986</v>
      </c>
      <c r="J10" s="369">
        <f>'[10]Complete Data Set'!H6</f>
        <v>-0.29386468836728802</v>
      </c>
      <c r="K10" s="5">
        <f>'Regression Analysis'!B$19+'Regression Analysis'!B$20*F10+'Regression Analysis'!B$21*G10+'Regression Analysis'!B$22*H10+'Regression Analysis'!B$23*I10+'Regression Analysis'!B$24*J10</f>
        <v>83257082.476793662</v>
      </c>
      <c r="L10" s="370">
        <f t="shared" si="0"/>
        <v>2.7535612811472775E-2</v>
      </c>
      <c r="M10" s="371">
        <f t="shared" si="1"/>
        <v>2.6797721137987337E-2</v>
      </c>
    </row>
    <row r="11" spans="1:13" x14ac:dyDescent="0.25">
      <c r="A11" s="222" t="s">
        <v>99</v>
      </c>
      <c r="B11" s="368">
        <f>'[10]Complete Data Set'!D7</f>
        <v>91680969.573947981</v>
      </c>
      <c r="C11" s="368">
        <f>'[10]Complete Data Set'!E7</f>
        <v>4360325.99438476</v>
      </c>
      <c r="D11" s="368">
        <f>'[10]Complete Data Set'!F7</f>
        <v>1625891.6051612902</v>
      </c>
      <c r="E11" s="368">
        <f t="shared" si="2"/>
        <v>85694751.974401921</v>
      </c>
      <c r="F11" s="206">
        <f>'[10]Complete Data Set'!A7</f>
        <v>2006</v>
      </c>
      <c r="G11" s="368">
        <f>'[10]Complete Data Set'!I7</f>
        <v>35.700000000000003</v>
      </c>
      <c r="H11" s="368">
        <f>'[10]Complete Data Set'!J7</f>
        <v>40.299999999999997</v>
      </c>
      <c r="I11" s="368">
        <f>'[10]Complete Data Set'!K7</f>
        <v>51542946</v>
      </c>
      <c r="J11" s="369">
        <f>'[10]Complete Data Set'!H7</f>
        <v>0.37476870063614698</v>
      </c>
      <c r="K11" s="5">
        <f>'Regression Analysis'!B$19+'Regression Analysis'!B$20*F11+'Regression Analysis'!B$21*G11+'Regression Analysis'!B$22*H11+'Regression Analysis'!B$23*I11+'Regression Analysis'!B$24*J11</f>
        <v>87939717.711282015</v>
      </c>
      <c r="L11" s="370">
        <f t="shared" si="0"/>
        <v>2.6197237113781399E-2</v>
      </c>
      <c r="M11" s="371">
        <f t="shared" si="1"/>
        <v>2.5528461943107664E-2</v>
      </c>
    </row>
    <row r="12" spans="1:13" x14ac:dyDescent="0.25">
      <c r="A12" s="222" t="s">
        <v>100</v>
      </c>
      <c r="B12" s="368">
        <f>'[10]Complete Data Set'!D8</f>
        <v>105876112.80314283</v>
      </c>
      <c r="C12" s="368">
        <f>'[10]Complete Data Set'!E8</f>
        <v>3930918.0851631099</v>
      </c>
      <c r="D12" s="368">
        <f>'[10]Complete Data Set'!F8</f>
        <v>1131201.8793548387</v>
      </c>
      <c r="E12" s="368">
        <f t="shared" si="2"/>
        <v>100813992.83862488</v>
      </c>
      <c r="F12" s="206">
        <f>'[10]Complete Data Set'!A8</f>
        <v>2006</v>
      </c>
      <c r="G12" s="368">
        <f>'[10]Complete Data Set'!I8</f>
        <v>6.2</v>
      </c>
      <c r="H12" s="368">
        <f>'[10]Complete Data Set'!J8</f>
        <v>125.50000000000001</v>
      </c>
      <c r="I12" s="368">
        <f>'[10]Complete Data Set'!K8</f>
        <v>45043016</v>
      </c>
      <c r="J12" s="369">
        <f>'[10]Complete Data Set'!H8</f>
        <v>1.1308832727931699</v>
      </c>
      <c r="K12" s="5">
        <f>'Regression Analysis'!B$19+'Regression Analysis'!B$20*F12+'Regression Analysis'!B$21*G12+'Regression Analysis'!B$22*H12+'Regression Analysis'!B$23*I12+'Regression Analysis'!B$24*J12</f>
        <v>101718966.91480559</v>
      </c>
      <c r="L12" s="370">
        <f t="shared" si="0"/>
        <v>8.9766713002759728E-3</v>
      </c>
      <c r="M12" s="371">
        <f t="shared" si="1"/>
        <v>8.8968075829817424E-3</v>
      </c>
    </row>
    <row r="13" spans="1:13" x14ac:dyDescent="0.25">
      <c r="A13" s="222" t="s">
        <v>101</v>
      </c>
      <c r="B13" s="368">
        <f>'[10]Complete Data Set'!D9</f>
        <v>104632861.64742087</v>
      </c>
      <c r="C13" s="368">
        <f>'[10]Complete Data Set'!E9</f>
        <v>4748540.6031951904</v>
      </c>
      <c r="D13" s="368">
        <f>'[10]Complete Data Set'!F9</f>
        <v>1744245.6551612904</v>
      </c>
      <c r="E13" s="368">
        <f t="shared" si="2"/>
        <v>98140075.389064386</v>
      </c>
      <c r="F13" s="206">
        <f>'[10]Complete Data Set'!A9</f>
        <v>2006</v>
      </c>
      <c r="G13" s="368">
        <f>'[10]Complete Data Set'!I9</f>
        <v>10.100000000000001</v>
      </c>
      <c r="H13" s="368">
        <f>'[10]Complete Data Set'!J9</f>
        <v>66.8</v>
      </c>
      <c r="I13" s="368">
        <f>'[10]Complete Data Set'!K9</f>
        <v>50664482</v>
      </c>
      <c r="J13" s="369">
        <f>'[10]Complete Data Set'!H9</f>
        <v>1.5427178235774599</v>
      </c>
      <c r="K13" s="5">
        <f>'Regression Analysis'!B$19+'Regression Analysis'!B$20*F13+'Regression Analysis'!B$21*G13+'Regression Analysis'!B$22*H13+'Regression Analysis'!B$23*I13+'Regression Analysis'!B$24*J13</f>
        <v>99017333.277130008</v>
      </c>
      <c r="L13" s="370">
        <f t="shared" si="0"/>
        <v>8.938834462759877E-3</v>
      </c>
      <c r="M13" s="371">
        <f t="shared" si="1"/>
        <v>8.8596396108785239E-3</v>
      </c>
    </row>
    <row r="14" spans="1:13" x14ac:dyDescent="0.25">
      <c r="A14" s="222" t="s">
        <v>102</v>
      </c>
      <c r="B14" s="368">
        <f>'[10]Complete Data Set'!D10</f>
        <v>87025571.120068073</v>
      </c>
      <c r="C14" s="368">
        <f>'[10]Complete Data Set'!E10</f>
        <v>4018353.8822212201</v>
      </c>
      <c r="D14" s="368">
        <f>'[10]Complete Data Set'!F10</f>
        <v>1395584.0722580645</v>
      </c>
      <c r="E14" s="368">
        <f t="shared" si="2"/>
        <v>81611633.165588781</v>
      </c>
      <c r="F14" s="206">
        <f>'[10]Complete Data Set'!A10</f>
        <v>2006</v>
      </c>
      <c r="G14" s="368">
        <f>'[10]Complete Data Set'!I10</f>
        <v>89.3</v>
      </c>
      <c r="H14" s="368">
        <f>'[10]Complete Data Set'!J10</f>
        <v>8.3999999999999986</v>
      </c>
      <c r="I14" s="368">
        <f>'[10]Complete Data Set'!K10</f>
        <v>48620316</v>
      </c>
      <c r="J14" s="369">
        <f>'[10]Complete Data Set'!H10</f>
        <v>0.608962832123631</v>
      </c>
      <c r="K14" s="5">
        <f>'Regression Analysis'!B$19+'Regression Analysis'!B$20*F14+'Regression Analysis'!B$21*G14+'Regression Analysis'!B$22*H14+'Regression Analysis'!B$23*I14+'Regression Analysis'!B$24*J14</f>
        <v>83409332.603028715</v>
      </c>
      <c r="L14" s="370">
        <f t="shared" si="0"/>
        <v>2.2027490049028039E-2</v>
      </c>
      <c r="M14" s="371">
        <f t="shared" si="1"/>
        <v>2.155273734170433E-2</v>
      </c>
    </row>
    <row r="15" spans="1:13" x14ac:dyDescent="0.25">
      <c r="A15" s="222" t="s">
        <v>103</v>
      </c>
      <c r="B15" s="368">
        <f>'[10]Complete Data Set'!D11</f>
        <v>89135907.006907359</v>
      </c>
      <c r="C15" s="368">
        <f>'[10]Complete Data Set'!E11</f>
        <v>3794587.2472534101</v>
      </c>
      <c r="D15" s="368">
        <f>'[10]Complete Data Set'!F11</f>
        <v>1169193.3325806451</v>
      </c>
      <c r="E15" s="368">
        <f t="shared" si="2"/>
        <v>84172126.427073315</v>
      </c>
      <c r="F15" s="206">
        <f>'[10]Complete Data Set'!A11</f>
        <v>2006</v>
      </c>
      <c r="G15" s="368">
        <f>'[10]Complete Data Set'!I11</f>
        <v>293.89999999999998</v>
      </c>
      <c r="H15" s="368">
        <f>'[10]Complete Data Set'!J11</f>
        <v>1.7</v>
      </c>
      <c r="I15" s="368">
        <f>'[10]Complete Data Set'!K11</f>
        <v>48023316</v>
      </c>
      <c r="J15" s="369">
        <f>'[10]Complete Data Set'!H11</f>
        <v>0.23319624263806399</v>
      </c>
      <c r="K15" s="5">
        <f>'Regression Analysis'!B$19+'Regression Analysis'!B$20*F15+'Regression Analysis'!B$21*G15+'Regression Analysis'!B$22*H15+'Regression Analysis'!B$23*I15+'Regression Analysis'!B$24*J15</f>
        <v>83405158.648401588</v>
      </c>
      <c r="L15" s="370">
        <f t="shared" si="0"/>
        <v>-9.1118973848929325E-3</v>
      </c>
      <c r="M15" s="371">
        <f t="shared" si="1"/>
        <v>9.1956875461974199E-3</v>
      </c>
    </row>
    <row r="16" spans="1:13" x14ac:dyDescent="0.25">
      <c r="A16" s="222" t="s">
        <v>104</v>
      </c>
      <c r="B16" s="368">
        <f>'[10]Complete Data Set'!D12</f>
        <v>91093979.435759187</v>
      </c>
      <c r="C16" s="368">
        <f>'[10]Complete Data Set'!E12</f>
        <v>3731625.8161315899</v>
      </c>
      <c r="D16" s="368">
        <f>'[10]Complete Data Set'!F12</f>
        <v>1118961.8341935484</v>
      </c>
      <c r="E16" s="368">
        <f t="shared" si="2"/>
        <v>86243391.785434052</v>
      </c>
      <c r="F16" s="206">
        <f>'[10]Complete Data Set'!A12</f>
        <v>2006</v>
      </c>
      <c r="G16" s="368">
        <f>'[10]Complete Data Set'!I12</f>
        <v>378.30000000000018</v>
      </c>
      <c r="H16" s="368">
        <f>'[10]Complete Data Set'!J12</f>
        <v>0</v>
      </c>
      <c r="I16" s="368">
        <f>'[10]Complete Data Set'!K12</f>
        <v>49712772</v>
      </c>
      <c r="J16" s="369">
        <f>'[10]Complete Data Set'!H12</f>
        <v>-2.0326425795801999E-2</v>
      </c>
      <c r="K16" s="5">
        <f>'Regression Analysis'!B$19+'Regression Analysis'!B$20*F16+'Regression Analysis'!B$21*G16+'Regression Analysis'!B$22*H16+'Regression Analysis'!B$23*I16+'Regression Analysis'!B$24*J16</f>
        <v>84250823.808574468</v>
      </c>
      <c r="L16" s="370">
        <f t="shared" si="0"/>
        <v>-2.3104007572161793E-2</v>
      </c>
      <c r="M16" s="371">
        <f t="shared" si="1"/>
        <v>2.3650427221778628E-2</v>
      </c>
    </row>
    <row r="17" spans="1:13" x14ac:dyDescent="0.25">
      <c r="A17" s="222" t="s">
        <v>105</v>
      </c>
      <c r="B17" s="368">
        <f>'[10]Complete Data Set'!D13</f>
        <v>90288886.871977687</v>
      </c>
      <c r="C17" s="368">
        <f>'[10]Complete Data Set'!E13</f>
        <v>2986152.8601531899</v>
      </c>
      <c r="D17" s="368">
        <f>'[10]Complete Data Set'!F13</f>
        <v>957899.81967741938</v>
      </c>
      <c r="E17" s="368">
        <f t="shared" si="2"/>
        <v>86344834.192147091</v>
      </c>
      <c r="F17" s="206">
        <f>'[10]Complete Data Set'!A13</f>
        <v>2006</v>
      </c>
      <c r="G17" s="368">
        <f>'[10]Complete Data Set'!I13</f>
        <v>491.8</v>
      </c>
      <c r="H17" s="368">
        <f>'[10]Complete Data Set'!J13</f>
        <v>0</v>
      </c>
      <c r="I17" s="368">
        <f>'[10]Complete Data Set'!K13</f>
        <v>48603292</v>
      </c>
      <c r="J17" s="369">
        <f>'[10]Complete Data Set'!H13</f>
        <v>5.2494343901185E-2</v>
      </c>
      <c r="K17" s="5">
        <f>'Regression Analysis'!B$19+'Regression Analysis'!B$20*F17+'Regression Analysis'!B$21*G17+'Regression Analysis'!B$22*H17+'Regression Analysis'!B$23*I17+'Regression Analysis'!B$24*J17</f>
        <v>86214597.485249788</v>
      </c>
      <c r="L17" s="370">
        <f t="shared" si="0"/>
        <v>-1.5083323526626016E-3</v>
      </c>
      <c r="M17" s="371">
        <f t="shared" si="1"/>
        <v>1.510610855888822E-3</v>
      </c>
    </row>
    <row r="18" spans="1:13" x14ac:dyDescent="0.25">
      <c r="A18" s="222" t="s">
        <v>106</v>
      </c>
      <c r="B18" s="368">
        <f>'[10]Complete Data Set'!D14</f>
        <v>94700935.5</v>
      </c>
      <c r="C18" s="368">
        <f>'[10]Complete Data Set'!E14</f>
        <v>3572942.4690551702</v>
      </c>
      <c r="D18" s="368">
        <f>'[10]Complete Data Set'!F14</f>
        <v>1116755.5054838709</v>
      </c>
      <c r="E18" s="368">
        <f t="shared" si="2"/>
        <v>90011237.525460958</v>
      </c>
      <c r="F18" s="206">
        <f>'[10]Complete Data Set'!A14</f>
        <v>2007</v>
      </c>
      <c r="G18" s="368">
        <f>'[10]Complete Data Set'!I14</f>
        <v>633.19999999999993</v>
      </c>
      <c r="H18" s="368">
        <f>'[10]Complete Data Set'!J14</f>
        <v>0</v>
      </c>
      <c r="I18" s="368">
        <f>'[10]Complete Data Set'!K14</f>
        <v>47937774</v>
      </c>
      <c r="J18" s="369">
        <f>'[10]Complete Data Set'!H14</f>
        <v>0.41911749784950603</v>
      </c>
      <c r="K18" s="5">
        <f>'Regression Analysis'!B$19+'Regression Analysis'!B$20*F18+'Regression Analysis'!B$21*G18+'Regression Analysis'!B$22*H18+'Regression Analysis'!B$23*I18+'Regression Analysis'!B$24*J18</f>
        <v>90401380.18303515</v>
      </c>
      <c r="L18" s="370">
        <f t="shared" si="0"/>
        <v>4.334377221109023E-3</v>
      </c>
      <c r="M18" s="371">
        <f t="shared" ref="M18:M81" si="3">ABS((K18-E18)/E18)</f>
        <v>4.334377221109023E-3</v>
      </c>
    </row>
    <row r="19" spans="1:13" x14ac:dyDescent="0.25">
      <c r="A19" s="222" t="s">
        <v>107</v>
      </c>
      <c r="B19" s="368">
        <f>'[10]Complete Data Set'!D15</f>
        <v>91441924.900000006</v>
      </c>
      <c r="C19" s="368">
        <f>'[10]Complete Data Set'!E15</f>
        <v>3562267.1908874498</v>
      </c>
      <c r="D19" s="368">
        <f>'[10]Complete Data Set'!F15</f>
        <v>888613.15935483866</v>
      </c>
      <c r="E19" s="368">
        <f t="shared" si="2"/>
        <v>86991044.549757719</v>
      </c>
      <c r="F19" s="206">
        <f>'[10]Complete Data Set'!A15</f>
        <v>2007</v>
      </c>
      <c r="G19" s="368">
        <f>'[10]Complete Data Set'!I15</f>
        <v>742.8</v>
      </c>
      <c r="H19" s="368">
        <f>'[10]Complete Data Set'!J15</f>
        <v>0</v>
      </c>
      <c r="I19" s="368">
        <f>'[10]Complete Data Set'!K15</f>
        <v>47414981</v>
      </c>
      <c r="J19" s="369">
        <f>'[10]Complete Data Set'!H15</f>
        <v>-0.50700916400478402</v>
      </c>
      <c r="K19" s="5">
        <f>'Regression Analysis'!B$19+'Regression Analysis'!B$20*F19+'Regression Analysis'!B$21*G19+'Regression Analysis'!B$22*H19+'Regression Analysis'!B$23*I19+'Regression Analysis'!B$24*J19</f>
        <v>85924274.481657982</v>
      </c>
      <c r="L19" s="370">
        <f t="shared" si="0"/>
        <v>-1.2262987226111062E-2</v>
      </c>
      <c r="M19" s="371">
        <f t="shared" si="3"/>
        <v>1.2262987226111062E-2</v>
      </c>
    </row>
    <row r="20" spans="1:13" x14ac:dyDescent="0.25">
      <c r="A20" s="222" t="s">
        <v>108</v>
      </c>
      <c r="B20" s="368">
        <f>'[10]Complete Data Set'!D16</f>
        <v>91789982.799999997</v>
      </c>
      <c r="C20" s="368">
        <f>'[10]Complete Data Set'!E16</f>
        <v>3623409.8639526302</v>
      </c>
      <c r="D20" s="368">
        <f>'[10]Complete Data Set'!F16</f>
        <v>1189209.6883870969</v>
      </c>
      <c r="E20" s="368">
        <f t="shared" si="2"/>
        <v>86977363.247660264</v>
      </c>
      <c r="F20" s="206">
        <f>'[10]Complete Data Set'!A16</f>
        <v>2007</v>
      </c>
      <c r="G20" s="368">
        <f>'[10]Complete Data Set'!I16</f>
        <v>485.29999999999995</v>
      </c>
      <c r="H20" s="368">
        <f>'[10]Complete Data Set'!J16</f>
        <v>0</v>
      </c>
      <c r="I20" s="368">
        <f>'[10]Complete Data Set'!K16</f>
        <v>51609130</v>
      </c>
      <c r="J20" s="369">
        <f>'[10]Complete Data Set'!H16</f>
        <v>6.2739784171715995E-2</v>
      </c>
      <c r="K20" s="5">
        <f>'Regression Analysis'!B$19+'Regression Analysis'!B$20*F20+'Regression Analysis'!B$21*G20+'Regression Analysis'!B$22*H20+'Regression Analysis'!B$23*I20+'Regression Analysis'!B$24*J20</f>
        <v>87614682.52088657</v>
      </c>
      <c r="L20" s="370">
        <f t="shared" si="0"/>
        <v>7.3274154266046929E-3</v>
      </c>
      <c r="M20" s="371">
        <f t="shared" si="3"/>
        <v>7.3274154266046929E-3</v>
      </c>
    </row>
    <row r="21" spans="1:13" x14ac:dyDescent="0.25">
      <c r="A21" s="222" t="s">
        <v>109</v>
      </c>
      <c r="B21" s="368">
        <f>'[10]Complete Data Set'!D17</f>
        <v>82921569.200000003</v>
      </c>
      <c r="C21" s="368">
        <f>'[10]Complete Data Set'!E17</f>
        <v>3224311.66625976</v>
      </c>
      <c r="D21" s="368">
        <f>'[10]Complete Data Set'!F17</f>
        <v>854276.63967741933</v>
      </c>
      <c r="E21" s="368">
        <f t="shared" si="2"/>
        <v>78842980.894062817</v>
      </c>
      <c r="F21" s="206">
        <f>'[10]Complete Data Set'!A17</f>
        <v>2007</v>
      </c>
      <c r="G21" s="368">
        <f>'[10]Complete Data Set'!I17</f>
        <v>351.89999999999986</v>
      </c>
      <c r="H21" s="368">
        <f>'[10]Complete Data Set'!J17</f>
        <v>0</v>
      </c>
      <c r="I21" s="368">
        <f>'[10]Complete Data Set'!K17</f>
        <v>49374218</v>
      </c>
      <c r="J21" s="369">
        <f>'[10]Complete Data Set'!H17</f>
        <v>-0.69420914264628397</v>
      </c>
      <c r="K21" s="5">
        <f>'Regression Analysis'!B$19+'Regression Analysis'!B$20*F21+'Regression Analysis'!B$21*G21+'Regression Analysis'!B$22*H21+'Regression Analysis'!B$23*I21+'Regression Analysis'!B$24*J21</f>
        <v>78299796.085103586</v>
      </c>
      <c r="L21" s="370">
        <f t="shared" si="0"/>
        <v>-6.8894504342635107E-3</v>
      </c>
      <c r="M21" s="371">
        <f t="shared" si="3"/>
        <v>6.8894504342635107E-3</v>
      </c>
    </row>
    <row r="22" spans="1:13" x14ac:dyDescent="0.25">
      <c r="A22" s="222" t="s">
        <v>110</v>
      </c>
      <c r="B22" s="368">
        <f>'[10]Complete Data Set'!D18</f>
        <v>85875464.299999997</v>
      </c>
      <c r="C22" s="368">
        <f>'[10]Complete Data Set'!E18</f>
        <v>3090738.7011060701</v>
      </c>
      <c r="D22" s="368">
        <f>'[10]Complete Data Set'!F18</f>
        <v>686927.99</v>
      </c>
      <c r="E22" s="368">
        <f t="shared" si="2"/>
        <v>82097797.608893931</v>
      </c>
      <c r="F22" s="206">
        <f>'[10]Complete Data Set'!A18</f>
        <v>2007</v>
      </c>
      <c r="G22" s="368">
        <f>'[10]Complete Data Set'!I18</f>
        <v>137.5</v>
      </c>
      <c r="H22" s="368">
        <f>'[10]Complete Data Set'!J18</f>
        <v>24.900000000000002</v>
      </c>
      <c r="I22" s="368">
        <f>'[10]Complete Data Set'!K18</f>
        <v>50724181</v>
      </c>
      <c r="J22" s="369">
        <f>'[10]Complete Data Set'!H18</f>
        <v>-0.29386468836728802</v>
      </c>
      <c r="K22" s="5">
        <f>'Regression Analysis'!B$19+'Regression Analysis'!B$20*F22+'Regression Analysis'!B$21*G22+'Regression Analysis'!B$22*H22+'Regression Analysis'!B$23*I22+'Regression Analysis'!B$24*J22</f>
        <v>81736430.08298187</v>
      </c>
      <c r="L22" s="370">
        <f t="shared" si="0"/>
        <v>-4.4016713777582893E-3</v>
      </c>
      <c r="M22" s="371">
        <f t="shared" si="3"/>
        <v>4.4016713777582893E-3</v>
      </c>
    </row>
    <row r="23" spans="1:13" x14ac:dyDescent="0.25">
      <c r="A23" s="222" t="s">
        <v>111</v>
      </c>
      <c r="B23" s="368">
        <f>'[10]Complete Data Set'!D19</f>
        <v>95885759.900000006</v>
      </c>
      <c r="C23" s="368">
        <f>'[10]Complete Data Set'!E19</f>
        <v>3366406.4738159101</v>
      </c>
      <c r="D23" s="368">
        <f>'[10]Complete Data Set'!F19</f>
        <v>935416.05290322576</v>
      </c>
      <c r="E23" s="368">
        <f t="shared" si="2"/>
        <v>91583937.373280883</v>
      </c>
      <c r="F23" s="206">
        <f>'[10]Complete Data Set'!A19</f>
        <v>2007</v>
      </c>
      <c r="G23" s="368">
        <f>'[10]Complete Data Set'!I19</f>
        <v>29.999999999999996</v>
      </c>
      <c r="H23" s="368">
        <f>'[10]Complete Data Set'!J19</f>
        <v>65.8</v>
      </c>
      <c r="I23" s="368">
        <f>'[10]Complete Data Set'!K19</f>
        <v>48667556</v>
      </c>
      <c r="J23" s="369">
        <f>'[10]Complete Data Set'!H19</f>
        <v>0.37476870063614698</v>
      </c>
      <c r="K23" s="5">
        <f>'Regression Analysis'!B$19+'Regression Analysis'!B$20*F23+'Regression Analysis'!B$21*G23+'Regression Analysis'!B$22*H23+'Regression Analysis'!B$23*I23+'Regression Analysis'!B$24*J23</f>
        <v>89318915.647252858</v>
      </c>
      <c r="L23" s="370">
        <f t="shared" si="0"/>
        <v>-2.4731648267055539E-2</v>
      </c>
      <c r="M23" s="371">
        <f t="shared" si="3"/>
        <v>2.4731648267055539E-2</v>
      </c>
    </row>
    <row r="24" spans="1:13" x14ac:dyDescent="0.25">
      <c r="A24" s="222" t="s">
        <v>112</v>
      </c>
      <c r="B24" s="368">
        <f>'[10]Complete Data Set'!D20</f>
        <v>95780411</v>
      </c>
      <c r="C24" s="368">
        <f>'[10]Complete Data Set'!E20</f>
        <v>3496124.95468139</v>
      </c>
      <c r="D24" s="368">
        <f>'[10]Complete Data Set'!F20</f>
        <v>640251.1893548388</v>
      </c>
      <c r="E24" s="368">
        <f t="shared" si="2"/>
        <v>91644034.855963767</v>
      </c>
      <c r="F24" s="206">
        <f>'[10]Complete Data Set'!A20</f>
        <v>2007</v>
      </c>
      <c r="G24" s="368">
        <f>'[10]Complete Data Set'!I20</f>
        <v>16.8</v>
      </c>
      <c r="H24" s="368">
        <f>'[10]Complete Data Set'!J20</f>
        <v>67.499999999999986</v>
      </c>
      <c r="I24" s="368">
        <f>'[10]Complete Data Set'!K20</f>
        <v>45502574</v>
      </c>
      <c r="J24" s="369">
        <f>'[10]Complete Data Set'!H20</f>
        <v>1.1308832727931699</v>
      </c>
      <c r="K24" s="5">
        <f>'Regression Analysis'!B$19+'Regression Analysis'!B$20*F24+'Regression Analysis'!B$21*G24+'Regression Analysis'!B$22*H24+'Regression Analysis'!B$23*I24+'Regression Analysis'!B$24*J24</f>
        <v>92261160.088964373</v>
      </c>
      <c r="L24" s="370">
        <f t="shared" si="0"/>
        <v>6.7339378277106341E-3</v>
      </c>
      <c r="M24" s="371">
        <f t="shared" si="3"/>
        <v>6.7339378277106341E-3</v>
      </c>
    </row>
    <row r="25" spans="1:13" x14ac:dyDescent="0.25">
      <c r="A25" s="222" t="s">
        <v>113</v>
      </c>
      <c r="B25" s="368">
        <f>'[10]Complete Data Set'!D21</f>
        <v>106146790.59999999</v>
      </c>
      <c r="C25" s="368">
        <f>'[10]Complete Data Set'!E21</f>
        <v>4247265.7207031203</v>
      </c>
      <c r="D25" s="368">
        <f>'[10]Complete Data Set'!F21</f>
        <v>1013036.6490322582</v>
      </c>
      <c r="E25" s="368">
        <f t="shared" si="2"/>
        <v>100886488.2302646</v>
      </c>
      <c r="F25" s="206">
        <f>'[10]Complete Data Set'!A21</f>
        <v>2007</v>
      </c>
      <c r="G25" s="368">
        <f>'[10]Complete Data Set'!I21</f>
        <v>14</v>
      </c>
      <c r="H25" s="368">
        <f>'[10]Complete Data Set'!J21</f>
        <v>86.8</v>
      </c>
      <c r="I25" s="368">
        <f>'[10]Complete Data Set'!K21</f>
        <v>48002098</v>
      </c>
      <c r="J25" s="369">
        <f>'[10]Complete Data Set'!H21</f>
        <v>1.5427178235774599</v>
      </c>
      <c r="K25" s="5">
        <f>'Regression Analysis'!B$19+'Regression Analysis'!B$20*F25+'Regression Analysis'!B$21*G25+'Regression Analysis'!B$22*H25+'Regression Analysis'!B$23*I25+'Regression Analysis'!B$24*J25</f>
        <v>99846382.244838506</v>
      </c>
      <c r="L25" s="370">
        <f t="shared" si="0"/>
        <v>-1.0309665879658205E-2</v>
      </c>
      <c r="M25" s="371">
        <f t="shared" si="3"/>
        <v>1.0309665879658205E-2</v>
      </c>
    </row>
    <row r="26" spans="1:13" x14ac:dyDescent="0.25">
      <c r="A26" s="222" t="s">
        <v>114</v>
      </c>
      <c r="B26" s="368">
        <f>'[10]Complete Data Set'!D22</f>
        <v>92664788.099999994</v>
      </c>
      <c r="C26" s="368">
        <f>'[10]Complete Data Set'!E22</f>
        <v>3717095.5415191599</v>
      </c>
      <c r="D26" s="368">
        <f>'[10]Complete Data Set'!F22</f>
        <v>860376.36096774193</v>
      </c>
      <c r="E26" s="368">
        <f t="shared" si="2"/>
        <v>88087316.197513089</v>
      </c>
      <c r="F26" s="206">
        <f>'[10]Complete Data Set'!A22</f>
        <v>2007</v>
      </c>
      <c r="G26" s="368">
        <f>'[10]Complete Data Set'!I22</f>
        <v>63.7</v>
      </c>
      <c r="H26" s="368">
        <f>'[10]Complete Data Set'!J22</f>
        <v>40.200000000000003</v>
      </c>
      <c r="I26" s="368">
        <f>'[10]Complete Data Set'!K22</f>
        <v>46749201</v>
      </c>
      <c r="J26" s="369">
        <f>'[10]Complete Data Set'!H22</f>
        <v>0.608962832123631</v>
      </c>
      <c r="K26" s="5">
        <f>'Regression Analysis'!B$19+'Regression Analysis'!B$20*F26+'Regression Analysis'!B$21*G26+'Regression Analysis'!B$22*H26+'Regression Analysis'!B$23*I26+'Regression Analysis'!B$24*J26</f>
        <v>86109317.750311032</v>
      </c>
      <c r="L26" s="370">
        <f t="shared" si="0"/>
        <v>-2.2454974593242291E-2</v>
      </c>
      <c r="M26" s="371">
        <f t="shared" si="3"/>
        <v>2.2454974593242291E-2</v>
      </c>
    </row>
    <row r="27" spans="1:13" x14ac:dyDescent="0.25">
      <c r="A27" s="222" t="s">
        <v>115</v>
      </c>
      <c r="B27" s="368">
        <f>'[10]Complete Data Set'!D23</f>
        <v>89956145.599999994</v>
      </c>
      <c r="C27" s="368">
        <f>'[10]Complete Data Set'!E23</f>
        <v>3438960.7632141099</v>
      </c>
      <c r="D27" s="368">
        <f>'[10]Complete Data Set'!F23</f>
        <v>866900.77419354836</v>
      </c>
      <c r="E27" s="368">
        <f t="shared" si="2"/>
        <v>85650284.062592328</v>
      </c>
      <c r="F27" s="206">
        <f>'[10]Complete Data Set'!A23</f>
        <v>2007</v>
      </c>
      <c r="G27" s="368">
        <f>'[10]Complete Data Set'!I23</f>
        <v>144.00000000000003</v>
      </c>
      <c r="H27" s="368">
        <f>'[10]Complete Data Set'!J23</f>
        <v>29.6</v>
      </c>
      <c r="I27" s="368">
        <f>'[10]Complete Data Set'!K23</f>
        <v>48531421</v>
      </c>
      <c r="J27" s="369">
        <f>'[10]Complete Data Set'!H23</f>
        <v>0.23319624263806399</v>
      </c>
      <c r="K27" s="5">
        <f>'Regression Analysis'!B$19+'Regression Analysis'!B$20*F27+'Regression Analysis'!B$21*G27+'Regression Analysis'!B$22*H27+'Regression Analysis'!B$23*I27+'Regression Analysis'!B$24*J27</f>
        <v>84673764.909191281</v>
      </c>
      <c r="L27" s="370">
        <f t="shared" si="0"/>
        <v>-1.1401236599372129E-2</v>
      </c>
      <c r="M27" s="371">
        <f t="shared" si="3"/>
        <v>1.1401236599372129E-2</v>
      </c>
    </row>
    <row r="28" spans="1:13" x14ac:dyDescent="0.25">
      <c r="A28" s="222" t="s">
        <v>116</v>
      </c>
      <c r="B28" s="368">
        <f>'[10]Complete Data Set'!D24</f>
        <v>88189942</v>
      </c>
      <c r="C28" s="368">
        <f>'[10]Complete Data Set'!E24</f>
        <v>2960291.37338256</v>
      </c>
      <c r="D28" s="368">
        <f>'[10]Complete Data Set'!F24</f>
        <v>675073.64612903213</v>
      </c>
      <c r="E28" s="368">
        <f t="shared" si="2"/>
        <v>84554576.98048842</v>
      </c>
      <c r="F28" s="206">
        <f>'[10]Complete Data Set'!A24</f>
        <v>2007</v>
      </c>
      <c r="G28" s="368">
        <f>'[10]Complete Data Set'!I24</f>
        <v>445.9</v>
      </c>
      <c r="H28" s="368">
        <f>'[10]Complete Data Set'!J24</f>
        <v>0</v>
      </c>
      <c r="I28" s="368">
        <f>'[10]Complete Data Set'!K24</f>
        <v>48279982</v>
      </c>
      <c r="J28" s="369">
        <f>'[10]Complete Data Set'!H24</f>
        <v>-2.0326425795801999E-2</v>
      </c>
      <c r="K28" s="5">
        <f>'Regression Analysis'!B$19+'Regression Analysis'!B$20*F28+'Regression Analysis'!B$21*G28+'Regression Analysis'!B$22*H28+'Regression Analysis'!B$23*I28+'Regression Analysis'!B$24*J28</f>
        <v>83963401.522966355</v>
      </c>
      <c r="L28" s="370">
        <f t="shared" si="0"/>
        <v>-6.9916434879507758E-3</v>
      </c>
      <c r="M28" s="371">
        <f t="shared" si="3"/>
        <v>6.9916434879507758E-3</v>
      </c>
    </row>
    <row r="29" spans="1:13" x14ac:dyDescent="0.25">
      <c r="A29" s="222" t="s">
        <v>117</v>
      </c>
      <c r="B29" s="368">
        <f>'[10]Complete Data Set'!D25</f>
        <v>88023622</v>
      </c>
      <c r="C29" s="368">
        <f>'[10]Complete Data Set'!E25</f>
        <v>2804858.44841003</v>
      </c>
      <c r="D29" s="368">
        <f>'[10]Complete Data Set'!F25</f>
        <v>569647.00096774194</v>
      </c>
      <c r="E29" s="368">
        <f t="shared" si="2"/>
        <v>84649116.550622225</v>
      </c>
      <c r="F29" s="206">
        <f>'[10]Complete Data Set'!A25</f>
        <v>2007</v>
      </c>
      <c r="G29" s="368">
        <f>'[10]Complete Data Set'!I25</f>
        <v>624.19999999999993</v>
      </c>
      <c r="H29" s="368">
        <f>'[10]Complete Data Set'!J25</f>
        <v>0</v>
      </c>
      <c r="I29" s="368">
        <f>'[10]Complete Data Set'!K25</f>
        <v>41182527</v>
      </c>
      <c r="J29" s="369">
        <f>'[10]Complete Data Set'!H25</f>
        <v>5.2494343901185E-2</v>
      </c>
      <c r="K29" s="5">
        <f>'Regression Analysis'!B$19+'Regression Analysis'!B$20*F29+'Regression Analysis'!B$21*G29+'Regression Analysis'!B$22*H29+'Regression Analysis'!B$23*I29+'Regression Analysis'!B$24*J29</f>
        <v>83050237.01494509</v>
      </c>
      <c r="L29" s="370">
        <f t="shared" si="0"/>
        <v>-1.8888319226828154E-2</v>
      </c>
      <c r="M29" s="371">
        <f t="shared" si="3"/>
        <v>1.8888319226828154E-2</v>
      </c>
    </row>
    <row r="30" spans="1:13" x14ac:dyDescent="0.25">
      <c r="A30" s="222" t="s">
        <v>118</v>
      </c>
      <c r="B30" s="368">
        <f>'[10]Complete Data Set'!D26</f>
        <v>93493708.900000006</v>
      </c>
      <c r="C30" s="368">
        <f>'[10]Complete Data Set'!E26</f>
        <v>3315213.5600128099</v>
      </c>
      <c r="D30" s="368">
        <f>'[10]Complete Data Set'!F26</f>
        <v>578743.77516129031</v>
      </c>
      <c r="E30" s="368">
        <f t="shared" si="2"/>
        <v>89599751.564825892</v>
      </c>
      <c r="F30" s="206">
        <f>'[10]Complete Data Set'!A26</f>
        <v>2008</v>
      </c>
      <c r="G30" s="368">
        <f>'[10]Complete Data Set'!I26</f>
        <v>636.80000000000007</v>
      </c>
      <c r="H30" s="368">
        <f>'[10]Complete Data Set'!J26</f>
        <v>0</v>
      </c>
      <c r="I30" s="368">
        <f>'[10]Complete Data Set'!K26</f>
        <v>42681474</v>
      </c>
      <c r="J30" s="369">
        <f>'[10]Complete Data Set'!H26</f>
        <v>0.41911749784950603</v>
      </c>
      <c r="K30" s="5">
        <f>'Regression Analysis'!B$19+'Regression Analysis'!B$20*F30+'Regression Analysis'!B$21*G30+'Regression Analysis'!B$22*H30+'Regression Analysis'!B$23*I30+'Regression Analysis'!B$24*J30</f>
        <v>86197065.588464811</v>
      </c>
      <c r="L30" s="370">
        <f t="shared" si="0"/>
        <v>-3.7976511284177165E-2</v>
      </c>
      <c r="M30" s="371">
        <f t="shared" si="3"/>
        <v>3.7976511284177165E-2</v>
      </c>
    </row>
    <row r="31" spans="1:13" x14ac:dyDescent="0.25">
      <c r="A31" s="222" t="s">
        <v>119</v>
      </c>
      <c r="B31" s="368">
        <f>'[10]Complete Data Set'!D27</f>
        <v>89086653.700000003</v>
      </c>
      <c r="C31" s="368">
        <f>'[10]Complete Data Set'!E27</f>
        <v>3234025.3358764602</v>
      </c>
      <c r="D31" s="368">
        <f>'[10]Complete Data Set'!F27</f>
        <v>798075.42870967765</v>
      </c>
      <c r="E31" s="368">
        <f t="shared" si="2"/>
        <v>85054552.935413867</v>
      </c>
      <c r="F31" s="206">
        <f>'[10]Complete Data Set'!A27</f>
        <v>2008</v>
      </c>
      <c r="G31" s="368">
        <f>'[10]Complete Data Set'!I27</f>
        <v>669.8</v>
      </c>
      <c r="H31" s="368">
        <f>'[10]Complete Data Set'!J27</f>
        <v>0</v>
      </c>
      <c r="I31" s="368">
        <f>'[10]Complete Data Set'!K27</f>
        <v>44980567</v>
      </c>
      <c r="J31" s="369">
        <f>'[10]Complete Data Set'!H27</f>
        <v>-0.50700916400478402</v>
      </c>
      <c r="K31" s="5">
        <f>'Regression Analysis'!B$19+'Regression Analysis'!B$20*F31+'Regression Analysis'!B$21*G31+'Regression Analysis'!B$22*H31+'Regression Analysis'!B$23*I31+'Regression Analysis'!B$24*J31</f>
        <v>82166584.429915279</v>
      </c>
      <c r="L31" s="370">
        <f t="shared" si="0"/>
        <v>-3.3954308215476313E-2</v>
      </c>
      <c r="M31" s="371">
        <f t="shared" si="3"/>
        <v>3.3954308215476313E-2</v>
      </c>
    </row>
    <row r="32" spans="1:13" x14ac:dyDescent="0.25">
      <c r="A32" s="222" t="s">
        <v>120</v>
      </c>
      <c r="B32" s="368">
        <f>'[10]Complete Data Set'!D28</f>
        <v>91324558.099999994</v>
      </c>
      <c r="C32" s="368">
        <f>'[10]Complete Data Set'!E28</f>
        <v>3367292.3364257799</v>
      </c>
      <c r="D32" s="368">
        <f>'[10]Complete Data Set'!F28</f>
        <v>324813.41870967741</v>
      </c>
      <c r="E32" s="368">
        <f t="shared" si="2"/>
        <v>87632452.344864532</v>
      </c>
      <c r="F32" s="206">
        <f>'[10]Complete Data Set'!A28</f>
        <v>2008</v>
      </c>
      <c r="G32" s="368">
        <f>'[10]Complete Data Set'!I28</f>
        <v>606.90000000000009</v>
      </c>
      <c r="H32" s="368">
        <f>'[10]Complete Data Set'!J28</f>
        <v>0</v>
      </c>
      <c r="I32" s="368">
        <f>'[10]Complete Data Set'!K28</f>
        <v>44399361</v>
      </c>
      <c r="J32" s="369">
        <f>'[10]Complete Data Set'!H28</f>
        <v>6.2739784171715995E-2</v>
      </c>
      <c r="K32" s="5">
        <f>'Regression Analysis'!B$19+'Regression Analysis'!B$20*F32+'Regression Analysis'!B$21*G32+'Regression Analysis'!B$22*H32+'Regression Analysis'!B$23*I32+'Regression Analysis'!B$24*J32</f>
        <v>84383597.774939746</v>
      </c>
      <c r="L32" s="370">
        <f t="shared" si="0"/>
        <v>-3.7073646611410584E-2</v>
      </c>
      <c r="M32" s="371">
        <f t="shared" si="3"/>
        <v>3.7073646611410584E-2</v>
      </c>
    </row>
    <row r="33" spans="1:13" x14ac:dyDescent="0.25">
      <c r="A33" s="222" t="s">
        <v>121</v>
      </c>
      <c r="B33" s="368">
        <f>'[10]Complete Data Set'!D29</f>
        <v>82206529.299999997</v>
      </c>
      <c r="C33" s="368">
        <f>'[10]Complete Data Set'!E29</f>
        <v>3326520.8597869799</v>
      </c>
      <c r="D33" s="368">
        <f>'[10]Complete Data Set'!F29</f>
        <v>272732.77451612905</v>
      </c>
      <c r="E33" s="368">
        <f t="shared" si="2"/>
        <v>78607275.665696889</v>
      </c>
      <c r="F33" s="206">
        <f>'[10]Complete Data Set'!A29</f>
        <v>2008</v>
      </c>
      <c r="G33" s="368">
        <f>'[10]Complete Data Set'!I29</f>
        <v>278.5</v>
      </c>
      <c r="H33" s="368">
        <f>'[10]Complete Data Set'!J29</f>
        <v>0</v>
      </c>
      <c r="I33" s="368">
        <f>'[10]Complete Data Set'!K29</f>
        <v>45575941</v>
      </c>
      <c r="J33" s="369">
        <f>'[10]Complete Data Set'!H29</f>
        <v>-0.69420914264628397</v>
      </c>
      <c r="K33" s="5">
        <f>'Regression Analysis'!B$19+'Regression Analysis'!B$20*F33+'Regression Analysis'!B$21*G33+'Regression Analysis'!B$22*H33+'Regression Analysis'!B$23*I33+'Regression Analysis'!B$24*J33</f>
        <v>73587627.563410878</v>
      </c>
      <c r="L33" s="370">
        <f t="shared" si="0"/>
        <v>-6.3857296411514164E-2</v>
      </c>
      <c r="M33" s="371">
        <f t="shared" si="3"/>
        <v>6.3857296411514164E-2</v>
      </c>
    </row>
    <row r="34" spans="1:13" x14ac:dyDescent="0.25">
      <c r="A34" s="222" t="s">
        <v>122</v>
      </c>
      <c r="B34" s="368">
        <f>'[10]Complete Data Set'!D30</f>
        <v>82342887</v>
      </c>
      <c r="C34" s="368">
        <f>'[10]Complete Data Set'!E30</f>
        <v>3166229.8803100502</v>
      </c>
      <c r="D34" s="368">
        <f>'[10]Complete Data Set'!F30</f>
        <v>423731.035483871</v>
      </c>
      <c r="E34" s="368">
        <f t="shared" si="2"/>
        <v>78752926.084206089</v>
      </c>
      <c r="F34" s="206">
        <f>'[10]Complete Data Set'!A30</f>
        <v>2008</v>
      </c>
      <c r="G34" s="368">
        <f>'[10]Complete Data Set'!I30</f>
        <v>211.70000000000005</v>
      </c>
      <c r="H34" s="368">
        <f>'[10]Complete Data Set'!J30</f>
        <v>4.0999999999999996</v>
      </c>
      <c r="I34" s="368">
        <f>'[10]Complete Data Set'!K30</f>
        <v>46853489</v>
      </c>
      <c r="J34" s="369">
        <f>'[10]Complete Data Set'!H30</f>
        <v>-0.29386468836728802</v>
      </c>
      <c r="K34" s="5">
        <f>'Regression Analysis'!B$19+'Regression Analysis'!B$20*F34+'Regression Analysis'!B$21*G34+'Regression Analysis'!B$22*H34+'Regression Analysis'!B$23*I34+'Regression Analysis'!B$24*J34</f>
        <v>76531028.140901372</v>
      </c>
      <c r="L34" s="370">
        <f t="shared" si="0"/>
        <v>-2.8213528738334961E-2</v>
      </c>
      <c r="M34" s="371">
        <f t="shared" si="3"/>
        <v>2.8213528738334961E-2</v>
      </c>
    </row>
    <row r="35" spans="1:13" x14ac:dyDescent="0.25">
      <c r="A35" s="222" t="s">
        <v>123</v>
      </c>
      <c r="B35" s="368">
        <f>'[10]Complete Data Set'!D31</f>
        <v>94261624.299999997</v>
      </c>
      <c r="C35" s="368">
        <f>'[10]Complete Data Set'!E31</f>
        <v>3589956.8756103502</v>
      </c>
      <c r="D35" s="368">
        <f>'[10]Complete Data Set'!F31</f>
        <v>324924.99193548388</v>
      </c>
      <c r="E35" s="368">
        <f t="shared" si="2"/>
        <v>90346742.432454169</v>
      </c>
      <c r="F35" s="206">
        <f>'[10]Complete Data Set'!A31</f>
        <v>2008</v>
      </c>
      <c r="G35" s="368">
        <f>'[10]Complete Data Set'!I31</f>
        <v>21.8</v>
      </c>
      <c r="H35" s="368">
        <f>'[10]Complete Data Set'!J31</f>
        <v>72.599999999999994</v>
      </c>
      <c r="I35" s="368">
        <f>'[10]Complete Data Set'!K31</f>
        <v>48111832</v>
      </c>
      <c r="J35" s="369">
        <f>'[10]Complete Data Set'!H31</f>
        <v>0.37476870063614698</v>
      </c>
      <c r="K35" s="5">
        <f>'Regression Analysis'!B$19+'Regression Analysis'!B$20*F35+'Regression Analysis'!B$21*G35+'Regression Analysis'!B$22*H35+'Regression Analysis'!B$23*I35+'Regression Analysis'!B$24*J35</f>
        <v>89241343.178752124</v>
      </c>
      <c r="L35" s="370">
        <f t="shared" si="0"/>
        <v>-1.223507593014184E-2</v>
      </c>
      <c r="M35" s="371">
        <f t="shared" si="3"/>
        <v>1.223507593014184E-2</v>
      </c>
    </row>
    <row r="36" spans="1:13" x14ac:dyDescent="0.25">
      <c r="A36" s="222" t="s">
        <v>124</v>
      </c>
      <c r="B36" s="368">
        <f>'[10]Complete Data Set'!D32</f>
        <v>102930302</v>
      </c>
      <c r="C36" s="368">
        <f>'[10]Complete Data Set'!E32</f>
        <v>3283392.4124145498</v>
      </c>
      <c r="D36" s="368">
        <f>'[10]Complete Data Set'!F32</f>
        <v>229771.80516129028</v>
      </c>
      <c r="E36" s="368">
        <f t="shared" si="2"/>
        <v>99417137.782424152</v>
      </c>
      <c r="F36" s="206">
        <f>'[10]Complete Data Set'!A32</f>
        <v>2008</v>
      </c>
      <c r="G36" s="368">
        <f>'[10]Complete Data Set'!I32</f>
        <v>9.2000000000000011</v>
      </c>
      <c r="H36" s="368">
        <f>'[10]Complete Data Set'!J32</f>
        <v>97.3</v>
      </c>
      <c r="I36" s="368">
        <f>'[10]Complete Data Set'!K32</f>
        <v>46431669</v>
      </c>
      <c r="J36" s="369">
        <f>'[10]Complete Data Set'!H32</f>
        <v>1.1308832727931699</v>
      </c>
      <c r="K36" s="5">
        <f>'Regression Analysis'!B$19+'Regression Analysis'!B$20*F36+'Regression Analysis'!B$21*G36+'Regression Analysis'!B$22*H36+'Regression Analysis'!B$23*I36+'Regression Analysis'!B$24*J36</f>
        <v>96937180.109195873</v>
      </c>
      <c r="L36" s="370">
        <f t="shared" si="0"/>
        <v>-2.4944971546613039E-2</v>
      </c>
      <c r="M36" s="371">
        <f t="shared" si="3"/>
        <v>2.4944971546613039E-2</v>
      </c>
    </row>
    <row r="37" spans="1:13" x14ac:dyDescent="0.25">
      <c r="A37" s="222" t="s">
        <v>125</v>
      </c>
      <c r="B37" s="368">
        <f>'[10]Complete Data Set'!D33</f>
        <v>95324172.900000006</v>
      </c>
      <c r="C37" s="368">
        <f>'[10]Complete Data Set'!E33</f>
        <v>3144912.8173370301</v>
      </c>
      <c r="D37" s="368">
        <f>'[10]Complete Data Set'!F33</f>
        <v>519977.68064516131</v>
      </c>
      <c r="E37" s="368">
        <f t="shared" si="2"/>
        <v>91659282.402017802</v>
      </c>
      <c r="F37" s="206">
        <f>'[10]Complete Data Set'!A33</f>
        <v>2008</v>
      </c>
      <c r="G37" s="368">
        <f>'[10]Complete Data Set'!I33</f>
        <v>23.3</v>
      </c>
      <c r="H37" s="368">
        <f>'[10]Complete Data Set'!J33</f>
        <v>45.699999999999996</v>
      </c>
      <c r="I37" s="368">
        <f>'[10]Complete Data Set'!K33</f>
        <v>46291039</v>
      </c>
      <c r="J37" s="369">
        <f>'[10]Complete Data Set'!H33</f>
        <v>1.5427178235774599</v>
      </c>
      <c r="K37" s="5">
        <f>'Regression Analysis'!B$19+'Regression Analysis'!B$20*F37+'Regression Analysis'!B$21*G37+'Regression Analysis'!B$22*H37+'Regression Analysis'!B$23*I37+'Regression Analysis'!B$24*J37</f>
        <v>91583346.993584454</v>
      </c>
      <c r="L37" s="370">
        <f t="shared" si="0"/>
        <v>-8.284530103595518E-4</v>
      </c>
      <c r="M37" s="371">
        <f t="shared" si="3"/>
        <v>8.284530103595518E-4</v>
      </c>
    </row>
    <row r="38" spans="1:13" x14ac:dyDescent="0.25">
      <c r="A38" s="222" t="s">
        <v>126</v>
      </c>
      <c r="B38" s="368">
        <f>'[10]Complete Data Set'!D34</f>
        <v>86959025.299999997</v>
      </c>
      <c r="C38" s="368">
        <f>'[10]Complete Data Set'!E34</f>
        <v>2760353.51422119</v>
      </c>
      <c r="D38" s="368">
        <f>'[10]Complete Data Set'!F34</f>
        <v>317350.61806451605</v>
      </c>
      <c r="E38" s="368">
        <f t="shared" si="2"/>
        <v>83881321.167714283</v>
      </c>
      <c r="F38" s="206">
        <f>'[10]Complete Data Set'!A34</f>
        <v>2008</v>
      </c>
      <c r="G38" s="368">
        <f>'[10]Complete Data Set'!I34</f>
        <v>64.5</v>
      </c>
      <c r="H38" s="368">
        <f>'[10]Complete Data Set'!J34</f>
        <v>25.3</v>
      </c>
      <c r="I38" s="368">
        <f>'[10]Complete Data Set'!K34</f>
        <v>46613408</v>
      </c>
      <c r="J38" s="369">
        <f>'[10]Complete Data Set'!H34</f>
        <v>0.608962832123631</v>
      </c>
      <c r="K38" s="5">
        <f>'Regression Analysis'!B$19+'Regression Analysis'!B$20*F38+'Regression Analysis'!B$21*G38+'Regression Analysis'!B$22*H38+'Regression Analysis'!B$23*I38+'Regression Analysis'!B$24*J38</f>
        <v>82999381.260838434</v>
      </c>
      <c r="L38" s="370">
        <f t="shared" si="0"/>
        <v>-1.0514139436507889E-2</v>
      </c>
      <c r="M38" s="371">
        <f t="shared" si="3"/>
        <v>1.0514139436507889E-2</v>
      </c>
    </row>
    <row r="39" spans="1:13" x14ac:dyDescent="0.25">
      <c r="A39" s="222" t="s">
        <v>127</v>
      </c>
      <c r="B39" s="368">
        <f>'[10]Complete Data Set'!D35</f>
        <v>81389669.700000003</v>
      </c>
      <c r="C39" s="368">
        <f>'[10]Complete Data Set'!E35</f>
        <v>2369884.8213806101</v>
      </c>
      <c r="D39" s="368">
        <f>'[10]Complete Data Set'!F35</f>
        <v>468384.42322580644</v>
      </c>
      <c r="E39" s="368">
        <f t="shared" si="2"/>
        <v>78551400.455393583</v>
      </c>
      <c r="F39" s="206">
        <f>'[10]Complete Data Set'!A35</f>
        <v>2008</v>
      </c>
      <c r="G39" s="368">
        <f>'[10]Complete Data Set'!I35</f>
        <v>291.39999999999998</v>
      </c>
      <c r="H39" s="368">
        <f>'[10]Complete Data Set'!J35</f>
        <v>0.1</v>
      </c>
      <c r="I39" s="368">
        <f>'[10]Complete Data Set'!K35</f>
        <v>45988896</v>
      </c>
      <c r="J39" s="369">
        <f>'[10]Complete Data Set'!H35</f>
        <v>0.23319624263806399</v>
      </c>
      <c r="K39" s="5">
        <f>'Regression Analysis'!B$19+'Regression Analysis'!B$20*F39+'Regression Analysis'!B$21*G39+'Regression Analysis'!B$22*H39+'Regression Analysis'!B$23*I39+'Regression Analysis'!B$24*J39</f>
        <v>80431149.59591125</v>
      </c>
      <c r="L39" s="370">
        <f t="shared" si="0"/>
        <v>2.3930179851918826E-2</v>
      </c>
      <c r="M39" s="371">
        <f t="shared" si="3"/>
        <v>2.3930179851918826E-2</v>
      </c>
    </row>
    <row r="40" spans="1:13" x14ac:dyDescent="0.25">
      <c r="A40" s="222" t="s">
        <v>128</v>
      </c>
      <c r="B40" s="368">
        <f>'[10]Complete Data Set'!D36</f>
        <v>82439298.599999994</v>
      </c>
      <c r="C40" s="368">
        <f>'[10]Complete Data Set'!E36</f>
        <v>2358679.9074859601</v>
      </c>
      <c r="D40" s="368">
        <f>'[10]Complete Data Set'!F36</f>
        <v>367796.45806451613</v>
      </c>
      <c r="E40" s="368">
        <f t="shared" si="2"/>
        <v>79712822.234449521</v>
      </c>
      <c r="F40" s="206">
        <f>'[10]Complete Data Set'!A36</f>
        <v>2008</v>
      </c>
      <c r="G40" s="368">
        <f>'[10]Complete Data Set'!I36</f>
        <v>452.3</v>
      </c>
      <c r="H40" s="368">
        <f>'[10]Complete Data Set'!J36</f>
        <v>0</v>
      </c>
      <c r="I40" s="368">
        <f>'[10]Complete Data Set'!K36</f>
        <v>43334946</v>
      </c>
      <c r="J40" s="369">
        <f>'[10]Complete Data Set'!H36</f>
        <v>-2.0326425795801999E-2</v>
      </c>
      <c r="K40" s="5">
        <f>'Regression Analysis'!B$19+'Regression Analysis'!B$20*F40+'Regression Analysis'!B$21*G40+'Regression Analysis'!B$22*H40+'Regression Analysis'!B$23*I40+'Regression Analysis'!B$24*J40</f>
        <v>80030383.463151559</v>
      </c>
      <c r="L40" s="370">
        <f t="shared" si="0"/>
        <v>3.9838161515350036E-3</v>
      </c>
      <c r="M40" s="371">
        <f t="shared" si="3"/>
        <v>3.9838161515350036E-3</v>
      </c>
    </row>
    <row r="41" spans="1:13" x14ac:dyDescent="0.25">
      <c r="A41" s="222" t="s">
        <v>129</v>
      </c>
      <c r="B41" s="368">
        <f>'[10]Complete Data Set'!D37</f>
        <v>84813532.799999997</v>
      </c>
      <c r="C41" s="368">
        <f>'[10]Complete Data Set'!E37</f>
        <v>2136379.0502967802</v>
      </c>
      <c r="D41" s="368">
        <f>'[10]Complete Data Set'!F37</f>
        <v>299356.21580645163</v>
      </c>
      <c r="E41" s="368">
        <f t="shared" si="2"/>
        <v>82377797.533896759</v>
      </c>
      <c r="F41" s="206">
        <f>'[10]Complete Data Set'!A37</f>
        <v>2008</v>
      </c>
      <c r="G41" s="368">
        <f>'[10]Complete Data Set'!I37</f>
        <v>656.99999999999989</v>
      </c>
      <c r="H41" s="368">
        <f>'[10]Complete Data Set'!J37</f>
        <v>0</v>
      </c>
      <c r="I41" s="368">
        <f>'[10]Complete Data Set'!K37</f>
        <v>37504764</v>
      </c>
      <c r="J41" s="369">
        <f>'[10]Complete Data Set'!H37</f>
        <v>5.2494343901185E-2</v>
      </c>
      <c r="K41" s="5">
        <f>'Regression Analysis'!B$19+'Regression Analysis'!B$20*F41+'Regression Analysis'!B$21*G41+'Regression Analysis'!B$22*H41+'Regression Analysis'!B$23*I41+'Regression Analysis'!B$24*J41</f>
        <v>80517834.957375184</v>
      </c>
      <c r="L41" s="370">
        <f t="shared" si="0"/>
        <v>-2.2578445068967029E-2</v>
      </c>
      <c r="M41" s="371">
        <f t="shared" si="3"/>
        <v>2.2578445068967029E-2</v>
      </c>
    </row>
    <row r="42" spans="1:13" x14ac:dyDescent="0.25">
      <c r="A42" s="222" t="s">
        <v>130</v>
      </c>
      <c r="B42" s="368">
        <f>'[10]Complete Data Set'!D38</f>
        <v>87308875.799999997</v>
      </c>
      <c r="C42" s="368">
        <f>'[10]Complete Data Set'!E38</f>
        <v>3023377.9320678702</v>
      </c>
      <c r="D42" s="368">
        <f>'[10]Complete Data Set'!F38</f>
        <v>257414.28774193549</v>
      </c>
      <c r="E42" s="368">
        <f t="shared" si="2"/>
        <v>84028083.580190197</v>
      </c>
      <c r="F42" s="206">
        <f>'[10]Complete Data Set'!A38</f>
        <v>2009</v>
      </c>
      <c r="G42" s="368">
        <f>'[10]Complete Data Set'!I38</f>
        <v>871.70000000000016</v>
      </c>
      <c r="H42" s="368">
        <f>'[10]Complete Data Set'!J38</f>
        <v>0</v>
      </c>
      <c r="I42" s="368">
        <f>'[10]Complete Data Set'!K38</f>
        <v>33349265</v>
      </c>
      <c r="J42" s="369">
        <f>'[10]Complete Data Set'!H38</f>
        <v>0.41911749784950603</v>
      </c>
      <c r="K42" s="5">
        <f>'Regression Analysis'!B$19+'Regression Analysis'!B$20*F42+'Regression Analysis'!B$21*G42+'Regression Analysis'!B$22*H42+'Regression Analysis'!B$23*I42+'Regression Analysis'!B$24*J42</f>
        <v>83729170.742585868</v>
      </c>
      <c r="L42" s="370">
        <f t="shared" si="0"/>
        <v>-3.5572968568189306E-3</v>
      </c>
      <c r="M42" s="371">
        <f t="shared" si="3"/>
        <v>3.5572968568189306E-3</v>
      </c>
    </row>
    <row r="43" spans="1:13" x14ac:dyDescent="0.25">
      <c r="A43" s="222" t="s">
        <v>131</v>
      </c>
      <c r="B43" s="368">
        <f>'[10]Complete Data Set'!D39</f>
        <v>77097974.099999994</v>
      </c>
      <c r="C43" s="368">
        <f>'[10]Complete Data Set'!E39</f>
        <v>2605509.4699706999</v>
      </c>
      <c r="D43" s="368">
        <f>'[10]Complete Data Set'!F39</f>
        <v>337005.72870967735</v>
      </c>
      <c r="E43" s="368">
        <f t="shared" si="2"/>
        <v>74155458.901319608</v>
      </c>
      <c r="F43" s="206">
        <f>'[10]Complete Data Set'!A39</f>
        <v>2009</v>
      </c>
      <c r="G43" s="368">
        <f>'[10]Complete Data Set'!I39</f>
        <v>610.40000000000009</v>
      </c>
      <c r="H43" s="368">
        <f>'[10]Complete Data Set'!J39</f>
        <v>0</v>
      </c>
      <c r="I43" s="368">
        <f>'[10]Complete Data Set'!K39</f>
        <v>35341102</v>
      </c>
      <c r="J43" s="369">
        <f>'[10]Complete Data Set'!H39</f>
        <v>-0.50700916400478402</v>
      </c>
      <c r="K43" s="5">
        <f>'Regression Analysis'!B$19+'Regression Analysis'!B$20*F43+'Regression Analysis'!B$21*G43+'Regression Analysis'!B$22*H43+'Regression Analysis'!B$23*I43+'Regression Analysis'!B$24*J43</f>
        <v>73676688.808988601</v>
      </c>
      <c r="L43" s="370">
        <f t="shared" si="0"/>
        <v>-6.4563027378485727E-3</v>
      </c>
      <c r="M43" s="371">
        <f t="shared" si="3"/>
        <v>6.4563027378485727E-3</v>
      </c>
    </row>
    <row r="44" spans="1:13" x14ac:dyDescent="0.25">
      <c r="A44" s="222" t="s">
        <v>132</v>
      </c>
      <c r="B44" s="368">
        <f>'[10]Complete Data Set'!D40</f>
        <v>79993358</v>
      </c>
      <c r="C44" s="368">
        <f>'[10]Complete Data Set'!E40</f>
        <v>2599571.3484878498</v>
      </c>
      <c r="D44" s="368">
        <f>'[10]Complete Data Set'!F40</f>
        <v>251363.23032258064</v>
      </c>
      <c r="E44" s="368">
        <f t="shared" si="2"/>
        <v>77142423.421189561</v>
      </c>
      <c r="F44" s="206">
        <f>'[10]Complete Data Set'!A40</f>
        <v>2009</v>
      </c>
      <c r="G44" s="368">
        <f>'[10]Complete Data Set'!I40</f>
        <v>524.59999999999991</v>
      </c>
      <c r="H44" s="368">
        <f>'[10]Complete Data Set'!J40</f>
        <v>0</v>
      </c>
      <c r="I44" s="368">
        <f>'[10]Complete Data Set'!K40</f>
        <v>36682400</v>
      </c>
      <c r="J44" s="369">
        <f>'[10]Complete Data Set'!H40</f>
        <v>6.2739784171715995E-2</v>
      </c>
      <c r="K44" s="5">
        <f>'Regression Analysis'!B$19+'Regression Analysis'!B$20*F44+'Regression Analysis'!B$21*G44+'Regression Analysis'!B$22*H44+'Regression Analysis'!B$23*I44+'Regression Analysis'!B$24*J44</f>
        <v>76776018.967309177</v>
      </c>
      <c r="L44" s="370">
        <f t="shared" si="0"/>
        <v>-4.7497140695185909E-3</v>
      </c>
      <c r="M44" s="371">
        <f t="shared" si="3"/>
        <v>4.7497140695185909E-3</v>
      </c>
    </row>
    <row r="45" spans="1:13" x14ac:dyDescent="0.25">
      <c r="A45" s="222" t="s">
        <v>133</v>
      </c>
      <c r="B45" s="368">
        <f>'[10]Complete Data Set'!D41</f>
        <v>70555972</v>
      </c>
      <c r="C45" s="368">
        <f>'[10]Complete Data Set'!E41</f>
        <v>2127458.4418945299</v>
      </c>
      <c r="D45" s="368">
        <f>'[10]Complete Data Set'!F41</f>
        <v>468803.64387096767</v>
      </c>
      <c r="E45" s="368">
        <f t="shared" si="2"/>
        <v>67959709.914234504</v>
      </c>
      <c r="F45" s="206">
        <f>'[10]Complete Data Set'!A41</f>
        <v>2009</v>
      </c>
      <c r="G45" s="368">
        <f>'[10]Complete Data Set'!I41</f>
        <v>307.3</v>
      </c>
      <c r="H45" s="368">
        <f>'[10]Complete Data Set'!J41</f>
        <v>1.6</v>
      </c>
      <c r="I45" s="368">
        <f>'[10]Complete Data Set'!K41</f>
        <v>36521367</v>
      </c>
      <c r="J45" s="369">
        <f>'[10]Complete Data Set'!H41</f>
        <v>-0.69420914264628397</v>
      </c>
      <c r="K45" s="5">
        <f>'Regression Analysis'!B$19+'Regression Analysis'!B$20*F45+'Regression Analysis'!B$21*G45+'Regression Analysis'!B$22*H45+'Regression Analysis'!B$23*I45+'Regression Analysis'!B$24*J45</f>
        <v>67502693.699820057</v>
      </c>
      <c r="L45" s="370">
        <f t="shared" si="0"/>
        <v>-6.7248111416485486E-3</v>
      </c>
      <c r="M45" s="371">
        <f t="shared" si="3"/>
        <v>6.7248111416485486E-3</v>
      </c>
    </row>
    <row r="46" spans="1:13" x14ac:dyDescent="0.25">
      <c r="A46" s="222" t="s">
        <v>134</v>
      </c>
      <c r="B46" s="368">
        <f>'[10]Complete Data Set'!D42</f>
        <v>67517058</v>
      </c>
      <c r="C46" s="368">
        <f>'[10]Complete Data Set'!E42</f>
        <v>2083263.82945251</v>
      </c>
      <c r="D46" s="368">
        <f>'[10]Complete Data Set'!F42</f>
        <v>440549.50322580646</v>
      </c>
      <c r="E46" s="368">
        <f t="shared" si="2"/>
        <v>64993244.667321689</v>
      </c>
      <c r="F46" s="206">
        <f>'[10]Complete Data Set'!A42</f>
        <v>2009</v>
      </c>
      <c r="G46" s="368">
        <f>'[10]Complete Data Set'!I42</f>
        <v>159.49999999999997</v>
      </c>
      <c r="H46" s="368">
        <f>'[10]Complete Data Set'!J42</f>
        <v>4.0999999999999996</v>
      </c>
      <c r="I46" s="368">
        <f>'[10]Complete Data Set'!K42</f>
        <v>34102278</v>
      </c>
      <c r="J46" s="369">
        <f>'[10]Complete Data Set'!H42</f>
        <v>-0.29386468836728802</v>
      </c>
      <c r="K46" s="5">
        <f>'Regression Analysis'!B$19+'Regression Analysis'!B$20*F46+'Regression Analysis'!B$21*G46+'Regression Analysis'!B$22*H46+'Regression Analysis'!B$23*I46+'Regression Analysis'!B$24*J46</f>
        <v>66023548.220111482</v>
      </c>
      <c r="L46" s="370">
        <f t="shared" si="0"/>
        <v>1.5852471407814241E-2</v>
      </c>
      <c r="M46" s="371">
        <f t="shared" si="3"/>
        <v>1.5852471407814241E-2</v>
      </c>
    </row>
    <row r="47" spans="1:13" x14ac:dyDescent="0.25">
      <c r="A47" s="222" t="s">
        <v>135</v>
      </c>
      <c r="B47" s="368">
        <f>'[10]Complete Data Set'!D43</f>
        <v>72770574.700000003</v>
      </c>
      <c r="C47" s="368">
        <f>'[10]Complete Data Set'!E43</f>
        <v>1692829.84088134</v>
      </c>
      <c r="D47" s="368">
        <f>'[10]Complete Data Set'!F43</f>
        <v>292499.32322580647</v>
      </c>
      <c r="E47" s="368">
        <f t="shared" si="2"/>
        <v>70785245.535892859</v>
      </c>
      <c r="F47" s="206">
        <f>'[10]Complete Data Set'!A43</f>
        <v>2009</v>
      </c>
      <c r="G47" s="368">
        <f>'[10]Complete Data Set'!I43</f>
        <v>53.000000000000007</v>
      </c>
      <c r="H47" s="368">
        <f>'[10]Complete Data Set'!J43</f>
        <v>31.5</v>
      </c>
      <c r="I47" s="368">
        <f>'[10]Complete Data Set'!K43</f>
        <v>35283385</v>
      </c>
      <c r="J47" s="369">
        <f>'[10]Complete Data Set'!H43</f>
        <v>0.37476870063614698</v>
      </c>
      <c r="K47" s="5">
        <f>'Regression Analysis'!B$19+'Regression Analysis'!B$20*F47+'Regression Analysis'!B$21*G47+'Regression Analysis'!B$22*H47+'Regression Analysis'!B$23*I47+'Regression Analysis'!B$24*J47</f>
        <v>73694582.46028851</v>
      </c>
      <c r="L47" s="370">
        <f t="shared" si="0"/>
        <v>4.1100894718524669E-2</v>
      </c>
      <c r="M47" s="371">
        <f t="shared" si="3"/>
        <v>4.1100894718524669E-2</v>
      </c>
    </row>
    <row r="48" spans="1:13" x14ac:dyDescent="0.25">
      <c r="A48" s="222" t="s">
        <v>136</v>
      </c>
      <c r="B48" s="368">
        <f>'[10]Complete Data Set'!D44</f>
        <v>76889947</v>
      </c>
      <c r="C48" s="368">
        <f>'[10]Complete Data Set'!E44</f>
        <v>654889.87072682299</v>
      </c>
      <c r="D48" s="368">
        <f>'[10]Complete Data Set'!F44</f>
        <v>281046.14548387099</v>
      </c>
      <c r="E48" s="368">
        <f t="shared" si="2"/>
        <v>75954010.98378931</v>
      </c>
      <c r="F48" s="206">
        <f>'[10]Complete Data Set'!A44</f>
        <v>2009</v>
      </c>
      <c r="G48" s="368">
        <f>'[10]Complete Data Set'!I44</f>
        <v>23.599999999999998</v>
      </c>
      <c r="H48" s="368">
        <f>'[10]Complete Data Set'!J44</f>
        <v>38.199999999999996</v>
      </c>
      <c r="I48" s="368">
        <f>'[10]Complete Data Set'!K44</f>
        <v>36559330</v>
      </c>
      <c r="J48" s="369">
        <f>'[10]Complete Data Set'!H44</f>
        <v>1.1308832727931699</v>
      </c>
      <c r="K48" s="5">
        <f>'Regression Analysis'!B$19+'Regression Analysis'!B$20*F48+'Regression Analysis'!B$21*G48+'Regression Analysis'!B$22*H48+'Regression Analysis'!B$23*I48+'Regression Analysis'!B$24*J48</f>
        <v>80206072.53515254</v>
      </c>
      <c r="L48" s="370">
        <f t="shared" si="0"/>
        <v>5.598205409153096E-2</v>
      </c>
      <c r="M48" s="371">
        <f t="shared" si="3"/>
        <v>5.598205409153096E-2</v>
      </c>
    </row>
    <row r="49" spans="1:13" x14ac:dyDescent="0.25">
      <c r="A49" s="222" t="s">
        <v>137</v>
      </c>
      <c r="B49" s="368">
        <f>'[10]Complete Data Set'!D45</f>
        <v>87060730</v>
      </c>
      <c r="C49" s="368">
        <f>'[10]Complete Data Set'!E45</f>
        <v>677717.22112655605</v>
      </c>
      <c r="D49" s="368">
        <f>'[10]Complete Data Set'!F45</f>
        <v>267654.81387096772</v>
      </c>
      <c r="E49" s="368">
        <f t="shared" si="2"/>
        <v>86115357.965002477</v>
      </c>
      <c r="F49" s="206">
        <f>'[10]Complete Data Set'!A45</f>
        <v>2009</v>
      </c>
      <c r="G49" s="368">
        <f>'[10]Complete Data Set'!I45</f>
        <v>23.5</v>
      </c>
      <c r="H49" s="368">
        <f>'[10]Complete Data Set'!J45</f>
        <v>71.8</v>
      </c>
      <c r="I49" s="368">
        <f>'[10]Complete Data Set'!K45</f>
        <v>36544471</v>
      </c>
      <c r="J49" s="369">
        <f>'[10]Complete Data Set'!H45</f>
        <v>1.5427178235774599</v>
      </c>
      <c r="K49" s="5">
        <f>'Regression Analysis'!B$19+'Regression Analysis'!B$20*F49+'Regression Analysis'!B$21*G49+'Regression Analysis'!B$22*H49+'Regression Analysis'!B$23*I49+'Regression Analysis'!B$24*J49</f>
        <v>88406898.027346641</v>
      </c>
      <c r="L49" s="370">
        <f t="shared" si="0"/>
        <v>2.6610120616063073E-2</v>
      </c>
      <c r="M49" s="371">
        <f t="shared" si="3"/>
        <v>2.6610120616063073E-2</v>
      </c>
    </row>
    <row r="50" spans="1:13" x14ac:dyDescent="0.25">
      <c r="A50" s="222" t="s">
        <v>138</v>
      </c>
      <c r="B50" s="368">
        <f>'[10]Complete Data Set'!D46</f>
        <v>77242678.299999997</v>
      </c>
      <c r="C50" s="368">
        <f>'[10]Complete Data Set'!E46</f>
        <v>682956.84535407997</v>
      </c>
      <c r="D50" s="368">
        <f>'[10]Complete Data Set'!F46</f>
        <v>256989.42354838707</v>
      </c>
      <c r="E50" s="368">
        <f t="shared" si="2"/>
        <v>76302732.031097531</v>
      </c>
      <c r="F50" s="206">
        <f>'[10]Complete Data Set'!A46</f>
        <v>2009</v>
      </c>
      <c r="G50" s="368">
        <f>'[10]Complete Data Set'!I46</f>
        <v>76.7</v>
      </c>
      <c r="H50" s="368">
        <f>'[10]Complete Data Set'!J46</f>
        <v>18.899999999999999</v>
      </c>
      <c r="I50" s="368">
        <f>'[10]Complete Data Set'!K46</f>
        <v>38926914</v>
      </c>
      <c r="J50" s="369">
        <f>'[10]Complete Data Set'!H46</f>
        <v>0.608962832123631</v>
      </c>
      <c r="K50" s="5">
        <f>'Regression Analysis'!B$19+'Regression Analysis'!B$20*F50+'Regression Analysis'!B$21*G50+'Regression Analysis'!B$22*H50+'Regression Analysis'!B$23*I50+'Regression Analysis'!B$24*J50</f>
        <v>76245456.62035507</v>
      </c>
      <c r="L50" s="370">
        <f t="shared" si="0"/>
        <v>-7.5063381372922301E-4</v>
      </c>
      <c r="M50" s="371">
        <f t="shared" si="3"/>
        <v>7.5063381372922301E-4</v>
      </c>
    </row>
    <row r="51" spans="1:13" x14ac:dyDescent="0.25">
      <c r="A51" s="222" t="s">
        <v>139</v>
      </c>
      <c r="B51" s="368">
        <f>'[10]Complete Data Set'!D47</f>
        <v>74523816.700000003</v>
      </c>
      <c r="C51" s="368">
        <f>'[10]Complete Data Set'!E47</f>
        <v>666502.85945510794</v>
      </c>
      <c r="D51" s="368">
        <f>'[10]Complete Data Set'!F47</f>
        <v>167840.09387096774</v>
      </c>
      <c r="E51" s="368">
        <f t="shared" si="2"/>
        <v>73689473.746673927</v>
      </c>
      <c r="F51" s="206">
        <f>'[10]Complete Data Set'!A47</f>
        <v>2009</v>
      </c>
      <c r="G51" s="368">
        <f>'[10]Complete Data Set'!I47</f>
        <v>291.29999999999995</v>
      </c>
      <c r="H51" s="368">
        <f>'[10]Complete Data Set'!J47</f>
        <v>0</v>
      </c>
      <c r="I51" s="368">
        <f>'[10]Complete Data Set'!K47</f>
        <v>38337783</v>
      </c>
      <c r="J51" s="369">
        <f>'[10]Complete Data Set'!H47</f>
        <v>0.23319624263806399</v>
      </c>
      <c r="K51" s="5">
        <f>'Regression Analysis'!B$19+'Regression Analysis'!B$20*F51+'Regression Analysis'!B$21*G51+'Regression Analysis'!B$22*H51+'Regression Analysis'!B$23*I51+'Regression Analysis'!B$24*J51</f>
        <v>74475560.424238876</v>
      </c>
      <c r="L51" s="370">
        <f t="shared" si="0"/>
        <v>1.0667557218108508E-2</v>
      </c>
      <c r="M51" s="371">
        <f t="shared" si="3"/>
        <v>1.0667557218108508E-2</v>
      </c>
    </row>
    <row r="52" spans="1:13" x14ac:dyDescent="0.25">
      <c r="A52" s="222" t="s">
        <v>140</v>
      </c>
      <c r="B52" s="368">
        <f>'[10]Complete Data Set'!D48</f>
        <v>74187824.299999997</v>
      </c>
      <c r="C52" s="368">
        <f>'[10]Complete Data Set'!E48</f>
        <v>516762.80983543303</v>
      </c>
      <c r="D52" s="368">
        <f>'[10]Complete Data Set'!F48</f>
        <v>218904.94451612904</v>
      </c>
      <c r="E52" s="368">
        <f t="shared" si="2"/>
        <v>73452156.545648441</v>
      </c>
      <c r="F52" s="206">
        <f>'[10]Complete Data Set'!A48</f>
        <v>2009</v>
      </c>
      <c r="G52" s="368">
        <f>'[10]Complete Data Set'!I48</f>
        <v>353.2999999999999</v>
      </c>
      <c r="H52" s="368">
        <f>'[10]Complete Data Set'!J48</f>
        <v>0</v>
      </c>
      <c r="I52" s="368">
        <f>'[10]Complete Data Set'!K48</f>
        <v>38015352</v>
      </c>
      <c r="J52" s="369">
        <f>'[10]Complete Data Set'!H48</f>
        <v>-2.0326425795801999E-2</v>
      </c>
      <c r="K52" s="5">
        <f>'Regression Analysis'!B$19+'Regression Analysis'!B$20*F52+'Regression Analysis'!B$21*G52+'Regression Analysis'!B$22*H52+'Regression Analysis'!B$23*I52+'Regression Analysis'!B$24*J52</f>
        <v>73757070.766712055</v>
      </c>
      <c r="L52" s="370">
        <f t="shared" si="0"/>
        <v>4.1511949465243862E-3</v>
      </c>
      <c r="M52" s="371">
        <f t="shared" si="3"/>
        <v>4.1511949465243862E-3</v>
      </c>
    </row>
    <row r="53" spans="1:13" x14ac:dyDescent="0.25">
      <c r="A53" s="222" t="s">
        <v>141</v>
      </c>
      <c r="B53" s="368">
        <f>'[10]Complete Data Set'!D49</f>
        <v>80483064</v>
      </c>
      <c r="C53" s="368">
        <f>'[10]Complete Data Set'!E49</f>
        <v>579144.011512756</v>
      </c>
      <c r="D53" s="368">
        <f>'[10]Complete Data Set'!F49</f>
        <v>85110.967741935485</v>
      </c>
      <c r="E53" s="368">
        <f t="shared" si="2"/>
        <v>79818809.020745307</v>
      </c>
      <c r="F53" s="206">
        <f>'[10]Complete Data Set'!A49</f>
        <v>2009</v>
      </c>
      <c r="G53" s="368">
        <f>'[10]Complete Data Set'!I49</f>
        <v>634.20000000000005</v>
      </c>
      <c r="H53" s="368">
        <f>'[10]Complete Data Set'!J49</f>
        <v>0</v>
      </c>
      <c r="I53" s="368">
        <f>'[10]Complete Data Set'!K49</f>
        <v>37905631</v>
      </c>
      <c r="J53" s="369">
        <f>'[10]Complete Data Set'!H49</f>
        <v>5.2494343901185E-2</v>
      </c>
      <c r="K53" s="5">
        <f>'Regression Analysis'!B$19+'Regression Analysis'!B$20*F53+'Regression Analysis'!B$21*G53+'Regression Analysis'!B$22*H53+'Regression Analysis'!B$23*I53+'Regression Analysis'!B$24*J53</f>
        <v>79718783.248508394</v>
      </c>
      <c r="L53" s="370">
        <f t="shared" si="0"/>
        <v>-1.2531604200072223E-3</v>
      </c>
      <c r="M53" s="371">
        <f t="shared" si="3"/>
        <v>1.2531604200072223E-3</v>
      </c>
    </row>
    <row r="54" spans="1:13" x14ac:dyDescent="0.25">
      <c r="A54" s="222" t="s">
        <v>142</v>
      </c>
      <c r="B54" s="368">
        <f>'[10]Complete Data Set'!D50</f>
        <v>84309598.661133051</v>
      </c>
      <c r="C54" s="368">
        <f>'[10]Complete Data Set'!E50</f>
        <v>620679.12614250102</v>
      </c>
      <c r="D54" s="368">
        <f>'[10]Complete Data Set'!F50</f>
        <v>0</v>
      </c>
      <c r="E54" s="368">
        <f t="shared" si="2"/>
        <v>83688919.534990549</v>
      </c>
      <c r="F54" s="206">
        <f>'[10]Complete Data Set'!A50</f>
        <v>2010</v>
      </c>
      <c r="G54" s="368">
        <f>'[10]Complete Data Set'!I50</f>
        <v>726.79999999999984</v>
      </c>
      <c r="H54" s="368">
        <f>'[10]Complete Data Set'!J50</f>
        <v>0</v>
      </c>
      <c r="I54" s="368">
        <f>'[10]Complete Data Set'!K50</f>
        <v>37285840</v>
      </c>
      <c r="J54" s="369">
        <f>'[10]Complete Data Set'!H50</f>
        <v>0.41911749784950603</v>
      </c>
      <c r="K54" s="5">
        <f>'Regression Analysis'!B$19+'Regression Analysis'!B$20*F54+'Regression Analysis'!B$21*G54+'Regression Analysis'!B$22*H54+'Regression Analysis'!B$23*I54+'Regression Analysis'!B$24*J54</f>
        <v>82974111.789963126</v>
      </c>
      <c r="L54" s="370">
        <f t="shared" si="0"/>
        <v>-8.5412471447735682E-3</v>
      </c>
      <c r="M54" s="371">
        <f t="shared" si="3"/>
        <v>8.5412471447735682E-3</v>
      </c>
    </row>
    <row r="55" spans="1:13" x14ac:dyDescent="0.25">
      <c r="A55" s="222" t="s">
        <v>143</v>
      </c>
      <c r="B55" s="368">
        <f>'[10]Complete Data Set'!D51</f>
        <v>75616770.637021244</v>
      </c>
      <c r="C55" s="368">
        <f>'[10]Complete Data Set'!E51</f>
        <v>531012.84810829104</v>
      </c>
      <c r="D55" s="368">
        <f>'[10]Complete Data Set'!F51</f>
        <v>0</v>
      </c>
      <c r="E55" s="368">
        <f t="shared" si="2"/>
        <v>75085757.788912952</v>
      </c>
      <c r="F55" s="206">
        <f>'[10]Complete Data Set'!A51</f>
        <v>2010</v>
      </c>
      <c r="G55" s="368">
        <f>'[10]Complete Data Set'!I51</f>
        <v>636.9</v>
      </c>
      <c r="H55" s="368">
        <f>'[10]Complete Data Set'!J51</f>
        <v>0</v>
      </c>
      <c r="I55" s="368">
        <f>'[10]Complete Data Set'!K51</f>
        <v>38195753</v>
      </c>
      <c r="J55" s="369">
        <f>'[10]Complete Data Set'!H51</f>
        <v>-0.50700916400478402</v>
      </c>
      <c r="K55" s="5">
        <f>'Regression Analysis'!B$19+'Regression Analysis'!B$20*F55+'Regression Analysis'!B$21*G55+'Regression Analysis'!B$22*H55+'Regression Analysis'!B$23*I55+'Regression Analysis'!B$24*J55</f>
        <v>75553735.266434222</v>
      </c>
      <c r="L55" s="370">
        <f t="shared" si="0"/>
        <v>6.2325731443889261E-3</v>
      </c>
      <c r="M55" s="371">
        <f t="shared" si="3"/>
        <v>6.2325731443889261E-3</v>
      </c>
    </row>
    <row r="56" spans="1:13" x14ac:dyDescent="0.25">
      <c r="A56" s="222" t="s">
        <v>144</v>
      </c>
      <c r="B56" s="368">
        <f>'[10]Complete Data Set'!D52</f>
        <v>76144148.134326309</v>
      </c>
      <c r="C56" s="368">
        <f>'[10]Complete Data Set'!E52</f>
        <v>500341.84064292902</v>
      </c>
      <c r="D56" s="368">
        <f>'[10]Complete Data Set'!F52</f>
        <v>0</v>
      </c>
      <c r="E56" s="368">
        <f t="shared" si="2"/>
        <v>75643806.29368338</v>
      </c>
      <c r="F56" s="206">
        <f>'[10]Complete Data Set'!A52</f>
        <v>2010</v>
      </c>
      <c r="G56" s="368">
        <f>'[10]Complete Data Set'!I52</f>
        <v>453.19999999999993</v>
      </c>
      <c r="H56" s="368">
        <f>'[10]Complete Data Set'!J52</f>
        <v>0</v>
      </c>
      <c r="I56" s="368">
        <f>'[10]Complete Data Set'!K52</f>
        <v>41328149</v>
      </c>
      <c r="J56" s="369">
        <f>'[10]Complete Data Set'!H52</f>
        <v>6.2739784171715995E-2</v>
      </c>
      <c r="K56" s="5">
        <f>'Regression Analysis'!B$19+'Regression Analysis'!B$20*F56+'Regression Analysis'!B$21*G56+'Regression Analysis'!B$22*H56+'Regression Analysis'!B$23*I56+'Regression Analysis'!B$24*J56</f>
        <v>77963866.732308179</v>
      </c>
      <c r="L56" s="370">
        <f t="shared" si="0"/>
        <v>3.0670857963139481E-2</v>
      </c>
      <c r="M56" s="371">
        <f t="shared" si="3"/>
        <v>3.0670857963139481E-2</v>
      </c>
    </row>
    <row r="57" spans="1:13" x14ac:dyDescent="0.25">
      <c r="A57" s="222" t="s">
        <v>145</v>
      </c>
      <c r="B57" s="368">
        <f>'[10]Complete Data Set'!D53</f>
        <v>67578857.433261707</v>
      </c>
      <c r="C57" s="368">
        <f>'[10]Complete Data Set'!E53</f>
        <v>418758.56623268098</v>
      </c>
      <c r="D57" s="368">
        <f>'[10]Complete Data Set'!F53</f>
        <v>0</v>
      </c>
      <c r="E57" s="368">
        <f t="shared" si="2"/>
        <v>67160098.867029026</v>
      </c>
      <c r="F57" s="206">
        <f>'[10]Complete Data Set'!A53</f>
        <v>2010</v>
      </c>
      <c r="G57" s="368">
        <f>'[10]Complete Data Set'!I53</f>
        <v>246.19999999999996</v>
      </c>
      <c r="H57" s="368">
        <f>'[10]Complete Data Set'!J53</f>
        <v>0</v>
      </c>
      <c r="I57" s="368">
        <f>'[10]Complete Data Set'!K53</f>
        <v>40413693</v>
      </c>
      <c r="J57" s="369">
        <f>'[10]Complete Data Set'!H53</f>
        <v>-0.69420914264628397</v>
      </c>
      <c r="K57" s="5">
        <f>'Regression Analysis'!B$19+'Regression Analysis'!B$20*F57+'Regression Analysis'!B$21*G57+'Regression Analysis'!B$22*H57+'Regression Analysis'!B$23*I57+'Regression Analysis'!B$24*J57</f>
        <v>68112756.118238136</v>
      </c>
      <c r="L57" s="370">
        <f t="shared" si="0"/>
        <v>1.4184869696146308E-2</v>
      </c>
      <c r="M57" s="371">
        <f t="shared" si="3"/>
        <v>1.4184869696146308E-2</v>
      </c>
    </row>
    <row r="58" spans="1:13" x14ac:dyDescent="0.25">
      <c r="A58" s="222" t="s">
        <v>146</v>
      </c>
      <c r="B58" s="368">
        <f>'[10]Complete Data Set'!D54</f>
        <v>74789718.315234318</v>
      </c>
      <c r="C58" s="368">
        <f>'[10]Complete Data Set'!E54</f>
        <v>397677.80594253499</v>
      </c>
      <c r="D58" s="368">
        <f>'[10]Complete Data Set'!F54</f>
        <v>0</v>
      </c>
      <c r="E58" s="368">
        <f t="shared" si="2"/>
        <v>74392040.509291783</v>
      </c>
      <c r="F58" s="206">
        <f>'[10]Complete Data Set'!A54</f>
        <v>2010</v>
      </c>
      <c r="G58" s="368">
        <f>'[10]Complete Data Set'!I54</f>
        <v>117.2</v>
      </c>
      <c r="H58" s="368">
        <f>'[10]Complete Data Set'!J54</f>
        <v>20</v>
      </c>
      <c r="I58" s="368">
        <f>'[10]Complete Data Set'!K54</f>
        <v>41055161</v>
      </c>
      <c r="J58" s="369">
        <f>'[10]Complete Data Set'!H54</f>
        <v>-0.29386468836728802</v>
      </c>
      <c r="K58" s="5">
        <f>'Regression Analysis'!B$19+'Regression Analysis'!B$20*F58+'Regression Analysis'!B$21*G58+'Regression Analysis'!B$22*H58+'Regression Analysis'!B$23*I58+'Regression Analysis'!B$24*J58</f>
        <v>71952595.296032652</v>
      </c>
      <c r="L58" s="370">
        <f t="shared" si="0"/>
        <v>-3.2791750253905683E-2</v>
      </c>
      <c r="M58" s="371">
        <f t="shared" si="3"/>
        <v>3.2791750253905683E-2</v>
      </c>
    </row>
    <row r="59" spans="1:13" x14ac:dyDescent="0.25">
      <c r="A59" s="222" t="s">
        <v>147</v>
      </c>
      <c r="B59" s="368">
        <f>'[10]Complete Data Set'!D55</f>
        <v>84514689.010146856</v>
      </c>
      <c r="C59" s="368">
        <f>'[10]Complete Data Set'!E55</f>
        <v>383437.64016151399</v>
      </c>
      <c r="D59" s="368">
        <f>'[10]Complete Data Set'!F55</f>
        <v>0</v>
      </c>
      <c r="E59" s="368">
        <f t="shared" si="2"/>
        <v>84131251.369985342</v>
      </c>
      <c r="F59" s="206">
        <f>'[10]Complete Data Set'!A55</f>
        <v>2010</v>
      </c>
      <c r="G59" s="368">
        <f>'[10]Complete Data Set'!I55</f>
        <v>22.7</v>
      </c>
      <c r="H59" s="368">
        <f>'[10]Complete Data Set'!J55</f>
        <v>62.699999999999996</v>
      </c>
      <c r="I59" s="368">
        <f>'[10]Complete Data Set'!K55</f>
        <v>42286604</v>
      </c>
      <c r="J59" s="369">
        <f>'[10]Complete Data Set'!H55</f>
        <v>0.37476870063614698</v>
      </c>
      <c r="K59" s="5">
        <f>'Regression Analysis'!B$19+'Regression Analysis'!B$20*F59+'Regression Analysis'!B$21*G59+'Regression Analysis'!B$22*H59+'Regression Analysis'!B$23*I59+'Regression Analysis'!B$24*J59</f>
        <v>82364181.650196135</v>
      </c>
      <c r="L59" s="370">
        <f t="shared" si="0"/>
        <v>-2.1003725619367485E-2</v>
      </c>
      <c r="M59" s="371">
        <f t="shared" si="3"/>
        <v>2.1003725619367485E-2</v>
      </c>
    </row>
    <row r="60" spans="1:13" x14ac:dyDescent="0.25">
      <c r="A60" s="222" t="s">
        <v>148</v>
      </c>
      <c r="B60" s="368">
        <f>'[10]Complete Data Set'!D56</f>
        <v>97389830.117670745</v>
      </c>
      <c r="C60" s="368">
        <f>'[10]Complete Data Set'!E56</f>
        <v>461309.91030883702</v>
      </c>
      <c r="D60" s="368">
        <f>'[10]Complete Data Set'!F56</f>
        <v>0</v>
      </c>
      <c r="E60" s="368">
        <f t="shared" si="2"/>
        <v>96928520.207361907</v>
      </c>
      <c r="F60" s="206">
        <f>'[10]Complete Data Set'!A56</f>
        <v>2010</v>
      </c>
      <c r="G60" s="368">
        <f>'[10]Complete Data Set'!I56</f>
        <v>6.5</v>
      </c>
      <c r="H60" s="368">
        <f>'[10]Complete Data Set'!J56</f>
        <v>136.30000000000001</v>
      </c>
      <c r="I60" s="368">
        <f>'[10]Complete Data Set'!K56</f>
        <v>38393943</v>
      </c>
      <c r="J60" s="369">
        <f>'[10]Complete Data Set'!H56</f>
        <v>1.1308832727931699</v>
      </c>
      <c r="K60" s="5">
        <f>'Regression Analysis'!B$19+'Regression Analysis'!B$20*F60+'Regression Analysis'!B$21*G60+'Regression Analysis'!B$22*H60+'Regression Analysis'!B$23*I60+'Regression Analysis'!B$24*J60</f>
        <v>96343759.583825499</v>
      </c>
      <c r="L60" s="370">
        <f t="shared" si="0"/>
        <v>-6.0329057153190114E-3</v>
      </c>
      <c r="M60" s="371">
        <f t="shared" si="3"/>
        <v>6.0329057153190114E-3</v>
      </c>
    </row>
    <row r="61" spans="1:13" x14ac:dyDescent="0.25">
      <c r="A61" s="222" t="s">
        <v>149</v>
      </c>
      <c r="B61" s="368">
        <f>'[10]Complete Data Set'!D57</f>
        <v>98212442.320097148</v>
      </c>
      <c r="C61" s="368">
        <f>'[10]Complete Data Set'!E57</f>
        <v>273584.72761154099</v>
      </c>
      <c r="D61" s="368">
        <f>'[10]Complete Data Set'!F57</f>
        <v>0</v>
      </c>
      <c r="E61" s="368">
        <f t="shared" si="2"/>
        <v>97938857.592485607</v>
      </c>
      <c r="F61" s="206">
        <f>'[10]Complete Data Set'!A57</f>
        <v>2010</v>
      </c>
      <c r="G61" s="368">
        <f>'[10]Complete Data Set'!I57</f>
        <v>5.4</v>
      </c>
      <c r="H61" s="368">
        <f>'[10]Complete Data Set'!J57</f>
        <v>88.4</v>
      </c>
      <c r="I61" s="368">
        <f>'[10]Complete Data Set'!K57</f>
        <v>41231739</v>
      </c>
      <c r="J61" s="369">
        <f>'[10]Complete Data Set'!H57</f>
        <v>1.5427178235774599</v>
      </c>
      <c r="K61" s="5">
        <f>'Regression Analysis'!B$19+'Regression Analysis'!B$20*F61+'Regression Analysis'!B$21*G61+'Regression Analysis'!B$22*H61+'Regression Analysis'!B$23*I61+'Regression Analysis'!B$24*J61</f>
        <v>93354102.39128679</v>
      </c>
      <c r="L61" s="370">
        <f t="shared" si="0"/>
        <v>-4.6812422708416228E-2</v>
      </c>
      <c r="M61" s="371">
        <f t="shared" si="3"/>
        <v>4.6812422708416228E-2</v>
      </c>
    </row>
    <row r="62" spans="1:13" x14ac:dyDescent="0.25">
      <c r="A62" s="222" t="s">
        <v>150</v>
      </c>
      <c r="B62" s="368">
        <f>'[10]Complete Data Set'!D58</f>
        <v>79192860.331475571</v>
      </c>
      <c r="C62" s="368">
        <f>'[10]Complete Data Set'!E58</f>
        <v>256466.90879440299</v>
      </c>
      <c r="D62" s="368">
        <f>'[10]Complete Data Set'!F58</f>
        <v>0</v>
      </c>
      <c r="E62" s="368">
        <f t="shared" si="2"/>
        <v>78936393.422681168</v>
      </c>
      <c r="F62" s="206">
        <f>'[10]Complete Data Set'!A58</f>
        <v>2010</v>
      </c>
      <c r="G62" s="368">
        <f>'[10]Complete Data Set'!I58</f>
        <v>88</v>
      </c>
      <c r="H62" s="368">
        <f>'[10]Complete Data Set'!J58</f>
        <v>35.299999999999997</v>
      </c>
      <c r="I62" s="368">
        <f>'[10]Complete Data Set'!K58</f>
        <v>41624078</v>
      </c>
      <c r="J62" s="369">
        <f>'[10]Complete Data Set'!H58</f>
        <v>0.608962832123631</v>
      </c>
      <c r="K62" s="5">
        <f>'Regression Analysis'!B$19+'Regression Analysis'!B$20*F62+'Regression Analysis'!B$21*G62+'Regression Analysis'!B$22*H62+'Regression Analysis'!B$23*I62+'Regression Analysis'!B$24*J62</f>
        <v>80359449.069944903</v>
      </c>
      <c r="L62" s="370">
        <f t="shared" si="0"/>
        <v>1.8027877707101351E-2</v>
      </c>
      <c r="M62" s="371">
        <f t="shared" si="3"/>
        <v>1.8027877707101351E-2</v>
      </c>
    </row>
    <row r="63" spans="1:13" x14ac:dyDescent="0.25">
      <c r="A63" s="222" t="s">
        <v>151</v>
      </c>
      <c r="B63" s="368">
        <f>'[10]Complete Data Set'!D59</f>
        <v>75023853.843606114</v>
      </c>
      <c r="C63" s="368">
        <f>'[10]Complete Data Set'!E59</f>
        <v>271066.15382003703</v>
      </c>
      <c r="D63" s="368">
        <f>'[10]Complete Data Set'!F59</f>
        <v>0</v>
      </c>
      <c r="E63" s="368">
        <f t="shared" si="2"/>
        <v>74752787.689786077</v>
      </c>
      <c r="F63" s="206">
        <f>'[10]Complete Data Set'!A59</f>
        <v>2010</v>
      </c>
      <c r="G63" s="368">
        <f>'[10]Complete Data Set'!I59</f>
        <v>223.60000000000005</v>
      </c>
      <c r="H63" s="368">
        <f>'[10]Complete Data Set'!J59</f>
        <v>0</v>
      </c>
      <c r="I63" s="368">
        <f>'[10]Complete Data Set'!K59</f>
        <v>41735406</v>
      </c>
      <c r="J63" s="369">
        <f>'[10]Complete Data Set'!H59</f>
        <v>0.23319624263806399</v>
      </c>
      <c r="K63" s="5">
        <f>'Regression Analysis'!B$19+'Regression Analysis'!B$20*F63+'Regression Analysis'!B$21*G63+'Regression Analysis'!B$22*H63+'Regression Analysis'!B$23*I63+'Regression Analysis'!B$24*J63</f>
        <v>74870180.321010798</v>
      </c>
      <c r="L63" s="370">
        <f t="shared" si="0"/>
        <v>1.5704114167873599E-3</v>
      </c>
      <c r="M63" s="371">
        <f t="shared" si="3"/>
        <v>1.5704114167873599E-3</v>
      </c>
    </row>
    <row r="64" spans="1:13" x14ac:dyDescent="0.25">
      <c r="A64" s="222" t="s">
        <v>152</v>
      </c>
      <c r="B64" s="368">
        <f>'[10]Complete Data Set'!D60</f>
        <v>76439083.25392735</v>
      </c>
      <c r="C64" s="368">
        <f>'[10]Complete Data Set'!E60</f>
        <v>298587.11596870399</v>
      </c>
      <c r="D64" s="368">
        <f>'[10]Complete Data Set'!F60</f>
        <v>0</v>
      </c>
      <c r="E64" s="368">
        <f t="shared" si="2"/>
        <v>76140496.137958646</v>
      </c>
      <c r="F64" s="206">
        <f>'[10]Complete Data Set'!A60</f>
        <v>2010</v>
      </c>
      <c r="G64" s="368">
        <f>'[10]Complete Data Set'!I60</f>
        <v>414.10000000000008</v>
      </c>
      <c r="H64" s="368">
        <f>'[10]Complete Data Set'!J60</f>
        <v>0</v>
      </c>
      <c r="I64" s="368">
        <f>'[10]Complete Data Set'!K60</f>
        <v>40600131</v>
      </c>
      <c r="J64" s="369">
        <f>'[10]Complete Data Set'!H60</f>
        <v>-2.0326425795801999E-2</v>
      </c>
      <c r="K64" s="5">
        <f>'Regression Analysis'!B$19+'Regression Analysis'!B$20*F64+'Regression Analysis'!B$21*G64+'Regression Analysis'!B$22*H64+'Regression Analysis'!B$23*I64+'Regression Analysis'!B$24*J64</f>
        <v>76123810.48698017</v>
      </c>
      <c r="L64" s="370">
        <f t="shared" si="0"/>
        <v>-2.1914292426257833E-4</v>
      </c>
      <c r="M64" s="371">
        <f t="shared" si="3"/>
        <v>2.1914292426257833E-4</v>
      </c>
    </row>
    <row r="65" spans="1:13" x14ac:dyDescent="0.25">
      <c r="A65" s="222" t="s">
        <v>153</v>
      </c>
      <c r="B65" s="368">
        <f>'[10]Complete Data Set'!D61</f>
        <v>81766621.892099589</v>
      </c>
      <c r="C65" s="368">
        <f>'[10]Complete Data Set'!E61</f>
        <v>377747.07706832798</v>
      </c>
      <c r="D65" s="368">
        <f>'[10]Complete Data Set'!F61</f>
        <v>0</v>
      </c>
      <c r="E65" s="368">
        <f t="shared" si="2"/>
        <v>81388874.81503126</v>
      </c>
      <c r="F65" s="206">
        <f>'[10]Complete Data Set'!A61</f>
        <v>2010</v>
      </c>
      <c r="G65" s="368">
        <f>'[10]Complete Data Set'!I61</f>
        <v>707.90000000000009</v>
      </c>
      <c r="H65" s="368">
        <f>'[10]Complete Data Set'!J61</f>
        <v>0</v>
      </c>
      <c r="I65" s="368">
        <f>'[10]Complete Data Set'!K61</f>
        <v>39964231</v>
      </c>
      <c r="J65" s="369">
        <f>'[10]Complete Data Set'!H61</f>
        <v>5.2494343901185E-2</v>
      </c>
      <c r="K65" s="5">
        <f>'Regression Analysis'!B$19+'Regression Analysis'!B$20*F65+'Regression Analysis'!B$21*G65+'Regression Analysis'!B$22*H65+'Regression Analysis'!B$23*I65+'Regression Analysis'!B$24*J65</f>
        <v>81974944.573396802</v>
      </c>
      <c r="L65" s="370">
        <f t="shared" si="0"/>
        <v>7.2008583445523165E-3</v>
      </c>
      <c r="M65" s="371">
        <f t="shared" si="3"/>
        <v>7.2008583445523165E-3</v>
      </c>
    </row>
    <row r="66" spans="1:13" x14ac:dyDescent="0.25">
      <c r="A66" s="222" t="s">
        <v>154</v>
      </c>
      <c r="B66" s="368">
        <f>'[10]Complete Data Set'!D62</f>
        <v>83706926.409999996</v>
      </c>
      <c r="C66" s="368">
        <f>'[10]Complete Data Set'!E62</f>
        <v>384376.99633979797</v>
      </c>
      <c r="D66" s="368">
        <f>'[10]Complete Data Set'!F62</f>
        <v>0</v>
      </c>
      <c r="E66" s="368">
        <f t="shared" si="2"/>
        <v>83322549.413660198</v>
      </c>
      <c r="F66" s="206">
        <f>'[10]Complete Data Set'!A62</f>
        <v>2011</v>
      </c>
      <c r="G66" s="368">
        <f>'[10]Complete Data Set'!I62</f>
        <v>791.40000000000032</v>
      </c>
      <c r="H66" s="368">
        <f>'[10]Complete Data Set'!J62</f>
        <v>0</v>
      </c>
      <c r="I66" s="368">
        <f>'[10]Complete Data Set'!K62</f>
        <v>41385749</v>
      </c>
      <c r="J66" s="369">
        <f>'[10]Complete Data Set'!H62</f>
        <v>0.41911749784950603</v>
      </c>
      <c r="K66" s="5">
        <f>'Regression Analysis'!B$19+'Regression Analysis'!B$20*F66+'Regression Analysis'!B$21*G66+'Regression Analysis'!B$22*H66+'Regression Analysis'!B$23*I66+'Regression Analysis'!B$24*J66</f>
        <v>86467423.76982303</v>
      </c>
      <c r="L66" s="370">
        <f t="shared" si="0"/>
        <v>3.7743376532442599E-2</v>
      </c>
      <c r="M66" s="371">
        <f t="shared" si="3"/>
        <v>3.7743376532442599E-2</v>
      </c>
    </row>
    <row r="67" spans="1:13" x14ac:dyDescent="0.25">
      <c r="A67" s="222" t="s">
        <v>155</v>
      </c>
      <c r="B67" s="368">
        <f>'[10]Complete Data Set'!D63</f>
        <v>75367134.579999998</v>
      </c>
      <c r="C67" s="368">
        <f>'[10]Complete Data Set'!E63</f>
        <v>349597.11366915703</v>
      </c>
      <c r="D67" s="368">
        <f>'[10]Complete Data Set'!F63</f>
        <v>0</v>
      </c>
      <c r="E67" s="368">
        <f t="shared" si="2"/>
        <v>75017537.466330841</v>
      </c>
      <c r="F67" s="206">
        <f>'[10]Complete Data Set'!A63</f>
        <v>2011</v>
      </c>
      <c r="G67" s="368">
        <f>'[10]Complete Data Set'!I63</f>
        <v>674.80000000000018</v>
      </c>
      <c r="H67" s="368">
        <f>'[10]Complete Data Set'!J63</f>
        <v>0</v>
      </c>
      <c r="I67" s="368">
        <f>'[10]Complete Data Set'!K63</f>
        <v>40385682</v>
      </c>
      <c r="J67" s="369">
        <f>'[10]Complete Data Set'!H63</f>
        <v>-0.50700916400478402</v>
      </c>
      <c r="K67" s="5">
        <f>'Regression Analysis'!B$19+'Regression Analysis'!B$20*F67+'Regression Analysis'!B$21*G67+'Regression Analysis'!B$22*H67+'Regression Analysis'!B$23*I67+'Regression Analysis'!B$24*J67</f>
        <v>77194441.859136298</v>
      </c>
      <c r="L67" s="370">
        <f t="shared" si="0"/>
        <v>2.9018606399636739E-2</v>
      </c>
      <c r="M67" s="371">
        <f t="shared" si="3"/>
        <v>2.9018606399636739E-2</v>
      </c>
    </row>
    <row r="68" spans="1:13" x14ac:dyDescent="0.25">
      <c r="A68" s="222" t="s">
        <v>156</v>
      </c>
      <c r="B68" s="368">
        <f>'[10]Complete Data Set'!D64</f>
        <v>80344897.799999997</v>
      </c>
      <c r="C68" s="368">
        <f>'[10]Complete Data Set'!E64</f>
        <v>340423.90155982901</v>
      </c>
      <c r="D68" s="368">
        <f>'[10]Complete Data Set'!F64</f>
        <v>0</v>
      </c>
      <c r="E68" s="368">
        <f t="shared" si="2"/>
        <v>80004473.898440167</v>
      </c>
      <c r="F68" s="206">
        <f>'[10]Complete Data Set'!A64</f>
        <v>2011</v>
      </c>
      <c r="G68" s="368">
        <f>'[10]Complete Data Set'!I64</f>
        <v>347.40000000000009</v>
      </c>
      <c r="H68" s="368">
        <f>'[10]Complete Data Set'!J64</f>
        <v>0</v>
      </c>
      <c r="I68" s="368">
        <f>'[10]Complete Data Set'!K64</f>
        <v>43636079</v>
      </c>
      <c r="J68" s="369">
        <f>'[10]Complete Data Set'!H64</f>
        <v>6.2739784171715995E-2</v>
      </c>
      <c r="K68" s="5">
        <f>'Regression Analysis'!B$19+'Regression Analysis'!B$20*F68+'Regression Analysis'!B$21*G68+'Regression Analysis'!B$22*H68+'Regression Analysis'!B$23*I68+'Regression Analysis'!B$24*J68</f>
        <v>76850190.350273073</v>
      </c>
      <c r="L68" s="370">
        <f t="shared" si="0"/>
        <v>-3.9426339484104692E-2</v>
      </c>
      <c r="M68" s="371">
        <f t="shared" si="3"/>
        <v>3.9426339484104692E-2</v>
      </c>
    </row>
    <row r="69" spans="1:13" x14ac:dyDescent="0.25">
      <c r="A69" s="222" t="s">
        <v>157</v>
      </c>
      <c r="B69" s="368">
        <f>'[10]Complete Data Set'!D65</f>
        <v>70865312.989999995</v>
      </c>
      <c r="C69" s="368">
        <f>'[10]Complete Data Set'!E65</f>
        <v>269467.87193298299</v>
      </c>
      <c r="D69" s="368">
        <f>'[10]Complete Data Set'!F65</f>
        <v>0</v>
      </c>
      <c r="E69" s="368">
        <f t="shared" si="2"/>
        <v>70595845.118067011</v>
      </c>
      <c r="F69" s="206">
        <f>'[10]Complete Data Set'!A65</f>
        <v>2011</v>
      </c>
      <c r="G69" s="368">
        <f>'[10]Complete Data Set'!I65</f>
        <v>341.09999999999997</v>
      </c>
      <c r="H69" s="368">
        <f>'[10]Complete Data Set'!J65</f>
        <v>0</v>
      </c>
      <c r="I69" s="368">
        <f>'[10]Complete Data Set'!K65</f>
        <v>40502825</v>
      </c>
      <c r="J69" s="369">
        <f>'[10]Complete Data Set'!H65</f>
        <v>-0.69420914264628397</v>
      </c>
      <c r="K69" s="5">
        <f>'Regression Analysis'!B$19+'Regression Analysis'!B$20*F69+'Regression Analysis'!B$21*G69+'Regression Analysis'!B$22*H69+'Regression Analysis'!B$23*I69+'Regression Analysis'!B$24*J69</f>
        <v>69420451.68268159</v>
      </c>
      <c r="L69" s="370">
        <f t="shared" si="0"/>
        <v>-1.6649612075889893E-2</v>
      </c>
      <c r="M69" s="371">
        <f t="shared" si="3"/>
        <v>1.6649612075889893E-2</v>
      </c>
    </row>
    <row r="70" spans="1:13" x14ac:dyDescent="0.25">
      <c r="A70" s="222" t="s">
        <v>158</v>
      </c>
      <c r="B70" s="368">
        <f>'[10]Complete Data Set'!D66</f>
        <v>72286371.620000005</v>
      </c>
      <c r="C70" s="368">
        <f>'[10]Complete Data Set'!E66</f>
        <v>252420.57922744699</v>
      </c>
      <c r="D70" s="368">
        <f>'[10]Complete Data Set'!F66</f>
        <v>0</v>
      </c>
      <c r="E70" s="368">
        <f t="shared" si="2"/>
        <v>72033951.040772557</v>
      </c>
      <c r="F70" s="206">
        <f>'[10]Complete Data Set'!A66</f>
        <v>2011</v>
      </c>
      <c r="G70" s="368">
        <f>'[10]Complete Data Set'!I66</f>
        <v>144.70000000000005</v>
      </c>
      <c r="H70" s="368">
        <f>'[10]Complete Data Set'!J66</f>
        <v>20.200000000000003</v>
      </c>
      <c r="I70" s="368">
        <f>'[10]Complete Data Set'!K66</f>
        <v>41346450</v>
      </c>
      <c r="J70" s="369">
        <f>'[10]Complete Data Set'!H66</f>
        <v>-0.29386468836728802</v>
      </c>
      <c r="K70" s="5">
        <f>'Regression Analysis'!B$19+'Regression Analysis'!B$20*F70+'Regression Analysis'!B$21*G70+'Regression Analysis'!B$22*H70+'Regression Analysis'!B$23*I70+'Regression Analysis'!B$24*J70</f>
        <v>72102559.952421769</v>
      </c>
      <c r="L70" s="370">
        <f t="shared" ref="L70:L113" si="4">(K70-E70)/E70</f>
        <v>9.5245242913828676E-4</v>
      </c>
      <c r="M70" s="371">
        <f t="shared" si="3"/>
        <v>9.5245242913828676E-4</v>
      </c>
    </row>
    <row r="71" spans="1:13" x14ac:dyDescent="0.25">
      <c r="A71" s="222" t="s">
        <v>159</v>
      </c>
      <c r="B71" s="368">
        <f>'[10]Complete Data Set'!D67</f>
        <v>79668877.659999996</v>
      </c>
      <c r="C71" s="368">
        <f>'[10]Complete Data Set'!E67</f>
        <v>239945.916801452</v>
      </c>
      <c r="D71" s="368">
        <f>'[10]Complete Data Set'!F67</f>
        <v>0</v>
      </c>
      <c r="E71" s="368">
        <f t="shared" ref="E71:E113" si="5">B71-C71-D71</f>
        <v>79428931.743198544</v>
      </c>
      <c r="F71" s="206">
        <f>'[10]Complete Data Set'!A67</f>
        <v>2011</v>
      </c>
      <c r="G71" s="368">
        <f>'[10]Complete Data Set'!I67</f>
        <v>28.400000000000002</v>
      </c>
      <c r="H71" s="368">
        <f>'[10]Complete Data Set'!J67</f>
        <v>52.499999999999993</v>
      </c>
      <c r="I71" s="368">
        <f>'[10]Complete Data Set'!K67</f>
        <v>42150675</v>
      </c>
      <c r="J71" s="369">
        <f>'[10]Complete Data Set'!H67</f>
        <v>0.37476870063614698</v>
      </c>
      <c r="K71" s="5">
        <f>'Regression Analysis'!B$19+'Regression Analysis'!B$20*F71+'Regression Analysis'!B$21*G71+'Regression Analysis'!B$22*H71+'Regression Analysis'!B$23*I71+'Regression Analysis'!B$24*J71</f>
        <v>80109243.829206318</v>
      </c>
      <c r="L71" s="370">
        <f t="shared" si="4"/>
        <v>8.5650413656234107E-3</v>
      </c>
      <c r="M71" s="371">
        <f t="shared" si="3"/>
        <v>8.5650413656234107E-3</v>
      </c>
    </row>
    <row r="72" spans="1:13" x14ac:dyDescent="0.25">
      <c r="A72" s="222" t="s">
        <v>160</v>
      </c>
      <c r="B72" s="368">
        <f>'[10]Complete Data Set'!D68</f>
        <v>98736539.680000007</v>
      </c>
      <c r="C72" s="368">
        <f>'[10]Complete Data Set'!E68</f>
        <v>254826.78520965501</v>
      </c>
      <c r="D72" s="368">
        <f>'[10]Complete Data Set'!F68</f>
        <v>0</v>
      </c>
      <c r="E72" s="368">
        <f t="shared" si="5"/>
        <v>98481712.894790351</v>
      </c>
      <c r="F72" s="206">
        <f>'[10]Complete Data Set'!A68</f>
        <v>2011</v>
      </c>
      <c r="G72" s="368">
        <f>'[10]Complete Data Set'!I68</f>
        <v>0.1</v>
      </c>
      <c r="H72" s="368">
        <f>'[10]Complete Data Set'!J68</f>
        <v>170.00000000000006</v>
      </c>
      <c r="I72" s="368">
        <f>'[10]Complete Data Set'!K68</f>
        <v>40454374</v>
      </c>
      <c r="J72" s="369">
        <f>'[10]Complete Data Set'!H68</f>
        <v>1.1308832727931699</v>
      </c>
      <c r="K72" s="5">
        <f>'Regression Analysis'!B$19+'Regression Analysis'!B$20*F72+'Regression Analysis'!B$21*G72+'Regression Analysis'!B$22*H72+'Regression Analysis'!B$23*I72+'Regression Analysis'!B$24*J72</f>
        <v>102457957.08920738</v>
      </c>
      <c r="L72" s="370">
        <f t="shared" si="4"/>
        <v>4.0375457306118523E-2</v>
      </c>
      <c r="M72" s="371">
        <f t="shared" si="3"/>
        <v>4.0375457306118523E-2</v>
      </c>
    </row>
    <row r="73" spans="1:13" x14ac:dyDescent="0.25">
      <c r="A73" s="222" t="s">
        <v>161</v>
      </c>
      <c r="B73" s="368">
        <f>'[10]Complete Data Set'!D69</f>
        <v>93571080.129999995</v>
      </c>
      <c r="C73" s="368">
        <f>'[10]Complete Data Set'!E69</f>
        <v>256562.342046737</v>
      </c>
      <c r="D73" s="368">
        <f>'[10]Complete Data Set'!F69</f>
        <v>0</v>
      </c>
      <c r="E73" s="368">
        <f t="shared" si="5"/>
        <v>93314517.787953258</v>
      </c>
      <c r="F73" s="206">
        <f>'[10]Complete Data Set'!A69</f>
        <v>2011</v>
      </c>
      <c r="G73" s="368">
        <f>'[10]Complete Data Set'!I69</f>
        <v>5.1000000000000005</v>
      </c>
      <c r="H73" s="368">
        <f>'[10]Complete Data Set'!J69</f>
        <v>75.900000000000006</v>
      </c>
      <c r="I73" s="368">
        <f>'[10]Complete Data Set'!K69</f>
        <v>44495143</v>
      </c>
      <c r="J73" s="369">
        <f>'[10]Complete Data Set'!H69</f>
        <v>1.5427178235774599</v>
      </c>
      <c r="K73" s="5">
        <f>'Regression Analysis'!B$19+'Regression Analysis'!B$20*F73+'Regression Analysis'!B$21*G73+'Regression Analysis'!B$22*H73+'Regression Analysis'!B$23*I73+'Regression Analysis'!B$24*J73</f>
        <v>92968910.704742938</v>
      </c>
      <c r="L73" s="370">
        <f t="shared" si="4"/>
        <v>-3.703679678179043E-3</v>
      </c>
      <c r="M73" s="371">
        <f t="shared" si="3"/>
        <v>3.703679678179043E-3</v>
      </c>
    </row>
    <row r="74" spans="1:13" x14ac:dyDescent="0.25">
      <c r="A74" s="222" t="s">
        <v>162</v>
      </c>
      <c r="B74" s="368">
        <f>'[10]Complete Data Set'!D70</f>
        <v>81593769.969999999</v>
      </c>
      <c r="C74" s="368">
        <f>'[10]Complete Data Set'!E70</f>
        <v>232498.59032249401</v>
      </c>
      <c r="D74" s="368">
        <f>'[10]Complete Data Set'!F70</f>
        <v>0</v>
      </c>
      <c r="E74" s="368">
        <f t="shared" si="5"/>
        <v>81361271.379677504</v>
      </c>
      <c r="F74" s="206">
        <f>'[10]Complete Data Set'!A70</f>
        <v>2011</v>
      </c>
      <c r="G74" s="368">
        <f>'[10]Complete Data Set'!I70</f>
        <v>77.599999999999994</v>
      </c>
      <c r="H74" s="368">
        <f>'[10]Complete Data Set'!J70</f>
        <v>32.699999999999996</v>
      </c>
      <c r="I74" s="368">
        <f>'[10]Complete Data Set'!K70</f>
        <v>44495209</v>
      </c>
      <c r="J74" s="369">
        <f>'[10]Complete Data Set'!H70</f>
        <v>0.608962832123631</v>
      </c>
      <c r="K74" s="5">
        <f>'Regression Analysis'!B$19+'Regression Analysis'!B$20*F74+'Regression Analysis'!B$21*G74+'Regression Analysis'!B$22*H74+'Regression Analysis'!B$23*I74+'Regression Analysis'!B$24*J74</f>
        <v>81100090.11949636</v>
      </c>
      <c r="L74" s="370">
        <f t="shared" si="4"/>
        <v>-3.2101423165123003E-3</v>
      </c>
      <c r="M74" s="371">
        <f t="shared" si="3"/>
        <v>3.2101423165123003E-3</v>
      </c>
    </row>
    <row r="75" spans="1:13" x14ac:dyDescent="0.25">
      <c r="A75" s="222" t="s">
        <v>163</v>
      </c>
      <c r="B75" s="368">
        <f>'[10]Complete Data Set'!D71</f>
        <v>76273617.739999995</v>
      </c>
      <c r="C75" s="368">
        <f>'[10]Complete Data Set'!E71</f>
        <v>224362.322841644</v>
      </c>
      <c r="D75" s="368">
        <f>'[10]Complete Data Set'!F71</f>
        <v>0</v>
      </c>
      <c r="E75" s="368">
        <f t="shared" si="5"/>
        <v>76049255.41715835</v>
      </c>
      <c r="F75" s="206">
        <f>'[10]Complete Data Set'!A71</f>
        <v>2011</v>
      </c>
      <c r="G75" s="368">
        <f>'[10]Complete Data Set'!I71</f>
        <v>228.29999999999998</v>
      </c>
      <c r="H75" s="368">
        <f>'[10]Complete Data Set'!J71</f>
        <v>0</v>
      </c>
      <c r="I75" s="368">
        <f>'[10]Complete Data Set'!K71</f>
        <v>44798937</v>
      </c>
      <c r="J75" s="369">
        <f>'[10]Complete Data Set'!H71</f>
        <v>0.23319624263806399</v>
      </c>
      <c r="K75" s="5">
        <f>'Regression Analysis'!B$19+'Regression Analysis'!B$20*F75+'Regression Analysis'!B$21*G75+'Regression Analysis'!B$22*H75+'Regression Analysis'!B$23*I75+'Regression Analysis'!B$24*J75</f>
        <v>76461921.223439723</v>
      </c>
      <c r="L75" s="370">
        <f t="shared" si="4"/>
        <v>5.4262964708562634E-3</v>
      </c>
      <c r="M75" s="371">
        <f t="shared" si="3"/>
        <v>5.4262964708562634E-3</v>
      </c>
    </row>
    <row r="76" spans="1:13" x14ac:dyDescent="0.25">
      <c r="A76" s="222" t="s">
        <v>164</v>
      </c>
      <c r="B76" s="368">
        <f>'[10]Complete Data Set'!D72</f>
        <v>77445742.620000005</v>
      </c>
      <c r="C76" s="368">
        <f>'[10]Complete Data Set'!E72</f>
        <v>224929.06146430899</v>
      </c>
      <c r="D76" s="368">
        <f>'[10]Complete Data Set'!F72</f>
        <v>0</v>
      </c>
      <c r="E76" s="368">
        <f t="shared" si="5"/>
        <v>77220813.558535695</v>
      </c>
      <c r="F76" s="206">
        <f>'[10]Complete Data Set'!A72</f>
        <v>2011</v>
      </c>
      <c r="G76" s="368">
        <f>'[10]Complete Data Set'!I72</f>
        <v>333.5</v>
      </c>
      <c r="H76" s="368">
        <f>'[10]Complete Data Set'!J72</f>
        <v>0</v>
      </c>
      <c r="I76" s="368">
        <f>'[10]Complete Data Set'!K72</f>
        <v>44900275</v>
      </c>
      <c r="J76" s="369">
        <f>'[10]Complete Data Set'!H72</f>
        <v>-2.0326425795801999E-2</v>
      </c>
      <c r="K76" s="5">
        <f>'Regression Analysis'!B$19+'Regression Analysis'!B$20*F76+'Regression Analysis'!B$21*G76+'Regression Analysis'!B$22*H76+'Regression Analysis'!B$23*I76+'Regression Analysis'!B$24*J76</f>
        <v>76890207.384715557</v>
      </c>
      <c r="L76" s="370">
        <f t="shared" si="4"/>
        <v>-4.2813091261921059E-3</v>
      </c>
      <c r="M76" s="371">
        <f t="shared" si="3"/>
        <v>4.2813091261921059E-3</v>
      </c>
    </row>
    <row r="77" spans="1:13" x14ac:dyDescent="0.25">
      <c r="A77" s="222" t="s">
        <v>165</v>
      </c>
      <c r="B77" s="368">
        <f>'[10]Complete Data Set'!D73</f>
        <v>78733416.469999999</v>
      </c>
      <c r="C77" s="368">
        <f>'[10]Complete Data Set'!E73</f>
        <v>257071.20935058501</v>
      </c>
      <c r="D77" s="368">
        <f>'[10]Complete Data Set'!F73</f>
        <v>0</v>
      </c>
      <c r="E77" s="368">
        <f t="shared" si="5"/>
        <v>78476345.260649413</v>
      </c>
      <c r="F77" s="206">
        <f>'[10]Complete Data Set'!A73</f>
        <v>2011</v>
      </c>
      <c r="G77" s="368">
        <f>'[10]Complete Data Set'!I73</f>
        <v>507.69999999999993</v>
      </c>
      <c r="H77" s="368">
        <f>'[10]Complete Data Set'!J73</f>
        <v>0</v>
      </c>
      <c r="I77" s="368">
        <f>'[10]Complete Data Set'!K73</f>
        <v>44435561</v>
      </c>
      <c r="J77" s="369">
        <f>'[10]Complete Data Set'!H73</f>
        <v>5.2494343901185E-2</v>
      </c>
      <c r="K77" s="5">
        <f>'Regression Analysis'!B$19+'Regression Analysis'!B$20*F77+'Regression Analysis'!B$21*G77+'Regression Analysis'!B$22*H77+'Regression Analysis'!B$23*I77+'Regression Analysis'!B$24*J77</f>
        <v>80499545.465985537</v>
      </c>
      <c r="L77" s="370">
        <f t="shared" si="4"/>
        <v>2.5781019727872341E-2</v>
      </c>
      <c r="M77" s="371">
        <f t="shared" si="3"/>
        <v>2.5781019727872341E-2</v>
      </c>
    </row>
    <row r="78" spans="1:13" x14ac:dyDescent="0.25">
      <c r="A78" s="222" t="s">
        <v>166</v>
      </c>
      <c r="B78" s="368">
        <f>'[10]Complete Data Set'!D74</f>
        <v>83350470.774909541</v>
      </c>
      <c r="C78" s="368">
        <f>'[10]Complete Data Set'!E74</f>
        <v>296559.85457229603</v>
      </c>
      <c r="D78" s="368">
        <f>'[10]Complete Data Set'!F74</f>
        <v>0</v>
      </c>
      <c r="E78" s="368">
        <f t="shared" si="5"/>
        <v>83053910.920337245</v>
      </c>
      <c r="F78" s="206">
        <f>'[10]Complete Data Set'!A74</f>
        <v>2012</v>
      </c>
      <c r="G78" s="368">
        <f>'[10]Complete Data Set'!I74</f>
        <v>613.20000000000016</v>
      </c>
      <c r="H78" s="368">
        <f>'[10]Complete Data Set'!J74</f>
        <v>0</v>
      </c>
      <c r="I78" s="368">
        <f>'[10]Complete Data Set'!K74</f>
        <v>44700072</v>
      </c>
      <c r="J78" s="369">
        <f>'[10]Complete Data Set'!H74</f>
        <v>0.41911749784950603</v>
      </c>
      <c r="K78" s="5">
        <f>'Regression Analysis'!B$19+'Regression Analysis'!B$20*F78+'Regression Analysis'!B$21*G78+'Regression Analysis'!B$22*H78+'Regression Analysis'!B$23*I78+'Regression Analysis'!B$24*J78</f>
        <v>84623234.105246201</v>
      </c>
      <c r="L78" s="370">
        <f t="shared" si="4"/>
        <v>1.889523524562501E-2</v>
      </c>
      <c r="M78" s="371">
        <f t="shared" si="3"/>
        <v>1.889523524562501E-2</v>
      </c>
    </row>
    <row r="79" spans="1:13" x14ac:dyDescent="0.25">
      <c r="A79" s="222" t="s">
        <v>167</v>
      </c>
      <c r="B79" s="368">
        <f>'[10]Complete Data Set'!D75</f>
        <v>77534215.551245511</v>
      </c>
      <c r="C79" s="368">
        <f>'[10]Complete Data Set'!E75</f>
        <v>270658.73049545201</v>
      </c>
      <c r="D79" s="368">
        <f>'[10]Complete Data Set'!F75</f>
        <v>0</v>
      </c>
      <c r="E79" s="368">
        <f t="shared" si="5"/>
        <v>77263556.820750058</v>
      </c>
      <c r="F79" s="206">
        <f>'[10]Complete Data Set'!A75</f>
        <v>2012</v>
      </c>
      <c r="G79" s="368">
        <f>'[10]Complete Data Set'!I75</f>
        <v>530.19999999999993</v>
      </c>
      <c r="H79" s="368">
        <f>'[10]Complete Data Set'!J75</f>
        <v>0</v>
      </c>
      <c r="I79" s="368">
        <f>'[10]Complete Data Set'!K75</f>
        <v>42889850</v>
      </c>
      <c r="J79" s="369">
        <f>'[10]Complete Data Set'!H75</f>
        <v>-0.50700916400478402</v>
      </c>
      <c r="K79" s="5">
        <f>'Regression Analysis'!B$19+'Regression Analysis'!B$20*F79+'Regression Analysis'!B$21*G79+'Regression Analysis'!B$22*H79+'Regression Analysis'!B$23*I79+'Regression Analysis'!B$24*J79</f>
        <v>75451148.018751025</v>
      </c>
      <c r="L79" s="370">
        <f t="shared" si="4"/>
        <v>-2.3457485994383943E-2</v>
      </c>
      <c r="M79" s="371">
        <f t="shared" si="3"/>
        <v>2.3457485994383943E-2</v>
      </c>
    </row>
    <row r="80" spans="1:13" x14ac:dyDescent="0.25">
      <c r="A80" s="222" t="s">
        <v>168</v>
      </c>
      <c r="B80" s="368">
        <f>'[10]Complete Data Set'!D76</f>
        <v>76965960.904990226</v>
      </c>
      <c r="C80" s="368">
        <f>'[10]Complete Data Set'!E76</f>
        <v>273220.977241516</v>
      </c>
      <c r="D80" s="368">
        <f>'[10]Complete Data Set'!F76</f>
        <v>0</v>
      </c>
      <c r="E80" s="368">
        <f t="shared" si="5"/>
        <v>76692739.92774871</v>
      </c>
      <c r="F80" s="206">
        <f>'[10]Complete Data Set'!A76</f>
        <v>2012</v>
      </c>
      <c r="G80" s="368">
        <f>'[10]Complete Data Set'!I76</f>
        <v>320.90000000000003</v>
      </c>
      <c r="H80" s="368">
        <f>'[10]Complete Data Set'!J76</f>
        <v>0</v>
      </c>
      <c r="I80" s="368">
        <f>'[10]Complete Data Set'!K76</f>
        <v>46011356</v>
      </c>
      <c r="J80" s="369">
        <f>'[10]Complete Data Set'!H76</f>
        <v>6.2739784171715995E-2</v>
      </c>
      <c r="K80" s="5">
        <f>'Regression Analysis'!B$19+'Regression Analysis'!B$20*F80+'Regression Analysis'!B$21*G80+'Regression Analysis'!B$22*H80+'Regression Analysis'!B$23*I80+'Regression Analysis'!B$24*J80</f>
        <v>77348440.910199553</v>
      </c>
      <c r="L80" s="370">
        <f t="shared" si="4"/>
        <v>8.5497138721158054E-3</v>
      </c>
      <c r="M80" s="371">
        <f t="shared" si="3"/>
        <v>8.5497138721158054E-3</v>
      </c>
    </row>
    <row r="81" spans="1:13" x14ac:dyDescent="0.25">
      <c r="A81" s="222" t="s">
        <v>169</v>
      </c>
      <c r="B81" s="368">
        <f>'[10]Complete Data Set'!D77</f>
        <v>70563282.782406002</v>
      </c>
      <c r="C81" s="368">
        <f>'[10]Complete Data Set'!E77</f>
        <v>239875.21442222499</v>
      </c>
      <c r="D81" s="368">
        <f>'[10]Complete Data Set'!F77</f>
        <v>0</v>
      </c>
      <c r="E81" s="368">
        <f t="shared" si="5"/>
        <v>70323407.567983776</v>
      </c>
      <c r="F81" s="206">
        <f>'[10]Complete Data Set'!A77</f>
        <v>2012</v>
      </c>
      <c r="G81" s="368">
        <f>'[10]Complete Data Set'!I77</f>
        <v>329.2999999999999</v>
      </c>
      <c r="H81" s="368">
        <f>'[10]Complete Data Set'!J77</f>
        <v>0</v>
      </c>
      <c r="I81" s="368">
        <f>'[10]Complete Data Set'!K77</f>
        <v>45391465</v>
      </c>
      <c r="J81" s="369">
        <f>'[10]Complete Data Set'!H77</f>
        <v>-0.69420914264628397</v>
      </c>
      <c r="K81" s="5">
        <f>'Regression Analysis'!B$19+'Regression Analysis'!B$20*F81+'Regression Analysis'!B$21*G81+'Regression Analysis'!B$22*H81+'Regression Analysis'!B$23*I81+'Regression Analysis'!B$24*J81</f>
        <v>71953232.906013146</v>
      </c>
      <c r="L81" s="370">
        <f t="shared" si="4"/>
        <v>2.3176142829167769E-2</v>
      </c>
      <c r="M81" s="371">
        <f t="shared" si="3"/>
        <v>2.3176142829167769E-2</v>
      </c>
    </row>
    <row r="82" spans="1:13" x14ac:dyDescent="0.25">
      <c r="A82" s="222" t="s">
        <v>170</v>
      </c>
      <c r="B82" s="368">
        <f>'[10]Complete Data Set'!D78</f>
        <v>76978073.119081989</v>
      </c>
      <c r="C82" s="368">
        <f>'[10]Complete Data Set'!E78</f>
        <v>242769.89865589101</v>
      </c>
      <c r="D82" s="368">
        <f>'[10]Complete Data Set'!F78</f>
        <v>0</v>
      </c>
      <c r="E82" s="368">
        <f t="shared" si="5"/>
        <v>76735303.220426098</v>
      </c>
      <c r="F82" s="206">
        <f>'[10]Complete Data Set'!A78</f>
        <v>2012</v>
      </c>
      <c r="G82" s="368">
        <f>'[10]Complete Data Set'!I78</f>
        <v>85.100000000000009</v>
      </c>
      <c r="H82" s="368">
        <f>'[10]Complete Data Set'!J78</f>
        <v>18.7</v>
      </c>
      <c r="I82" s="368">
        <f>'[10]Complete Data Set'!K78</f>
        <v>47528183</v>
      </c>
      <c r="J82" s="369">
        <f>'[10]Complete Data Set'!H78</f>
        <v>-0.29386468836728802</v>
      </c>
      <c r="K82" s="5">
        <f>'Regression Analysis'!B$19+'Regression Analysis'!B$20*F82+'Regression Analysis'!B$21*G82+'Regression Analysis'!B$22*H82+'Regression Analysis'!B$23*I82+'Regression Analysis'!B$24*J82</f>
        <v>74347317.814763188</v>
      </c>
      <c r="L82" s="370">
        <f t="shared" si="4"/>
        <v>-3.1119775454633944E-2</v>
      </c>
      <c r="M82" s="371">
        <f t="shared" ref="M82:M113" si="6">ABS((K82-E82)/E82)</f>
        <v>3.1119775454633944E-2</v>
      </c>
    </row>
    <row r="83" spans="1:13" x14ac:dyDescent="0.25">
      <c r="A83" s="222" t="s">
        <v>171</v>
      </c>
      <c r="B83" s="368">
        <f>'[10]Complete Data Set'!D79</f>
        <v>87498949.417635188</v>
      </c>
      <c r="C83" s="368">
        <f>'[10]Complete Data Set'!E79</f>
        <v>228549.91664791101</v>
      </c>
      <c r="D83" s="368">
        <f>'[10]Complete Data Set'!F79</f>
        <v>0</v>
      </c>
      <c r="E83" s="368">
        <f t="shared" si="5"/>
        <v>87270399.500987276</v>
      </c>
      <c r="F83" s="206">
        <f>'[10]Complete Data Set'!A79</f>
        <v>2012</v>
      </c>
      <c r="G83" s="368">
        <f>'[10]Complete Data Set'!I79</f>
        <v>1</v>
      </c>
      <c r="H83" s="368">
        <f>'[10]Complete Data Set'!J79</f>
        <v>28.7</v>
      </c>
      <c r="I83" s="368">
        <f>'[10]Complete Data Set'!K79</f>
        <v>47227131</v>
      </c>
      <c r="J83" s="369">
        <f>'[10]Complete Data Set'!H79</f>
        <v>0.37476870063614698</v>
      </c>
      <c r="K83" s="5">
        <f>'Regression Analysis'!B$19+'Regression Analysis'!B$20*F83+'Regression Analysis'!B$21*G83+'Regression Analysis'!B$22*H83+'Regression Analysis'!B$23*I83+'Regression Analysis'!B$24*J83</f>
        <v>78624169.384901792</v>
      </c>
      <c r="L83" s="370">
        <f t="shared" si="4"/>
        <v>-9.9074029287418028E-2</v>
      </c>
      <c r="M83" s="371">
        <f t="shared" si="6"/>
        <v>9.9074029287418028E-2</v>
      </c>
    </row>
    <row r="84" spans="1:13" x14ac:dyDescent="0.25">
      <c r="A84" s="222" t="s">
        <v>172</v>
      </c>
      <c r="B84" s="368">
        <f>'[10]Complete Data Set'!D80</f>
        <v>99161585.282704368</v>
      </c>
      <c r="C84" s="368">
        <f>'[10]Complete Data Set'!E80</f>
        <v>203412.83810997001</v>
      </c>
      <c r="D84" s="368">
        <f>'[10]Complete Data Set'!F80</f>
        <v>0</v>
      </c>
      <c r="E84" s="368">
        <f t="shared" si="5"/>
        <v>98958172.444594398</v>
      </c>
      <c r="F84" s="206">
        <f>'[10]Complete Data Set'!A80</f>
        <v>2012</v>
      </c>
      <c r="G84" s="368">
        <f>'[10]Complete Data Set'!I80</f>
        <v>0</v>
      </c>
      <c r="H84" s="368">
        <f>'[10]Complete Data Set'!J80</f>
        <v>115.6</v>
      </c>
      <c r="I84" s="368">
        <f>'[10]Complete Data Set'!K80</f>
        <v>42833426</v>
      </c>
      <c r="J84" s="369">
        <f>'[10]Complete Data Set'!H80</f>
        <v>1.1308832727931699</v>
      </c>
      <c r="K84" s="5">
        <f>'Regression Analysis'!B$19+'Regression Analysis'!B$20*F84+'Regression Analysis'!B$21*G84+'Regression Analysis'!B$22*H84+'Regression Analysis'!B$23*I84+'Regression Analysis'!B$24*J84</f>
        <v>94702061.914602622</v>
      </c>
      <c r="L84" s="370">
        <f t="shared" si="4"/>
        <v>-4.3009186859980925E-2</v>
      </c>
      <c r="M84" s="371">
        <f t="shared" si="6"/>
        <v>4.3009186859980925E-2</v>
      </c>
    </row>
    <row r="85" spans="1:13" x14ac:dyDescent="0.25">
      <c r="A85" s="222" t="s">
        <v>173</v>
      </c>
      <c r="B85" s="368">
        <f>'[10]Complete Data Set'!D81</f>
        <v>91562639.407286748</v>
      </c>
      <c r="C85" s="368">
        <f>'[10]Complete Data Set'!E81</f>
        <v>236207.08723449701</v>
      </c>
      <c r="D85" s="368">
        <f>'[10]Complete Data Set'!F81</f>
        <v>0</v>
      </c>
      <c r="E85" s="368">
        <f t="shared" si="5"/>
        <v>91326432.320052251</v>
      </c>
      <c r="F85" s="206">
        <f>'[10]Complete Data Set'!A81</f>
        <v>2012</v>
      </c>
      <c r="G85" s="368">
        <f>'[10]Complete Data Set'!I81</f>
        <v>9.7999999999999989</v>
      </c>
      <c r="H85" s="368">
        <f>'[10]Complete Data Set'!J81</f>
        <v>64.2</v>
      </c>
      <c r="I85" s="368">
        <f>'[10]Complete Data Set'!K81</f>
        <v>46525071</v>
      </c>
      <c r="J85" s="369">
        <f>'[10]Complete Data Set'!H81</f>
        <v>1.5427178235774599</v>
      </c>
      <c r="K85" s="5">
        <f>'Regression Analysis'!B$19+'Regression Analysis'!B$20*F85+'Regression Analysis'!B$21*G85+'Regression Analysis'!B$22*H85+'Regression Analysis'!B$23*I85+'Regression Analysis'!B$24*J85</f>
        <v>91955403.519100994</v>
      </c>
      <c r="L85" s="370">
        <f t="shared" si="4"/>
        <v>6.8870663516617135E-3</v>
      </c>
      <c r="M85" s="371">
        <f t="shared" si="6"/>
        <v>6.8870663516617135E-3</v>
      </c>
    </row>
    <row r="86" spans="1:13" x14ac:dyDescent="0.25">
      <c r="A86" s="222" t="s">
        <v>174</v>
      </c>
      <c r="B86" s="368">
        <f>'[10]Complete Data Set'!D82</f>
        <v>79318221.605655447</v>
      </c>
      <c r="C86" s="368">
        <f>'[10]Complete Data Set'!E82</f>
        <v>221821.155338287</v>
      </c>
      <c r="D86" s="368">
        <f>'[10]Complete Data Set'!F82</f>
        <v>0</v>
      </c>
      <c r="E86" s="368">
        <f t="shared" si="5"/>
        <v>79096400.450317159</v>
      </c>
      <c r="F86" s="206">
        <f>'[10]Complete Data Set'!A82</f>
        <v>2012</v>
      </c>
      <c r="G86" s="368">
        <f>'[10]Complete Data Set'!I82</f>
        <v>101.20000000000002</v>
      </c>
      <c r="H86" s="368">
        <f>'[10]Complete Data Set'!J82</f>
        <v>27.4</v>
      </c>
      <c r="I86" s="368">
        <f>'[10]Complete Data Set'!K82</f>
        <v>44793226</v>
      </c>
      <c r="J86" s="369">
        <f>'[10]Complete Data Set'!H82</f>
        <v>0.608962832123631</v>
      </c>
      <c r="K86" s="5">
        <f>'Regression Analysis'!B$19+'Regression Analysis'!B$20*F86+'Regression Analysis'!B$21*G86+'Regression Analysis'!B$22*H86+'Regression Analysis'!B$23*I86+'Regression Analysis'!B$24*J86</f>
        <v>80290282.947639525</v>
      </c>
      <c r="L86" s="370">
        <f t="shared" si="4"/>
        <v>1.5094018065617023E-2</v>
      </c>
      <c r="M86" s="371">
        <f t="shared" si="6"/>
        <v>1.5094018065617023E-2</v>
      </c>
    </row>
    <row r="87" spans="1:13" x14ac:dyDescent="0.25">
      <c r="A87" s="222" t="s">
        <v>175</v>
      </c>
      <c r="B87" s="368">
        <f>'[10]Complete Data Set'!D83</f>
        <v>76122124.602700442</v>
      </c>
      <c r="C87" s="368">
        <f>'[10]Complete Data Set'!E83</f>
        <v>224738.66151428199</v>
      </c>
      <c r="D87" s="368">
        <f>'[10]Complete Data Set'!F83</f>
        <v>0</v>
      </c>
      <c r="E87" s="368">
        <f t="shared" si="5"/>
        <v>75897385.94118616</v>
      </c>
      <c r="F87" s="206">
        <f>'[10]Complete Data Set'!A83</f>
        <v>2012</v>
      </c>
      <c r="G87" s="368">
        <f>'[10]Complete Data Set'!I83</f>
        <v>238.10000000000002</v>
      </c>
      <c r="H87" s="368">
        <f>'[10]Complete Data Set'!J83</f>
        <v>2.7</v>
      </c>
      <c r="I87" s="368">
        <f>'[10]Complete Data Set'!K83</f>
        <v>45235573</v>
      </c>
      <c r="J87" s="369">
        <f>'[10]Complete Data Set'!H83</f>
        <v>0.23319624263806399</v>
      </c>
      <c r="K87" s="5">
        <f>'Regression Analysis'!B$19+'Regression Analysis'!B$20*F87+'Regression Analysis'!B$21*G87+'Regression Analysis'!B$22*H87+'Regression Analysis'!B$23*I87+'Regression Analysis'!B$24*J87</f>
        <v>76766802.532970384</v>
      </c>
      <c r="L87" s="370">
        <f t="shared" si="4"/>
        <v>1.1455158580269758E-2</v>
      </c>
      <c r="M87" s="371">
        <f t="shared" si="6"/>
        <v>1.1455158580269758E-2</v>
      </c>
    </row>
    <row r="88" spans="1:13" x14ac:dyDescent="0.25">
      <c r="A88" s="222" t="s">
        <v>176</v>
      </c>
      <c r="B88" s="368">
        <f>'[10]Complete Data Set'!D84</f>
        <v>77701975.993199721</v>
      </c>
      <c r="C88" s="368">
        <f>'[10]Complete Data Set'!E84</f>
        <v>291203.158073425</v>
      </c>
      <c r="D88" s="368">
        <f>'[10]Complete Data Set'!F84</f>
        <v>0</v>
      </c>
      <c r="E88" s="368">
        <f t="shared" si="5"/>
        <v>77410772.835126296</v>
      </c>
      <c r="F88" s="206">
        <f>'[10]Complete Data Set'!A84</f>
        <v>2012</v>
      </c>
      <c r="G88" s="368">
        <f>'[10]Complete Data Set'!I84</f>
        <v>437.49999999999994</v>
      </c>
      <c r="H88" s="368">
        <f>'[10]Complete Data Set'!J84</f>
        <v>0</v>
      </c>
      <c r="I88" s="368">
        <f>'[10]Complete Data Set'!K84</f>
        <v>45914231</v>
      </c>
      <c r="J88" s="369">
        <f>'[10]Complete Data Set'!H84</f>
        <v>-2.0326425795801999E-2</v>
      </c>
      <c r="K88" s="5">
        <f>'Regression Analysis'!B$19+'Regression Analysis'!B$20*F88+'Regression Analysis'!B$21*G88+'Regression Analysis'!B$22*H88+'Regression Analysis'!B$23*I88+'Regression Analysis'!B$24*J88</f>
        <v>79019384.611537293</v>
      </c>
      <c r="L88" s="370">
        <f t="shared" si="4"/>
        <v>2.0780205616046571E-2</v>
      </c>
      <c r="M88" s="371">
        <f t="shared" si="6"/>
        <v>2.0780205616046571E-2</v>
      </c>
    </row>
    <row r="89" spans="1:13" x14ac:dyDescent="0.25">
      <c r="A89" s="222" t="s">
        <v>177</v>
      </c>
      <c r="B89" s="368">
        <f>'[10]Complete Data Set'!D85</f>
        <v>76850464.918402866</v>
      </c>
      <c r="C89" s="368">
        <f>'[10]Complete Data Set'!E85</f>
        <v>282595.17002296401</v>
      </c>
      <c r="D89" s="368">
        <f>'[10]Complete Data Set'!F85</f>
        <v>0</v>
      </c>
      <c r="E89" s="368">
        <f t="shared" si="5"/>
        <v>76567869.748379901</v>
      </c>
      <c r="F89" s="206">
        <f>'[10]Complete Data Set'!A85</f>
        <v>2012</v>
      </c>
      <c r="G89" s="368">
        <f>'[10]Complete Data Set'!I85</f>
        <v>501.40000000000009</v>
      </c>
      <c r="H89" s="368">
        <f>'[10]Complete Data Set'!J85</f>
        <v>0</v>
      </c>
      <c r="I89" s="368">
        <f>'[10]Complete Data Set'!K85</f>
        <v>41774375</v>
      </c>
      <c r="J89" s="369">
        <f>'[10]Complete Data Set'!H85</f>
        <v>5.2494343901185E-2</v>
      </c>
      <c r="K89" s="5">
        <f>'Regression Analysis'!B$19+'Regression Analysis'!B$20*F89+'Regression Analysis'!B$21*G89+'Regression Analysis'!B$22*H89+'Regression Analysis'!B$23*I89+'Regression Analysis'!B$24*J89</f>
        <v>77900957.578764603</v>
      </c>
      <c r="L89" s="370">
        <f t="shared" si="4"/>
        <v>1.741053832064994E-2</v>
      </c>
      <c r="M89" s="371">
        <f t="shared" si="6"/>
        <v>1.741053832064994E-2</v>
      </c>
    </row>
    <row r="90" spans="1:13" x14ac:dyDescent="0.25">
      <c r="A90" s="222" t="s">
        <v>178</v>
      </c>
      <c r="B90" s="368">
        <f>'[10]Complete Data Set'!D86</f>
        <v>83735387.97302936</v>
      </c>
      <c r="C90" s="368">
        <f>'[10]Complete Data Set'!E86</f>
        <v>285594.26222228998</v>
      </c>
      <c r="D90" s="368">
        <f>'[10]Complete Data Set'!F86</f>
        <v>0</v>
      </c>
      <c r="E90" s="368">
        <f t="shared" si="5"/>
        <v>83449793.71080707</v>
      </c>
      <c r="F90" s="206">
        <f>'[10]Complete Data Set'!A86</f>
        <v>2013</v>
      </c>
      <c r="G90" s="368">
        <f>'[10]Complete Data Set'!I86</f>
        <v>639.30000000000007</v>
      </c>
      <c r="H90" s="368">
        <f>'[10]Complete Data Set'!J86</f>
        <v>0</v>
      </c>
      <c r="I90" s="368">
        <f>'[10]Complete Data Set'!K86</f>
        <v>43255833</v>
      </c>
      <c r="J90" s="369">
        <f>'[10]Complete Data Set'!H86</f>
        <v>0.41911749784950603</v>
      </c>
      <c r="K90" s="5">
        <f>'Regression Analysis'!B$19+'Regression Analysis'!B$20*F90+'Regression Analysis'!B$21*G90+'Regression Analysis'!B$22*H90+'Regression Analysis'!B$23*I90+'Regression Analysis'!B$24*J90</f>
        <v>83508758.765792742</v>
      </c>
      <c r="L90" s="370">
        <f t="shared" si="4"/>
        <v>7.0659317852856513E-4</v>
      </c>
      <c r="M90" s="371">
        <f t="shared" si="6"/>
        <v>7.0659317852856513E-4</v>
      </c>
    </row>
    <row r="91" spans="1:13" x14ac:dyDescent="0.25">
      <c r="A91" s="222" t="s">
        <v>179</v>
      </c>
      <c r="B91" s="368">
        <f>'[10]Complete Data Set'!D87</f>
        <v>76915645.530566543</v>
      </c>
      <c r="C91" s="368">
        <f>'[10]Complete Data Set'!E87</f>
        <v>315742.53616774001</v>
      </c>
      <c r="D91" s="368">
        <f>'[10]Complete Data Set'!F87</f>
        <v>0</v>
      </c>
      <c r="E91" s="368">
        <f t="shared" si="5"/>
        <v>76599902.994398803</v>
      </c>
      <c r="F91" s="206">
        <f>'[10]Complete Data Set'!A87</f>
        <v>2013</v>
      </c>
      <c r="G91" s="368">
        <f>'[10]Complete Data Set'!I87</f>
        <v>617</v>
      </c>
      <c r="H91" s="368">
        <f>'[10]Complete Data Set'!J87</f>
        <v>0</v>
      </c>
      <c r="I91" s="368">
        <f>'[10]Complete Data Set'!K87</f>
        <v>43116627</v>
      </c>
      <c r="J91" s="369">
        <f>'[10]Complete Data Set'!H87</f>
        <v>-0.50700916400478402</v>
      </c>
      <c r="K91" s="5">
        <f>'Regression Analysis'!B$19+'Regression Analysis'!B$20*F91+'Regression Analysis'!B$21*G91+'Regression Analysis'!B$22*H91+'Regression Analysis'!B$23*I91+'Regression Analysis'!B$24*J91</f>
        <v>76694501.643734917</v>
      </c>
      <c r="L91" s="370">
        <f t="shared" si="4"/>
        <v>1.2349708764387319E-3</v>
      </c>
      <c r="M91" s="371">
        <f t="shared" si="6"/>
        <v>1.2349708764387319E-3</v>
      </c>
    </row>
    <row r="92" spans="1:13" x14ac:dyDescent="0.25">
      <c r="A92" s="222" t="s">
        <v>180</v>
      </c>
      <c r="B92" s="368">
        <f>'[10]Complete Data Set'!D88</f>
        <v>78384467.025207594</v>
      </c>
      <c r="C92" s="368">
        <f>'[10]Complete Data Set'!E88</f>
        <v>283012.35421562102</v>
      </c>
      <c r="D92" s="368">
        <f>'[10]Complete Data Set'!F88</f>
        <v>0</v>
      </c>
      <c r="E92" s="368">
        <f t="shared" si="5"/>
        <v>78101454.670991972</v>
      </c>
      <c r="F92" s="206">
        <f>'[10]Complete Data Set'!A88</f>
        <v>2013</v>
      </c>
      <c r="G92" s="368">
        <f>'[10]Complete Data Set'!I88</f>
        <v>547.9</v>
      </c>
      <c r="H92" s="368">
        <f>'[10]Complete Data Set'!J88</f>
        <v>0</v>
      </c>
      <c r="I92" s="368">
        <f>'[10]Complete Data Set'!K88</f>
        <v>44960463</v>
      </c>
      <c r="J92" s="369">
        <f>'[10]Complete Data Set'!H88</f>
        <v>6.2739784171715995E-2</v>
      </c>
      <c r="K92" s="5">
        <f>'Regression Analysis'!B$19+'Regression Analysis'!B$20*F92+'Regression Analysis'!B$21*G92+'Regression Analysis'!B$22*H92+'Regression Analysis'!B$23*I92+'Regression Analysis'!B$24*J92</f>
        <v>80472232.739254862</v>
      </c>
      <c r="L92" s="370">
        <f t="shared" si="4"/>
        <v>3.0355107702538502E-2</v>
      </c>
      <c r="M92" s="371">
        <f t="shared" si="6"/>
        <v>3.0355107702538502E-2</v>
      </c>
    </row>
    <row r="93" spans="1:13" x14ac:dyDescent="0.25">
      <c r="A93" s="222" t="s">
        <v>181</v>
      </c>
      <c r="B93" s="368">
        <f>'[10]Complete Data Set'!D89</f>
        <v>72681683.443277434</v>
      </c>
      <c r="C93" s="368">
        <f>'[10]Complete Data Set'!E89</f>
        <v>197772.51174354501</v>
      </c>
      <c r="D93" s="368">
        <f>'[10]Complete Data Set'!F89</f>
        <v>0</v>
      </c>
      <c r="E93" s="368">
        <f t="shared" si="5"/>
        <v>72483910.931533888</v>
      </c>
      <c r="F93" s="206">
        <f>'[10]Complete Data Set'!A89</f>
        <v>2013</v>
      </c>
      <c r="G93" s="368">
        <f>'[10]Complete Data Set'!I89</f>
        <v>353.59999999999997</v>
      </c>
      <c r="H93" s="368">
        <f>'[10]Complete Data Set'!J89</f>
        <v>0</v>
      </c>
      <c r="I93" s="368">
        <f>'[10]Complete Data Set'!K89</f>
        <v>44976603</v>
      </c>
      <c r="J93" s="369">
        <f>'[10]Complete Data Set'!H89</f>
        <v>-0.69420914264628397</v>
      </c>
      <c r="K93" s="5">
        <f>'Regression Analysis'!B$19+'Regression Analysis'!B$20*F93+'Regression Analysis'!B$21*G93+'Regression Analysis'!B$22*H93+'Regression Analysis'!B$23*I93+'Regression Analysis'!B$24*J93</f>
        <v>71517664.878611118</v>
      </c>
      <c r="L93" s="370">
        <f t="shared" si="4"/>
        <v>-1.3330490042617282E-2</v>
      </c>
      <c r="M93" s="371">
        <f t="shared" si="6"/>
        <v>1.3330490042617282E-2</v>
      </c>
    </row>
    <row r="94" spans="1:13" x14ac:dyDescent="0.25">
      <c r="A94" s="222" t="s">
        <v>182</v>
      </c>
      <c r="B94" s="368">
        <f>'[10]Complete Data Set'!D90</f>
        <v>75087148.648424909</v>
      </c>
      <c r="C94" s="368">
        <f>'[10]Complete Data Set'!E90</f>
        <v>164779.47694778399</v>
      </c>
      <c r="D94" s="368">
        <f>'[10]Complete Data Set'!F90</f>
        <v>0</v>
      </c>
      <c r="E94" s="368">
        <f t="shared" si="5"/>
        <v>74922369.171477124</v>
      </c>
      <c r="F94" s="206">
        <f>'[10]Complete Data Set'!A90</f>
        <v>2013</v>
      </c>
      <c r="G94" s="368">
        <f>'[10]Complete Data Set'!I90</f>
        <v>123.20000000000002</v>
      </c>
      <c r="H94" s="368">
        <f>'[10]Complete Data Set'!J90</f>
        <v>34.9</v>
      </c>
      <c r="I94" s="368">
        <f>'[10]Complete Data Set'!K90</f>
        <v>46651790</v>
      </c>
      <c r="J94" s="369">
        <f>'[10]Complete Data Set'!H90</f>
        <v>-0.29386468836728802</v>
      </c>
      <c r="K94" s="5">
        <f>'Regression Analysis'!B$19+'Regression Analysis'!B$20*F94+'Regression Analysis'!B$21*G94+'Regression Analysis'!B$22*H94+'Regression Analysis'!B$23*I94+'Regression Analysis'!B$24*J94</f>
        <v>76477791.814838812</v>
      </c>
      <c r="L94" s="370">
        <f t="shared" si="4"/>
        <v>2.0760457264795567E-2</v>
      </c>
      <c r="M94" s="371">
        <f t="shared" si="6"/>
        <v>2.0760457264795567E-2</v>
      </c>
    </row>
    <row r="95" spans="1:13" x14ac:dyDescent="0.25">
      <c r="A95" s="222" t="s">
        <v>183</v>
      </c>
      <c r="B95" s="368">
        <f>'[10]Complete Data Set'!D91</f>
        <v>79035304.977132231</v>
      </c>
      <c r="C95" s="368">
        <f>'[10]Complete Data Set'!E91</f>
        <v>127637.383321762</v>
      </c>
      <c r="D95" s="368">
        <f>'[10]Complete Data Set'!F91</f>
        <v>0</v>
      </c>
      <c r="E95" s="368">
        <f t="shared" si="5"/>
        <v>78907667.593810469</v>
      </c>
      <c r="F95" s="206">
        <f>'[10]Complete Data Set'!A91</f>
        <v>2013</v>
      </c>
      <c r="G95" s="368">
        <f>'[10]Complete Data Set'!I91</f>
        <v>42.3</v>
      </c>
      <c r="H95" s="368">
        <f>'[10]Complete Data Set'!J91</f>
        <v>59.4</v>
      </c>
      <c r="I95" s="368">
        <f>'[10]Complete Data Set'!K91</f>
        <v>45335122</v>
      </c>
      <c r="J95" s="369">
        <f>'[10]Complete Data Set'!H91</f>
        <v>0.37476870063614698</v>
      </c>
      <c r="K95" s="5">
        <f>'Regression Analysis'!B$19+'Regression Analysis'!B$20*F95+'Regression Analysis'!B$21*G95+'Regression Analysis'!B$22*H95+'Regression Analysis'!B$23*I95+'Regression Analysis'!B$24*J95</f>
        <v>82452599.961607561</v>
      </c>
      <c r="L95" s="370">
        <f t="shared" si="4"/>
        <v>4.4925068448926714E-2</v>
      </c>
      <c r="M95" s="371">
        <f t="shared" si="6"/>
        <v>4.4925068448926714E-2</v>
      </c>
    </row>
    <row r="96" spans="1:13" x14ac:dyDescent="0.25">
      <c r="A96" s="222" t="s">
        <v>184</v>
      </c>
      <c r="B96" s="368">
        <f>'[10]Complete Data Set'!D92</f>
        <v>94541769.624440745</v>
      </c>
      <c r="C96" s="368">
        <f>'[10]Complete Data Set'!E92</f>
        <v>0</v>
      </c>
      <c r="D96" s="368">
        <f>'[10]Complete Data Set'!F92</f>
        <v>0</v>
      </c>
      <c r="E96" s="368">
        <f t="shared" si="5"/>
        <v>94541769.624440745</v>
      </c>
      <c r="F96" s="206">
        <f>'[10]Complete Data Set'!A92</f>
        <v>2013</v>
      </c>
      <c r="G96" s="368">
        <f>'[10]Complete Data Set'!I92</f>
        <v>10.8</v>
      </c>
      <c r="H96" s="368">
        <f>'[10]Complete Data Set'!J92</f>
        <v>105.5</v>
      </c>
      <c r="I96" s="368">
        <f>'[10]Complete Data Set'!K92</f>
        <v>44400265</v>
      </c>
      <c r="J96" s="369">
        <f>'[10]Complete Data Set'!H92</f>
        <v>1.1308832727931699</v>
      </c>
      <c r="K96" s="5">
        <f>'Regression Analysis'!B$19+'Regression Analysis'!B$20*F96+'Regression Analysis'!B$21*G96+'Regression Analysis'!B$22*H96+'Regression Analysis'!B$23*I96+'Regression Analysis'!B$24*J96</f>
        <v>93745720.228914484</v>
      </c>
      <c r="L96" s="370">
        <f t="shared" si="4"/>
        <v>-8.4200813956465982E-3</v>
      </c>
      <c r="M96" s="371">
        <f t="shared" si="6"/>
        <v>8.4200813956465982E-3</v>
      </c>
    </row>
    <row r="97" spans="1:13" x14ac:dyDescent="0.25">
      <c r="A97" s="222" t="s">
        <v>185</v>
      </c>
      <c r="B97" s="368">
        <f>'[10]Complete Data Set'!D93</f>
        <v>89781914.584842682</v>
      </c>
      <c r="C97" s="368">
        <f>'[10]Complete Data Set'!E93</f>
        <v>0</v>
      </c>
      <c r="D97" s="368">
        <f>'[10]Complete Data Set'!F93</f>
        <v>0</v>
      </c>
      <c r="E97" s="368">
        <f t="shared" si="5"/>
        <v>89781914.584842682</v>
      </c>
      <c r="F97" s="206">
        <f>'[10]Complete Data Set'!A93</f>
        <v>2013</v>
      </c>
      <c r="G97" s="368">
        <f>'[10]Complete Data Set'!I93</f>
        <v>19.2</v>
      </c>
      <c r="H97" s="368">
        <f>'[10]Complete Data Set'!J93</f>
        <v>58.999999999999993</v>
      </c>
      <c r="I97" s="368">
        <f>'[10]Complete Data Set'!K93</f>
        <v>45231055</v>
      </c>
      <c r="J97" s="369">
        <f>'[10]Complete Data Set'!H93</f>
        <v>1.5427178235774599</v>
      </c>
      <c r="K97" s="5">
        <f>'Regression Analysis'!B$19+'Regression Analysis'!B$20*F97+'Regression Analysis'!B$21*G97+'Regression Analysis'!B$22*H97+'Regression Analysis'!B$23*I97+'Regression Analysis'!B$24*J97</f>
        <v>89776515.438846454</v>
      </c>
      <c r="L97" s="370">
        <f t="shared" si="4"/>
        <v>-6.0136231458126694E-5</v>
      </c>
      <c r="M97" s="371">
        <f t="shared" si="6"/>
        <v>6.0136231458126694E-5</v>
      </c>
    </row>
    <row r="98" spans="1:13" x14ac:dyDescent="0.25">
      <c r="A98" s="222" t="s">
        <v>186</v>
      </c>
      <c r="B98" s="368">
        <f>'[10]Complete Data Set'!D94</f>
        <v>80998234.489394829</v>
      </c>
      <c r="C98" s="368">
        <f>'[10]Complete Data Set'!E94</f>
        <v>0</v>
      </c>
      <c r="D98" s="368">
        <f>'[10]Complete Data Set'!F94</f>
        <v>0</v>
      </c>
      <c r="E98" s="368">
        <f t="shared" si="5"/>
        <v>80998234.489394829</v>
      </c>
      <c r="F98" s="206">
        <f>'[10]Complete Data Set'!A94</f>
        <v>2013</v>
      </c>
      <c r="G98" s="368">
        <f>'[10]Complete Data Set'!I94</f>
        <v>89.399999999999991</v>
      </c>
      <c r="H98" s="368">
        <f>'[10]Complete Data Set'!J94</f>
        <v>30.8</v>
      </c>
      <c r="I98" s="368">
        <f>'[10]Complete Data Set'!K94</f>
        <v>45667260</v>
      </c>
      <c r="J98" s="369">
        <f>'[10]Complete Data Set'!H94</f>
        <v>0.608962832123631</v>
      </c>
      <c r="K98" s="5">
        <f>'Regression Analysis'!B$19+'Regression Analysis'!B$20*F98+'Regression Analysis'!B$21*G98+'Regression Analysis'!B$22*H98+'Regression Analysis'!B$23*I98+'Regression Analysis'!B$24*J98</f>
        <v>80585358.274321839</v>
      </c>
      <c r="L98" s="370">
        <f t="shared" si="4"/>
        <v>-5.0973483271051752E-3</v>
      </c>
      <c r="M98" s="371">
        <f t="shared" si="6"/>
        <v>5.0973483271051752E-3</v>
      </c>
    </row>
    <row r="99" spans="1:13" x14ac:dyDescent="0.25">
      <c r="A99" s="222" t="s">
        <v>187</v>
      </c>
      <c r="B99" s="368">
        <f>'[10]Complete Data Set'!D95</f>
        <v>79087293.630566046</v>
      </c>
      <c r="C99" s="368">
        <f>'[10]Complete Data Set'!E95</f>
        <v>0</v>
      </c>
      <c r="D99" s="368">
        <f>'[10]Complete Data Set'!F95</f>
        <v>0</v>
      </c>
      <c r="E99" s="368">
        <f t="shared" si="5"/>
        <v>79087293.630566046</v>
      </c>
      <c r="F99" s="206">
        <f>'[10]Complete Data Set'!A95</f>
        <v>2013</v>
      </c>
      <c r="G99" s="368">
        <f>'[10]Complete Data Set'!I95</f>
        <v>195.69999999999996</v>
      </c>
      <c r="H99" s="368">
        <f>'[10]Complete Data Set'!J95</f>
        <v>9.1999999999999993</v>
      </c>
      <c r="I99" s="368">
        <f>'[10]Complete Data Set'!K95</f>
        <v>46815382</v>
      </c>
      <c r="J99" s="369">
        <f>'[10]Complete Data Set'!H95</f>
        <v>0.23319624263806399</v>
      </c>
      <c r="K99" s="5">
        <f>'Regression Analysis'!B$19+'Regression Analysis'!B$20*F99+'Regression Analysis'!B$21*G99+'Regression Analysis'!B$22*H99+'Regression Analysis'!B$23*I99+'Regression Analysis'!B$24*J99</f>
        <v>77447957.654394716</v>
      </c>
      <c r="L99" s="370">
        <f t="shared" si="4"/>
        <v>-2.0728184021936883E-2</v>
      </c>
      <c r="M99" s="371">
        <f t="shared" si="6"/>
        <v>2.0728184021936883E-2</v>
      </c>
    </row>
    <row r="100" spans="1:13" x14ac:dyDescent="0.25">
      <c r="A100" s="222" t="s">
        <v>188</v>
      </c>
      <c r="B100" s="368">
        <f>'[10]Complete Data Set'!D96</f>
        <v>79031975.338957369</v>
      </c>
      <c r="C100" s="368">
        <f>'[10]Complete Data Set'!E96</f>
        <v>0</v>
      </c>
      <c r="D100" s="368">
        <f>'[10]Complete Data Set'!F96</f>
        <v>0</v>
      </c>
      <c r="E100" s="368">
        <f t="shared" si="5"/>
        <v>79031975.338957369</v>
      </c>
      <c r="F100" s="206">
        <f>'[10]Complete Data Set'!A96</f>
        <v>2013</v>
      </c>
      <c r="G100" s="368">
        <f>'[10]Complete Data Set'!I96</f>
        <v>452.49999999999994</v>
      </c>
      <c r="H100" s="368">
        <f>'[10]Complete Data Set'!J96</f>
        <v>0</v>
      </c>
      <c r="I100" s="368">
        <f>'[10]Complete Data Set'!K96</f>
        <v>46503422</v>
      </c>
      <c r="J100" s="369">
        <f>'[10]Complete Data Set'!H96</f>
        <v>-2.0326425795801999E-2</v>
      </c>
      <c r="K100" s="5">
        <f>'Regression Analysis'!B$19+'Regression Analysis'!B$20*F100+'Regression Analysis'!B$21*G100+'Regression Analysis'!B$22*H100+'Regression Analysis'!B$23*I100+'Regression Analysis'!B$24*J100</f>
        <v>79097116.507328987</v>
      </c>
      <c r="L100" s="370">
        <f t="shared" si="4"/>
        <v>8.242381402240827E-4</v>
      </c>
      <c r="M100" s="371">
        <f t="shared" si="6"/>
        <v>8.242381402240827E-4</v>
      </c>
    </row>
    <row r="101" spans="1:13" x14ac:dyDescent="0.25">
      <c r="A101" s="222" t="s">
        <v>189</v>
      </c>
      <c r="B101" s="368">
        <f>'[10]Complete Data Set'!D97</f>
        <v>81479866.280675709</v>
      </c>
      <c r="C101" s="368">
        <f>'[10]Complete Data Set'!E97</f>
        <v>0</v>
      </c>
      <c r="D101" s="368">
        <f>'[10]Complete Data Set'!F97</f>
        <v>0</v>
      </c>
      <c r="E101" s="368">
        <f t="shared" si="5"/>
        <v>81479866.280675709</v>
      </c>
      <c r="F101" s="206">
        <f>'[10]Complete Data Set'!A97</f>
        <v>2013</v>
      </c>
      <c r="G101" s="368">
        <f>'[10]Complete Data Set'!I97</f>
        <v>648.89999999999986</v>
      </c>
      <c r="H101" s="368">
        <f>'[10]Complete Data Set'!J97</f>
        <v>0</v>
      </c>
      <c r="I101" s="368">
        <f>'[10]Complete Data Set'!K97</f>
        <v>44126783</v>
      </c>
      <c r="J101" s="369">
        <f>'[10]Complete Data Set'!H97</f>
        <v>5.2494343901185E-2</v>
      </c>
      <c r="K101" s="5">
        <f>'Regression Analysis'!B$19+'Regression Analysis'!B$20*F101+'Regression Analysis'!B$21*G101+'Regression Analysis'!B$22*H101+'Regression Analysis'!B$23*I101+'Regression Analysis'!B$24*J101</f>
        <v>81817663.825065672</v>
      </c>
      <c r="L101" s="370">
        <f t="shared" si="4"/>
        <v>4.145779317142515E-3</v>
      </c>
      <c r="M101" s="371">
        <f t="shared" si="6"/>
        <v>4.145779317142515E-3</v>
      </c>
    </row>
    <row r="102" spans="1:13" x14ac:dyDescent="0.25">
      <c r="A102" s="222" t="s">
        <v>190</v>
      </c>
      <c r="B102" s="368">
        <f>'[10]Complete Data Set'!D98</f>
        <v>89964154.906155244</v>
      </c>
      <c r="C102" s="368">
        <f>'[10]Complete Data Set'!E98</f>
        <v>0</v>
      </c>
      <c r="D102" s="368">
        <f>'[10]Complete Data Set'!F98</f>
        <v>0</v>
      </c>
      <c r="E102" s="368">
        <f t="shared" si="5"/>
        <v>89964154.906155244</v>
      </c>
      <c r="F102" s="206">
        <f>'[10]Complete Data Set'!A98</f>
        <v>2014</v>
      </c>
      <c r="G102" s="368">
        <f>'[10]Complete Data Set'!I98</f>
        <v>826.30000000000007</v>
      </c>
      <c r="H102" s="368">
        <f>'[10]Complete Data Set'!J98</f>
        <v>0</v>
      </c>
      <c r="I102" s="368">
        <f>'[10]Complete Data Set'!K98</f>
        <v>43836746</v>
      </c>
      <c r="J102" s="369">
        <f>'[10]Complete Data Set'!H98</f>
        <v>0.41911749784950603</v>
      </c>
      <c r="K102" s="5">
        <f>'Regression Analysis'!B$19+'Regression Analysis'!B$20*F102+'Regression Analysis'!B$21*G102+'Regression Analysis'!B$22*H102+'Regression Analysis'!B$23*I102+'Regression Analysis'!B$24*J102</f>
        <v>86975598.13861993</v>
      </c>
      <c r="L102" s="370">
        <f t="shared" si="4"/>
        <v>-3.3219416896126931E-2</v>
      </c>
      <c r="M102" s="371">
        <f t="shared" si="6"/>
        <v>3.3219416896126931E-2</v>
      </c>
    </row>
    <row r="103" spans="1:13" x14ac:dyDescent="0.25">
      <c r="A103" s="222" t="s">
        <v>191</v>
      </c>
      <c r="B103" s="368">
        <f>'[10]Complete Data Set'!D99</f>
        <v>79548214.208967507</v>
      </c>
      <c r="C103" s="368">
        <f>'[10]Complete Data Set'!E99</f>
        <v>0</v>
      </c>
      <c r="D103" s="368">
        <f>'[10]Complete Data Set'!F99</f>
        <v>0</v>
      </c>
      <c r="E103" s="368">
        <f t="shared" si="5"/>
        <v>79548214.208967507</v>
      </c>
      <c r="F103" s="206">
        <f>'[10]Complete Data Set'!A99</f>
        <v>2014</v>
      </c>
      <c r="G103" s="368">
        <f>'[10]Complete Data Set'!I99</f>
        <v>758.4</v>
      </c>
      <c r="H103" s="368">
        <f>'[10]Complete Data Set'!J99</f>
        <v>0</v>
      </c>
      <c r="I103" s="368">
        <f>'[10]Complete Data Set'!K99</f>
        <v>44788193</v>
      </c>
      <c r="J103" s="369">
        <f>'[10]Complete Data Set'!H99</f>
        <v>-0.50700916400478402</v>
      </c>
      <c r="K103" s="5">
        <f>'Regression Analysis'!B$19+'Regression Analysis'!B$20*F103+'Regression Analysis'!B$21*G103+'Regression Analysis'!B$22*H103+'Regression Analysis'!B$23*I103+'Regression Analysis'!B$24*J103</f>
        <v>80018273.472364634</v>
      </c>
      <c r="L103" s="370">
        <f t="shared" si="4"/>
        <v>5.9091114498474482E-3</v>
      </c>
      <c r="M103" s="371">
        <f t="shared" si="6"/>
        <v>5.9091114498474482E-3</v>
      </c>
    </row>
    <row r="104" spans="1:13" x14ac:dyDescent="0.25">
      <c r="A104" s="222" t="s">
        <v>192</v>
      </c>
      <c r="B104" s="368">
        <f>'[10]Complete Data Set'!D100</f>
        <v>85916309.077656254</v>
      </c>
      <c r="C104" s="368">
        <f>'[10]Complete Data Set'!E100</f>
        <v>0</v>
      </c>
      <c r="D104" s="368">
        <f>'[10]Complete Data Set'!F100</f>
        <v>0</v>
      </c>
      <c r="E104" s="368">
        <f t="shared" si="5"/>
        <v>85916309.077656254</v>
      </c>
      <c r="F104" s="206">
        <f>'[10]Complete Data Set'!A100</f>
        <v>2014</v>
      </c>
      <c r="G104" s="368">
        <f>'[10]Complete Data Set'!I100</f>
        <v>656.80000000000007</v>
      </c>
      <c r="H104" s="368">
        <f>'[10]Complete Data Set'!J100</f>
        <v>0</v>
      </c>
      <c r="I104" s="368">
        <f>'[10]Complete Data Set'!K100</f>
        <v>47969252</v>
      </c>
      <c r="J104" s="369">
        <f>'[10]Complete Data Set'!H100</f>
        <v>6.2739784171715995E-2</v>
      </c>
      <c r="K104" s="5">
        <f>'Regression Analysis'!B$19+'Regression Analysis'!B$20*F104+'Regression Analysis'!B$21*G104+'Regression Analysis'!B$22*H104+'Regression Analysis'!B$23*I104+'Regression Analysis'!B$24*J104</f>
        <v>84082629.372820541</v>
      </c>
      <c r="L104" s="370">
        <f t="shared" si="4"/>
        <v>-2.1342626615609435E-2</v>
      </c>
      <c r="M104" s="371">
        <f t="shared" si="6"/>
        <v>2.1342626615609435E-2</v>
      </c>
    </row>
    <row r="105" spans="1:13" x14ac:dyDescent="0.25">
      <c r="A105" s="222" t="s">
        <v>193</v>
      </c>
      <c r="B105" s="368">
        <f>'[10]Complete Data Set'!D101</f>
        <v>70343409.861830845</v>
      </c>
      <c r="C105" s="368">
        <f>'[10]Complete Data Set'!E101</f>
        <v>0</v>
      </c>
      <c r="D105" s="368">
        <f>'[10]Complete Data Set'!F101</f>
        <v>0</v>
      </c>
      <c r="E105" s="368">
        <f t="shared" si="5"/>
        <v>70343409.861830845</v>
      </c>
      <c r="F105" s="206">
        <f>'[10]Complete Data Set'!A101</f>
        <v>2014</v>
      </c>
      <c r="G105" s="368">
        <f>'[10]Complete Data Set'!I101</f>
        <v>342</v>
      </c>
      <c r="H105" s="368">
        <f>'[10]Complete Data Set'!J101</f>
        <v>0</v>
      </c>
      <c r="I105" s="368">
        <f>'[10]Complete Data Set'!K101</f>
        <v>47134140</v>
      </c>
      <c r="J105" s="369">
        <f>'[10]Complete Data Set'!H101</f>
        <v>-0.69420914264628397</v>
      </c>
      <c r="K105" s="5">
        <f>'Regression Analysis'!B$19+'Regression Analysis'!B$20*F105+'Regression Analysis'!B$21*G105+'Regression Analysis'!B$22*H105+'Regression Analysis'!B$23*I105+'Regression Analysis'!B$24*J105</f>
        <v>72158882.885399282</v>
      </c>
      <c r="L105" s="370">
        <f t="shared" si="4"/>
        <v>2.5808715089791708E-2</v>
      </c>
      <c r="M105" s="371">
        <f t="shared" si="6"/>
        <v>2.5808715089791708E-2</v>
      </c>
    </row>
    <row r="106" spans="1:13" x14ac:dyDescent="0.25">
      <c r="A106" s="222" t="s">
        <v>194</v>
      </c>
      <c r="B106" s="368">
        <f>'[10]Complete Data Set'!D102</f>
        <v>71981983.570672125</v>
      </c>
      <c r="C106" s="368">
        <f>'[10]Complete Data Set'!E102</f>
        <v>0</v>
      </c>
      <c r="D106" s="368">
        <f>'[10]Complete Data Set'!F102</f>
        <v>0</v>
      </c>
      <c r="E106" s="368">
        <f t="shared" si="5"/>
        <v>71981983.570672125</v>
      </c>
      <c r="F106" s="206">
        <f>'[10]Complete Data Set'!A102</f>
        <v>2014</v>
      </c>
      <c r="G106" s="368">
        <f>'[10]Complete Data Set'!I102</f>
        <v>140.9</v>
      </c>
      <c r="H106" s="368">
        <f>'[10]Complete Data Set'!J102</f>
        <v>14</v>
      </c>
      <c r="I106" s="368">
        <f>'[10]Complete Data Set'!K102</f>
        <v>49398644</v>
      </c>
      <c r="J106" s="369">
        <f>'[10]Complete Data Set'!H102</f>
        <v>-0.29386468836728802</v>
      </c>
      <c r="K106" s="5">
        <f>'Regression Analysis'!B$19+'Regression Analysis'!B$20*F106+'Regression Analysis'!B$21*G106+'Regression Analysis'!B$22*H106+'Regression Analysis'!B$23*I106+'Regression Analysis'!B$24*J106</f>
        <v>74733964.857422993</v>
      </c>
      <c r="L106" s="370">
        <f t="shared" si="4"/>
        <v>3.8231528922080406E-2</v>
      </c>
      <c r="M106" s="371">
        <f t="shared" si="6"/>
        <v>3.8231528922080406E-2</v>
      </c>
    </row>
    <row r="107" spans="1:13" x14ac:dyDescent="0.25">
      <c r="A107" s="222" t="s">
        <v>195</v>
      </c>
      <c r="B107" s="368">
        <f>'[10]Complete Data Set'!D103</f>
        <v>82005909.827866927</v>
      </c>
      <c r="C107" s="368">
        <f>'[10]Complete Data Set'!E103</f>
        <v>0</v>
      </c>
      <c r="D107" s="368">
        <f>'[10]Complete Data Set'!F103</f>
        <v>0</v>
      </c>
      <c r="E107" s="368">
        <f t="shared" si="5"/>
        <v>82005909.827866927</v>
      </c>
      <c r="F107" s="206">
        <f>'[10]Complete Data Set'!A103</f>
        <v>2014</v>
      </c>
      <c r="G107" s="368">
        <f>'[10]Complete Data Set'!I103</f>
        <v>18.499999999999996</v>
      </c>
      <c r="H107" s="368">
        <f>'[10]Complete Data Set'!J103</f>
        <v>73.899999999999991</v>
      </c>
      <c r="I107" s="368">
        <f>'[10]Complete Data Set'!K103</f>
        <v>48856376</v>
      </c>
      <c r="J107" s="369">
        <f>'[10]Complete Data Set'!H103</f>
        <v>0.37476870063614698</v>
      </c>
      <c r="K107" s="5">
        <f>'Regression Analysis'!B$19+'Regression Analysis'!B$20*F107+'Regression Analysis'!B$21*G107+'Regression Analysis'!B$22*H107+'Regression Analysis'!B$23*I107+'Regression Analysis'!B$24*J107</f>
        <v>86139183.004324555</v>
      </c>
      <c r="L107" s="370">
        <f t="shared" si="4"/>
        <v>5.0402137908517858E-2</v>
      </c>
      <c r="M107" s="371">
        <f t="shared" si="6"/>
        <v>5.0402137908517858E-2</v>
      </c>
    </row>
    <row r="108" spans="1:13" x14ac:dyDescent="0.25">
      <c r="A108" s="222" t="s">
        <v>196</v>
      </c>
      <c r="B108" s="368">
        <f>'[10]Complete Data Set'!D104</f>
        <v>86507061.367286459</v>
      </c>
      <c r="C108" s="368">
        <f>'[10]Complete Data Set'!E104</f>
        <v>0</v>
      </c>
      <c r="D108" s="368">
        <f>'[10]Complete Data Set'!F104</f>
        <v>0</v>
      </c>
      <c r="E108" s="368">
        <f t="shared" si="5"/>
        <v>86507061.367286459</v>
      </c>
      <c r="F108" s="206">
        <f>'[10]Complete Data Set'!A104</f>
        <v>2014</v>
      </c>
      <c r="G108" s="368">
        <f>'[10]Complete Data Set'!I104</f>
        <v>15.899999999999999</v>
      </c>
      <c r="H108" s="368">
        <f>'[10]Complete Data Set'!J104</f>
        <v>49.399999999999984</v>
      </c>
      <c r="I108" s="368">
        <f>'[10]Complete Data Set'!K104</f>
        <v>44707266.637499996</v>
      </c>
      <c r="J108" s="369">
        <f>'[10]Complete Data Set'!H104</f>
        <v>1.1308832727931699</v>
      </c>
      <c r="K108" s="5">
        <f>'Regression Analysis'!B$19+'Regression Analysis'!B$20*F108+'Regression Analysis'!B$21*G108+'Regression Analysis'!B$22*H108+'Regression Analysis'!B$23*I108+'Regression Analysis'!B$24*J108</f>
        <v>84380054.790050894</v>
      </c>
      <c r="L108" s="370">
        <f t="shared" si="4"/>
        <v>-2.4587664216275344E-2</v>
      </c>
      <c r="M108" s="371">
        <f t="shared" si="6"/>
        <v>2.4587664216275344E-2</v>
      </c>
    </row>
    <row r="109" spans="1:13" x14ac:dyDescent="0.25">
      <c r="A109" s="222" t="s">
        <v>197</v>
      </c>
      <c r="B109" s="368">
        <f>'[10]Complete Data Set'!D105</f>
        <v>87881427.978607193</v>
      </c>
      <c r="C109" s="368">
        <f>'[10]Complete Data Set'!E105</f>
        <v>0</v>
      </c>
      <c r="D109" s="368">
        <f>'[10]Complete Data Set'!F105</f>
        <v>0</v>
      </c>
      <c r="E109" s="368">
        <f t="shared" si="5"/>
        <v>87881427.978607193</v>
      </c>
      <c r="F109" s="206">
        <f>'[10]Complete Data Set'!A105</f>
        <v>2014</v>
      </c>
      <c r="G109" s="368">
        <f>'[10]Complete Data Set'!I105</f>
        <v>17.100000000000001</v>
      </c>
      <c r="H109" s="368">
        <f>'[10]Complete Data Set'!J105</f>
        <v>60.300000000000004</v>
      </c>
      <c r="I109" s="368">
        <f>'[10]Complete Data Set'!K105</f>
        <v>47025014.574999996</v>
      </c>
      <c r="J109" s="369">
        <f>'[10]Complete Data Set'!H105</f>
        <v>1.5427178235774599</v>
      </c>
      <c r="K109" s="5">
        <f>'Regression Analysis'!B$19+'Regression Analysis'!B$20*F109+'Regression Analysis'!B$21*G109+'Regression Analysis'!B$22*H109+'Regression Analysis'!B$23*I109+'Regression Analysis'!B$24*J109</f>
        <v>90562664.912130073</v>
      </c>
      <c r="L109" s="370">
        <f t="shared" si="4"/>
        <v>3.0509710586127121E-2</v>
      </c>
      <c r="M109" s="371">
        <f t="shared" si="6"/>
        <v>3.0509710586127121E-2</v>
      </c>
    </row>
    <row r="110" spans="1:13" x14ac:dyDescent="0.25">
      <c r="A110" s="222" t="s">
        <v>198</v>
      </c>
      <c r="B110" s="368">
        <f>'[10]Complete Data Set'!D106</f>
        <v>80675294.254468709</v>
      </c>
      <c r="C110" s="368">
        <f>'[10]Complete Data Set'!E106</f>
        <v>0</v>
      </c>
      <c r="D110" s="368">
        <f>'[10]Complete Data Set'!F106</f>
        <v>0</v>
      </c>
      <c r="E110" s="368">
        <f t="shared" si="5"/>
        <v>80675294.254468709</v>
      </c>
      <c r="F110" s="206">
        <f>'[10]Complete Data Set'!A106</f>
        <v>2014</v>
      </c>
      <c r="G110" s="368">
        <f>'[10]Complete Data Set'!I106</f>
        <v>97.100000000000009</v>
      </c>
      <c r="H110" s="368">
        <f>'[10]Complete Data Set'!J106</f>
        <v>26.900000000000002</v>
      </c>
      <c r="I110" s="368">
        <f>'[10]Complete Data Set'!K106</f>
        <v>46360999.074999996</v>
      </c>
      <c r="J110" s="369">
        <f>'[10]Complete Data Set'!H106</f>
        <v>0.608962832123631</v>
      </c>
      <c r="K110" s="5">
        <f>'Regression Analysis'!B$19+'Regression Analysis'!B$20*F110+'Regression Analysis'!B$21*G110+'Regression Analysis'!B$22*H110+'Regression Analysis'!B$23*I110+'Regression Analysis'!B$24*J110</f>
        <v>79962274.056961671</v>
      </c>
      <c r="L110" s="370">
        <f t="shared" si="4"/>
        <v>-8.8381480860547784E-3</v>
      </c>
      <c r="M110" s="371">
        <f t="shared" si="6"/>
        <v>8.8381480860547784E-3</v>
      </c>
    </row>
    <row r="111" spans="1:13" x14ac:dyDescent="0.25">
      <c r="A111" s="222" t="s">
        <v>199</v>
      </c>
      <c r="B111" s="368">
        <f>'[10]Complete Data Set'!D107</f>
        <v>77280642.136512533</v>
      </c>
      <c r="C111" s="368">
        <f>'[10]Complete Data Set'!E107</f>
        <v>0</v>
      </c>
      <c r="D111" s="368">
        <f>'[10]Complete Data Set'!F107</f>
        <v>0</v>
      </c>
      <c r="E111" s="368">
        <f t="shared" si="5"/>
        <v>77280642.136512533</v>
      </c>
      <c r="F111" s="206">
        <f>'[10]Complete Data Set'!A107</f>
        <v>2014</v>
      </c>
      <c r="G111" s="368">
        <f>'[10]Complete Data Set'!I107</f>
        <v>231.49999999999997</v>
      </c>
      <c r="H111" s="368">
        <f>'[10]Complete Data Set'!J107</f>
        <v>0</v>
      </c>
      <c r="I111" s="368">
        <f>'[10]Complete Data Set'!K107</f>
        <v>47176114.437499993</v>
      </c>
      <c r="J111" s="369">
        <f>'[10]Complete Data Set'!H107</f>
        <v>0.23319624263806399</v>
      </c>
      <c r="K111" s="5">
        <f>'Regression Analysis'!B$19+'Regression Analysis'!B$20*F111+'Regression Analysis'!B$21*G111+'Regression Analysis'!B$22*H111+'Regression Analysis'!B$23*I111+'Regression Analysis'!B$24*J111</f>
        <v>76293182.166831478</v>
      </c>
      <c r="L111" s="370">
        <f t="shared" si="4"/>
        <v>-1.2777584947298366E-2</v>
      </c>
      <c r="M111" s="371">
        <f t="shared" si="6"/>
        <v>1.2777584947298366E-2</v>
      </c>
    </row>
    <row r="112" spans="1:13" x14ac:dyDescent="0.25">
      <c r="A112" s="222" t="s">
        <v>200</v>
      </c>
      <c r="B112" s="368">
        <f>'[10]Complete Data Set'!D108</f>
        <v>79307673.390512124</v>
      </c>
      <c r="C112" s="368">
        <f>'[10]Complete Data Set'!E108</f>
        <v>0</v>
      </c>
      <c r="D112" s="368">
        <f>'[10]Complete Data Set'!F108</f>
        <v>0</v>
      </c>
      <c r="E112" s="368">
        <f t="shared" si="5"/>
        <v>79307673.390512124</v>
      </c>
      <c r="F112" s="206">
        <f>'[10]Complete Data Set'!A108</f>
        <v>2014</v>
      </c>
      <c r="G112" s="368">
        <f>'[10]Complete Data Set'!I108</f>
        <v>469.39999999999992</v>
      </c>
      <c r="H112" s="368">
        <f>'[10]Complete Data Set'!J108</f>
        <v>0</v>
      </c>
      <c r="I112" s="368">
        <f>'[10]Complete Data Set'!K108</f>
        <v>47364047.162499994</v>
      </c>
      <c r="J112" s="369">
        <f>'[10]Complete Data Set'!H108</f>
        <v>-2.0326425795801999E-2</v>
      </c>
      <c r="K112" s="5">
        <f>'Regression Analysis'!B$19+'Regression Analysis'!B$20*F112+'Regression Analysis'!B$21*G112+'Regression Analysis'!B$22*H112+'Regression Analysis'!B$23*I112+'Regression Analysis'!B$24*J112</f>
        <v>79400737.439617753</v>
      </c>
      <c r="L112" s="370">
        <f t="shared" si="4"/>
        <v>1.1734557972389458E-3</v>
      </c>
      <c r="M112" s="371">
        <f t="shared" si="6"/>
        <v>1.1734557972389458E-3</v>
      </c>
    </row>
    <row r="113" spans="1:13" x14ac:dyDescent="0.25">
      <c r="A113" s="222" t="s">
        <v>201</v>
      </c>
      <c r="B113" s="368">
        <f>'[10]Complete Data Set'!D109</f>
        <v>79700906.800489813</v>
      </c>
      <c r="C113" s="368">
        <f>'[10]Complete Data Set'!E109</f>
        <v>0</v>
      </c>
      <c r="D113" s="368">
        <f>'[10]Complete Data Set'!F109</f>
        <v>0</v>
      </c>
      <c r="E113" s="368">
        <f t="shared" si="5"/>
        <v>79700906.800489813</v>
      </c>
      <c r="F113" s="206">
        <f>'[10]Complete Data Set'!A109</f>
        <v>2014</v>
      </c>
      <c r="G113" s="368">
        <f>'[10]Complete Data Set'!I109</f>
        <v>526.70000000000005</v>
      </c>
      <c r="H113" s="368">
        <f>'[10]Complete Data Set'!J109</f>
        <v>0</v>
      </c>
      <c r="I113" s="368">
        <f>'[10]Complete Data Set'!K109</f>
        <v>44024343.474999994</v>
      </c>
      <c r="J113" s="369">
        <f>'[10]Complete Data Set'!H109</f>
        <v>5.2494343901185E-2</v>
      </c>
      <c r="K113" s="5">
        <f>'Regression Analysis'!B$19+'Regression Analysis'!B$20*F113+'Regression Analysis'!B$21*G113+'Regression Analysis'!B$22*H113+'Regression Analysis'!B$23*I113+'Regression Analysis'!B$24*J113</f>
        <v>78707385.196594521</v>
      </c>
      <c r="L113" s="370">
        <f t="shared" si="4"/>
        <v>-1.2465624843921925E-2</v>
      </c>
      <c r="M113" s="371">
        <f t="shared" si="6"/>
        <v>1.2465624843921925E-2</v>
      </c>
    </row>
    <row r="114" spans="1:13" x14ac:dyDescent="0.25">
      <c r="A114" s="222" t="s">
        <v>202</v>
      </c>
      <c r="B114" s="368"/>
      <c r="C114" s="368"/>
      <c r="D114" s="368"/>
      <c r="E114" s="368">
        <f>'[10]Complete Data Set'!G110</f>
        <v>0</v>
      </c>
      <c r="F114" s="206">
        <f>'[10]Complete Data Set'!A110</f>
        <v>2015</v>
      </c>
      <c r="G114" s="368">
        <f>'[10]Complete Data Set'!I110</f>
        <v>678.35</v>
      </c>
      <c r="H114" s="368">
        <f>'[10]Complete Data Set'!J110</f>
        <v>0</v>
      </c>
      <c r="I114" s="368">
        <f>'[10]Complete Data Set'!K110</f>
        <v>46204336.345312499</v>
      </c>
      <c r="J114" s="369">
        <f>'[10]Complete Data Set'!H110</f>
        <v>0.41911749784950603</v>
      </c>
      <c r="K114" s="5">
        <f>'Regression Analysis'!B$19+'Regression Analysis'!B$20*F114+'Regression Analysis'!B$21*G114+'Regression Analysis'!B$22*H114+'Regression Analysis'!B$23*I114+'Regression Analysis'!B$24*J114</f>
        <v>85071392.463646546</v>
      </c>
      <c r="L114" s="370"/>
      <c r="M114" s="371"/>
    </row>
    <row r="115" spans="1:13" x14ac:dyDescent="0.25">
      <c r="A115" s="222" t="s">
        <v>203</v>
      </c>
      <c r="B115" s="368"/>
      <c r="C115" s="368"/>
      <c r="D115" s="368"/>
      <c r="E115" s="368">
        <f>'[10]Complete Data Set'!G111</f>
        <v>0</v>
      </c>
      <c r="F115" s="206">
        <f>'[10]Complete Data Set'!A111</f>
        <v>2015</v>
      </c>
      <c r="G115" s="368">
        <f>'[10]Complete Data Set'!I111</f>
        <v>632.47500000000002</v>
      </c>
      <c r="H115" s="368">
        <f>'[10]Complete Data Set'!J111</f>
        <v>0</v>
      </c>
      <c r="I115" s="368">
        <f>'[10]Complete Data Set'!K111</f>
        <v>45180277.449062496</v>
      </c>
      <c r="J115" s="369">
        <f>'[10]Complete Data Set'!H111</f>
        <v>-0.50700916400478402</v>
      </c>
      <c r="K115" s="5">
        <f>'Regression Analysis'!B$19+'Regression Analysis'!B$20*F115+'Regression Analysis'!B$21*G115+'Regression Analysis'!B$22*H115+'Regression Analysis'!B$23*I115+'Regression Analysis'!B$24*J115</f>
        <v>77177694.910950005</v>
      </c>
      <c r="L115" s="370"/>
      <c r="M115" s="371"/>
    </row>
    <row r="116" spans="1:13" x14ac:dyDescent="0.25">
      <c r="A116" s="222" t="s">
        <v>204</v>
      </c>
      <c r="B116" s="368"/>
      <c r="C116" s="368"/>
      <c r="D116" s="368"/>
      <c r="E116" s="368">
        <f>'[10]Complete Data Set'!G112</f>
        <v>0</v>
      </c>
      <c r="F116" s="206">
        <f>'[10]Complete Data Set'!A112</f>
        <v>2015</v>
      </c>
      <c r="G116" s="368">
        <f>'[10]Complete Data Set'!I112</f>
        <v>474.8</v>
      </c>
      <c r="H116" s="368">
        <f>'[10]Complete Data Set'!J112</f>
        <v>0</v>
      </c>
      <c r="I116" s="368">
        <f>'[10]Complete Data Set'!K112</f>
        <v>47788633.668437496</v>
      </c>
      <c r="J116" s="369">
        <f>'[10]Complete Data Set'!H112</f>
        <v>6.2739784171715995E-2</v>
      </c>
      <c r="K116" s="5">
        <f>'Regression Analysis'!B$19+'Regression Analysis'!B$20*F116+'Regression Analysis'!B$21*G116+'Regression Analysis'!B$22*H116+'Regression Analysis'!B$23*I116+'Regression Analysis'!B$24*J116</f>
        <v>79737787.598082155</v>
      </c>
      <c r="L116" s="370"/>
      <c r="M116" s="371"/>
    </row>
    <row r="117" spans="1:13" x14ac:dyDescent="0.25">
      <c r="A117" s="222" t="s">
        <v>205</v>
      </c>
      <c r="B117" s="368"/>
      <c r="C117" s="368"/>
      <c r="D117" s="368"/>
      <c r="E117" s="368">
        <f>'[10]Complete Data Set'!G113</f>
        <v>0</v>
      </c>
      <c r="F117" s="206">
        <f>'[10]Complete Data Set'!A113</f>
        <v>2015</v>
      </c>
      <c r="G117" s="368">
        <f>'[10]Complete Data Set'!I113</f>
        <v>313.27499999999992</v>
      </c>
      <c r="H117" s="368">
        <f>'[10]Complete Data Set'!J113</f>
        <v>0.2</v>
      </c>
      <c r="I117" s="368">
        <f>'[10]Complete Data Set'!K113</f>
        <v>47471475.721249998</v>
      </c>
      <c r="J117" s="369">
        <f>'[10]Complete Data Set'!H113</f>
        <v>-0.69420914264628397</v>
      </c>
      <c r="K117" s="5">
        <f>'Regression Analysis'!B$19+'Regression Analysis'!B$20*F117+'Regression Analysis'!B$21*G117+'Regression Analysis'!B$22*H117+'Regression Analysis'!B$23*I117+'Regression Analysis'!B$24*J117</f>
        <v>71231064.228785083</v>
      </c>
      <c r="L117" s="370"/>
      <c r="M117" s="371"/>
    </row>
    <row r="118" spans="1:13" x14ac:dyDescent="0.25">
      <c r="A118" s="222" t="s">
        <v>206</v>
      </c>
      <c r="B118" s="368"/>
      <c r="C118" s="368"/>
      <c r="D118" s="368"/>
      <c r="E118" s="368">
        <f>'[10]Complete Data Set'!G114</f>
        <v>0</v>
      </c>
      <c r="F118" s="206">
        <f>'[10]Complete Data Set'!A114</f>
        <v>2015</v>
      </c>
      <c r="G118" s="368">
        <f>'[10]Complete Data Set'!I114</f>
        <v>140.61250000000001</v>
      </c>
      <c r="H118" s="368">
        <f>'[10]Complete Data Set'!J114</f>
        <v>19.512500000000003</v>
      </c>
      <c r="I118" s="368">
        <f>'[10]Complete Data Set'!K114</f>
        <v>49473917.066562496</v>
      </c>
      <c r="J118" s="369">
        <f>'[10]Complete Data Set'!H114</f>
        <v>-0.29386468836728802</v>
      </c>
      <c r="K118" s="5">
        <f>'Regression Analysis'!B$19+'Regression Analysis'!B$20*F118+'Regression Analysis'!B$21*G118+'Regression Analysis'!B$22*H118+'Regression Analysis'!B$23*I118+'Regression Analysis'!B$24*J118</f>
        <v>75042758.883591786</v>
      </c>
      <c r="L118" s="370"/>
      <c r="M118" s="371"/>
    </row>
    <row r="119" spans="1:13" x14ac:dyDescent="0.25">
      <c r="A119" s="222" t="s">
        <v>207</v>
      </c>
      <c r="B119" s="368"/>
      <c r="C119" s="368"/>
      <c r="D119" s="368"/>
      <c r="E119" s="368">
        <f>'[10]Complete Data Set'!G115</f>
        <v>0</v>
      </c>
      <c r="F119" s="206">
        <f>'[10]Complete Data Set'!A115</f>
        <v>2015</v>
      </c>
      <c r="G119" s="368">
        <f>'[10]Complete Data Set'!I115</f>
        <v>29.362499999999997</v>
      </c>
      <c r="H119" s="368">
        <f>'[10]Complete Data Set'!J115</f>
        <v>51.687499999999993</v>
      </c>
      <c r="I119" s="368">
        <f>'[10]Complete Data Set'!K115</f>
        <v>48624108.529062495</v>
      </c>
      <c r="J119" s="369">
        <f>'[10]Complete Data Set'!H115</f>
        <v>0.37476870063614698</v>
      </c>
      <c r="K119" s="5">
        <f>'Regression Analysis'!B$19+'Regression Analysis'!B$20*F119+'Regression Analysis'!B$21*G119+'Regression Analysis'!B$22*H119+'Regression Analysis'!B$23*I119+'Regression Analysis'!B$24*J119</f>
        <v>81980972.434314102</v>
      </c>
      <c r="L119" s="370"/>
      <c r="M119" s="371"/>
    </row>
    <row r="120" spans="1:13" x14ac:dyDescent="0.25">
      <c r="A120" s="222" t="s">
        <v>208</v>
      </c>
      <c r="B120" s="368"/>
      <c r="C120" s="368"/>
      <c r="D120" s="368"/>
      <c r="E120" s="368">
        <f>'[10]Complete Data Set'!G116</f>
        <v>0</v>
      </c>
      <c r="F120" s="206">
        <f>'[10]Complete Data Set'!A116</f>
        <v>2015</v>
      </c>
      <c r="G120" s="368">
        <f>'[10]Complete Data Set'!I116</f>
        <v>9.15</v>
      </c>
      <c r="H120" s="368">
        <f>'[10]Complete Data Set'!J116</f>
        <v>106.98750000000001</v>
      </c>
      <c r="I120" s="368">
        <f>'[10]Complete Data Set'!K116</f>
        <v>45824948.303437494</v>
      </c>
      <c r="J120" s="369">
        <f>'[10]Complete Data Set'!H116</f>
        <v>1.1308832727931699</v>
      </c>
      <c r="K120" s="5">
        <f>'Regression Analysis'!B$19+'Regression Analysis'!B$20*F120+'Regression Analysis'!B$21*G120+'Regression Analysis'!B$22*H120+'Regression Analysis'!B$23*I120+'Regression Analysis'!B$24*J120</f>
        <v>93687454.989566371</v>
      </c>
      <c r="L120" s="370"/>
      <c r="M120" s="371"/>
    </row>
    <row r="121" spans="1:13" x14ac:dyDescent="0.25">
      <c r="A121" s="222" t="s">
        <v>209</v>
      </c>
      <c r="B121" s="368"/>
      <c r="C121" s="368"/>
      <c r="D121" s="368"/>
      <c r="E121" s="368">
        <f>'[10]Complete Data Set'!G117</f>
        <v>0</v>
      </c>
      <c r="F121" s="206">
        <f>'[10]Complete Data Set'!A117</f>
        <v>2015</v>
      </c>
      <c r="G121" s="368">
        <f>'[10]Complete Data Set'!I117</f>
        <v>13.8</v>
      </c>
      <c r="H121" s="368">
        <f>'[10]Complete Data Set'!J117</f>
        <v>69.824999999999989</v>
      </c>
      <c r="I121" s="368">
        <f>'[10]Complete Data Set'!K117</f>
        <v>48200639.939374998</v>
      </c>
      <c r="J121" s="369">
        <f>'[10]Complete Data Set'!H117</f>
        <v>1.5427178235774599</v>
      </c>
      <c r="K121" s="5">
        <f>'Regression Analysis'!B$19+'Regression Analysis'!B$20*F121+'Regression Analysis'!B$21*G121+'Regression Analysis'!B$22*H121+'Regression Analysis'!B$23*I121+'Regression Analysis'!B$24*J121</f>
        <v>92223140.720609576</v>
      </c>
      <c r="L121" s="370"/>
      <c r="M121" s="371"/>
    </row>
    <row r="122" spans="1:13" x14ac:dyDescent="0.25">
      <c r="A122" s="222" t="s">
        <v>210</v>
      </c>
      <c r="B122" s="368"/>
      <c r="C122" s="368"/>
      <c r="D122" s="368"/>
      <c r="E122" s="368">
        <f>'[10]Complete Data Set'!G118</f>
        <v>0</v>
      </c>
      <c r="F122" s="206">
        <f>'[10]Complete Data Set'!A118</f>
        <v>2015</v>
      </c>
      <c r="G122" s="368">
        <f>'[10]Complete Data Set'!I118</f>
        <v>81.3</v>
      </c>
      <c r="H122" s="368">
        <f>'[10]Complete Data Set'!J118</f>
        <v>27.375000000000004</v>
      </c>
      <c r="I122" s="368">
        <f>'[10]Complete Data Set'!K118</f>
        <v>47520024.051874995</v>
      </c>
      <c r="J122" s="369">
        <f>'[10]Complete Data Set'!H118</f>
        <v>0.608962832123631</v>
      </c>
      <c r="K122" s="5">
        <f>'Regression Analysis'!B$19+'Regression Analysis'!B$20*F122+'Regression Analysis'!B$21*G122+'Regression Analysis'!B$22*H122+'Regression Analysis'!B$23*I122+'Regression Analysis'!B$24*J122</f>
        <v>79904226.073061556</v>
      </c>
      <c r="L122" s="370"/>
      <c r="M122" s="371"/>
    </row>
    <row r="123" spans="1:13" x14ac:dyDescent="0.25">
      <c r="A123" s="222" t="s">
        <v>211</v>
      </c>
      <c r="B123" s="368"/>
      <c r="C123" s="368"/>
      <c r="D123" s="368"/>
      <c r="E123" s="368">
        <f>'[10]Complete Data Set'!G119</f>
        <v>0</v>
      </c>
      <c r="F123" s="206">
        <f>'[10]Complete Data Set'!A119</f>
        <v>2015</v>
      </c>
      <c r="G123" s="368">
        <f>'[10]Complete Data Set'!I119</f>
        <v>238.28749999999999</v>
      </c>
      <c r="H123" s="368">
        <f>'[10]Complete Data Set'!J119</f>
        <v>5.4124999999999996</v>
      </c>
      <c r="I123" s="368">
        <f>'[10]Complete Data Set'!K119</f>
        <v>48355517.298437499</v>
      </c>
      <c r="J123" s="369">
        <f>'[10]Complete Data Set'!H119</f>
        <v>0.23319624263806399</v>
      </c>
      <c r="K123" s="5">
        <f>'Regression Analysis'!B$19+'Regression Analysis'!B$20*F123+'Regression Analysis'!B$21*G123+'Regression Analysis'!B$22*H123+'Regression Analysis'!B$23*I123+'Regression Analysis'!B$24*J123</f>
        <v>77491800.100328773</v>
      </c>
      <c r="L123" s="370"/>
      <c r="M123" s="371"/>
    </row>
    <row r="124" spans="1:13" x14ac:dyDescent="0.25">
      <c r="A124" s="222" t="s">
        <v>212</v>
      </c>
      <c r="B124" s="368"/>
      <c r="C124" s="368"/>
      <c r="D124" s="368"/>
      <c r="E124" s="368">
        <f>'[10]Complete Data Set'!G120</f>
        <v>0</v>
      </c>
      <c r="F124" s="206">
        <f>'[10]Complete Data Set'!A120</f>
        <v>2015</v>
      </c>
      <c r="G124" s="368">
        <f>'[10]Complete Data Set'!I120</f>
        <v>408.42500000000007</v>
      </c>
      <c r="H124" s="368">
        <f>'[10]Complete Data Set'!J120</f>
        <v>0</v>
      </c>
      <c r="I124" s="368">
        <f>'[10]Complete Data Set'!K120</f>
        <v>48548148.341562495</v>
      </c>
      <c r="J124" s="369">
        <f>'[10]Complete Data Set'!H120</f>
        <v>-2.0326425795801999E-2</v>
      </c>
      <c r="K124" s="5">
        <f>'Regression Analysis'!B$19+'Regression Analysis'!B$20*F124+'Regression Analysis'!B$21*G124+'Regression Analysis'!B$22*H124+'Regression Analysis'!B$23*I124+'Regression Analysis'!B$24*J124</f>
        <v>78391806.485670015</v>
      </c>
      <c r="L124" s="370"/>
      <c r="M124" s="371"/>
    </row>
    <row r="125" spans="1:13" x14ac:dyDescent="0.25">
      <c r="A125" s="222" t="s">
        <v>213</v>
      </c>
      <c r="B125" s="368"/>
      <c r="C125" s="368"/>
      <c r="D125" s="368"/>
      <c r="E125" s="368">
        <f>'[10]Complete Data Set'!G121</f>
        <v>0</v>
      </c>
      <c r="F125" s="206">
        <f>'[10]Complete Data Set'!A121</f>
        <v>2015</v>
      </c>
      <c r="G125" s="368">
        <f>'[10]Complete Data Set'!I121</f>
        <v>596.63749999999993</v>
      </c>
      <c r="H125" s="368">
        <f>'[10]Complete Data Set'!J121</f>
        <v>0</v>
      </c>
      <c r="I125" s="368">
        <f>'[10]Complete Data Set'!K121</f>
        <v>45124952.061874993</v>
      </c>
      <c r="J125" s="369">
        <f>'[10]Complete Data Set'!H121</f>
        <v>5.2494343901185E-2</v>
      </c>
      <c r="K125" s="5">
        <f>'Regression Analysis'!B$19+'Regression Analysis'!B$20*F125+'Regression Analysis'!B$21*G125+'Regression Analysis'!B$22*H125+'Regression Analysis'!B$23*I125+'Regression Analysis'!B$24*J125</f>
        <v>80224394.146254033</v>
      </c>
      <c r="L125" s="370"/>
      <c r="M125" s="371"/>
    </row>
    <row r="126" spans="1:13" x14ac:dyDescent="0.25">
      <c r="A126" s="222" t="s">
        <v>214</v>
      </c>
      <c r="B126" s="368"/>
      <c r="C126" s="368"/>
      <c r="D126" s="368"/>
      <c r="E126" s="368">
        <f>'[10]Complete Data Set'!G122</f>
        <v>0</v>
      </c>
      <c r="F126" s="206">
        <f>'[10]Complete Data Set'!A122</f>
        <v>2016</v>
      </c>
      <c r="G126" s="368">
        <f>'[10]Complete Data Set'!I122</f>
        <v>678.35</v>
      </c>
      <c r="H126" s="368">
        <f>'[10]Complete Data Set'!J122</f>
        <v>0</v>
      </c>
      <c r="I126" s="368">
        <f>'[10]Complete Data Set'!K122</f>
        <v>47359444.753945306</v>
      </c>
      <c r="J126" s="369">
        <f>'[10]Complete Data Set'!H122</f>
        <v>0.41911749784950603</v>
      </c>
      <c r="K126" s="5">
        <f>'Regression Analysis'!B$19+'Regression Analysis'!B$20*F126+'Regression Analysis'!B$21*G126+'Regression Analysis'!B$22*H126+'Regression Analysis'!B$23*I126+'Regression Analysis'!B$24*J126</f>
        <v>85245834.248611316</v>
      </c>
      <c r="L126" s="370"/>
      <c r="M126" s="371"/>
    </row>
    <row r="127" spans="1:13" x14ac:dyDescent="0.25">
      <c r="A127" s="222" t="s">
        <v>215</v>
      </c>
      <c r="B127" s="368"/>
      <c r="C127" s="368"/>
      <c r="D127" s="368"/>
      <c r="E127" s="368">
        <f>'[10]Complete Data Set'!G123</f>
        <v>0</v>
      </c>
      <c r="F127" s="206">
        <f>'[10]Complete Data Set'!A123</f>
        <v>2016</v>
      </c>
      <c r="G127" s="368">
        <f>'[10]Complete Data Set'!I123</f>
        <v>632.47500000000002</v>
      </c>
      <c r="H127" s="368">
        <f>'[10]Complete Data Set'!J123</f>
        <v>0</v>
      </c>
      <c r="I127" s="368">
        <f>'[10]Complete Data Set'!K123</f>
        <v>46309784.385289058</v>
      </c>
      <c r="J127" s="369">
        <f>'[10]Complete Data Set'!H123</f>
        <v>-0.50700916400478402</v>
      </c>
      <c r="K127" s="5">
        <f>'Regression Analysis'!B$19+'Regression Analysis'!B$20*F127+'Regression Analysis'!B$21*G127+'Regression Analysis'!B$22*H127+'Regression Analysis'!B$23*I127+'Regression Analysis'!B$24*J127</f>
        <v>77334368.100080669</v>
      </c>
      <c r="L127" s="370"/>
      <c r="M127" s="371"/>
    </row>
    <row r="128" spans="1:13" x14ac:dyDescent="0.25">
      <c r="A128" s="222" t="s">
        <v>216</v>
      </c>
      <c r="B128" s="368"/>
      <c r="C128" s="368"/>
      <c r="D128" s="368"/>
      <c r="E128" s="368">
        <f>'[10]Complete Data Set'!G124</f>
        <v>0</v>
      </c>
      <c r="F128" s="206">
        <f>'[10]Complete Data Set'!A124</f>
        <v>2016</v>
      </c>
      <c r="G128" s="368">
        <f>'[10]Complete Data Set'!I124</f>
        <v>474.8</v>
      </c>
      <c r="H128" s="368">
        <f>'[10]Complete Data Set'!J124</f>
        <v>0</v>
      </c>
      <c r="I128" s="368">
        <f>'[10]Complete Data Set'!K124</f>
        <v>48983349.510148428</v>
      </c>
      <c r="J128" s="369">
        <f>'[10]Complete Data Set'!H124</f>
        <v>6.2739784171715995E-2</v>
      </c>
      <c r="K128" s="5">
        <f>'Regression Analysis'!B$19+'Regression Analysis'!B$20*F128+'Regression Analysis'!B$21*G128+'Regression Analysis'!B$22*H128+'Regression Analysis'!B$23*I128+'Regression Analysis'!B$24*J128</f>
        <v>79939718.757846326</v>
      </c>
      <c r="L128" s="370"/>
      <c r="M128" s="371"/>
    </row>
    <row r="129" spans="1:13" x14ac:dyDescent="0.25">
      <c r="A129" s="222" t="s">
        <v>217</v>
      </c>
      <c r="B129" s="368"/>
      <c r="C129" s="368"/>
      <c r="D129" s="368"/>
      <c r="E129" s="368">
        <f>'[10]Complete Data Set'!G125</f>
        <v>0</v>
      </c>
      <c r="F129" s="206">
        <f>'[10]Complete Data Set'!A125</f>
        <v>2016</v>
      </c>
      <c r="G129" s="368">
        <f>'[10]Complete Data Set'!I125</f>
        <v>313.27499999999992</v>
      </c>
      <c r="H129" s="368">
        <f>'[10]Complete Data Set'!J125</f>
        <v>0.2</v>
      </c>
      <c r="I129" s="368">
        <f>'[10]Complete Data Set'!K125</f>
        <v>48658262.614281245</v>
      </c>
      <c r="J129" s="369">
        <f>'[10]Complete Data Set'!H125</f>
        <v>-0.69420914264628397</v>
      </c>
      <c r="K129" s="5">
        <f>'Regression Analysis'!B$19+'Regression Analysis'!B$20*F129+'Regression Analysis'!B$21*G129+'Regression Analysis'!B$22*H129+'Regression Analysis'!B$23*I129+'Regression Analysis'!B$24*J129</f>
        <v>71427492.334574744</v>
      </c>
      <c r="L129" s="370"/>
      <c r="M129" s="371"/>
    </row>
    <row r="130" spans="1:13" x14ac:dyDescent="0.25">
      <c r="A130" s="222" t="s">
        <v>218</v>
      </c>
      <c r="B130" s="368"/>
      <c r="C130" s="368"/>
      <c r="D130" s="368"/>
      <c r="E130" s="368">
        <f>'[10]Complete Data Set'!G126</f>
        <v>0</v>
      </c>
      <c r="F130" s="206">
        <f>'[10]Complete Data Set'!A126</f>
        <v>2016</v>
      </c>
      <c r="G130" s="368">
        <f>'[10]Complete Data Set'!I126</f>
        <v>140.61250000000001</v>
      </c>
      <c r="H130" s="368">
        <f>'[10]Complete Data Set'!J126</f>
        <v>19.512500000000003</v>
      </c>
      <c r="I130" s="368">
        <f>'[10]Complete Data Set'!K126</f>
        <v>50710764.993226558</v>
      </c>
      <c r="J130" s="369">
        <f>'[10]Complete Data Set'!H126</f>
        <v>-0.29386468836728802</v>
      </c>
      <c r="K130" s="5">
        <f>'Regression Analysis'!B$19+'Regression Analysis'!B$20*F130+'Regression Analysis'!B$21*G130+'Regression Analysis'!B$22*H130+'Regression Analysis'!B$23*I130+'Regression Analysis'!B$24*J130</f>
        <v>75273931.642327353</v>
      </c>
      <c r="L130" s="370"/>
      <c r="M130" s="371"/>
    </row>
    <row r="131" spans="1:13" x14ac:dyDescent="0.25">
      <c r="A131" s="222" t="s">
        <v>219</v>
      </c>
      <c r="B131" s="368"/>
      <c r="C131" s="368"/>
      <c r="D131" s="368"/>
      <c r="E131" s="368">
        <f>'[10]Complete Data Set'!G127</f>
        <v>0</v>
      </c>
      <c r="F131" s="206">
        <f>'[10]Complete Data Set'!A127</f>
        <v>2016</v>
      </c>
      <c r="G131" s="368">
        <f>'[10]Complete Data Set'!I127</f>
        <v>29.362499999999997</v>
      </c>
      <c r="H131" s="368">
        <f>'[10]Complete Data Set'!J127</f>
        <v>51.687499999999993</v>
      </c>
      <c r="I131" s="368">
        <f>'[10]Complete Data Set'!K127</f>
        <v>49839711.242289059</v>
      </c>
      <c r="J131" s="369">
        <f>'[10]Complete Data Set'!H127</f>
        <v>0.37476870063614698</v>
      </c>
      <c r="K131" s="5">
        <f>'Regression Analysis'!B$19+'Regression Analysis'!B$20*F131+'Regression Analysis'!B$21*G131+'Regression Analysis'!B$22*H131+'Regression Analysis'!B$23*I131+'Regression Analysis'!B$24*J131</f>
        <v>82197400.040701002</v>
      </c>
      <c r="L131" s="370"/>
      <c r="M131" s="371"/>
    </row>
    <row r="132" spans="1:13" x14ac:dyDescent="0.25">
      <c r="A132" s="222" t="s">
        <v>220</v>
      </c>
      <c r="B132" s="368"/>
      <c r="C132" s="368"/>
      <c r="D132" s="368"/>
      <c r="E132" s="368">
        <f>'[10]Complete Data Set'!G128</f>
        <v>0</v>
      </c>
      <c r="F132" s="206">
        <f>'[10]Complete Data Set'!A128</f>
        <v>2016</v>
      </c>
      <c r="G132" s="368">
        <f>'[10]Complete Data Set'!I128</f>
        <v>9.15</v>
      </c>
      <c r="H132" s="368">
        <f>'[10]Complete Data Set'!J128</f>
        <v>106.98750000000001</v>
      </c>
      <c r="I132" s="368">
        <f>'[10]Complete Data Set'!K128</f>
        <v>46970572.011023432</v>
      </c>
      <c r="J132" s="369">
        <f>'[10]Complete Data Set'!H128</f>
        <v>1.1308832727931699</v>
      </c>
      <c r="K132" s="5">
        <f>'Regression Analysis'!B$19+'Regression Analysis'!B$20*F132+'Regression Analysis'!B$21*G132+'Regression Analysis'!B$22*H132+'Regression Analysis'!B$23*I132+'Regression Analysis'!B$24*J132</f>
        <v>93855313.957073033</v>
      </c>
      <c r="L132" s="370"/>
      <c r="M132" s="371"/>
    </row>
    <row r="133" spans="1:13" x14ac:dyDescent="0.25">
      <c r="A133" s="222" t="s">
        <v>221</v>
      </c>
      <c r="B133" s="368"/>
      <c r="C133" s="368"/>
      <c r="D133" s="368"/>
      <c r="E133" s="368">
        <f>'[10]Complete Data Set'!G129</f>
        <v>0</v>
      </c>
      <c r="F133" s="206">
        <f>'[10]Complete Data Set'!A129</f>
        <v>2016</v>
      </c>
      <c r="G133" s="368">
        <f>'[10]Complete Data Set'!I129</f>
        <v>13.8</v>
      </c>
      <c r="H133" s="368">
        <f>'[10]Complete Data Set'!J129</f>
        <v>69.824999999999989</v>
      </c>
      <c r="I133" s="368">
        <f>'[10]Complete Data Set'!K129</f>
        <v>49405655.937859371</v>
      </c>
      <c r="J133" s="369">
        <f>'[10]Complete Data Set'!H129</f>
        <v>1.5427178235774599</v>
      </c>
      <c r="K133" s="5">
        <f>'Regression Analysis'!B$19+'Regression Analysis'!B$20*F133+'Regression Analysis'!B$21*G133+'Regression Analysis'!B$22*H133+'Regression Analysis'!B$23*I133+'Regression Analysis'!B$24*J133</f>
        <v>92432220.661499754</v>
      </c>
      <c r="L133" s="370"/>
      <c r="M133" s="371"/>
    </row>
    <row r="134" spans="1:13" x14ac:dyDescent="0.25">
      <c r="A134" s="222" t="s">
        <v>222</v>
      </c>
      <c r="B134" s="368"/>
      <c r="C134" s="368"/>
      <c r="D134" s="368"/>
      <c r="E134" s="368">
        <f>'[10]Complete Data Set'!G130</f>
        <v>0</v>
      </c>
      <c r="F134" s="206">
        <f>'[10]Complete Data Set'!A130</f>
        <v>2016</v>
      </c>
      <c r="G134" s="368">
        <f>'[10]Complete Data Set'!I130</f>
        <v>81.3</v>
      </c>
      <c r="H134" s="368">
        <f>'[10]Complete Data Set'!J130</f>
        <v>27.375000000000004</v>
      </c>
      <c r="I134" s="368">
        <f>'[10]Complete Data Set'!K130</f>
        <v>48708024.653171867</v>
      </c>
      <c r="J134" s="369">
        <f>'[10]Complete Data Set'!H130</f>
        <v>0.608962832123631</v>
      </c>
      <c r="K134" s="5">
        <f>'Regression Analysis'!B$19+'Regression Analysis'!B$20*F134+'Regression Analysis'!B$21*G134+'Regression Analysis'!B$22*H134+'Regression Analysis'!B$23*I134+'Regression Analysis'!B$24*J134</f>
        <v>80101496.548043504</v>
      </c>
      <c r="L134" s="370"/>
      <c r="M134" s="371"/>
    </row>
    <row r="135" spans="1:13" x14ac:dyDescent="0.25">
      <c r="A135" s="222" t="s">
        <v>223</v>
      </c>
      <c r="B135" s="368"/>
      <c r="C135" s="368"/>
      <c r="D135" s="368"/>
      <c r="E135" s="368">
        <f>'[10]Complete Data Set'!G131</f>
        <v>0</v>
      </c>
      <c r="F135" s="206">
        <f>'[10]Complete Data Set'!A131</f>
        <v>2016</v>
      </c>
      <c r="G135" s="368">
        <f>'[10]Complete Data Set'!I131</f>
        <v>238.28749999999999</v>
      </c>
      <c r="H135" s="368">
        <f>'[10]Complete Data Set'!J131</f>
        <v>5.4124999999999996</v>
      </c>
      <c r="I135" s="368">
        <f>'[10]Complete Data Set'!K131</f>
        <v>49564405.230898432</v>
      </c>
      <c r="J135" s="369">
        <f>'[10]Complete Data Set'!H131</f>
        <v>0.23319624263806399</v>
      </c>
      <c r="K135" s="5">
        <f>'Regression Analysis'!B$19+'Regression Analysis'!B$20*F135+'Regression Analysis'!B$21*G135+'Regression Analysis'!B$22*H135+'Regression Analysis'!B$23*I135+'Regression Analysis'!B$24*J135</f>
        <v>77703567.340950534</v>
      </c>
      <c r="L135" s="370"/>
      <c r="M135" s="371"/>
    </row>
    <row r="136" spans="1:13" x14ac:dyDescent="0.25">
      <c r="A136" s="222" t="s">
        <v>224</v>
      </c>
      <c r="B136" s="368"/>
      <c r="C136" s="368"/>
      <c r="D136" s="368"/>
      <c r="E136" s="368">
        <f>'[10]Complete Data Set'!G132</f>
        <v>0</v>
      </c>
      <c r="F136" s="206">
        <f>'[10]Complete Data Set'!A132</f>
        <v>2016</v>
      </c>
      <c r="G136" s="368">
        <f>'[10]Complete Data Set'!I132</f>
        <v>408.42500000000007</v>
      </c>
      <c r="H136" s="368">
        <f>'[10]Complete Data Set'!J132</f>
        <v>0</v>
      </c>
      <c r="I136" s="368">
        <f>'[10]Complete Data Set'!K132</f>
        <v>49761852.050101556</v>
      </c>
      <c r="J136" s="369">
        <f>'[10]Complete Data Set'!H132</f>
        <v>-2.0326425795801999E-2</v>
      </c>
      <c r="K136" s="5">
        <f>'Regression Analysis'!B$19+'Regression Analysis'!B$20*F136+'Regression Analysis'!B$21*G136+'Regression Analysis'!B$22*H136+'Regression Analysis'!B$23*I136+'Regression Analysis'!B$24*J136</f>
        <v>78606916.095722809</v>
      </c>
      <c r="L136" s="370"/>
      <c r="M136" s="371"/>
    </row>
    <row r="137" spans="1:13" x14ac:dyDescent="0.25">
      <c r="A137" s="372" t="s">
        <v>225</v>
      </c>
      <c r="B137" s="373"/>
      <c r="C137" s="373"/>
      <c r="D137" s="373"/>
      <c r="E137" s="373">
        <f>'[10]Complete Data Set'!G133</f>
        <v>0</v>
      </c>
      <c r="F137" s="374">
        <f>'[10]Complete Data Set'!A133</f>
        <v>2016</v>
      </c>
      <c r="G137" s="373">
        <f>'[10]Complete Data Set'!I133</f>
        <v>596.63749999999993</v>
      </c>
      <c r="H137" s="373">
        <f>'[10]Complete Data Set'!J133</f>
        <v>0</v>
      </c>
      <c r="I137" s="373">
        <f>'[10]Complete Data Set'!K133</f>
        <v>46253075.863421872</v>
      </c>
      <c r="J137" s="375">
        <f>'[10]Complete Data Set'!H133</f>
        <v>5.2494343901185E-2</v>
      </c>
      <c r="K137" s="19">
        <f>'Regression Analysis'!B$19+'Regression Analysis'!B$20*F137+'Regression Analysis'!B$21*G137+'Regression Analysis'!B$22*H137+'Regression Analysis'!B$23*I137+'Regression Analysis'!B$24*J137</f>
        <v>80380107.3764918</v>
      </c>
      <c r="L137" s="376"/>
      <c r="M137" s="377"/>
    </row>
    <row r="138" spans="1:13" x14ac:dyDescent="0.25">
      <c r="K138" s="1"/>
    </row>
    <row r="139" spans="1:13" x14ac:dyDescent="0.25">
      <c r="K139" s="1"/>
    </row>
    <row r="140" spans="1:13" x14ac:dyDescent="0.25">
      <c r="K140" s="1"/>
    </row>
    <row r="141" spans="1:13" x14ac:dyDescent="0.25">
      <c r="K141" s="1"/>
    </row>
    <row r="142" spans="1:13" x14ac:dyDescent="0.25">
      <c r="K142" s="1"/>
    </row>
    <row r="143" spans="1:13" x14ac:dyDescent="0.25">
      <c r="K143" s="1"/>
    </row>
    <row r="144" spans="1:13" x14ac:dyDescent="0.25">
      <c r="K144" s="1"/>
    </row>
    <row r="145" spans="11:11" x14ac:dyDescent="0.25">
      <c r="K145" s="1"/>
    </row>
    <row r="146" spans="11:11" x14ac:dyDescent="0.25">
      <c r="K146" s="1"/>
    </row>
    <row r="147" spans="11:11" x14ac:dyDescent="0.25">
      <c r="K147" s="1"/>
    </row>
    <row r="148" spans="11:11" x14ac:dyDescent="0.25">
      <c r="K148" s="1"/>
    </row>
    <row r="149" spans="11:11" x14ac:dyDescent="0.25">
      <c r="K149" s="1"/>
    </row>
    <row r="150" spans="11:11" x14ac:dyDescent="0.25">
      <c r="K150" s="1"/>
    </row>
    <row r="151" spans="11:11" x14ac:dyDescent="0.25">
      <c r="K151" s="1"/>
    </row>
    <row r="152" spans="11:11" x14ac:dyDescent="0.25">
      <c r="K152" s="1"/>
    </row>
    <row r="153" spans="11:11" x14ac:dyDescent="0.25">
      <c r="K153" s="1"/>
    </row>
    <row r="154" spans="11:11" x14ac:dyDescent="0.25">
      <c r="K154" s="1"/>
    </row>
    <row r="155" spans="11:11" x14ac:dyDescent="0.25">
      <c r="K155" s="1"/>
    </row>
    <row r="156" spans="11:11" x14ac:dyDescent="0.25">
      <c r="K156" s="1"/>
    </row>
    <row r="157" spans="11:11" x14ac:dyDescent="0.25">
      <c r="K157" s="1"/>
    </row>
    <row r="158" spans="11:11" x14ac:dyDescent="0.25">
      <c r="K158" s="1"/>
    </row>
    <row r="159" spans="11:11" x14ac:dyDescent="0.25">
      <c r="K159" s="1"/>
    </row>
    <row r="160" spans="11:11" x14ac:dyDescent="0.25">
      <c r="K160" s="1"/>
    </row>
    <row r="161" spans="11:11" x14ac:dyDescent="0.25">
      <c r="K161" s="1"/>
    </row>
    <row r="162" spans="11:11" x14ac:dyDescent="0.25">
      <c r="K162" s="1"/>
    </row>
    <row r="163" spans="11:11" x14ac:dyDescent="0.25">
      <c r="K163" s="1"/>
    </row>
    <row r="164" spans="11:11" x14ac:dyDescent="0.25">
      <c r="K164" s="1"/>
    </row>
    <row r="165" spans="11:11" x14ac:dyDescent="0.25">
      <c r="K165" s="1"/>
    </row>
    <row r="166" spans="11:11" x14ac:dyDescent="0.25">
      <c r="K166" s="1"/>
    </row>
    <row r="167" spans="11:11" x14ac:dyDescent="0.25">
      <c r="K167" s="1"/>
    </row>
    <row r="168" spans="11:11" x14ac:dyDescent="0.25">
      <c r="K168" s="1"/>
    </row>
    <row r="169" spans="11:11" x14ac:dyDescent="0.25">
      <c r="K169" s="1"/>
    </row>
    <row r="170" spans="11:11" x14ac:dyDescent="0.25">
      <c r="K170" s="1"/>
    </row>
    <row r="171" spans="11:11" x14ac:dyDescent="0.25">
      <c r="K171" s="1"/>
    </row>
    <row r="172" spans="11:11" x14ac:dyDescent="0.25">
      <c r="K172" s="1"/>
    </row>
    <row r="173" spans="11:11" x14ac:dyDescent="0.25">
      <c r="K173" s="1"/>
    </row>
    <row r="174" spans="11:11" x14ac:dyDescent="0.25">
      <c r="K174" s="1"/>
    </row>
    <row r="175" spans="11:11" x14ac:dyDescent="0.25">
      <c r="K175" s="1"/>
    </row>
    <row r="176" spans="11:11" x14ac:dyDescent="0.25">
      <c r="K176" s="1"/>
    </row>
    <row r="177" spans="11:11" x14ac:dyDescent="0.25">
      <c r="K177" s="1"/>
    </row>
    <row r="178" spans="11:11" x14ac:dyDescent="0.25">
      <c r="K178" s="1"/>
    </row>
    <row r="179" spans="11:11" x14ac:dyDescent="0.25">
      <c r="K179" s="1"/>
    </row>
    <row r="180" spans="11:11" x14ac:dyDescent="0.25">
      <c r="K180" s="1"/>
    </row>
    <row r="181" spans="11:11" x14ac:dyDescent="0.25">
      <c r="K181" s="1"/>
    </row>
    <row r="182" spans="11:11" x14ac:dyDescent="0.25">
      <c r="K182" s="1"/>
    </row>
    <row r="183" spans="11:11" x14ac:dyDescent="0.25">
      <c r="K183" s="1"/>
    </row>
    <row r="184" spans="11:11" x14ac:dyDescent="0.25">
      <c r="K184" s="1"/>
    </row>
    <row r="185" spans="11:11" x14ac:dyDescent="0.25">
      <c r="K185" s="1"/>
    </row>
  </sheetData>
  <pageMargins left="0.7" right="0.7" top="0.75" bottom="0.75" header="0.3" footer="0.3"/>
  <pageSetup scale="76"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1"/>
  <sheetViews>
    <sheetView workbookViewId="0">
      <selection activeCell="Q38" sqref="Q38"/>
    </sheetView>
  </sheetViews>
  <sheetFormatPr defaultRowHeight="15" x14ac:dyDescent="0.25"/>
  <cols>
    <col min="1" max="1" width="6.7109375" customWidth="1"/>
    <col min="2" max="2" width="26.5703125" customWidth="1"/>
    <col min="3" max="8" width="12.7109375" customWidth="1"/>
  </cols>
  <sheetData>
    <row r="1" spans="1:8" ht="18.75" x14ac:dyDescent="0.3">
      <c r="A1" s="30" t="s">
        <v>34</v>
      </c>
    </row>
    <row r="2" spans="1:8" ht="18.75" x14ac:dyDescent="0.3">
      <c r="A2" s="30" t="s">
        <v>294</v>
      </c>
    </row>
    <row r="3" spans="1:8" ht="19.5" thickBot="1" x14ac:dyDescent="0.35">
      <c r="A3" s="32" t="s">
        <v>295</v>
      </c>
      <c r="B3" s="33"/>
      <c r="C3" s="33"/>
      <c r="D3" s="33"/>
      <c r="E3" s="33"/>
      <c r="F3" s="33"/>
      <c r="G3" s="33"/>
      <c r="H3" s="33"/>
    </row>
    <row r="5" spans="1:8" x14ac:dyDescent="0.25">
      <c r="A5" s="494" t="s">
        <v>296</v>
      </c>
      <c r="B5" s="492" t="s">
        <v>297</v>
      </c>
      <c r="C5" s="496">
        <v>2015</v>
      </c>
      <c r="D5" s="497"/>
      <c r="E5" s="498"/>
      <c r="F5" s="497">
        <v>2016</v>
      </c>
      <c r="G5" s="497"/>
      <c r="H5" s="498"/>
    </row>
    <row r="6" spans="1:8" x14ac:dyDescent="0.25">
      <c r="A6" s="495"/>
      <c r="B6" s="493"/>
      <c r="C6" s="356" t="s">
        <v>298</v>
      </c>
      <c r="D6" s="346" t="s">
        <v>24</v>
      </c>
      <c r="E6" s="324" t="s">
        <v>54</v>
      </c>
      <c r="F6" s="352" t="s">
        <v>298</v>
      </c>
      <c r="G6" s="319" t="s">
        <v>24</v>
      </c>
      <c r="H6" s="324" t="s">
        <v>54</v>
      </c>
    </row>
    <row r="7" spans="1:8" x14ac:dyDescent="0.25">
      <c r="A7" s="120">
        <v>1</v>
      </c>
      <c r="B7" s="52" t="s">
        <v>2</v>
      </c>
      <c r="C7" s="60">
        <f>'Rate Class Customer Model'!$B$36</f>
        <v>36203</v>
      </c>
      <c r="D7" s="5">
        <f>'Rate Class Energy Model'!$B$63</f>
        <v>283016587.250485</v>
      </c>
      <c r="E7" s="18">
        <f>'Rate Class Demand Model'!$B$36</f>
        <v>0</v>
      </c>
      <c r="F7" s="353">
        <f>'Rate Class Customer Model'!$B$37</f>
        <v>36333</v>
      </c>
      <c r="G7" s="5">
        <f>'Rate Class Energy Model'!$B$64</f>
        <v>277476009.23399138</v>
      </c>
      <c r="H7" s="18">
        <f>'Rate Class Demand Model'!$B$37</f>
        <v>0</v>
      </c>
    </row>
    <row r="8" spans="1:8" x14ac:dyDescent="0.25">
      <c r="A8" s="120">
        <f t="shared" ref="A8:A14" si="0">A7+1</f>
        <v>2</v>
      </c>
      <c r="B8" s="52" t="s">
        <v>381</v>
      </c>
      <c r="C8" s="60">
        <f>'Rate Class Customer Model'!$C$36</f>
        <v>3860</v>
      </c>
      <c r="D8" s="5">
        <f>'Rate Class Energy Model'!$C$63</f>
        <v>104337671.80952397</v>
      </c>
      <c r="E8" s="18">
        <f>'Rate Class Demand Model'!$C$36</f>
        <v>0</v>
      </c>
      <c r="F8" s="353">
        <f>'Rate Class Customer Model'!$C$37</f>
        <v>3850</v>
      </c>
      <c r="G8" s="5">
        <f>'Rate Class Energy Model'!$C$64</f>
        <v>99682763.93957378</v>
      </c>
      <c r="H8" s="18">
        <f>'Rate Class Demand Model'!$C$37</f>
        <v>0</v>
      </c>
    </row>
    <row r="9" spans="1:8" x14ac:dyDescent="0.25">
      <c r="A9" s="120">
        <f t="shared" si="0"/>
        <v>3</v>
      </c>
      <c r="B9" s="52" t="s">
        <v>382</v>
      </c>
      <c r="C9" s="60">
        <f>'Rate Class Customer Model'!$D$36</f>
        <v>495</v>
      </c>
      <c r="D9" s="5">
        <f>'Rate Class Energy Model'!$D$63</f>
        <v>470506400.35245085</v>
      </c>
      <c r="E9" s="18">
        <f>'Rate Class Demand Model'!$D$36</f>
        <v>1250086.4875532312</v>
      </c>
      <c r="F9" s="353">
        <f>'Rate Class Customer Model'!$D$37</f>
        <v>491</v>
      </c>
      <c r="G9" s="5">
        <f>'Rate Class Energy Model'!$D$64</f>
        <v>478846837.84755301</v>
      </c>
      <c r="H9" s="18">
        <f>'Rate Class Demand Model'!$D$37</f>
        <v>1272216.8068765986</v>
      </c>
    </row>
    <row r="10" spans="1:8" x14ac:dyDescent="0.25">
      <c r="A10" s="120">
        <f t="shared" si="0"/>
        <v>4</v>
      </c>
      <c r="B10" s="52" t="s">
        <v>5</v>
      </c>
      <c r="C10" s="60">
        <f>'Rate Class Customer Model'!$E$36+'Rate Class Customer Model'!$F$36</f>
        <v>2</v>
      </c>
      <c r="D10" s="5">
        <f>'Rate Class Energy Model'!$E$63+'Rate Class Energy Model'!$F$63</f>
        <v>51639984.475155152</v>
      </c>
      <c r="E10" s="18">
        <f>'Rate Class Demand Model'!$E$36+'Rate Class Demand Model'!$F$36</f>
        <v>113324</v>
      </c>
      <c r="F10" s="353">
        <f>'Rate Class Customer Model'!$E$37+'Rate Class Customer Model'!$F$37</f>
        <v>2</v>
      </c>
      <c r="G10" s="5">
        <f>'Rate Class Energy Model'!$E$64+'Rate Class Energy Model'!$F$64</f>
        <v>40551282.501611322</v>
      </c>
      <c r="H10" s="18">
        <f>'Rate Class Demand Model'!$E$37+'Rate Class Demand Model'!$F$37</f>
        <v>86226</v>
      </c>
    </row>
    <row r="11" spans="1:8" x14ac:dyDescent="0.25">
      <c r="A11" s="120">
        <f t="shared" si="0"/>
        <v>5</v>
      </c>
      <c r="B11" s="52" t="s">
        <v>6</v>
      </c>
      <c r="C11" s="60">
        <f>'Rate Class Customer Model'!$G$36</f>
        <v>290</v>
      </c>
      <c r="D11" s="5">
        <f>'Rate Class Energy Model'!$G$63</f>
        <v>1268750</v>
      </c>
      <c r="E11" s="18">
        <f>'Rate Class Demand Model'!$G$36</f>
        <v>0</v>
      </c>
      <c r="F11" s="353">
        <f>'Rate Class Customer Model'!$G$37</f>
        <v>335</v>
      </c>
      <c r="G11" s="5">
        <f>'Rate Class Energy Model'!$G$64</f>
        <v>1288075</v>
      </c>
      <c r="H11" s="18">
        <f>'Rate Class Demand Model'!$G$37</f>
        <v>0</v>
      </c>
    </row>
    <row r="12" spans="1:8" x14ac:dyDescent="0.25">
      <c r="A12" s="120">
        <f t="shared" si="0"/>
        <v>6</v>
      </c>
      <c r="B12" s="52" t="s">
        <v>301</v>
      </c>
      <c r="C12" s="60">
        <f>'Rate Class Customer Model'!$H$36</f>
        <v>509</v>
      </c>
      <c r="D12" s="5">
        <f>'Rate Class Energy Model'!$H$63</f>
        <v>402619</v>
      </c>
      <c r="E12" s="18">
        <f>'Rate Class Demand Model'!$H$36</f>
        <v>1127</v>
      </c>
      <c r="F12" s="353">
        <f>'Rate Class Customer Model'!$H$37</f>
        <v>532</v>
      </c>
      <c r="G12" s="5">
        <f>'Rate Class Energy Model'!$H$64</f>
        <v>396340</v>
      </c>
      <c r="H12" s="18">
        <f>'Rate Class Demand Model'!$H$37</f>
        <v>1110</v>
      </c>
    </row>
    <row r="13" spans="1:8" x14ac:dyDescent="0.25">
      <c r="A13" s="120">
        <f t="shared" si="0"/>
        <v>7</v>
      </c>
      <c r="B13" s="52" t="s">
        <v>302</v>
      </c>
      <c r="C13" s="60">
        <f>'Rate Class Customer Model'!$I$36</f>
        <v>13369</v>
      </c>
      <c r="D13" s="5">
        <f>'Rate Class Energy Model'!$I$63</f>
        <v>7396373.5003008721</v>
      </c>
      <c r="E13" s="18">
        <f>'Rate Class Demand Model'!$I$36</f>
        <v>22189</v>
      </c>
      <c r="F13" s="353">
        <f>'Rate Class Customer Model'!$I$37</f>
        <v>13469</v>
      </c>
      <c r="G13" s="5">
        <f>'Rate Class Energy Model'!$I$64</f>
        <v>7263207.5003008721</v>
      </c>
      <c r="H13" s="18">
        <f>'Rate Class Demand Model'!$I$37</f>
        <v>21790</v>
      </c>
    </row>
    <row r="14" spans="1:8" x14ac:dyDescent="0.25">
      <c r="A14" s="120">
        <f t="shared" si="0"/>
        <v>8</v>
      </c>
      <c r="B14" s="66" t="s">
        <v>303</v>
      </c>
      <c r="C14" s="67">
        <f>'Rate Class Customer Model'!$J$36</f>
        <v>1</v>
      </c>
      <c r="D14" s="25">
        <f>'Rate Class Energy Model'!$J$63</f>
        <v>4526975</v>
      </c>
      <c r="E14" s="68">
        <f>'Rate Class Demand Model'!$J$36</f>
        <v>11499</v>
      </c>
      <c r="F14" s="354">
        <f>'Rate Class Customer Model'!$J$37</f>
        <v>1</v>
      </c>
      <c r="G14" s="25">
        <f>'Rate Class Energy Model'!$J$64</f>
        <v>4421657</v>
      </c>
      <c r="H14" s="68">
        <f>'Rate Class Demand Model'!$J$37</f>
        <v>11231</v>
      </c>
    </row>
    <row r="15" spans="1:8" x14ac:dyDescent="0.25">
      <c r="A15" s="293">
        <f>A14+1</f>
        <v>9</v>
      </c>
      <c r="B15" s="351" t="s">
        <v>18</v>
      </c>
      <c r="C15" s="357">
        <f t="shared" ref="C15:H15" si="1">SUM(C7:C14)</f>
        <v>54729</v>
      </c>
      <c r="D15" s="253">
        <f t="shared" si="1"/>
        <v>923095361.38791585</v>
      </c>
      <c r="E15" s="323">
        <f t="shared" si="1"/>
        <v>1398225.4875532312</v>
      </c>
      <c r="F15" s="355">
        <f t="shared" si="1"/>
        <v>55013</v>
      </c>
      <c r="G15" s="253">
        <f t="shared" si="1"/>
        <v>909926173.0230304</v>
      </c>
      <c r="H15" s="323">
        <f t="shared" si="1"/>
        <v>1392573.8068765986</v>
      </c>
    </row>
    <row r="16" spans="1:8" x14ac:dyDescent="0.25">
      <c r="A16" s="347"/>
      <c r="B16" s="348"/>
      <c r="C16" s="349"/>
      <c r="D16" s="349"/>
      <c r="E16" s="349"/>
      <c r="F16" s="349"/>
      <c r="G16" s="349"/>
      <c r="H16" s="350"/>
    </row>
    <row r="17" spans="1:8" x14ac:dyDescent="0.25">
      <c r="A17" s="494" t="s">
        <v>296</v>
      </c>
      <c r="B17" s="492" t="s">
        <v>297</v>
      </c>
      <c r="C17" s="496">
        <v>2015</v>
      </c>
      <c r="D17" s="497"/>
      <c r="E17" s="498"/>
      <c r="F17" s="497">
        <v>2016</v>
      </c>
      <c r="G17" s="497"/>
      <c r="H17" s="498"/>
    </row>
    <row r="18" spans="1:8" x14ac:dyDescent="0.25">
      <c r="A18" s="495"/>
      <c r="B18" s="493"/>
      <c r="C18" s="356" t="s">
        <v>298</v>
      </c>
      <c r="D18" s="346" t="s">
        <v>24</v>
      </c>
      <c r="E18" s="324" t="s">
        <v>54</v>
      </c>
      <c r="F18" s="352" t="s">
        <v>298</v>
      </c>
      <c r="G18" s="346" t="s">
        <v>24</v>
      </c>
      <c r="H18" s="324" t="s">
        <v>54</v>
      </c>
    </row>
    <row r="19" spans="1:8" x14ac:dyDescent="0.25">
      <c r="A19" s="120">
        <v>1</v>
      </c>
      <c r="B19" s="3" t="s">
        <v>2</v>
      </c>
      <c r="C19" s="5">
        <f t="shared" ref="C19:H21" si="2">C7</f>
        <v>36203</v>
      </c>
      <c r="D19" s="5">
        <f t="shared" si="2"/>
        <v>283016587.250485</v>
      </c>
      <c r="E19" s="5">
        <f t="shared" si="2"/>
        <v>0</v>
      </c>
      <c r="F19" s="5">
        <f t="shared" si="2"/>
        <v>36333</v>
      </c>
      <c r="G19" s="5">
        <f t="shared" si="2"/>
        <v>277476009.23399138</v>
      </c>
      <c r="H19" s="18">
        <f t="shared" si="2"/>
        <v>0</v>
      </c>
    </row>
    <row r="20" spans="1:8" x14ac:dyDescent="0.25">
      <c r="A20" s="120">
        <f>A19+1</f>
        <v>2</v>
      </c>
      <c r="B20" s="3" t="s">
        <v>299</v>
      </c>
      <c r="C20" s="5">
        <f t="shared" si="2"/>
        <v>3860</v>
      </c>
      <c r="D20" s="5">
        <f t="shared" si="2"/>
        <v>104337671.80952397</v>
      </c>
      <c r="E20" s="5">
        <f t="shared" si="2"/>
        <v>0</v>
      </c>
      <c r="F20" s="5">
        <f t="shared" si="2"/>
        <v>3850</v>
      </c>
      <c r="G20" s="5">
        <f t="shared" si="2"/>
        <v>99682763.93957378</v>
      </c>
      <c r="H20" s="18">
        <f t="shared" si="2"/>
        <v>0</v>
      </c>
    </row>
    <row r="21" spans="1:8" x14ac:dyDescent="0.25">
      <c r="A21" s="120">
        <f t="shared" ref="A21:A28" si="3">A20+1</f>
        <v>3</v>
      </c>
      <c r="B21" s="3" t="s">
        <v>300</v>
      </c>
      <c r="C21" s="5">
        <f t="shared" si="2"/>
        <v>495</v>
      </c>
      <c r="D21" s="5">
        <f t="shared" si="2"/>
        <v>470506400.35245085</v>
      </c>
      <c r="E21" s="5">
        <f t="shared" si="2"/>
        <v>1250086.4875532312</v>
      </c>
      <c r="F21" s="5">
        <f t="shared" si="2"/>
        <v>491</v>
      </c>
      <c r="G21" s="5">
        <f t="shared" si="2"/>
        <v>478846837.84755301</v>
      </c>
      <c r="H21" s="18">
        <f t="shared" si="2"/>
        <v>1272216.8068765986</v>
      </c>
    </row>
    <row r="22" spans="1:8" x14ac:dyDescent="0.25">
      <c r="A22" s="120">
        <f t="shared" si="3"/>
        <v>4</v>
      </c>
      <c r="B22" s="3" t="s">
        <v>383</v>
      </c>
      <c r="C22" s="5"/>
      <c r="D22" s="5"/>
      <c r="E22" s="5"/>
      <c r="F22" s="5"/>
      <c r="G22" s="5"/>
      <c r="H22" s="18"/>
    </row>
    <row r="23" spans="1:8" x14ac:dyDescent="0.25">
      <c r="A23" s="120">
        <f t="shared" si="3"/>
        <v>5</v>
      </c>
      <c r="B23" s="286" t="s">
        <v>384</v>
      </c>
      <c r="C23" s="5">
        <f>'Rate Class Customer Model'!E36</f>
        <v>1</v>
      </c>
      <c r="D23" s="5">
        <f>'Rate Class Energy Model'!E63</f>
        <v>20926258.475155152</v>
      </c>
      <c r="E23" s="399">
        <f>7200*12</f>
        <v>86400</v>
      </c>
      <c r="F23" s="5">
        <f>'Rate Class Customer Model'!E37</f>
        <v>1</v>
      </c>
      <c r="G23" s="5">
        <f>'Rate Class Energy Model'!E64</f>
        <v>10673825.501611326</v>
      </c>
      <c r="H23" s="398">
        <f>7200*12</f>
        <v>86400</v>
      </c>
    </row>
    <row r="24" spans="1:8" x14ac:dyDescent="0.25">
      <c r="A24" s="120">
        <f t="shared" si="3"/>
        <v>6</v>
      </c>
      <c r="B24" s="286" t="s">
        <v>385</v>
      </c>
      <c r="C24" s="5">
        <f>'Rate Class Customer Model'!F36</f>
        <v>1</v>
      </c>
      <c r="D24" s="5">
        <f>'Rate Class Energy Model'!F63</f>
        <v>30713726</v>
      </c>
      <c r="E24" s="5">
        <f>'Rate Class Demand Model'!F36</f>
        <v>61427</v>
      </c>
      <c r="F24" s="5">
        <f>'Rate Class Customer Model'!F37</f>
        <v>1</v>
      </c>
      <c r="G24" s="5">
        <f>'Rate Class Energy Model'!F64</f>
        <v>29877457</v>
      </c>
      <c r="H24" s="18">
        <f>'Rate Class Demand Model'!F37</f>
        <v>59755</v>
      </c>
    </row>
    <row r="25" spans="1:8" x14ac:dyDescent="0.25">
      <c r="A25" s="120">
        <f t="shared" si="3"/>
        <v>7</v>
      </c>
      <c r="B25" s="3" t="s">
        <v>6</v>
      </c>
      <c r="C25" s="5">
        <f t="shared" ref="C25:H28" si="4">C11</f>
        <v>290</v>
      </c>
      <c r="D25" s="5">
        <f t="shared" si="4"/>
        <v>1268750</v>
      </c>
      <c r="E25" s="5">
        <f t="shared" si="4"/>
        <v>0</v>
      </c>
      <c r="F25" s="5">
        <f t="shared" si="4"/>
        <v>335</v>
      </c>
      <c r="G25" s="5">
        <f t="shared" si="4"/>
        <v>1288075</v>
      </c>
      <c r="H25" s="18">
        <f t="shared" si="4"/>
        <v>0</v>
      </c>
    </row>
    <row r="26" spans="1:8" x14ac:dyDescent="0.25">
      <c r="A26" s="120">
        <f t="shared" si="3"/>
        <v>8</v>
      </c>
      <c r="B26" s="3" t="s">
        <v>301</v>
      </c>
      <c r="C26" s="5">
        <f t="shared" si="4"/>
        <v>509</v>
      </c>
      <c r="D26" s="5">
        <f t="shared" si="4"/>
        <v>402619</v>
      </c>
      <c r="E26" s="5">
        <f t="shared" si="4"/>
        <v>1127</v>
      </c>
      <c r="F26" s="5">
        <f t="shared" si="4"/>
        <v>532</v>
      </c>
      <c r="G26" s="5">
        <f t="shared" si="4"/>
        <v>396340</v>
      </c>
      <c r="H26" s="18">
        <f t="shared" si="4"/>
        <v>1110</v>
      </c>
    </row>
    <row r="27" spans="1:8" x14ac:dyDescent="0.25">
      <c r="A27" s="120">
        <f t="shared" si="3"/>
        <v>9</v>
      </c>
      <c r="B27" s="3" t="s">
        <v>302</v>
      </c>
      <c r="C27" s="5">
        <f t="shared" si="4"/>
        <v>13369</v>
      </c>
      <c r="D27" s="5">
        <f t="shared" si="4"/>
        <v>7396373.5003008721</v>
      </c>
      <c r="E27" s="5">
        <f t="shared" si="4"/>
        <v>22189</v>
      </c>
      <c r="F27" s="5">
        <f t="shared" si="4"/>
        <v>13469</v>
      </c>
      <c r="G27" s="5">
        <f t="shared" si="4"/>
        <v>7263207.5003008721</v>
      </c>
      <c r="H27" s="18">
        <f t="shared" si="4"/>
        <v>21790</v>
      </c>
    </row>
    <row r="28" spans="1:8" x14ac:dyDescent="0.25">
      <c r="A28" s="120">
        <f t="shared" si="3"/>
        <v>10</v>
      </c>
      <c r="B28" s="65" t="s">
        <v>303</v>
      </c>
      <c r="C28" s="25">
        <f t="shared" si="4"/>
        <v>1</v>
      </c>
      <c r="D28" s="25">
        <f t="shared" si="4"/>
        <v>4526975</v>
      </c>
      <c r="E28" s="25">
        <f t="shared" si="4"/>
        <v>11499</v>
      </c>
      <c r="F28" s="25">
        <f t="shared" si="4"/>
        <v>1</v>
      </c>
      <c r="G28" s="25">
        <f t="shared" si="4"/>
        <v>4421657</v>
      </c>
      <c r="H28" s="68">
        <f t="shared" si="4"/>
        <v>11231</v>
      </c>
    </row>
    <row r="29" spans="1:8" x14ac:dyDescent="0.25">
      <c r="A29" s="293">
        <f>A28+1</f>
        <v>11</v>
      </c>
      <c r="B29" s="252" t="s">
        <v>18</v>
      </c>
      <c r="C29" s="253">
        <f t="shared" ref="C29:H29" si="5">SUM(C19:C28)</f>
        <v>54729</v>
      </c>
      <c r="D29" s="253">
        <f t="shared" si="5"/>
        <v>923095361.38791585</v>
      </c>
      <c r="E29" s="253">
        <f t="shared" si="5"/>
        <v>1432728.4875532312</v>
      </c>
      <c r="F29" s="253">
        <f t="shared" si="5"/>
        <v>55013</v>
      </c>
      <c r="G29" s="253">
        <f t="shared" si="5"/>
        <v>909926173.0230304</v>
      </c>
      <c r="H29" s="323">
        <f t="shared" si="5"/>
        <v>1452502.8068765986</v>
      </c>
    </row>
    <row r="30" spans="1:8" x14ac:dyDescent="0.25">
      <c r="A30" s="285"/>
    </row>
    <row r="31" spans="1:8" x14ac:dyDescent="0.25">
      <c r="A31" s="285"/>
    </row>
  </sheetData>
  <mergeCells count="8">
    <mergeCell ref="B5:B6"/>
    <mergeCell ref="A5:A6"/>
    <mergeCell ref="C5:E5"/>
    <mergeCell ref="F5:H5"/>
    <mergeCell ref="A17:A18"/>
    <mergeCell ref="B17:B18"/>
    <mergeCell ref="C17:E17"/>
    <mergeCell ref="F17:H17"/>
  </mergeCells>
  <pageMargins left="0.7" right="0.7" top="0.75" bottom="0.75" header="0.3" footer="0.3"/>
  <pageSetup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workbookViewId="0"/>
  </sheetViews>
  <sheetFormatPr defaultRowHeight="15" x14ac:dyDescent="0.25"/>
  <cols>
    <col min="1" max="1" width="6.7109375" customWidth="1"/>
    <col min="2" max="2" width="35.7109375" customWidth="1"/>
    <col min="3" max="8" width="12.7109375" customWidth="1"/>
  </cols>
  <sheetData>
    <row r="1" spans="1:8" ht="18.75" x14ac:dyDescent="0.3">
      <c r="A1" s="30" t="s">
        <v>0</v>
      </c>
    </row>
    <row r="2" spans="1:8" ht="18.75" x14ac:dyDescent="0.3">
      <c r="A2" s="30" t="s">
        <v>294</v>
      </c>
    </row>
    <row r="3" spans="1:8" ht="19.5" thickBot="1" x14ac:dyDescent="0.35">
      <c r="A3" s="32" t="s">
        <v>354</v>
      </c>
      <c r="B3" s="33"/>
      <c r="C3" s="33"/>
      <c r="D3" s="33"/>
      <c r="E3" s="33"/>
      <c r="F3" s="33"/>
      <c r="G3" s="33"/>
      <c r="H3" s="33"/>
    </row>
    <row r="5" spans="1:8" x14ac:dyDescent="0.25">
      <c r="B5" s="146" t="s">
        <v>347</v>
      </c>
      <c r="C5" s="263">
        <v>2015</v>
      </c>
      <c r="D5" s="87">
        <v>2016</v>
      </c>
    </row>
    <row r="6" spans="1:8" x14ac:dyDescent="0.25">
      <c r="B6" s="12" t="s">
        <v>348</v>
      </c>
      <c r="C6" s="320">
        <f>'[15]Loss Factors'!D4</f>
        <v>1.0427999999999999</v>
      </c>
      <c r="D6" s="80">
        <f>'[15]Loss Factors'!H4</f>
        <v>1.0431999999999999</v>
      </c>
    </row>
    <row r="7" spans="1:8" x14ac:dyDescent="0.25">
      <c r="B7" s="40" t="s">
        <v>349</v>
      </c>
      <c r="C7" s="7">
        <f>'[15]Loss Factors'!D5</f>
        <v>1.0429999999999999</v>
      </c>
      <c r="D7" s="75">
        <f>'[15]Loss Factors'!H5</f>
        <v>1.0148999999999999</v>
      </c>
    </row>
    <row r="8" spans="1:8" x14ac:dyDescent="0.25">
      <c r="B8" s="40" t="s">
        <v>350</v>
      </c>
      <c r="C8" s="7">
        <f>'[15]Loss Factors'!D6</f>
        <v>1.0324</v>
      </c>
      <c r="D8" s="75">
        <f>'[15]Loss Factors'!H6</f>
        <v>1.0327999999999999</v>
      </c>
    </row>
    <row r="9" spans="1:8" x14ac:dyDescent="0.25">
      <c r="B9" s="44" t="s">
        <v>351</v>
      </c>
      <c r="C9" s="321">
        <f>'[15]Loss Factors'!D7</f>
        <v>1.0141</v>
      </c>
      <c r="D9" s="322">
        <f>'[15]Loss Factors'!H7</f>
        <v>1.0048999999999999</v>
      </c>
    </row>
    <row r="22" spans="1:5" ht="45" x14ac:dyDescent="0.25">
      <c r="A22" s="58" t="s">
        <v>296</v>
      </c>
      <c r="B22" s="16" t="s">
        <v>320</v>
      </c>
      <c r="C22" s="255" t="s">
        <v>321</v>
      </c>
      <c r="D22" s="256" t="s">
        <v>322</v>
      </c>
    </row>
    <row r="23" spans="1:5" s="34" customFormat="1" ht="30" customHeight="1" x14ac:dyDescent="0.25">
      <c r="A23" s="257">
        <v>1</v>
      </c>
      <c r="B23" s="273" t="s">
        <v>323</v>
      </c>
      <c r="C23" s="274"/>
      <c r="D23" s="275">
        <v>19.920000000000002</v>
      </c>
    </row>
    <row r="24" spans="1:5" s="34" customFormat="1" ht="30" customHeight="1" x14ac:dyDescent="0.25">
      <c r="A24" s="258">
        <f>A23+1</f>
        <v>2</v>
      </c>
      <c r="B24" s="276" t="s">
        <v>324</v>
      </c>
      <c r="C24" s="277">
        <v>21.68</v>
      </c>
      <c r="D24" s="278"/>
    </row>
    <row r="25" spans="1:5" s="34" customFormat="1" ht="30" customHeight="1" x14ac:dyDescent="0.25">
      <c r="A25" s="258">
        <f>A24+1</f>
        <v>3</v>
      </c>
      <c r="B25" s="276" t="s">
        <v>325</v>
      </c>
      <c r="C25" s="277">
        <v>81.94</v>
      </c>
      <c r="D25" s="278">
        <v>74.88</v>
      </c>
    </row>
    <row r="26" spans="1:5" s="34" customFormat="1" ht="30" customHeight="1" x14ac:dyDescent="0.25">
      <c r="A26" s="258">
        <f>A25+1</f>
        <v>4</v>
      </c>
      <c r="B26" s="276" t="s">
        <v>326</v>
      </c>
      <c r="C26" s="277">
        <v>1</v>
      </c>
      <c r="D26" s="278"/>
    </row>
    <row r="27" spans="1:5" s="34" customFormat="1" ht="30" customHeight="1" x14ac:dyDescent="0.25">
      <c r="A27" s="259">
        <f>A26+1</f>
        <v>5</v>
      </c>
      <c r="B27" s="279" t="s">
        <v>327</v>
      </c>
      <c r="C27" s="280">
        <v>-2.52</v>
      </c>
      <c r="D27" s="281"/>
    </row>
    <row r="28" spans="1:5" s="34" customFormat="1" ht="30" customHeight="1" x14ac:dyDescent="0.25">
      <c r="A28" s="260">
        <f>A27+1</f>
        <v>6</v>
      </c>
      <c r="B28" s="282" t="s">
        <v>328</v>
      </c>
      <c r="C28" s="283">
        <f>SUM(C23:C27)</f>
        <v>102.10000000000001</v>
      </c>
      <c r="D28" s="284">
        <f>SUM(D23:D27)</f>
        <v>94.8</v>
      </c>
    </row>
    <row r="31" spans="1:5" ht="30" x14ac:dyDescent="0.25">
      <c r="A31" s="58" t="s">
        <v>296</v>
      </c>
      <c r="B31" s="255" t="s">
        <v>297</v>
      </c>
      <c r="C31" s="16" t="s">
        <v>335</v>
      </c>
      <c r="D31" s="16" t="s">
        <v>339</v>
      </c>
      <c r="E31" s="17" t="s">
        <v>329</v>
      </c>
    </row>
    <row r="32" spans="1:5" x14ac:dyDescent="0.25">
      <c r="A32" s="257">
        <v>1</v>
      </c>
      <c r="B32" s="13" t="s">
        <v>2</v>
      </c>
      <c r="C32" s="47">
        <v>263323082.11636013</v>
      </c>
      <c r="D32" s="47">
        <v>26132361.210000031</v>
      </c>
      <c r="E32" s="48">
        <v>289455443.32636017</v>
      </c>
    </row>
    <row r="33" spans="1:8" x14ac:dyDescent="0.25">
      <c r="A33" s="258">
        <f>A32+1</f>
        <v>2</v>
      </c>
      <c r="B33" s="3" t="s">
        <v>309</v>
      </c>
      <c r="C33" s="5">
        <v>92600705.372760147</v>
      </c>
      <c r="D33" s="5">
        <v>17225571.930000003</v>
      </c>
      <c r="E33" s="18">
        <v>109826277.30276015</v>
      </c>
    </row>
    <row r="34" spans="1:8" x14ac:dyDescent="0.25">
      <c r="A34" s="258">
        <f t="shared" ref="A34:A45" si="0">A33+1</f>
        <v>3</v>
      </c>
      <c r="B34" s="3" t="s">
        <v>310</v>
      </c>
      <c r="C34" s="5">
        <v>45487761</v>
      </c>
      <c r="D34" s="5">
        <v>307853636.97732127</v>
      </c>
      <c r="E34" s="18">
        <v>353341397.97732127</v>
      </c>
    </row>
    <row r="35" spans="1:8" x14ac:dyDescent="0.25">
      <c r="A35" s="258">
        <f t="shared" si="0"/>
        <v>4</v>
      </c>
      <c r="B35" s="3" t="s">
        <v>275</v>
      </c>
      <c r="C35" s="5">
        <v>0</v>
      </c>
      <c r="D35" s="5">
        <v>113731870.00479385</v>
      </c>
      <c r="E35" s="18">
        <v>113731870.00479385</v>
      </c>
    </row>
    <row r="36" spans="1:8" x14ac:dyDescent="0.25">
      <c r="A36" s="258">
        <f t="shared" si="0"/>
        <v>5</v>
      </c>
      <c r="B36" s="3" t="s">
        <v>330</v>
      </c>
      <c r="C36" s="5">
        <v>0</v>
      </c>
      <c r="D36" s="5">
        <v>33167215.004141606</v>
      </c>
      <c r="E36" s="18">
        <v>33167215.004141606</v>
      </c>
    </row>
    <row r="37" spans="1:8" x14ac:dyDescent="0.25">
      <c r="A37" s="258">
        <f t="shared" si="0"/>
        <v>6</v>
      </c>
      <c r="B37" s="3" t="s">
        <v>312</v>
      </c>
      <c r="C37" s="5">
        <v>0</v>
      </c>
      <c r="D37" s="5">
        <v>31573402.002986562</v>
      </c>
      <c r="E37" s="18">
        <v>31573402.002986562</v>
      </c>
    </row>
    <row r="38" spans="1:8" x14ac:dyDescent="0.25">
      <c r="A38" s="258">
        <f t="shared" si="0"/>
        <v>7</v>
      </c>
      <c r="B38" s="3" t="s">
        <v>338</v>
      </c>
      <c r="C38" s="5">
        <v>1243772.2249999999</v>
      </c>
      <c r="D38" s="5">
        <v>5671.7350000000006</v>
      </c>
      <c r="E38" s="18">
        <v>1249443.96</v>
      </c>
    </row>
    <row r="39" spans="1:8" x14ac:dyDescent="0.25">
      <c r="A39" s="258">
        <f t="shared" si="0"/>
        <v>8</v>
      </c>
      <c r="B39" s="3" t="s">
        <v>8</v>
      </c>
      <c r="C39" s="5">
        <v>408651.75332497479</v>
      </c>
      <c r="D39" s="5">
        <v>0</v>
      </c>
      <c r="E39" s="18">
        <v>408651.75332497479</v>
      </c>
    </row>
    <row r="40" spans="1:8" x14ac:dyDescent="0.25">
      <c r="A40" s="258">
        <f t="shared" si="0"/>
        <v>9</v>
      </c>
      <c r="B40" s="3" t="s">
        <v>7</v>
      </c>
      <c r="C40" s="5">
        <v>0</v>
      </c>
      <c r="D40" s="5">
        <v>7533249.3300304115</v>
      </c>
      <c r="E40" s="18">
        <v>7533249.3300304115</v>
      </c>
    </row>
    <row r="41" spans="1:8" x14ac:dyDescent="0.25">
      <c r="A41" s="259">
        <f t="shared" si="0"/>
        <v>10</v>
      </c>
      <c r="B41" s="65" t="s">
        <v>331</v>
      </c>
      <c r="C41" s="25">
        <v>0</v>
      </c>
      <c r="D41" s="25">
        <v>0</v>
      </c>
      <c r="E41" s="68">
        <v>0</v>
      </c>
    </row>
    <row r="42" spans="1:8" x14ac:dyDescent="0.25">
      <c r="A42" s="262">
        <f t="shared" si="0"/>
        <v>11</v>
      </c>
      <c r="B42" s="263" t="s">
        <v>18</v>
      </c>
      <c r="C42" s="264">
        <f>SUM(C32:C41)</f>
        <v>403063972.46744525</v>
      </c>
      <c r="D42" s="264">
        <f>SUM(D32:D41)</f>
        <v>537222978.19427371</v>
      </c>
      <c r="E42" s="265">
        <f>SUM(E32:E41)</f>
        <v>940286950.66171908</v>
      </c>
      <c r="G42" s="325"/>
    </row>
    <row r="43" spans="1:8" x14ac:dyDescent="0.25">
      <c r="A43" s="257">
        <f t="shared" si="0"/>
        <v>12</v>
      </c>
      <c r="B43" s="266" t="s">
        <v>332</v>
      </c>
      <c r="C43" s="267">
        <f>C42/E42</f>
        <v>0.42866060428020653</v>
      </c>
      <c r="D43" s="267">
        <f>D42/E42</f>
        <v>0.57133939571979331</v>
      </c>
      <c r="E43" s="268">
        <f>SUM(C43:D43)</f>
        <v>0.99999999999999978</v>
      </c>
    </row>
    <row r="44" spans="1:8" x14ac:dyDescent="0.25">
      <c r="A44" s="259">
        <f t="shared" si="0"/>
        <v>13</v>
      </c>
      <c r="B44" s="269" t="s">
        <v>333</v>
      </c>
      <c r="C44" s="251">
        <f>C28/1000</f>
        <v>0.10210000000000001</v>
      </c>
      <c r="D44" s="251">
        <f>D28/1000</f>
        <v>9.4799999999999995E-2</v>
      </c>
      <c r="E44" s="270"/>
    </row>
    <row r="45" spans="1:8" x14ac:dyDescent="0.25">
      <c r="A45" s="260">
        <f t="shared" si="0"/>
        <v>14</v>
      </c>
      <c r="B45" s="261" t="s">
        <v>334</v>
      </c>
      <c r="C45" s="271">
        <f>C43*C44</f>
        <v>4.3766247697009091E-2</v>
      </c>
      <c r="D45" s="271">
        <f>D43*D44</f>
        <v>5.4162974714236402E-2</v>
      </c>
      <c r="E45" s="272">
        <f>SUM(C45:D45)</f>
        <v>9.7929222411245492E-2</v>
      </c>
    </row>
    <row r="48" spans="1:8" ht="30" x14ac:dyDescent="0.25">
      <c r="A48" s="499" t="s">
        <v>296</v>
      </c>
      <c r="B48" s="501" t="s">
        <v>297</v>
      </c>
      <c r="C48" s="312" t="s">
        <v>336</v>
      </c>
      <c r="D48" s="312" t="s">
        <v>337</v>
      </c>
      <c r="E48" s="312" t="s">
        <v>336</v>
      </c>
      <c r="F48" s="312" t="s">
        <v>337</v>
      </c>
      <c r="G48" s="312" t="s">
        <v>336</v>
      </c>
      <c r="H48" s="313" t="s">
        <v>337</v>
      </c>
    </row>
    <row r="49" spans="1:8" x14ac:dyDescent="0.25">
      <c r="A49" s="500"/>
      <c r="B49" s="502"/>
      <c r="C49" s="503" t="s">
        <v>315</v>
      </c>
      <c r="D49" s="504"/>
      <c r="E49" s="505" t="s">
        <v>340</v>
      </c>
      <c r="F49" s="506"/>
      <c r="G49" s="505" t="s">
        <v>341</v>
      </c>
      <c r="H49" s="507"/>
    </row>
    <row r="50" spans="1:8" x14ac:dyDescent="0.25">
      <c r="A50" s="119">
        <v>1</v>
      </c>
      <c r="B50" s="13" t="s">
        <v>2</v>
      </c>
      <c r="C50" s="317">
        <v>2.9999999999999997E-4</v>
      </c>
      <c r="D50" s="317">
        <f>'[16]LV Rates'!I6</f>
        <v>1.8E-3</v>
      </c>
      <c r="E50" s="317">
        <v>7.4000000000000003E-3</v>
      </c>
      <c r="F50" s="317">
        <f>'[15]RTSR 1'!M18</f>
        <v>7.3000000000000001E-3</v>
      </c>
      <c r="G50" s="317">
        <v>5.3E-3</v>
      </c>
      <c r="H50" s="318">
        <f>'[15]RTSR 1'!N18</f>
        <v>5.4000000000000003E-3</v>
      </c>
    </row>
    <row r="51" spans="1:8" x14ac:dyDescent="0.25">
      <c r="A51" s="120">
        <f>A50+1</f>
        <v>2</v>
      </c>
      <c r="B51" s="3" t="s">
        <v>3</v>
      </c>
      <c r="C51" s="249">
        <v>2.9999999999999997E-4</v>
      </c>
      <c r="D51" s="317">
        <f>'[16]LV Rates'!I7</f>
        <v>1.6000000000000001E-3</v>
      </c>
      <c r="E51" s="249">
        <v>6.4999999999999997E-3</v>
      </c>
      <c r="F51" s="249">
        <f>'[15]RTSR 1'!M19</f>
        <v>6.4000000000000003E-3</v>
      </c>
      <c r="G51" s="249">
        <v>4.7000000000000002E-3</v>
      </c>
      <c r="H51" s="314">
        <f>'[15]RTSR 1'!N19</f>
        <v>4.7999999999999996E-3</v>
      </c>
    </row>
    <row r="52" spans="1:8" x14ac:dyDescent="0.25">
      <c r="A52" s="120">
        <f t="shared" ref="A52:A58" si="1">A51+1</f>
        <v>3</v>
      </c>
      <c r="B52" s="3" t="s">
        <v>4</v>
      </c>
      <c r="C52" s="249">
        <v>0.12620000000000001</v>
      </c>
      <c r="D52" s="317">
        <f>'[16]LV Rates'!I8</f>
        <v>0.6512</v>
      </c>
      <c r="E52" s="249">
        <v>2.8271999999999999</v>
      </c>
      <c r="F52" s="249">
        <f>'[15]RTSR 1'!M20</f>
        <v>2.7772999999999999</v>
      </c>
      <c r="G52" s="249">
        <v>1.9723999999999999</v>
      </c>
      <c r="H52" s="314">
        <f>'[15]RTSR 1'!N20</f>
        <v>2.0087000000000002</v>
      </c>
    </row>
    <row r="53" spans="1:8" x14ac:dyDescent="0.25">
      <c r="A53" s="120">
        <f t="shared" si="1"/>
        <v>4</v>
      </c>
      <c r="B53" s="3" t="s">
        <v>342</v>
      </c>
      <c r="C53" s="249">
        <v>0.12620000000000001</v>
      </c>
      <c r="D53" s="317">
        <f>D52</f>
        <v>0.6512</v>
      </c>
      <c r="E53" s="249">
        <v>2.8271999999999999</v>
      </c>
      <c r="F53" s="249">
        <f>F52</f>
        <v>2.7772999999999999</v>
      </c>
      <c r="G53" s="249">
        <v>1.9723999999999999</v>
      </c>
      <c r="H53" s="314">
        <f>H52</f>
        <v>2.0087000000000002</v>
      </c>
    </row>
    <row r="54" spans="1:8" x14ac:dyDescent="0.25">
      <c r="A54" s="120">
        <f t="shared" si="1"/>
        <v>5</v>
      </c>
      <c r="B54" s="3" t="s">
        <v>5</v>
      </c>
      <c r="C54" s="249">
        <v>0.1363</v>
      </c>
      <c r="D54" s="317">
        <f>'[16]LV Rates'!I9</f>
        <v>0.71589999999999998</v>
      </c>
      <c r="E54" s="249">
        <v>2.9998</v>
      </c>
      <c r="F54" s="249">
        <f>'[15]RTSR 1'!M21</f>
        <v>2.9468999999999999</v>
      </c>
      <c r="G54" s="249">
        <v>2.1684000000000001</v>
      </c>
      <c r="H54" s="314">
        <f>'[15]RTSR 1'!N21</f>
        <v>2.2082999999999999</v>
      </c>
    </row>
    <row r="55" spans="1:8" x14ac:dyDescent="0.25">
      <c r="A55" s="120">
        <f t="shared" si="1"/>
        <v>6</v>
      </c>
      <c r="B55" s="3" t="s">
        <v>6</v>
      </c>
      <c r="C55" s="249">
        <v>2.9999999999999997E-4</v>
      </c>
      <c r="D55" s="317">
        <f>'[16]LV Rates'!I10</f>
        <v>1.6000000000000001E-3</v>
      </c>
      <c r="E55" s="249">
        <v>6.4999999999999997E-3</v>
      </c>
      <c r="F55" s="249">
        <f>'[15]RTSR 1'!M22</f>
        <v>6.4000000000000003E-3</v>
      </c>
      <c r="G55" s="249">
        <v>4.7000000000000002E-3</v>
      </c>
      <c r="H55" s="314">
        <f>'[15]RTSR 1'!N22</f>
        <v>4.7999999999999996E-3</v>
      </c>
    </row>
    <row r="56" spans="1:8" x14ac:dyDescent="0.25">
      <c r="A56" s="120">
        <f t="shared" si="1"/>
        <v>7</v>
      </c>
      <c r="B56" s="3" t="s">
        <v>301</v>
      </c>
      <c r="C56" s="249">
        <v>9.11E-2</v>
      </c>
      <c r="D56" s="317">
        <f>'[16]LV Rates'!I11</f>
        <v>0.4894</v>
      </c>
      <c r="E56" s="249">
        <v>2.0769000000000002</v>
      </c>
      <c r="F56" s="249">
        <f>'[15]RTSR 1'!M23</f>
        <v>2.0402999999999998</v>
      </c>
      <c r="G56" s="249">
        <v>1.4823</v>
      </c>
      <c r="H56" s="314">
        <f>'[15]RTSR 1'!N23</f>
        <v>1.5096000000000001</v>
      </c>
    </row>
    <row r="57" spans="1:8" x14ac:dyDescent="0.25">
      <c r="A57" s="120">
        <f t="shared" si="1"/>
        <v>8</v>
      </c>
      <c r="B57" s="3" t="s">
        <v>302</v>
      </c>
      <c r="C57" s="249">
        <v>5.2299999999999999E-2</v>
      </c>
      <c r="D57" s="317">
        <f>'[16]LV Rates'!I12</f>
        <v>0.47799999999999998</v>
      </c>
      <c r="E57" s="249">
        <v>2.0554999999999999</v>
      </c>
      <c r="F57" s="249">
        <f>'[15]RTSR 1'!M24</f>
        <v>2.0192000000000001</v>
      </c>
      <c r="G57" s="249">
        <v>1.4478</v>
      </c>
      <c r="H57" s="314">
        <f>'[15]RTSR 1'!N24</f>
        <v>1.4744999999999999</v>
      </c>
    </row>
    <row r="58" spans="1:8" x14ac:dyDescent="0.25">
      <c r="A58" s="121">
        <f t="shared" si="1"/>
        <v>9</v>
      </c>
      <c r="B58" s="77" t="s">
        <v>303</v>
      </c>
      <c r="C58" s="315">
        <v>0</v>
      </c>
      <c r="D58" s="315">
        <v>0</v>
      </c>
      <c r="E58" s="315">
        <v>0</v>
      </c>
      <c r="F58" s="315">
        <f>'[15]RTSR 1'!M25</f>
        <v>0</v>
      </c>
      <c r="G58" s="315">
        <v>0</v>
      </c>
      <c r="H58" s="316">
        <f>'[15]RTSR 1'!N25</f>
        <v>0</v>
      </c>
    </row>
  </sheetData>
  <mergeCells count="5">
    <mergeCell ref="A48:A49"/>
    <mergeCell ref="B48:B49"/>
    <mergeCell ref="C49:D49"/>
    <mergeCell ref="E49:F49"/>
    <mergeCell ref="G49:H49"/>
  </mergeCells>
  <pageMargins left="0.7" right="0.7" top="0.75" bottom="0.75" header="0.3" footer="0.3"/>
  <pageSetup scale="50"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workbookViewId="0">
      <pane ySplit="6" topLeftCell="A7" activePane="bottomLeft" state="frozen"/>
      <selection pane="bottomLeft" activeCell="A7" sqref="A7"/>
    </sheetView>
  </sheetViews>
  <sheetFormatPr defaultRowHeight="15" x14ac:dyDescent="0.25"/>
  <cols>
    <col min="1" max="1" width="6.7109375" customWidth="1"/>
    <col min="2" max="2" width="24.140625" customWidth="1"/>
    <col min="3" max="3" width="6.42578125" customWidth="1"/>
    <col min="4" max="4" width="12.7109375" style="1" customWidth="1"/>
    <col min="5" max="5" width="10.7109375" customWidth="1"/>
    <col min="6" max="6" width="12.7109375" customWidth="1"/>
    <col min="7" max="7" width="10.7109375" customWidth="1"/>
    <col min="8" max="8" width="14.7109375" customWidth="1"/>
    <col min="9" max="9" width="12.7109375" customWidth="1"/>
    <col min="10" max="10" width="10.7109375" customWidth="1"/>
    <col min="11" max="11" width="12.7109375" customWidth="1"/>
    <col min="12" max="12" width="10.7109375" customWidth="1"/>
    <col min="13" max="13" width="14.7109375" customWidth="1"/>
  </cols>
  <sheetData>
    <row r="1" spans="1:13" ht="18.75" x14ac:dyDescent="0.3">
      <c r="A1" s="30" t="s">
        <v>0</v>
      </c>
      <c r="H1" s="30"/>
    </row>
    <row r="2" spans="1:13" ht="18.75" x14ac:dyDescent="0.3">
      <c r="A2" s="30" t="s">
        <v>294</v>
      </c>
      <c r="H2" s="30"/>
    </row>
    <row r="3" spans="1:13" ht="19.5" thickBot="1" x14ac:dyDescent="0.35">
      <c r="A3" s="32" t="s">
        <v>343</v>
      </c>
      <c r="B3" s="33"/>
      <c r="C3" s="33"/>
      <c r="D3" s="99"/>
      <c r="E3" s="33"/>
      <c r="F3" s="33"/>
      <c r="G3" s="33"/>
      <c r="H3" s="32"/>
      <c r="I3" s="33"/>
      <c r="J3" s="33"/>
      <c r="K3" s="33"/>
      <c r="L3" s="33"/>
      <c r="M3" s="33"/>
    </row>
    <row r="5" spans="1:13" ht="18.75" x14ac:dyDescent="0.3">
      <c r="A5" s="494" t="s">
        <v>296</v>
      </c>
      <c r="B5" s="511" t="s">
        <v>297</v>
      </c>
      <c r="C5" s="513" t="s">
        <v>352</v>
      </c>
      <c r="D5" s="508">
        <v>2015</v>
      </c>
      <c r="E5" s="509"/>
      <c r="F5" s="509"/>
      <c r="G5" s="509"/>
      <c r="H5" s="510"/>
      <c r="I5" s="508">
        <v>2016</v>
      </c>
      <c r="J5" s="509"/>
      <c r="K5" s="509"/>
      <c r="L5" s="509"/>
      <c r="M5" s="510"/>
    </row>
    <row r="6" spans="1:13" ht="30" x14ac:dyDescent="0.25">
      <c r="A6" s="495"/>
      <c r="B6" s="512"/>
      <c r="C6" s="503"/>
      <c r="D6" s="302" t="s">
        <v>353</v>
      </c>
      <c r="E6" s="297" t="s">
        <v>62</v>
      </c>
      <c r="F6" s="296" t="s">
        <v>304</v>
      </c>
      <c r="G6" s="298" t="s">
        <v>305</v>
      </c>
      <c r="H6" s="299" t="s">
        <v>306</v>
      </c>
      <c r="I6" s="305" t="s">
        <v>353</v>
      </c>
      <c r="J6" s="297" t="s">
        <v>62</v>
      </c>
      <c r="K6" s="296" t="s">
        <v>304</v>
      </c>
      <c r="L6" s="298" t="s">
        <v>305</v>
      </c>
      <c r="M6" s="299" t="s">
        <v>306</v>
      </c>
    </row>
    <row r="7" spans="1:13" x14ac:dyDescent="0.25">
      <c r="A7" s="287">
        <v>1</v>
      </c>
      <c r="B7" s="288" t="s">
        <v>307</v>
      </c>
      <c r="C7" s="300"/>
      <c r="D7" s="303"/>
      <c r="E7" s="289"/>
      <c r="F7" s="289"/>
      <c r="G7" s="289"/>
      <c r="H7" s="290"/>
      <c r="I7" s="306"/>
      <c r="J7" s="289"/>
      <c r="K7" s="289"/>
      <c r="L7" s="289"/>
      <c r="M7" s="290"/>
    </row>
    <row r="8" spans="1:13" x14ac:dyDescent="0.25">
      <c r="A8" s="120">
        <f>A7+1</f>
        <v>2</v>
      </c>
      <c r="B8" s="3" t="s">
        <v>2</v>
      </c>
      <c r="C8" s="52" t="s">
        <v>24</v>
      </c>
      <c r="D8" s="60">
        <f>Summary!$D$7</f>
        <v>283016587.250485</v>
      </c>
      <c r="E8" s="3">
        <f>'COP Rates'!$C$6</f>
        <v>1.0427999999999999</v>
      </c>
      <c r="F8" s="5">
        <f>D8*E8</f>
        <v>295129697.18480575</v>
      </c>
      <c r="G8" s="249">
        <f>'COP Rates'!E45</f>
        <v>9.7929222411245492E-2</v>
      </c>
      <c r="H8" s="250">
        <f>F8*G8</f>
        <v>28901821.755774375</v>
      </c>
      <c r="I8" s="60">
        <f>Summary!$G$7</f>
        <v>277476009.23399138</v>
      </c>
      <c r="J8" s="3">
        <f>'COP Rates'!$D$6</f>
        <v>1.0431999999999999</v>
      </c>
      <c r="K8" s="5">
        <f>I8*J8</f>
        <v>289462972.83289981</v>
      </c>
      <c r="L8" s="249">
        <f>'COP Rates'!E45</f>
        <v>9.7929222411245492E-2</v>
      </c>
      <c r="M8" s="250">
        <f>K8*L8</f>
        <v>28346883.846373357</v>
      </c>
    </row>
    <row r="9" spans="1:13" x14ac:dyDescent="0.25">
      <c r="A9" s="120">
        <f t="shared" ref="A9:A69" si="0">A8+1</f>
        <v>3</v>
      </c>
      <c r="B9" s="3" t="s">
        <v>309</v>
      </c>
      <c r="C9" s="52" t="s">
        <v>24</v>
      </c>
      <c r="D9" s="60">
        <f>Summary!$D$8</f>
        <v>104337671.80952397</v>
      </c>
      <c r="E9" s="3">
        <f>'COP Rates'!$C$6</f>
        <v>1.0427999999999999</v>
      </c>
      <c r="F9" s="5">
        <f t="shared" ref="F9:F16" si="1">D9*E9</f>
        <v>108803324.16297159</v>
      </c>
      <c r="G9" s="249">
        <f>G8</f>
        <v>9.7929222411245492E-2</v>
      </c>
      <c r="H9" s="250">
        <f t="shared" ref="H9:H16" si="2">F9*G9</f>
        <v>10655024.931038486</v>
      </c>
      <c r="I9" s="60">
        <f>Summary!$G$8</f>
        <v>99682763.93957378</v>
      </c>
      <c r="J9" s="3">
        <f>'COP Rates'!$D$6</f>
        <v>1.0431999999999999</v>
      </c>
      <c r="K9" s="5">
        <f t="shared" ref="K9:K16" si="3">I9*J9</f>
        <v>103989059.34176336</v>
      </c>
      <c r="L9" s="249">
        <f>L8</f>
        <v>9.7929222411245492E-2</v>
      </c>
      <c r="M9" s="250">
        <f t="shared" ref="M9:M16" si="4">K9*L9</f>
        <v>10183567.72061575</v>
      </c>
    </row>
    <row r="10" spans="1:13" x14ac:dyDescent="0.25">
      <c r="A10" s="120">
        <f t="shared" si="0"/>
        <v>4</v>
      </c>
      <c r="B10" s="3" t="s">
        <v>310</v>
      </c>
      <c r="C10" s="52" t="s">
        <v>24</v>
      </c>
      <c r="D10" s="60">
        <f>Summary!$D$9</f>
        <v>470506400.35245085</v>
      </c>
      <c r="E10" s="3">
        <f>'COP Rates'!$C$6</f>
        <v>1.0427999999999999</v>
      </c>
      <c r="F10" s="5">
        <f t="shared" si="1"/>
        <v>490644074.28753573</v>
      </c>
      <c r="G10" s="249">
        <f>G9</f>
        <v>9.7929222411245492E-2</v>
      </c>
      <c r="H10" s="250">
        <f t="shared" si="2"/>
        <v>48048392.675663739</v>
      </c>
      <c r="I10" s="60">
        <f>Summary!$G$9</f>
        <v>478846837.84755301</v>
      </c>
      <c r="J10" s="3">
        <f>'COP Rates'!$D$6</f>
        <v>1.0431999999999999</v>
      </c>
      <c r="K10" s="5">
        <f t="shared" si="3"/>
        <v>499533021.24256724</v>
      </c>
      <c r="L10" s="249">
        <f>L9</f>
        <v>9.7929222411245492E-2</v>
      </c>
      <c r="M10" s="250">
        <f t="shared" si="4"/>
        <v>48918880.33902479</v>
      </c>
    </row>
    <row r="11" spans="1:13" x14ac:dyDescent="0.25">
      <c r="A11" s="120">
        <f t="shared" si="0"/>
        <v>5</v>
      </c>
      <c r="B11" s="286" t="s">
        <v>311</v>
      </c>
      <c r="C11" s="52" t="s">
        <v>24</v>
      </c>
      <c r="D11" s="60">
        <f>-WMP!D14</f>
        <v>-6613941.9607762937</v>
      </c>
      <c r="E11" s="3">
        <f>'COP Rates'!$C$6</f>
        <v>1.0427999999999999</v>
      </c>
      <c r="F11" s="5">
        <f t="shared" si="1"/>
        <v>-6897018.6766975187</v>
      </c>
      <c r="G11" s="249">
        <f>G10</f>
        <v>9.7929222411245492E-2</v>
      </c>
      <c r="H11" s="250">
        <f t="shared" si="2"/>
        <v>-675419.67596482532</v>
      </c>
      <c r="I11" s="60">
        <f>-WMP!D15</f>
        <v>-6861698.7259583157</v>
      </c>
      <c r="J11" s="3">
        <f>'COP Rates'!$D$6</f>
        <v>1.0431999999999999</v>
      </c>
      <c r="K11" s="5">
        <f t="shared" si="3"/>
        <v>-7158124.110919714</v>
      </c>
      <c r="L11" s="249">
        <f>L10</f>
        <v>9.7929222411245492E-2</v>
      </c>
      <c r="M11" s="250">
        <f t="shared" si="4"/>
        <v>-700989.52810555557</v>
      </c>
    </row>
    <row r="12" spans="1:13" x14ac:dyDescent="0.25">
      <c r="A12" s="120">
        <f t="shared" si="0"/>
        <v>6</v>
      </c>
      <c r="B12" s="3" t="s">
        <v>5</v>
      </c>
      <c r="C12" s="52" t="s">
        <v>24</v>
      </c>
      <c r="D12" s="60">
        <f>Summary!D10</f>
        <v>51639984.475155152</v>
      </c>
      <c r="E12" s="3">
        <f>'COP Rates'!$C$9</f>
        <v>1.0141</v>
      </c>
      <c r="F12" s="5">
        <f t="shared" si="1"/>
        <v>52368108.256254837</v>
      </c>
      <c r="G12" s="249">
        <f>G10</f>
        <v>9.7929222411245492E-2</v>
      </c>
      <c r="H12" s="250">
        <f t="shared" si="2"/>
        <v>5128368.1206829613</v>
      </c>
      <c r="I12" s="60">
        <f>Summary!G10</f>
        <v>40551282.501611322</v>
      </c>
      <c r="J12" s="3">
        <f>'COP Rates'!$D$9</f>
        <v>1.0048999999999999</v>
      </c>
      <c r="K12" s="5">
        <f t="shared" si="3"/>
        <v>40749983.785869211</v>
      </c>
      <c r="L12" s="249">
        <f>L10</f>
        <v>9.7929222411245492E-2</v>
      </c>
      <c r="M12" s="250">
        <f t="shared" si="4"/>
        <v>3990614.2254210338</v>
      </c>
    </row>
    <row r="13" spans="1:13" x14ac:dyDescent="0.25">
      <c r="A13" s="120">
        <f t="shared" si="0"/>
        <v>7</v>
      </c>
      <c r="B13" s="3" t="s">
        <v>313</v>
      </c>
      <c r="C13" s="52" t="s">
        <v>24</v>
      </c>
      <c r="D13" s="60">
        <f>Summary!$D$11</f>
        <v>1268750</v>
      </c>
      <c r="E13" s="3">
        <f>'COP Rates'!$C$6</f>
        <v>1.0427999999999999</v>
      </c>
      <c r="F13" s="5">
        <f t="shared" si="1"/>
        <v>1323052.5</v>
      </c>
      <c r="G13" s="249">
        <f>G12</f>
        <v>9.7929222411245492E-2</v>
      </c>
      <c r="H13" s="250">
        <f t="shared" si="2"/>
        <v>129565.50253425438</v>
      </c>
      <c r="I13" s="60">
        <f>Summary!$G$11</f>
        <v>1288075</v>
      </c>
      <c r="J13" s="3">
        <f>'COP Rates'!$D$6</f>
        <v>1.0431999999999999</v>
      </c>
      <c r="K13" s="5">
        <f t="shared" si="3"/>
        <v>1343719.8399999999</v>
      </c>
      <c r="L13" s="249">
        <f>L12</f>
        <v>9.7929222411245492E-2</v>
      </c>
      <c r="M13" s="250">
        <f t="shared" si="4"/>
        <v>131589.4390697632</v>
      </c>
    </row>
    <row r="14" spans="1:13" x14ac:dyDescent="0.25">
      <c r="A14" s="120">
        <f t="shared" si="0"/>
        <v>8</v>
      </c>
      <c r="B14" s="3" t="s">
        <v>8</v>
      </c>
      <c r="C14" s="52" t="s">
        <v>24</v>
      </c>
      <c r="D14" s="60">
        <f>Summary!$D$12</f>
        <v>402619</v>
      </c>
      <c r="E14" s="3">
        <f>'COP Rates'!$C$6</f>
        <v>1.0427999999999999</v>
      </c>
      <c r="F14" s="5">
        <f t="shared" si="1"/>
        <v>419851.0932</v>
      </c>
      <c r="G14" s="249">
        <f>G13</f>
        <v>9.7929222411245492E-2</v>
      </c>
      <c r="H14" s="250">
        <f t="shared" si="2"/>
        <v>41115.691085587358</v>
      </c>
      <c r="I14" s="60">
        <f>Summary!$G$12</f>
        <v>396340</v>
      </c>
      <c r="J14" s="3">
        <f>'COP Rates'!$D$6</f>
        <v>1.0431999999999999</v>
      </c>
      <c r="K14" s="5">
        <f t="shared" si="3"/>
        <v>413461.88799999998</v>
      </c>
      <c r="L14" s="249">
        <f>L13</f>
        <v>9.7929222411245492E-2</v>
      </c>
      <c r="M14" s="250">
        <f t="shared" si="4"/>
        <v>40490.001188525472</v>
      </c>
    </row>
    <row r="15" spans="1:13" x14ac:dyDescent="0.25">
      <c r="A15" s="120">
        <f t="shared" si="0"/>
        <v>9</v>
      </c>
      <c r="B15" s="3" t="s">
        <v>7</v>
      </c>
      <c r="C15" s="52" t="s">
        <v>24</v>
      </c>
      <c r="D15" s="60">
        <f>Summary!$D$13</f>
        <v>7396373.5003008721</v>
      </c>
      <c r="E15" s="3">
        <f>'COP Rates'!$C$6</f>
        <v>1.0427999999999999</v>
      </c>
      <c r="F15" s="5">
        <f t="shared" si="1"/>
        <v>7712938.2861137493</v>
      </c>
      <c r="G15" s="249">
        <f>G14</f>
        <v>9.7929222411245492E-2</v>
      </c>
      <c r="H15" s="250">
        <f t="shared" si="2"/>
        <v>755322.04886504402</v>
      </c>
      <c r="I15" s="60">
        <f>Summary!$G$13</f>
        <v>7263207.5003008721</v>
      </c>
      <c r="J15" s="3">
        <f>'COP Rates'!$D$6</f>
        <v>1.0431999999999999</v>
      </c>
      <c r="K15" s="5">
        <f t="shared" si="3"/>
        <v>7576978.064313869</v>
      </c>
      <c r="L15" s="249">
        <f>L14</f>
        <v>9.7929222411245492E-2</v>
      </c>
      <c r="M15" s="250">
        <f t="shared" si="4"/>
        <v>742007.57006532128</v>
      </c>
    </row>
    <row r="16" spans="1:13" x14ac:dyDescent="0.25">
      <c r="A16" s="291">
        <f t="shared" si="0"/>
        <v>10</v>
      </c>
      <c r="B16" s="65" t="s">
        <v>303</v>
      </c>
      <c r="C16" s="66" t="s">
        <v>24</v>
      </c>
      <c r="D16" s="67">
        <f>Summary!$D$14</f>
        <v>4526975</v>
      </c>
      <c r="E16" s="65">
        <f>'COP Rates'!$C$9</f>
        <v>1.0141</v>
      </c>
      <c r="F16" s="25">
        <f t="shared" si="1"/>
        <v>4590805.3475000001</v>
      </c>
      <c r="G16" s="251">
        <f>G15</f>
        <v>9.7929222411245492E-2</v>
      </c>
      <c r="H16" s="292">
        <f t="shared" si="2"/>
        <v>449573.99792206264</v>
      </c>
      <c r="I16" s="67">
        <f>Summary!$G$14</f>
        <v>4421657</v>
      </c>
      <c r="J16" s="65">
        <f>'COP Rates'!$D$9</f>
        <v>1.0048999999999999</v>
      </c>
      <c r="K16" s="25">
        <f t="shared" si="3"/>
        <v>4443323.1192999994</v>
      </c>
      <c r="L16" s="251">
        <f>L15</f>
        <v>9.7929222411245492E-2</v>
      </c>
      <c r="M16" s="292">
        <f t="shared" si="4"/>
        <v>435131.17799495871</v>
      </c>
    </row>
    <row r="17" spans="1:14" x14ac:dyDescent="0.25">
      <c r="A17" s="294">
        <f t="shared" si="0"/>
        <v>11</v>
      </c>
      <c r="B17" s="263" t="s">
        <v>18</v>
      </c>
      <c r="C17" s="301"/>
      <c r="D17" s="304"/>
      <c r="E17" s="263"/>
      <c r="F17" s="263"/>
      <c r="G17" s="263"/>
      <c r="H17" s="295">
        <f>SUM(H8:H16)</f>
        <v>93433765.047601685</v>
      </c>
      <c r="I17" s="146"/>
      <c r="J17" s="263"/>
      <c r="K17" s="263"/>
      <c r="L17" s="263"/>
      <c r="M17" s="295">
        <f>SUM(M8:M16)</f>
        <v>92088174.791647956</v>
      </c>
    </row>
    <row r="18" spans="1:14" x14ac:dyDescent="0.25">
      <c r="A18" s="287">
        <f t="shared" si="0"/>
        <v>12</v>
      </c>
      <c r="B18" s="288" t="s">
        <v>308</v>
      </c>
      <c r="C18" s="300"/>
      <c r="D18" s="303"/>
      <c r="E18" s="289"/>
      <c r="F18" s="289"/>
      <c r="G18" s="289"/>
      <c r="H18" s="290"/>
      <c r="I18" s="306"/>
      <c r="J18" s="289"/>
      <c r="K18" s="289"/>
      <c r="L18" s="289"/>
      <c r="M18" s="290"/>
    </row>
    <row r="19" spans="1:14" x14ac:dyDescent="0.25">
      <c r="A19" s="120">
        <f t="shared" si="0"/>
        <v>13</v>
      </c>
      <c r="B19" s="3" t="s">
        <v>2</v>
      </c>
      <c r="C19" s="52" t="s">
        <v>24</v>
      </c>
      <c r="D19" s="60">
        <f>Summary!$D$7</f>
        <v>283016587.250485</v>
      </c>
      <c r="E19" s="3">
        <f>'COP Rates'!$C$6</f>
        <v>1.0427999999999999</v>
      </c>
      <c r="F19" s="5">
        <f>D19*E19</f>
        <v>295129697.18480575</v>
      </c>
      <c r="G19" s="249">
        <f>0.0044+0.0013</f>
        <v>5.7000000000000002E-3</v>
      </c>
      <c r="H19" s="250">
        <f>F19*G19</f>
        <v>1682239.2739533929</v>
      </c>
      <c r="I19" s="60">
        <f>Summary!$G$7</f>
        <v>277476009.23399138</v>
      </c>
      <c r="J19" s="3">
        <f>'COP Rates'!$D$6</f>
        <v>1.0431999999999999</v>
      </c>
      <c r="K19" s="5">
        <f>I19*J19</f>
        <v>289462972.83289981</v>
      </c>
      <c r="L19" s="249">
        <f>0.0044+0.0013</f>
        <v>5.7000000000000002E-3</v>
      </c>
      <c r="M19" s="250">
        <f>K19*L19</f>
        <v>1649938.945147529</v>
      </c>
      <c r="N19" s="1"/>
    </row>
    <row r="20" spans="1:14" x14ac:dyDescent="0.25">
      <c r="A20" s="120">
        <f t="shared" si="0"/>
        <v>14</v>
      </c>
      <c r="B20" s="3" t="s">
        <v>309</v>
      </c>
      <c r="C20" s="52" t="s">
        <v>24</v>
      </c>
      <c r="D20" s="60">
        <f>Summary!$D$8</f>
        <v>104337671.80952397</v>
      </c>
      <c r="E20" s="3">
        <f>'COP Rates'!$C$6</f>
        <v>1.0427999999999999</v>
      </c>
      <c r="F20" s="5">
        <f t="shared" ref="F20:F27" si="5">D20*E20</f>
        <v>108803324.16297159</v>
      </c>
      <c r="G20" s="249">
        <f>G19</f>
        <v>5.7000000000000002E-3</v>
      </c>
      <c r="H20" s="250">
        <f t="shared" ref="H20:H27" si="6">F20*G20</f>
        <v>620178.94772893807</v>
      </c>
      <c r="I20" s="60">
        <f>Summary!$G$8</f>
        <v>99682763.93957378</v>
      </c>
      <c r="J20" s="3">
        <f>'COP Rates'!$D$6</f>
        <v>1.0431999999999999</v>
      </c>
      <c r="K20" s="5">
        <f t="shared" ref="K20:K27" si="7">I20*J20</f>
        <v>103989059.34176336</v>
      </c>
      <c r="L20" s="249">
        <f>L19</f>
        <v>5.7000000000000002E-3</v>
      </c>
      <c r="M20" s="250">
        <f t="shared" ref="M20:M27" si="8">K20*L20</f>
        <v>592737.63824805117</v>
      </c>
      <c r="N20" s="1"/>
    </row>
    <row r="21" spans="1:14" x14ac:dyDescent="0.25">
      <c r="A21" s="120">
        <f t="shared" si="0"/>
        <v>15</v>
      </c>
      <c r="B21" s="3" t="s">
        <v>310</v>
      </c>
      <c r="C21" s="52" t="s">
        <v>24</v>
      </c>
      <c r="D21" s="60">
        <f>Summary!$D$9</f>
        <v>470506400.35245085</v>
      </c>
      <c r="E21" s="3">
        <f>'COP Rates'!$C$6</f>
        <v>1.0427999999999999</v>
      </c>
      <c r="F21" s="5">
        <f t="shared" si="5"/>
        <v>490644074.28753573</v>
      </c>
      <c r="G21" s="249">
        <f>G20</f>
        <v>5.7000000000000002E-3</v>
      </c>
      <c r="H21" s="250">
        <f t="shared" si="6"/>
        <v>2796671.2234389535</v>
      </c>
      <c r="I21" s="60">
        <f>Summary!$G$9</f>
        <v>478846837.84755301</v>
      </c>
      <c r="J21" s="3">
        <f>'COP Rates'!$D$6</f>
        <v>1.0431999999999999</v>
      </c>
      <c r="K21" s="5">
        <f t="shared" si="7"/>
        <v>499533021.24256724</v>
      </c>
      <c r="L21" s="249">
        <f>L20</f>
        <v>5.7000000000000002E-3</v>
      </c>
      <c r="M21" s="250">
        <f t="shared" si="8"/>
        <v>2847338.2210826334</v>
      </c>
      <c r="N21" s="1"/>
    </row>
    <row r="22" spans="1:14" x14ac:dyDescent="0.25">
      <c r="A22" s="120">
        <f t="shared" si="0"/>
        <v>16</v>
      </c>
      <c r="B22" s="286" t="s">
        <v>311</v>
      </c>
      <c r="C22" s="52" t="s">
        <v>24</v>
      </c>
      <c r="D22" s="60">
        <f>D11</f>
        <v>-6613941.9607762937</v>
      </c>
      <c r="E22" s="3">
        <f>'COP Rates'!$C$6</f>
        <v>1.0427999999999999</v>
      </c>
      <c r="F22" s="5">
        <f t="shared" si="5"/>
        <v>-6897018.6766975187</v>
      </c>
      <c r="G22" s="249">
        <f t="shared" ref="G22:G27" si="9">G21</f>
        <v>5.7000000000000002E-3</v>
      </c>
      <c r="H22" s="250">
        <f t="shared" si="6"/>
        <v>-39313.006457175856</v>
      </c>
      <c r="I22" s="60">
        <f>I11</f>
        <v>-6861698.7259583157</v>
      </c>
      <c r="J22" s="3">
        <f>'COP Rates'!$D$6</f>
        <v>1.0431999999999999</v>
      </c>
      <c r="K22" s="5">
        <f t="shared" si="7"/>
        <v>-7158124.110919714</v>
      </c>
      <c r="L22" s="249">
        <f>L21</f>
        <v>5.7000000000000002E-3</v>
      </c>
      <c r="M22" s="250">
        <f t="shared" si="8"/>
        <v>-40801.307432242371</v>
      </c>
      <c r="N22" s="1"/>
    </row>
    <row r="23" spans="1:14" x14ac:dyDescent="0.25">
      <c r="A23" s="120">
        <f t="shared" si="0"/>
        <v>17</v>
      </c>
      <c r="B23" s="3" t="s">
        <v>312</v>
      </c>
      <c r="C23" s="52" t="s">
        <v>24</v>
      </c>
      <c r="D23" s="60">
        <f>D12</f>
        <v>51639984.475155152</v>
      </c>
      <c r="E23" s="3">
        <f>'COP Rates'!$C$9</f>
        <v>1.0141</v>
      </c>
      <c r="F23" s="5">
        <f t="shared" si="5"/>
        <v>52368108.256254837</v>
      </c>
      <c r="G23" s="249">
        <f t="shared" si="9"/>
        <v>5.7000000000000002E-3</v>
      </c>
      <c r="H23" s="250">
        <f t="shared" si="6"/>
        <v>298498.21706065256</v>
      </c>
      <c r="I23" s="60">
        <f>I12</f>
        <v>40551282.501611322</v>
      </c>
      <c r="J23" s="3">
        <f>'COP Rates'!$D$9</f>
        <v>1.0048999999999999</v>
      </c>
      <c r="K23" s="5">
        <f t="shared" si="7"/>
        <v>40749983.785869211</v>
      </c>
      <c r="L23" s="249">
        <f>L21</f>
        <v>5.7000000000000002E-3</v>
      </c>
      <c r="M23" s="250">
        <f t="shared" si="8"/>
        <v>232274.90757945451</v>
      </c>
      <c r="N23" s="1"/>
    </row>
    <row r="24" spans="1:14" x14ac:dyDescent="0.25">
      <c r="A24" s="120">
        <f t="shared" si="0"/>
        <v>18</v>
      </c>
      <c r="B24" s="3" t="s">
        <v>313</v>
      </c>
      <c r="C24" s="52" t="s">
        <v>24</v>
      </c>
      <c r="D24" s="60">
        <f>Summary!$D$11</f>
        <v>1268750</v>
      </c>
      <c r="E24" s="3">
        <f>'COP Rates'!$C$6</f>
        <v>1.0427999999999999</v>
      </c>
      <c r="F24" s="5">
        <f t="shared" si="5"/>
        <v>1323052.5</v>
      </c>
      <c r="G24" s="249">
        <f t="shared" si="9"/>
        <v>5.7000000000000002E-3</v>
      </c>
      <c r="H24" s="250">
        <f t="shared" si="6"/>
        <v>7541.3992500000004</v>
      </c>
      <c r="I24" s="60">
        <f>Summary!$G$11</f>
        <v>1288075</v>
      </c>
      <c r="J24" s="3">
        <f>'COP Rates'!$D$6</f>
        <v>1.0431999999999999</v>
      </c>
      <c r="K24" s="5">
        <f t="shared" si="7"/>
        <v>1343719.8399999999</v>
      </c>
      <c r="L24" s="249">
        <f>L23</f>
        <v>5.7000000000000002E-3</v>
      </c>
      <c r="M24" s="250">
        <f t="shared" si="8"/>
        <v>7659.2030879999993</v>
      </c>
      <c r="N24" s="1"/>
    </row>
    <row r="25" spans="1:14" x14ac:dyDescent="0.25">
      <c r="A25" s="120">
        <f t="shared" si="0"/>
        <v>19</v>
      </c>
      <c r="B25" s="3" t="s">
        <v>8</v>
      </c>
      <c r="C25" s="52" t="s">
        <v>24</v>
      </c>
      <c r="D25" s="60">
        <f>Summary!$D$12</f>
        <v>402619</v>
      </c>
      <c r="E25" s="3">
        <f>'COP Rates'!$C$6</f>
        <v>1.0427999999999999</v>
      </c>
      <c r="F25" s="5">
        <f t="shared" si="5"/>
        <v>419851.0932</v>
      </c>
      <c r="G25" s="249">
        <f t="shared" si="9"/>
        <v>5.7000000000000002E-3</v>
      </c>
      <c r="H25" s="250">
        <f t="shared" si="6"/>
        <v>2393.15123124</v>
      </c>
      <c r="I25" s="60">
        <f>Summary!$G$12</f>
        <v>396340</v>
      </c>
      <c r="J25" s="3">
        <f>'COP Rates'!$D$6</f>
        <v>1.0431999999999999</v>
      </c>
      <c r="K25" s="5">
        <f t="shared" si="7"/>
        <v>413461.88799999998</v>
      </c>
      <c r="L25" s="249">
        <f>L24</f>
        <v>5.7000000000000002E-3</v>
      </c>
      <c r="M25" s="250">
        <f t="shared" si="8"/>
        <v>2356.7327615999998</v>
      </c>
      <c r="N25" s="1"/>
    </row>
    <row r="26" spans="1:14" x14ac:dyDescent="0.25">
      <c r="A26" s="120">
        <f t="shared" si="0"/>
        <v>20</v>
      </c>
      <c r="B26" s="3" t="s">
        <v>7</v>
      </c>
      <c r="C26" s="52" t="s">
        <v>24</v>
      </c>
      <c r="D26" s="60">
        <f>Summary!$D$13</f>
        <v>7396373.5003008721</v>
      </c>
      <c r="E26" s="3">
        <f>'COP Rates'!$C$6</f>
        <v>1.0427999999999999</v>
      </c>
      <c r="F26" s="5">
        <f t="shared" si="5"/>
        <v>7712938.2861137493</v>
      </c>
      <c r="G26" s="249">
        <f t="shared" si="9"/>
        <v>5.7000000000000002E-3</v>
      </c>
      <c r="H26" s="250">
        <f t="shared" si="6"/>
        <v>43963.748230848374</v>
      </c>
      <c r="I26" s="60">
        <f>Summary!$G$13</f>
        <v>7263207.5003008721</v>
      </c>
      <c r="J26" s="3">
        <f>'COP Rates'!$D$6</f>
        <v>1.0431999999999999</v>
      </c>
      <c r="K26" s="5">
        <f t="shared" si="7"/>
        <v>7576978.064313869</v>
      </c>
      <c r="L26" s="249">
        <f>L25</f>
        <v>5.7000000000000002E-3</v>
      </c>
      <c r="M26" s="250">
        <f t="shared" si="8"/>
        <v>43188.774966589051</v>
      </c>
      <c r="N26" s="1"/>
    </row>
    <row r="27" spans="1:14" x14ac:dyDescent="0.25">
      <c r="A27" s="291">
        <f t="shared" si="0"/>
        <v>21</v>
      </c>
      <c r="B27" s="65" t="s">
        <v>303</v>
      </c>
      <c r="C27" s="66" t="s">
        <v>24</v>
      </c>
      <c r="D27" s="67">
        <f>Summary!$D$14</f>
        <v>4526975</v>
      </c>
      <c r="E27" s="65">
        <f>'COP Rates'!$C$9</f>
        <v>1.0141</v>
      </c>
      <c r="F27" s="25">
        <f t="shared" si="5"/>
        <v>4590805.3475000001</v>
      </c>
      <c r="G27" s="249">
        <f t="shared" si="9"/>
        <v>5.7000000000000002E-3</v>
      </c>
      <c r="H27" s="292">
        <f t="shared" si="6"/>
        <v>26167.590480750001</v>
      </c>
      <c r="I27" s="67">
        <f>Summary!$G$14</f>
        <v>4421657</v>
      </c>
      <c r="J27" s="65">
        <f>'COP Rates'!$D$9</f>
        <v>1.0048999999999999</v>
      </c>
      <c r="K27" s="25">
        <f t="shared" si="7"/>
        <v>4443323.1192999994</v>
      </c>
      <c r="L27" s="251">
        <f>L26</f>
        <v>5.7000000000000002E-3</v>
      </c>
      <c r="M27" s="292">
        <f t="shared" si="8"/>
        <v>25326.941780009998</v>
      </c>
      <c r="N27" s="1"/>
    </row>
    <row r="28" spans="1:14" x14ac:dyDescent="0.25">
      <c r="A28" s="294">
        <f t="shared" si="0"/>
        <v>22</v>
      </c>
      <c r="B28" s="263" t="s">
        <v>18</v>
      </c>
      <c r="C28" s="301"/>
      <c r="D28" s="304"/>
      <c r="E28" s="263"/>
      <c r="F28" s="263"/>
      <c r="G28" s="263"/>
      <c r="H28" s="295">
        <f>SUM(H19:H27)</f>
        <v>5438340.5449175993</v>
      </c>
      <c r="I28" s="146"/>
      <c r="J28" s="263"/>
      <c r="K28" s="263"/>
      <c r="L28" s="263"/>
      <c r="M28" s="295">
        <f>SUM(M19:M27)</f>
        <v>5360020.057221625</v>
      </c>
    </row>
    <row r="29" spans="1:14" x14ac:dyDescent="0.25">
      <c r="A29" s="287">
        <f t="shared" si="0"/>
        <v>23</v>
      </c>
      <c r="B29" s="288" t="s">
        <v>314</v>
      </c>
      <c r="C29" s="300"/>
      <c r="D29" s="303"/>
      <c r="E29" s="289"/>
      <c r="F29" s="289"/>
      <c r="G29" s="289"/>
      <c r="H29" s="290"/>
      <c r="I29" s="306"/>
      <c r="J29" s="289"/>
      <c r="K29" s="289"/>
      <c r="L29" s="289"/>
      <c r="M29" s="290"/>
    </row>
    <row r="30" spans="1:14" x14ac:dyDescent="0.25">
      <c r="A30" s="120">
        <f t="shared" si="0"/>
        <v>24</v>
      </c>
      <c r="B30" s="3" t="s">
        <v>2</v>
      </c>
      <c r="C30" s="52" t="s">
        <v>316</v>
      </c>
      <c r="D30" s="60">
        <f>Summary!C7</f>
        <v>36203</v>
      </c>
      <c r="E30" s="3"/>
      <c r="F30" s="5">
        <f>D30</f>
        <v>36203</v>
      </c>
      <c r="G30" s="249">
        <v>0.79</v>
      </c>
      <c r="H30" s="250">
        <f>F30*G30*12</f>
        <v>343204.44000000006</v>
      </c>
      <c r="I30" s="60">
        <f>Summary!F7</f>
        <v>36333</v>
      </c>
      <c r="J30" s="3"/>
      <c r="K30" s="5">
        <f>I30</f>
        <v>36333</v>
      </c>
      <c r="L30" s="249">
        <v>0.79</v>
      </c>
      <c r="M30" s="250">
        <f>K30*L30*12</f>
        <v>344436.83999999997</v>
      </c>
    </row>
    <row r="31" spans="1:14" x14ac:dyDescent="0.25">
      <c r="A31" s="120">
        <f t="shared" si="0"/>
        <v>25</v>
      </c>
      <c r="B31" s="3" t="s">
        <v>309</v>
      </c>
      <c r="C31" s="52" t="s">
        <v>316</v>
      </c>
      <c r="D31" s="60">
        <f>Summary!C8</f>
        <v>3860</v>
      </c>
      <c r="E31" s="3"/>
      <c r="F31" s="5">
        <f>D31</f>
        <v>3860</v>
      </c>
      <c r="G31" s="249">
        <v>0.79</v>
      </c>
      <c r="H31" s="250">
        <f>F31*G31*12</f>
        <v>36592.800000000003</v>
      </c>
      <c r="I31" s="60">
        <f>Summary!F8</f>
        <v>3850</v>
      </c>
      <c r="J31" s="3"/>
      <c r="K31" s="5">
        <f>I31</f>
        <v>3850</v>
      </c>
      <c r="L31" s="249">
        <v>0.79</v>
      </c>
      <c r="M31" s="250">
        <f>K31*L31*12</f>
        <v>36498</v>
      </c>
    </row>
    <row r="32" spans="1:14" x14ac:dyDescent="0.25">
      <c r="A32" s="120">
        <f t="shared" si="0"/>
        <v>26</v>
      </c>
      <c r="B32" s="3" t="s">
        <v>310</v>
      </c>
      <c r="C32" s="52"/>
      <c r="D32" s="60"/>
      <c r="E32" s="3"/>
      <c r="F32" s="5"/>
      <c r="G32" s="249"/>
      <c r="H32" s="250"/>
      <c r="I32" s="60"/>
      <c r="J32" s="3"/>
      <c r="K32" s="5"/>
      <c r="L32" s="249"/>
      <c r="M32" s="250"/>
    </row>
    <row r="33" spans="1:13" x14ac:dyDescent="0.25">
      <c r="A33" s="120">
        <f t="shared" si="0"/>
        <v>27</v>
      </c>
      <c r="B33" s="286" t="s">
        <v>311</v>
      </c>
      <c r="C33" s="52"/>
      <c r="D33" s="60"/>
      <c r="E33" s="3"/>
      <c r="F33" s="5"/>
      <c r="G33" s="249"/>
      <c r="H33" s="250"/>
      <c r="I33" s="60"/>
      <c r="J33" s="3"/>
      <c r="K33" s="5"/>
      <c r="L33" s="249"/>
      <c r="M33" s="250"/>
    </row>
    <row r="34" spans="1:13" x14ac:dyDescent="0.25">
      <c r="A34" s="120">
        <f t="shared" si="0"/>
        <v>28</v>
      </c>
      <c r="B34" s="3" t="s">
        <v>312</v>
      </c>
      <c r="C34" s="52"/>
      <c r="D34" s="60"/>
      <c r="E34" s="3"/>
      <c r="F34" s="5"/>
      <c r="G34" s="249"/>
      <c r="H34" s="250"/>
      <c r="I34" s="60"/>
      <c r="J34" s="3"/>
      <c r="K34" s="5"/>
      <c r="L34" s="249"/>
      <c r="M34" s="250"/>
    </row>
    <row r="35" spans="1:13" x14ac:dyDescent="0.25">
      <c r="A35" s="120">
        <f t="shared" si="0"/>
        <v>29</v>
      </c>
      <c r="B35" s="3" t="s">
        <v>313</v>
      </c>
      <c r="C35" s="52"/>
      <c r="D35" s="60"/>
      <c r="E35" s="3"/>
      <c r="F35" s="5"/>
      <c r="G35" s="249"/>
      <c r="H35" s="250"/>
      <c r="I35" s="60"/>
      <c r="J35" s="3"/>
      <c r="K35" s="5"/>
      <c r="L35" s="249"/>
      <c r="M35" s="250"/>
    </row>
    <row r="36" spans="1:13" x14ac:dyDescent="0.25">
      <c r="A36" s="120">
        <f t="shared" si="0"/>
        <v>30</v>
      </c>
      <c r="B36" s="3" t="s">
        <v>8</v>
      </c>
      <c r="C36" s="52"/>
      <c r="D36" s="60"/>
      <c r="E36" s="3"/>
      <c r="F36" s="5"/>
      <c r="G36" s="249"/>
      <c r="H36" s="250"/>
      <c r="I36" s="60"/>
      <c r="J36" s="3"/>
      <c r="K36" s="5"/>
      <c r="L36" s="249"/>
      <c r="M36" s="250"/>
    </row>
    <row r="37" spans="1:13" x14ac:dyDescent="0.25">
      <c r="A37" s="120">
        <f t="shared" si="0"/>
        <v>31</v>
      </c>
      <c r="B37" s="3" t="s">
        <v>7</v>
      </c>
      <c r="C37" s="52"/>
      <c r="D37" s="60"/>
      <c r="E37" s="3"/>
      <c r="F37" s="5"/>
      <c r="G37" s="249"/>
      <c r="H37" s="250"/>
      <c r="I37" s="60"/>
      <c r="J37" s="3"/>
      <c r="K37" s="5"/>
      <c r="L37" s="249"/>
      <c r="M37" s="250"/>
    </row>
    <row r="38" spans="1:13" x14ac:dyDescent="0.25">
      <c r="A38" s="291">
        <f t="shared" si="0"/>
        <v>32</v>
      </c>
      <c r="B38" s="65" t="s">
        <v>303</v>
      </c>
      <c r="C38" s="66"/>
      <c r="D38" s="67"/>
      <c r="E38" s="65"/>
      <c r="F38" s="25"/>
      <c r="G38" s="251"/>
      <c r="H38" s="292"/>
      <c r="I38" s="67"/>
      <c r="J38" s="65"/>
      <c r="K38" s="25"/>
      <c r="L38" s="251"/>
      <c r="M38" s="292"/>
    </row>
    <row r="39" spans="1:13" x14ac:dyDescent="0.25">
      <c r="A39" s="294">
        <f t="shared" si="0"/>
        <v>33</v>
      </c>
      <c r="B39" s="263" t="s">
        <v>18</v>
      </c>
      <c r="C39" s="301"/>
      <c r="D39" s="304"/>
      <c r="E39" s="263"/>
      <c r="F39" s="263"/>
      <c r="G39" s="263"/>
      <c r="H39" s="295">
        <f>SUM(H30:H38)</f>
        <v>379797.24000000005</v>
      </c>
      <c r="I39" s="146"/>
      <c r="J39" s="263"/>
      <c r="K39" s="263"/>
      <c r="L39" s="263"/>
      <c r="M39" s="295">
        <f>SUM(M30:M38)</f>
        <v>380934.83999999997</v>
      </c>
    </row>
    <row r="40" spans="1:13" x14ac:dyDescent="0.25">
      <c r="A40" s="287">
        <f t="shared" si="0"/>
        <v>34</v>
      </c>
      <c r="B40" s="288" t="s">
        <v>315</v>
      </c>
      <c r="C40" s="300"/>
      <c r="D40" s="303"/>
      <c r="E40" s="289"/>
      <c r="F40" s="289"/>
      <c r="G40" s="289"/>
      <c r="H40" s="290"/>
      <c r="I40" s="306"/>
      <c r="J40" s="289"/>
      <c r="K40" s="289"/>
      <c r="L40" s="289"/>
      <c r="M40" s="290"/>
    </row>
    <row r="41" spans="1:13" x14ac:dyDescent="0.25">
      <c r="A41" s="120">
        <f t="shared" si="0"/>
        <v>35</v>
      </c>
      <c r="B41" s="3" t="s">
        <v>2</v>
      </c>
      <c r="C41" s="52" t="s">
        <v>24</v>
      </c>
      <c r="D41" s="60">
        <f>IF($C41="kWh",Summary!$D7,Summary!$E7)</f>
        <v>283016587.250485</v>
      </c>
      <c r="E41" s="3">
        <f>IF(C41="kWh",E8,0)</f>
        <v>1.0427999999999999</v>
      </c>
      <c r="F41" s="5">
        <f>IF(C41="kwh",D41*E41,D41)</f>
        <v>295129697.18480575</v>
      </c>
      <c r="G41" s="249">
        <f>'COP Rates'!C50</f>
        <v>2.9999999999999997E-4</v>
      </c>
      <c r="H41" s="250">
        <f>F41*G41</f>
        <v>88538.909155441725</v>
      </c>
      <c r="I41" s="60">
        <f>IF($C41="kWh",Summary!$G7,Summary!$H7)</f>
        <v>277476009.23399138</v>
      </c>
      <c r="J41" s="3">
        <f>IF(C41="kWh",J8,0)</f>
        <v>1.0431999999999999</v>
      </c>
      <c r="K41" s="5">
        <f>IF(C41="kwh",I41*J41,I41)</f>
        <v>289462972.83289981</v>
      </c>
      <c r="L41" s="249">
        <f>'COP Rates'!D50</f>
        <v>1.8E-3</v>
      </c>
      <c r="M41" s="250">
        <f>K41*L41</f>
        <v>521033.35109921964</v>
      </c>
    </row>
    <row r="42" spans="1:13" x14ac:dyDescent="0.25">
      <c r="A42" s="120">
        <f t="shared" si="0"/>
        <v>36</v>
      </c>
      <c r="B42" s="3" t="s">
        <v>309</v>
      </c>
      <c r="C42" s="52" t="s">
        <v>24</v>
      </c>
      <c r="D42" s="60">
        <f>IF($C42="kWh",Summary!$D8,Summary!$E8)</f>
        <v>104337671.80952397</v>
      </c>
      <c r="E42" s="3">
        <f t="shared" ref="E42:E43" si="10">IF(C42="kWh",E9,0)</f>
        <v>1.0427999999999999</v>
      </c>
      <c r="F42" s="5">
        <f t="shared" ref="F42:F48" si="11">IF(C42="kwh",D42*E42,D42)</f>
        <v>108803324.16297159</v>
      </c>
      <c r="G42" s="249">
        <f>'COP Rates'!C51</f>
        <v>2.9999999999999997E-4</v>
      </c>
      <c r="H42" s="250">
        <f t="shared" ref="H42:H48" si="12">F42*G42</f>
        <v>32640.997248891472</v>
      </c>
      <c r="I42" s="60">
        <f>IF($C42="kWh",Summary!$G8,Summary!$H8)</f>
        <v>99682763.93957378</v>
      </c>
      <c r="J42" s="3">
        <f t="shared" ref="J42:J43" si="13">IF(C42="kWh",J9,0)</f>
        <v>1.0431999999999999</v>
      </c>
      <c r="K42" s="5">
        <f t="shared" ref="K42:K48" si="14">IF(C42="kwh",I42*J42,I42)</f>
        <v>103989059.34176336</v>
      </c>
      <c r="L42" s="249">
        <f>'COP Rates'!D51</f>
        <v>1.6000000000000001E-3</v>
      </c>
      <c r="M42" s="250">
        <f t="shared" ref="M42:M48" si="15">K42*L42</f>
        <v>166382.49494682139</v>
      </c>
    </row>
    <row r="43" spans="1:13" x14ac:dyDescent="0.25">
      <c r="A43" s="120">
        <f t="shared" si="0"/>
        <v>37</v>
      </c>
      <c r="B43" s="3" t="s">
        <v>310</v>
      </c>
      <c r="C43" s="52" t="s">
        <v>54</v>
      </c>
      <c r="D43" s="60">
        <f>IF($C43="kWh",Summary!$D9,Summary!$E9)</f>
        <v>1250086.4875532312</v>
      </c>
      <c r="E43" s="3">
        <f t="shared" si="10"/>
        <v>0</v>
      </c>
      <c r="F43" s="5">
        <f t="shared" si="11"/>
        <v>1250086.4875532312</v>
      </c>
      <c r="G43" s="249">
        <f>'COP Rates'!C52</f>
        <v>0.12620000000000001</v>
      </c>
      <c r="H43" s="250">
        <f t="shared" si="12"/>
        <v>157760.91472921779</v>
      </c>
      <c r="I43" s="60">
        <f>IF($C43="kWh",Summary!$G9,Summary!$H9)</f>
        <v>1272216.8068765986</v>
      </c>
      <c r="J43" s="3">
        <f t="shared" si="13"/>
        <v>0</v>
      </c>
      <c r="K43" s="5">
        <f t="shared" si="14"/>
        <v>1272216.8068765986</v>
      </c>
      <c r="L43" s="249">
        <f>'COP Rates'!D52</f>
        <v>0.6512</v>
      </c>
      <c r="M43" s="250">
        <f t="shared" si="15"/>
        <v>828467.58463804098</v>
      </c>
    </row>
    <row r="44" spans="1:13" x14ac:dyDescent="0.25">
      <c r="A44" s="120">
        <f t="shared" si="0"/>
        <v>38</v>
      </c>
      <c r="B44" s="3" t="s">
        <v>5</v>
      </c>
      <c r="C44" s="52" t="s">
        <v>54</v>
      </c>
      <c r="D44" s="60">
        <f>Summary!E10</f>
        <v>113324</v>
      </c>
      <c r="E44" s="3">
        <f>IF(C44="kWh",E12,0)</f>
        <v>0</v>
      </c>
      <c r="F44" s="5">
        <f t="shared" si="11"/>
        <v>113324</v>
      </c>
      <c r="G44" s="249">
        <f>'COP Rates'!C54</f>
        <v>0.1363</v>
      </c>
      <c r="H44" s="250">
        <f t="shared" si="12"/>
        <v>15446.0612</v>
      </c>
      <c r="I44" s="60">
        <f>Summary!H10</f>
        <v>86226</v>
      </c>
      <c r="J44" s="3">
        <f>IF(C44="kWh",J12,0)</f>
        <v>0</v>
      </c>
      <c r="K44" s="5">
        <f t="shared" si="14"/>
        <v>86226</v>
      </c>
      <c r="L44" s="249">
        <f>'COP Rates'!D54</f>
        <v>0.71589999999999998</v>
      </c>
      <c r="M44" s="250">
        <f t="shared" si="15"/>
        <v>61729.193399999996</v>
      </c>
    </row>
    <row r="45" spans="1:13" x14ac:dyDescent="0.25">
      <c r="A45" s="120">
        <f t="shared" si="0"/>
        <v>39</v>
      </c>
      <c r="B45" s="3" t="s">
        <v>313</v>
      </c>
      <c r="C45" s="52" t="s">
        <v>24</v>
      </c>
      <c r="D45" s="60">
        <f>IF($C45="kWh",Summary!$D11,Summary!$E11)</f>
        <v>1268750</v>
      </c>
      <c r="E45" s="3">
        <f>IF(C45="kWh",E13,0)</f>
        <v>1.0427999999999999</v>
      </c>
      <c r="F45" s="5">
        <f t="shared" si="11"/>
        <v>1323052.5</v>
      </c>
      <c r="G45" s="249">
        <f>'COP Rates'!C55</f>
        <v>2.9999999999999997E-4</v>
      </c>
      <c r="H45" s="250">
        <f t="shared" si="12"/>
        <v>396.91574999999995</v>
      </c>
      <c r="I45" s="60">
        <f>IF($C45="kWh",Summary!$G11,Summary!$H11)</f>
        <v>1288075</v>
      </c>
      <c r="J45" s="3">
        <f>IF(C45="kWh",J13,0)</f>
        <v>1.0431999999999999</v>
      </c>
      <c r="K45" s="5">
        <f t="shared" si="14"/>
        <v>1343719.8399999999</v>
      </c>
      <c r="L45" s="249">
        <f>'COP Rates'!D55</f>
        <v>1.6000000000000001E-3</v>
      </c>
      <c r="M45" s="250">
        <f t="shared" si="15"/>
        <v>2149.951744</v>
      </c>
    </row>
    <row r="46" spans="1:13" x14ac:dyDescent="0.25">
      <c r="A46" s="120">
        <f t="shared" si="0"/>
        <v>40</v>
      </c>
      <c r="B46" s="3" t="s">
        <v>8</v>
      </c>
      <c r="C46" s="52" t="s">
        <v>54</v>
      </c>
      <c r="D46" s="60">
        <f>IF($C46="kWh",Summary!$D12,Summary!$E12)</f>
        <v>1127</v>
      </c>
      <c r="E46" s="3">
        <f>IF(C46="kWh",E14,0)</f>
        <v>0</v>
      </c>
      <c r="F46" s="5">
        <f t="shared" si="11"/>
        <v>1127</v>
      </c>
      <c r="G46" s="249">
        <f>'COP Rates'!C56</f>
        <v>9.11E-2</v>
      </c>
      <c r="H46" s="250">
        <f t="shared" si="12"/>
        <v>102.66970000000001</v>
      </c>
      <c r="I46" s="60">
        <f>IF($C46="kWh",Summary!$G12,Summary!$H12)</f>
        <v>1110</v>
      </c>
      <c r="J46" s="3">
        <f>IF(C46="kWh",J14,0)</f>
        <v>0</v>
      </c>
      <c r="K46" s="5">
        <f t="shared" si="14"/>
        <v>1110</v>
      </c>
      <c r="L46" s="249">
        <f>'COP Rates'!D56</f>
        <v>0.4894</v>
      </c>
      <c r="M46" s="250">
        <f t="shared" si="15"/>
        <v>543.23400000000004</v>
      </c>
    </row>
    <row r="47" spans="1:13" x14ac:dyDescent="0.25">
      <c r="A47" s="120">
        <f t="shared" si="0"/>
        <v>41</v>
      </c>
      <c r="B47" s="3" t="s">
        <v>7</v>
      </c>
      <c r="C47" s="52" t="s">
        <v>54</v>
      </c>
      <c r="D47" s="60">
        <f>IF($C47="kWh",Summary!$D13,Summary!$E13)</f>
        <v>22189</v>
      </c>
      <c r="E47" s="3">
        <f>IF(C47="kWh",E15,0)</f>
        <v>0</v>
      </c>
      <c r="F47" s="5">
        <f t="shared" si="11"/>
        <v>22189</v>
      </c>
      <c r="G47" s="249">
        <f>'COP Rates'!C57</f>
        <v>5.2299999999999999E-2</v>
      </c>
      <c r="H47" s="250">
        <f t="shared" si="12"/>
        <v>1160.4847</v>
      </c>
      <c r="I47" s="60">
        <f>IF($C47="kWh",Summary!$G13,Summary!$H13)</f>
        <v>21790</v>
      </c>
      <c r="J47" s="3">
        <f>IF(C47="kWh",J15,0)</f>
        <v>0</v>
      </c>
      <c r="K47" s="5">
        <f t="shared" si="14"/>
        <v>21790</v>
      </c>
      <c r="L47" s="249">
        <f>'COP Rates'!D57</f>
        <v>0.47799999999999998</v>
      </c>
      <c r="M47" s="250">
        <f t="shared" si="15"/>
        <v>10415.619999999999</v>
      </c>
    </row>
    <row r="48" spans="1:13" x14ac:dyDescent="0.25">
      <c r="A48" s="291">
        <f t="shared" si="0"/>
        <v>42</v>
      </c>
      <c r="B48" s="65" t="s">
        <v>303</v>
      </c>
      <c r="C48" s="66" t="s">
        <v>54</v>
      </c>
      <c r="D48" s="67">
        <f>IF($C48="kWh",Summary!$D14,Summary!$E14)</f>
        <v>11499</v>
      </c>
      <c r="E48" s="65">
        <f>IF(C48="kWh",E16,0)</f>
        <v>0</v>
      </c>
      <c r="F48" s="25">
        <f t="shared" si="11"/>
        <v>11499</v>
      </c>
      <c r="G48" s="251">
        <f>'COP Rates'!C58</f>
        <v>0</v>
      </c>
      <c r="H48" s="292">
        <f t="shared" si="12"/>
        <v>0</v>
      </c>
      <c r="I48" s="67">
        <f>IF($C48="kWh",Summary!$G14,Summary!$H14)</f>
        <v>11231</v>
      </c>
      <c r="J48" s="65">
        <f>IF(C48="kWh",J16,0)</f>
        <v>0</v>
      </c>
      <c r="K48" s="25">
        <f t="shared" si="14"/>
        <v>11231</v>
      </c>
      <c r="L48" s="251">
        <f>'COP Rates'!D58</f>
        <v>0</v>
      </c>
      <c r="M48" s="292">
        <f t="shared" si="15"/>
        <v>0</v>
      </c>
    </row>
    <row r="49" spans="1:13" x14ac:dyDescent="0.25">
      <c r="A49" s="294">
        <f t="shared" si="0"/>
        <v>43</v>
      </c>
      <c r="B49" s="263" t="s">
        <v>18</v>
      </c>
      <c r="C49" s="301"/>
      <c r="D49" s="304"/>
      <c r="E49" s="263"/>
      <c r="F49" s="263"/>
      <c r="G49" s="263"/>
      <c r="H49" s="295">
        <f>SUM(H41:H48)</f>
        <v>296046.95248355094</v>
      </c>
      <c r="I49" s="146"/>
      <c r="J49" s="263"/>
      <c r="K49" s="263"/>
      <c r="L49" s="263"/>
      <c r="M49" s="295">
        <f>SUM(M41:M48)</f>
        <v>1590721.429828082</v>
      </c>
    </row>
    <row r="50" spans="1:13" x14ac:dyDescent="0.25">
      <c r="A50" s="287">
        <f t="shared" si="0"/>
        <v>44</v>
      </c>
      <c r="B50" s="288" t="s">
        <v>317</v>
      </c>
      <c r="C50" s="300"/>
      <c r="D50" s="303"/>
      <c r="E50" s="289"/>
      <c r="F50" s="289"/>
      <c r="G50" s="289"/>
      <c r="H50" s="290"/>
      <c r="I50" s="306"/>
      <c r="J50" s="289"/>
      <c r="K50" s="289"/>
      <c r="L50" s="289"/>
      <c r="M50" s="290"/>
    </row>
    <row r="51" spans="1:13" x14ac:dyDescent="0.25">
      <c r="A51" s="120">
        <f t="shared" si="0"/>
        <v>45</v>
      </c>
      <c r="B51" s="3" t="s">
        <v>2</v>
      </c>
      <c r="C51" s="52" t="s">
        <v>24</v>
      </c>
      <c r="D51" s="60">
        <f t="shared" ref="D51:E58" si="16">D41</f>
        <v>283016587.250485</v>
      </c>
      <c r="E51" s="3">
        <f t="shared" si="16"/>
        <v>1.0427999999999999</v>
      </c>
      <c r="F51" s="5">
        <f t="shared" ref="F51:F58" si="17">IF(C51="kwh",D51*E51,D51)</f>
        <v>295129697.18480575</v>
      </c>
      <c r="G51" s="249">
        <f>'COP Rates'!E50</f>
        <v>7.4000000000000003E-3</v>
      </c>
      <c r="H51" s="250">
        <f>F51*G51</f>
        <v>2183959.7591675627</v>
      </c>
      <c r="I51" s="60">
        <f t="shared" ref="I51:J58" si="18">I41</f>
        <v>277476009.23399138</v>
      </c>
      <c r="J51" s="3">
        <f t="shared" si="18"/>
        <v>1.0431999999999999</v>
      </c>
      <c r="K51" s="5">
        <f t="shared" ref="K51:K58" si="19">IF(C51="kwh",I51*J51,I51)</f>
        <v>289462972.83289981</v>
      </c>
      <c r="L51" s="249">
        <f>'COP Rates'!F50</f>
        <v>7.3000000000000001E-3</v>
      </c>
      <c r="M51" s="250">
        <f>K51*L51</f>
        <v>2113079.7016801685</v>
      </c>
    </row>
    <row r="52" spans="1:13" x14ac:dyDescent="0.25">
      <c r="A52" s="120">
        <f t="shared" si="0"/>
        <v>46</v>
      </c>
      <c r="B52" s="3" t="s">
        <v>309</v>
      </c>
      <c r="C52" s="52" t="s">
        <v>24</v>
      </c>
      <c r="D52" s="60">
        <f t="shared" si="16"/>
        <v>104337671.80952397</v>
      </c>
      <c r="E52" s="3">
        <f t="shared" si="16"/>
        <v>1.0427999999999999</v>
      </c>
      <c r="F52" s="5">
        <f t="shared" si="17"/>
        <v>108803324.16297159</v>
      </c>
      <c r="G52" s="249">
        <f>'COP Rates'!E51</f>
        <v>6.4999999999999997E-3</v>
      </c>
      <c r="H52" s="250">
        <f t="shared" ref="H52:H58" si="20">F52*G52</f>
        <v>707221.60705931531</v>
      </c>
      <c r="I52" s="60">
        <f t="shared" si="18"/>
        <v>99682763.93957378</v>
      </c>
      <c r="J52" s="3">
        <f t="shared" si="18"/>
        <v>1.0431999999999999</v>
      </c>
      <c r="K52" s="5">
        <f t="shared" si="19"/>
        <v>103989059.34176336</v>
      </c>
      <c r="L52" s="249">
        <f>'COP Rates'!F51</f>
        <v>6.4000000000000003E-3</v>
      </c>
      <c r="M52" s="250">
        <f t="shared" ref="M52:M58" si="21">K52*L52</f>
        <v>665529.97978728556</v>
      </c>
    </row>
    <row r="53" spans="1:13" x14ac:dyDescent="0.25">
      <c r="A53" s="120">
        <f t="shared" si="0"/>
        <v>47</v>
      </c>
      <c r="B53" s="3" t="s">
        <v>310</v>
      </c>
      <c r="C53" s="52" t="s">
        <v>54</v>
      </c>
      <c r="D53" s="60">
        <f t="shared" si="16"/>
        <v>1250086.4875532312</v>
      </c>
      <c r="E53" s="3">
        <f t="shared" si="16"/>
        <v>0</v>
      </c>
      <c r="F53" s="5">
        <f t="shared" si="17"/>
        <v>1250086.4875532312</v>
      </c>
      <c r="G53" s="249">
        <f>'COP Rates'!E52</f>
        <v>2.8271999999999999</v>
      </c>
      <c r="H53" s="250">
        <f t="shared" si="20"/>
        <v>3534244.517610495</v>
      </c>
      <c r="I53" s="60">
        <f t="shared" si="18"/>
        <v>1272216.8068765986</v>
      </c>
      <c r="J53" s="3">
        <f t="shared" si="18"/>
        <v>0</v>
      </c>
      <c r="K53" s="5">
        <f t="shared" si="19"/>
        <v>1272216.8068765986</v>
      </c>
      <c r="L53" s="249">
        <f>'COP Rates'!F52</f>
        <v>2.7772999999999999</v>
      </c>
      <c r="M53" s="250">
        <f t="shared" si="21"/>
        <v>3533327.7377383774</v>
      </c>
    </row>
    <row r="54" spans="1:13" x14ac:dyDescent="0.25">
      <c r="A54" s="120">
        <f t="shared" si="0"/>
        <v>48</v>
      </c>
      <c r="B54" s="3" t="s">
        <v>5</v>
      </c>
      <c r="C54" s="52" t="s">
        <v>54</v>
      </c>
      <c r="D54" s="60">
        <f t="shared" si="16"/>
        <v>113324</v>
      </c>
      <c r="E54" s="3">
        <f t="shared" si="16"/>
        <v>0</v>
      </c>
      <c r="F54" s="5">
        <f t="shared" si="17"/>
        <v>113324</v>
      </c>
      <c r="G54" s="249">
        <f>'COP Rates'!E54</f>
        <v>2.9998</v>
      </c>
      <c r="H54" s="250">
        <f t="shared" si="20"/>
        <v>339949.33520000003</v>
      </c>
      <c r="I54" s="60">
        <f t="shared" si="18"/>
        <v>86226</v>
      </c>
      <c r="J54" s="3">
        <f t="shared" si="18"/>
        <v>0</v>
      </c>
      <c r="K54" s="5">
        <f t="shared" si="19"/>
        <v>86226</v>
      </c>
      <c r="L54" s="249">
        <f>'COP Rates'!F54</f>
        <v>2.9468999999999999</v>
      </c>
      <c r="M54" s="250">
        <f t="shared" si="21"/>
        <v>254099.39939999999</v>
      </c>
    </row>
    <row r="55" spans="1:13" x14ac:dyDescent="0.25">
      <c r="A55" s="120">
        <f t="shared" si="0"/>
        <v>49</v>
      </c>
      <c r="B55" s="3" t="s">
        <v>313</v>
      </c>
      <c r="C55" s="52" t="s">
        <v>24</v>
      </c>
      <c r="D55" s="60">
        <f t="shared" si="16"/>
        <v>1268750</v>
      </c>
      <c r="E55" s="3">
        <f t="shared" si="16"/>
        <v>1.0427999999999999</v>
      </c>
      <c r="F55" s="5">
        <f t="shared" si="17"/>
        <v>1323052.5</v>
      </c>
      <c r="G55" s="249">
        <f>'COP Rates'!E55</f>
        <v>6.4999999999999997E-3</v>
      </c>
      <c r="H55" s="250">
        <f t="shared" si="20"/>
        <v>8599.8412499999995</v>
      </c>
      <c r="I55" s="60">
        <f t="shared" si="18"/>
        <v>1288075</v>
      </c>
      <c r="J55" s="3">
        <f t="shared" si="18"/>
        <v>1.0431999999999999</v>
      </c>
      <c r="K55" s="5">
        <f t="shared" si="19"/>
        <v>1343719.8399999999</v>
      </c>
      <c r="L55" s="249">
        <f>'COP Rates'!F55</f>
        <v>6.4000000000000003E-3</v>
      </c>
      <c r="M55" s="250">
        <f t="shared" si="21"/>
        <v>8599.8069759999998</v>
      </c>
    </row>
    <row r="56" spans="1:13" x14ac:dyDescent="0.25">
      <c r="A56" s="120">
        <f t="shared" si="0"/>
        <v>50</v>
      </c>
      <c r="B56" s="3" t="s">
        <v>8</v>
      </c>
      <c r="C56" s="52" t="s">
        <v>54</v>
      </c>
      <c r="D56" s="60">
        <f t="shared" si="16"/>
        <v>1127</v>
      </c>
      <c r="E56" s="3">
        <f t="shared" si="16"/>
        <v>0</v>
      </c>
      <c r="F56" s="5">
        <f t="shared" si="17"/>
        <v>1127</v>
      </c>
      <c r="G56" s="249">
        <f>'COP Rates'!E56</f>
        <v>2.0769000000000002</v>
      </c>
      <c r="H56" s="250">
        <f t="shared" si="20"/>
        <v>2340.6663000000003</v>
      </c>
      <c r="I56" s="60">
        <f t="shared" si="18"/>
        <v>1110</v>
      </c>
      <c r="J56" s="3">
        <f t="shared" si="18"/>
        <v>0</v>
      </c>
      <c r="K56" s="5">
        <f t="shared" si="19"/>
        <v>1110</v>
      </c>
      <c r="L56" s="249">
        <f>'COP Rates'!F56</f>
        <v>2.0402999999999998</v>
      </c>
      <c r="M56" s="250">
        <f t="shared" si="21"/>
        <v>2264.7329999999997</v>
      </c>
    </row>
    <row r="57" spans="1:13" x14ac:dyDescent="0.25">
      <c r="A57" s="120">
        <f t="shared" si="0"/>
        <v>51</v>
      </c>
      <c r="B57" s="3" t="s">
        <v>7</v>
      </c>
      <c r="C57" s="52" t="s">
        <v>54</v>
      </c>
      <c r="D57" s="60">
        <f t="shared" si="16"/>
        <v>22189</v>
      </c>
      <c r="E57" s="3">
        <f t="shared" si="16"/>
        <v>0</v>
      </c>
      <c r="F57" s="5">
        <f t="shared" si="17"/>
        <v>22189</v>
      </c>
      <c r="G57" s="249">
        <f>'COP Rates'!E57</f>
        <v>2.0554999999999999</v>
      </c>
      <c r="H57" s="250">
        <f t="shared" si="20"/>
        <v>45609.489499999996</v>
      </c>
      <c r="I57" s="60">
        <f t="shared" si="18"/>
        <v>21790</v>
      </c>
      <c r="J57" s="3">
        <f t="shared" si="18"/>
        <v>0</v>
      </c>
      <c r="K57" s="5">
        <f t="shared" si="19"/>
        <v>21790</v>
      </c>
      <c r="L57" s="249">
        <f>'COP Rates'!F57</f>
        <v>2.0192000000000001</v>
      </c>
      <c r="M57" s="250">
        <f t="shared" si="21"/>
        <v>43998.368000000002</v>
      </c>
    </row>
    <row r="58" spans="1:13" x14ac:dyDescent="0.25">
      <c r="A58" s="291">
        <f t="shared" si="0"/>
        <v>52</v>
      </c>
      <c r="B58" s="65" t="s">
        <v>303</v>
      </c>
      <c r="C58" s="66" t="s">
        <v>54</v>
      </c>
      <c r="D58" s="67">
        <f t="shared" si="16"/>
        <v>11499</v>
      </c>
      <c r="E58" s="65">
        <f t="shared" si="16"/>
        <v>0</v>
      </c>
      <c r="F58" s="25">
        <f t="shared" si="17"/>
        <v>11499</v>
      </c>
      <c r="G58" s="251">
        <f>'COP Rates'!E58</f>
        <v>0</v>
      </c>
      <c r="H58" s="292">
        <f t="shared" si="20"/>
        <v>0</v>
      </c>
      <c r="I58" s="67">
        <f t="shared" si="18"/>
        <v>11231</v>
      </c>
      <c r="J58" s="65">
        <f t="shared" si="18"/>
        <v>0</v>
      </c>
      <c r="K58" s="25">
        <f t="shared" si="19"/>
        <v>11231</v>
      </c>
      <c r="L58" s="251">
        <f>'COP Rates'!F58</f>
        <v>0</v>
      </c>
      <c r="M58" s="292">
        <f t="shared" si="21"/>
        <v>0</v>
      </c>
    </row>
    <row r="59" spans="1:13" x14ac:dyDescent="0.25">
      <c r="A59" s="294">
        <f t="shared" si="0"/>
        <v>53</v>
      </c>
      <c r="B59" s="263" t="s">
        <v>18</v>
      </c>
      <c r="C59" s="301"/>
      <c r="D59" s="304"/>
      <c r="E59" s="263"/>
      <c r="F59" s="263"/>
      <c r="G59" s="263"/>
      <c r="H59" s="295">
        <f>SUM(H51:H58)</f>
        <v>6821925.216087372</v>
      </c>
      <c r="I59" s="146"/>
      <c r="J59" s="263"/>
      <c r="K59" s="263"/>
      <c r="L59" s="263"/>
      <c r="M59" s="295">
        <f>SUM(M51:M58)</f>
        <v>6620899.7265818305</v>
      </c>
    </row>
    <row r="60" spans="1:13" x14ac:dyDescent="0.25">
      <c r="A60" s="287">
        <f t="shared" si="0"/>
        <v>54</v>
      </c>
      <c r="B60" s="288" t="s">
        <v>318</v>
      </c>
      <c r="C60" s="300"/>
      <c r="D60" s="303"/>
      <c r="E60" s="289"/>
      <c r="F60" s="289"/>
      <c r="G60" s="289"/>
      <c r="H60" s="290"/>
      <c r="I60" s="306"/>
      <c r="J60" s="289"/>
      <c r="K60" s="289"/>
      <c r="L60" s="289"/>
      <c r="M60" s="290"/>
    </row>
    <row r="61" spans="1:13" x14ac:dyDescent="0.25">
      <c r="A61" s="120">
        <f t="shared" si="0"/>
        <v>55</v>
      </c>
      <c r="B61" s="3" t="s">
        <v>2</v>
      </c>
      <c r="C61" s="52" t="s">
        <v>24</v>
      </c>
      <c r="D61" s="60">
        <f t="shared" ref="D61:E68" si="22">D51</f>
        <v>283016587.250485</v>
      </c>
      <c r="E61" s="3">
        <f t="shared" si="22"/>
        <v>1.0427999999999999</v>
      </c>
      <c r="F61" s="5">
        <f>IF(C61="kwh",D61*E61,D61)</f>
        <v>295129697.18480575</v>
      </c>
      <c r="G61" s="249">
        <f>'COP Rates'!G50</f>
        <v>5.3E-3</v>
      </c>
      <c r="H61" s="250">
        <f>F61*G61</f>
        <v>1564187.3950794705</v>
      </c>
      <c r="I61" s="60">
        <f t="shared" ref="I61:J68" si="23">I51</f>
        <v>277476009.23399138</v>
      </c>
      <c r="J61" s="3">
        <f t="shared" si="23"/>
        <v>1.0431999999999999</v>
      </c>
      <c r="K61" s="5">
        <f>IF(C61="kwh",I61*J61,I61)</f>
        <v>289462972.83289981</v>
      </c>
      <c r="L61" s="249">
        <f>'COP Rates'!H50</f>
        <v>5.4000000000000003E-3</v>
      </c>
      <c r="M61" s="250">
        <f>K61*L61</f>
        <v>1563100.0532976591</v>
      </c>
    </row>
    <row r="62" spans="1:13" x14ac:dyDescent="0.25">
      <c r="A62" s="120">
        <f t="shared" si="0"/>
        <v>56</v>
      </c>
      <c r="B62" s="3" t="s">
        <v>309</v>
      </c>
      <c r="C62" s="52" t="s">
        <v>24</v>
      </c>
      <c r="D62" s="60">
        <f t="shared" si="22"/>
        <v>104337671.80952397</v>
      </c>
      <c r="E62" s="3">
        <f t="shared" si="22"/>
        <v>1.0427999999999999</v>
      </c>
      <c r="F62" s="5">
        <f t="shared" ref="F62:F68" si="24">IF(C62="kwh",D62*E62,D62)</f>
        <v>108803324.16297159</v>
      </c>
      <c r="G62" s="249">
        <f>'COP Rates'!G51</f>
        <v>4.7000000000000002E-3</v>
      </c>
      <c r="H62" s="250">
        <f t="shared" ref="H62:H68" si="25">F62*G62</f>
        <v>511375.6235659665</v>
      </c>
      <c r="I62" s="60">
        <f t="shared" si="23"/>
        <v>99682763.93957378</v>
      </c>
      <c r="J62" s="3">
        <f t="shared" si="23"/>
        <v>1.0431999999999999</v>
      </c>
      <c r="K62" s="5">
        <f t="shared" ref="K62:K68" si="26">IF(C62="kwh",I62*J62,I62)</f>
        <v>103989059.34176336</v>
      </c>
      <c r="L62" s="249">
        <f>'COP Rates'!H51</f>
        <v>4.7999999999999996E-3</v>
      </c>
      <c r="M62" s="250">
        <f t="shared" ref="M62:M68" si="27">K62*L62</f>
        <v>499147.48484046408</v>
      </c>
    </row>
    <row r="63" spans="1:13" x14ac:dyDescent="0.25">
      <c r="A63" s="120">
        <f t="shared" si="0"/>
        <v>57</v>
      </c>
      <c r="B63" s="3" t="s">
        <v>310</v>
      </c>
      <c r="C63" s="52" t="s">
        <v>54</v>
      </c>
      <c r="D63" s="60">
        <f t="shared" si="22"/>
        <v>1250086.4875532312</v>
      </c>
      <c r="E63" s="3">
        <f t="shared" si="22"/>
        <v>0</v>
      </c>
      <c r="F63" s="5">
        <f t="shared" si="24"/>
        <v>1250086.4875532312</v>
      </c>
      <c r="G63" s="249">
        <f>'COP Rates'!G52</f>
        <v>1.9723999999999999</v>
      </c>
      <c r="H63" s="250">
        <f t="shared" si="25"/>
        <v>2465670.5880499929</v>
      </c>
      <c r="I63" s="60">
        <f t="shared" si="23"/>
        <v>1272216.8068765986</v>
      </c>
      <c r="J63" s="3">
        <f t="shared" si="23"/>
        <v>0</v>
      </c>
      <c r="K63" s="5">
        <f t="shared" si="26"/>
        <v>1272216.8068765986</v>
      </c>
      <c r="L63" s="249">
        <f>'COP Rates'!H52</f>
        <v>2.0087000000000002</v>
      </c>
      <c r="M63" s="250">
        <f t="shared" si="27"/>
        <v>2555501.8999730237</v>
      </c>
    </row>
    <row r="64" spans="1:13" x14ac:dyDescent="0.25">
      <c r="A64" s="120">
        <f t="shared" si="0"/>
        <v>58</v>
      </c>
      <c r="B64" s="3" t="s">
        <v>5</v>
      </c>
      <c r="C64" s="52" t="s">
        <v>54</v>
      </c>
      <c r="D64" s="60">
        <f t="shared" si="22"/>
        <v>113324</v>
      </c>
      <c r="E64" s="3">
        <f t="shared" si="22"/>
        <v>0</v>
      </c>
      <c r="F64" s="5">
        <f t="shared" si="24"/>
        <v>113324</v>
      </c>
      <c r="G64" s="249">
        <f>'COP Rates'!G54</f>
        <v>2.1684000000000001</v>
      </c>
      <c r="H64" s="250">
        <f t="shared" si="25"/>
        <v>245731.7616</v>
      </c>
      <c r="I64" s="60">
        <f t="shared" si="23"/>
        <v>86226</v>
      </c>
      <c r="J64" s="3">
        <f t="shared" si="23"/>
        <v>0</v>
      </c>
      <c r="K64" s="5">
        <f t="shared" si="26"/>
        <v>86226</v>
      </c>
      <c r="L64" s="249">
        <f>'COP Rates'!H54</f>
        <v>2.2082999999999999</v>
      </c>
      <c r="M64" s="250">
        <f t="shared" si="27"/>
        <v>190412.87579999998</v>
      </c>
    </row>
    <row r="65" spans="1:13" x14ac:dyDescent="0.25">
      <c r="A65" s="120">
        <f t="shared" si="0"/>
        <v>59</v>
      </c>
      <c r="B65" s="3" t="s">
        <v>313</v>
      </c>
      <c r="C65" s="52" t="s">
        <v>24</v>
      </c>
      <c r="D65" s="60">
        <f t="shared" si="22"/>
        <v>1268750</v>
      </c>
      <c r="E65" s="3">
        <f t="shared" si="22"/>
        <v>1.0427999999999999</v>
      </c>
      <c r="F65" s="5">
        <f t="shared" si="24"/>
        <v>1323052.5</v>
      </c>
      <c r="G65" s="249">
        <f>'COP Rates'!G55</f>
        <v>4.7000000000000002E-3</v>
      </c>
      <c r="H65" s="250">
        <f t="shared" si="25"/>
        <v>6218.3467500000006</v>
      </c>
      <c r="I65" s="60">
        <f t="shared" si="23"/>
        <v>1288075</v>
      </c>
      <c r="J65" s="3">
        <f t="shared" si="23"/>
        <v>1.0431999999999999</v>
      </c>
      <c r="K65" s="5">
        <f t="shared" si="26"/>
        <v>1343719.8399999999</v>
      </c>
      <c r="L65" s="249">
        <f>'COP Rates'!H55</f>
        <v>4.7999999999999996E-3</v>
      </c>
      <c r="M65" s="250">
        <f t="shared" si="27"/>
        <v>6449.855231999999</v>
      </c>
    </row>
    <row r="66" spans="1:13" x14ac:dyDescent="0.25">
      <c r="A66" s="120">
        <f t="shared" si="0"/>
        <v>60</v>
      </c>
      <c r="B66" s="3" t="s">
        <v>8</v>
      </c>
      <c r="C66" s="52" t="s">
        <v>54</v>
      </c>
      <c r="D66" s="60">
        <f t="shared" si="22"/>
        <v>1127</v>
      </c>
      <c r="E66" s="3">
        <f t="shared" si="22"/>
        <v>0</v>
      </c>
      <c r="F66" s="5">
        <f t="shared" si="24"/>
        <v>1127</v>
      </c>
      <c r="G66" s="249">
        <f>'COP Rates'!G56</f>
        <v>1.4823</v>
      </c>
      <c r="H66" s="250">
        <f t="shared" si="25"/>
        <v>1670.5520999999999</v>
      </c>
      <c r="I66" s="60">
        <f t="shared" si="23"/>
        <v>1110</v>
      </c>
      <c r="J66" s="3">
        <f t="shared" si="23"/>
        <v>0</v>
      </c>
      <c r="K66" s="5">
        <f t="shared" si="26"/>
        <v>1110</v>
      </c>
      <c r="L66" s="249">
        <f>'COP Rates'!H56</f>
        <v>1.5096000000000001</v>
      </c>
      <c r="M66" s="250">
        <f t="shared" si="27"/>
        <v>1675.6559999999999</v>
      </c>
    </row>
    <row r="67" spans="1:13" x14ac:dyDescent="0.25">
      <c r="A67" s="120">
        <f t="shared" si="0"/>
        <v>61</v>
      </c>
      <c r="B67" s="3" t="s">
        <v>7</v>
      </c>
      <c r="C67" s="52" t="s">
        <v>54</v>
      </c>
      <c r="D67" s="60">
        <f t="shared" si="22"/>
        <v>22189</v>
      </c>
      <c r="E67" s="3">
        <f t="shared" si="22"/>
        <v>0</v>
      </c>
      <c r="F67" s="5">
        <f t="shared" si="24"/>
        <v>22189</v>
      </c>
      <c r="G67" s="249">
        <f>'COP Rates'!G57</f>
        <v>1.4478</v>
      </c>
      <c r="H67" s="250">
        <f t="shared" si="25"/>
        <v>32125.234199999999</v>
      </c>
      <c r="I67" s="60">
        <f t="shared" si="23"/>
        <v>21790</v>
      </c>
      <c r="J67" s="3">
        <f t="shared" si="23"/>
        <v>0</v>
      </c>
      <c r="K67" s="5">
        <f t="shared" si="26"/>
        <v>21790</v>
      </c>
      <c r="L67" s="249">
        <f>'COP Rates'!H57</f>
        <v>1.4744999999999999</v>
      </c>
      <c r="M67" s="250">
        <f t="shared" si="27"/>
        <v>32129.355</v>
      </c>
    </row>
    <row r="68" spans="1:13" x14ac:dyDescent="0.25">
      <c r="A68" s="291">
        <f t="shared" si="0"/>
        <v>62</v>
      </c>
      <c r="B68" s="65" t="s">
        <v>303</v>
      </c>
      <c r="C68" s="66" t="s">
        <v>54</v>
      </c>
      <c r="D68" s="67">
        <f t="shared" si="22"/>
        <v>11499</v>
      </c>
      <c r="E68" s="65">
        <f t="shared" si="22"/>
        <v>0</v>
      </c>
      <c r="F68" s="25">
        <f t="shared" si="24"/>
        <v>11499</v>
      </c>
      <c r="G68" s="251">
        <f>'COP Rates'!G58</f>
        <v>0</v>
      </c>
      <c r="H68" s="292">
        <f t="shared" si="25"/>
        <v>0</v>
      </c>
      <c r="I68" s="67">
        <f t="shared" si="23"/>
        <v>11231</v>
      </c>
      <c r="J68" s="65">
        <f t="shared" si="23"/>
        <v>0</v>
      </c>
      <c r="K68" s="25">
        <f t="shared" si="26"/>
        <v>11231</v>
      </c>
      <c r="L68" s="251">
        <f>'COP Rates'!H58</f>
        <v>0</v>
      </c>
      <c r="M68" s="292">
        <f t="shared" si="27"/>
        <v>0</v>
      </c>
    </row>
    <row r="69" spans="1:13" x14ac:dyDescent="0.25">
      <c r="A69" s="294">
        <f t="shared" si="0"/>
        <v>63</v>
      </c>
      <c r="B69" s="263" t="s">
        <v>18</v>
      </c>
      <c r="C69" s="301"/>
      <c r="D69" s="304"/>
      <c r="E69" s="263"/>
      <c r="F69" s="263"/>
      <c r="G69" s="263"/>
      <c r="H69" s="295">
        <f>SUM(H61:H68)</f>
        <v>4826979.5013454296</v>
      </c>
      <c r="I69" s="146"/>
      <c r="J69" s="263"/>
      <c r="K69" s="263"/>
      <c r="L69" s="263"/>
      <c r="M69" s="295">
        <f>SUM(M61:M68)</f>
        <v>4848417.1801431477</v>
      </c>
    </row>
    <row r="70" spans="1:13" ht="15.75" x14ac:dyDescent="0.25">
      <c r="A70" s="307">
        <f>A69+1</f>
        <v>64</v>
      </c>
      <c r="B70" s="308" t="s">
        <v>319</v>
      </c>
      <c r="C70" s="308"/>
      <c r="D70" s="309"/>
      <c r="E70" s="308"/>
      <c r="F70" s="308"/>
      <c r="G70" s="308"/>
      <c r="H70" s="310">
        <f>H17+H28+H39+H49+H59+H69</f>
        <v>111196854.50243562</v>
      </c>
      <c r="I70" s="308"/>
      <c r="J70" s="308"/>
      <c r="K70" s="308"/>
      <c r="L70" s="308"/>
      <c r="M70" s="311">
        <f>M17+M28+M39+M49+M59+M69</f>
        <v>110889168.02542263</v>
      </c>
    </row>
    <row r="71" spans="1:13" x14ac:dyDescent="0.25">
      <c r="H71" s="254"/>
      <c r="M71" s="254"/>
    </row>
    <row r="72" spans="1:13" x14ac:dyDescent="0.25">
      <c r="H72" s="254"/>
      <c r="M72" s="254"/>
    </row>
    <row r="73" spans="1:13" x14ac:dyDescent="0.25">
      <c r="H73" s="254"/>
      <c r="M73" s="254"/>
    </row>
    <row r="74" spans="1:13" x14ac:dyDescent="0.25">
      <c r="H74" s="254"/>
      <c r="M74" s="254"/>
    </row>
    <row r="75" spans="1:13" x14ac:dyDescent="0.25">
      <c r="H75" s="254"/>
      <c r="M75" s="254"/>
    </row>
    <row r="76" spans="1:13" x14ac:dyDescent="0.25">
      <c r="M76" s="254"/>
    </row>
  </sheetData>
  <mergeCells count="5">
    <mergeCell ref="D5:H5"/>
    <mergeCell ref="I5:M5"/>
    <mergeCell ref="A5:A6"/>
    <mergeCell ref="B5:B6"/>
    <mergeCell ref="C5:C6"/>
  </mergeCells>
  <pageMargins left="0.5" right="0.5" top="0.5" bottom="0.5" header="0.3" footer="0.3"/>
  <pageSetup scale="59" orientation="portrait" verticalDpi="0" r:id="rId1"/>
  <ignoredErrors>
    <ignoredError sqref="G8:G10 E12 E23 G19:G21 L8:L10 J12 J23 L19:L21 G12:G16 L12:L17 L23:L2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0"/>
  <sheetViews>
    <sheetView workbookViewId="0">
      <pane xSplit="2" ySplit="6" topLeftCell="C10" activePane="bottomRight" state="frozen"/>
      <selection activeCell="Y35" sqref="Y35"/>
      <selection pane="topRight" activeCell="Y35" sqref="Y35"/>
      <selection pane="bottomLeft" activeCell="Y35" sqref="Y35"/>
      <selection pane="bottomRight" activeCell="H17" sqref="H17:K17"/>
    </sheetView>
  </sheetViews>
  <sheetFormatPr defaultRowHeight="15" x14ac:dyDescent="0.25"/>
  <cols>
    <col min="1" max="1" width="6.7109375" style="285" customWidth="1"/>
    <col min="2" max="2" width="32.140625" customWidth="1"/>
    <col min="3" max="11" width="12.7109375" customWidth="1"/>
  </cols>
  <sheetData>
    <row r="1" spans="1:11" ht="18.75" x14ac:dyDescent="0.3">
      <c r="A1" s="406" t="s">
        <v>34</v>
      </c>
    </row>
    <row r="2" spans="1:11" ht="18.75" x14ac:dyDescent="0.3">
      <c r="A2" s="406" t="s">
        <v>398</v>
      </c>
    </row>
    <row r="3" spans="1:11" ht="19.5" thickBot="1" x14ac:dyDescent="0.35">
      <c r="A3" s="474" t="s">
        <v>397</v>
      </c>
      <c r="B3" s="33"/>
      <c r="C3" s="33"/>
      <c r="D3" s="33"/>
      <c r="E3" s="33"/>
      <c r="F3" s="33"/>
      <c r="G3" s="33"/>
      <c r="H3" s="33"/>
      <c r="I3" s="33"/>
      <c r="J3" s="33"/>
      <c r="K3" s="33"/>
    </row>
    <row r="5" spans="1:11" x14ac:dyDescent="0.25">
      <c r="A5" s="514" t="s">
        <v>396</v>
      </c>
      <c r="B5" s="492" t="s">
        <v>35</v>
      </c>
      <c r="C5" s="514" t="s">
        <v>395</v>
      </c>
      <c r="D5" s="516"/>
      <c r="E5" s="516"/>
      <c r="F5" s="516"/>
      <c r="G5" s="517"/>
      <c r="H5" s="518" t="s">
        <v>394</v>
      </c>
      <c r="I5" s="516"/>
      <c r="J5" s="516"/>
      <c r="K5" s="517"/>
    </row>
    <row r="6" spans="1:11" x14ac:dyDescent="0.25">
      <c r="A6" s="515"/>
      <c r="B6" s="493"/>
      <c r="C6" s="356" t="s">
        <v>393</v>
      </c>
      <c r="D6" s="346" t="s">
        <v>385</v>
      </c>
      <c r="E6" s="346" t="s">
        <v>392</v>
      </c>
      <c r="F6" s="346" t="s">
        <v>391</v>
      </c>
      <c r="G6" s="324" t="s">
        <v>18</v>
      </c>
      <c r="H6" s="352" t="s">
        <v>393</v>
      </c>
      <c r="I6" s="346" t="s">
        <v>385</v>
      </c>
      <c r="J6" s="346" t="s">
        <v>392</v>
      </c>
      <c r="K6" s="324" t="s">
        <v>391</v>
      </c>
    </row>
    <row r="7" spans="1:11" x14ac:dyDescent="0.25">
      <c r="A7" s="411">
        <v>1</v>
      </c>
      <c r="B7" s="455" t="s">
        <v>390</v>
      </c>
      <c r="C7" s="456"/>
      <c r="D7" s="23"/>
      <c r="E7" s="23"/>
      <c r="F7" s="23"/>
      <c r="G7" s="24"/>
      <c r="H7" s="457"/>
      <c r="I7" s="23"/>
      <c r="J7" s="23"/>
      <c r="K7" s="24"/>
    </row>
    <row r="8" spans="1:11" x14ac:dyDescent="0.25">
      <c r="A8" s="120">
        <f t="shared" ref="A8:A40" si="0">A7+1</f>
        <v>2</v>
      </c>
      <c r="B8" s="425" t="s">
        <v>2</v>
      </c>
      <c r="C8" s="453">
        <v>28836</v>
      </c>
      <c r="D8" s="405">
        <v>6572</v>
      </c>
      <c r="E8" s="405">
        <v>552</v>
      </c>
      <c r="F8" s="405">
        <v>171</v>
      </c>
      <c r="G8" s="454">
        <f t="shared" ref="G8:G17" si="1">SUM(C8:F8)</f>
        <v>36131</v>
      </c>
      <c r="H8" s="451">
        <f t="shared" ref="H8:H17" si="2">C8/G8</f>
        <v>0.79809581799562701</v>
      </c>
      <c r="I8" s="35">
        <f t="shared" ref="I8:I17" si="3">D8/G8</f>
        <v>0.18189366472004651</v>
      </c>
      <c r="J8" s="35">
        <f t="shared" ref="J8:J17" si="4">E8/G8</f>
        <v>1.5277739337411087E-2</v>
      </c>
      <c r="K8" s="450">
        <f t="shared" ref="K8:K17" si="5">F8/G8</f>
        <v>4.7327779469153912E-3</v>
      </c>
    </row>
    <row r="9" spans="1:11" x14ac:dyDescent="0.25">
      <c r="A9" s="120">
        <f t="shared" si="0"/>
        <v>3</v>
      </c>
      <c r="B9" s="425" t="s">
        <v>309</v>
      </c>
      <c r="C9" s="453">
        <v>3092</v>
      </c>
      <c r="D9" s="405">
        <v>661</v>
      </c>
      <c r="E9" s="405">
        <v>89</v>
      </c>
      <c r="F9" s="405">
        <v>32</v>
      </c>
      <c r="G9" s="454">
        <f t="shared" si="1"/>
        <v>3874</v>
      </c>
      <c r="H9" s="451">
        <f t="shared" si="2"/>
        <v>0.79814145585957663</v>
      </c>
      <c r="I9" s="35">
        <f t="shared" si="3"/>
        <v>0.17062467733608674</v>
      </c>
      <c r="J9" s="35">
        <f t="shared" si="4"/>
        <v>2.2973670624677336E-2</v>
      </c>
      <c r="K9" s="450">
        <f t="shared" si="5"/>
        <v>8.2601961796592675E-3</v>
      </c>
    </row>
    <row r="10" spans="1:11" x14ac:dyDescent="0.25">
      <c r="A10" s="120">
        <f t="shared" si="0"/>
        <v>4</v>
      </c>
      <c r="B10" s="425" t="s">
        <v>310</v>
      </c>
      <c r="C10" s="453">
        <v>386</v>
      </c>
      <c r="D10" s="405">
        <v>96</v>
      </c>
      <c r="E10" s="405">
        <v>0</v>
      </c>
      <c r="F10" s="405">
        <v>4</v>
      </c>
      <c r="G10" s="454">
        <f t="shared" si="1"/>
        <v>486</v>
      </c>
      <c r="H10" s="451">
        <f t="shared" si="2"/>
        <v>0.79423868312757206</v>
      </c>
      <c r="I10" s="35">
        <f t="shared" si="3"/>
        <v>0.19753086419753085</v>
      </c>
      <c r="J10" s="35">
        <f t="shared" si="4"/>
        <v>0</v>
      </c>
      <c r="K10" s="450">
        <f t="shared" si="5"/>
        <v>8.23045267489712E-3</v>
      </c>
    </row>
    <row r="11" spans="1:11" x14ac:dyDescent="0.25">
      <c r="A11" s="120">
        <f t="shared" si="0"/>
        <v>5</v>
      </c>
      <c r="B11" s="425" t="s">
        <v>275</v>
      </c>
      <c r="C11" s="453">
        <v>12</v>
      </c>
      <c r="D11" s="405">
        <v>0</v>
      </c>
      <c r="E11" s="405">
        <v>0</v>
      </c>
      <c r="F11" s="405">
        <v>0</v>
      </c>
      <c r="G11" s="454">
        <f t="shared" si="1"/>
        <v>12</v>
      </c>
      <c r="H11" s="451">
        <f t="shared" si="2"/>
        <v>1</v>
      </c>
      <c r="I11" s="35">
        <f t="shared" si="3"/>
        <v>0</v>
      </c>
      <c r="J11" s="35">
        <f t="shared" si="4"/>
        <v>0</v>
      </c>
      <c r="K11" s="450">
        <f t="shared" si="5"/>
        <v>0</v>
      </c>
    </row>
    <row r="12" spans="1:11" x14ac:dyDescent="0.25">
      <c r="A12" s="120">
        <f t="shared" si="0"/>
        <v>6</v>
      </c>
      <c r="B12" s="425" t="s">
        <v>389</v>
      </c>
      <c r="C12" s="453">
        <v>1</v>
      </c>
      <c r="D12" s="405">
        <v>0</v>
      </c>
      <c r="E12" s="405">
        <v>0</v>
      </c>
      <c r="F12" s="405">
        <v>0</v>
      </c>
      <c r="G12" s="454">
        <f t="shared" si="1"/>
        <v>1</v>
      </c>
      <c r="H12" s="451">
        <f t="shared" si="2"/>
        <v>1</v>
      </c>
      <c r="I12" s="35">
        <f t="shared" si="3"/>
        <v>0</v>
      </c>
      <c r="J12" s="35">
        <f t="shared" si="4"/>
        <v>0</v>
      </c>
      <c r="K12" s="450">
        <f t="shared" si="5"/>
        <v>0</v>
      </c>
    </row>
    <row r="13" spans="1:11" x14ac:dyDescent="0.25">
      <c r="A13" s="120">
        <f t="shared" si="0"/>
        <v>7</v>
      </c>
      <c r="B13" s="425" t="s">
        <v>312</v>
      </c>
      <c r="C13" s="453">
        <v>0</v>
      </c>
      <c r="D13" s="405">
        <v>1</v>
      </c>
      <c r="E13" s="405">
        <v>0</v>
      </c>
      <c r="F13" s="405">
        <v>0</v>
      </c>
      <c r="G13" s="454">
        <f t="shared" si="1"/>
        <v>1</v>
      </c>
      <c r="H13" s="451">
        <f t="shared" si="2"/>
        <v>0</v>
      </c>
      <c r="I13" s="35">
        <f t="shared" si="3"/>
        <v>1</v>
      </c>
      <c r="J13" s="35">
        <f t="shared" si="4"/>
        <v>0</v>
      </c>
      <c r="K13" s="450">
        <f t="shared" si="5"/>
        <v>0</v>
      </c>
    </row>
    <row r="14" spans="1:11" x14ac:dyDescent="0.25">
      <c r="A14" s="120">
        <f t="shared" si="0"/>
        <v>8</v>
      </c>
      <c r="B14" s="425" t="s">
        <v>388</v>
      </c>
      <c r="C14" s="453">
        <v>199</v>
      </c>
      <c r="D14" s="405">
        <v>51</v>
      </c>
      <c r="E14" s="405">
        <v>0</v>
      </c>
      <c r="F14" s="405">
        <v>0</v>
      </c>
      <c r="G14" s="454">
        <f t="shared" si="1"/>
        <v>250</v>
      </c>
      <c r="H14" s="451">
        <f t="shared" si="2"/>
        <v>0.79600000000000004</v>
      </c>
      <c r="I14" s="35">
        <f t="shared" si="3"/>
        <v>0.20399999999999999</v>
      </c>
      <c r="J14" s="35">
        <f t="shared" si="4"/>
        <v>0</v>
      </c>
      <c r="K14" s="450">
        <f t="shared" si="5"/>
        <v>0</v>
      </c>
    </row>
    <row r="15" spans="1:11" x14ac:dyDescent="0.25">
      <c r="A15" s="120">
        <f t="shared" si="0"/>
        <v>9</v>
      </c>
      <c r="B15" s="425" t="s">
        <v>387</v>
      </c>
      <c r="C15" s="453">
        <v>411</v>
      </c>
      <c r="D15" s="405">
        <v>69</v>
      </c>
      <c r="E15" s="405">
        <v>1</v>
      </c>
      <c r="F15" s="405">
        <v>0</v>
      </c>
      <c r="G15" s="454">
        <f t="shared" si="1"/>
        <v>481</v>
      </c>
      <c r="H15" s="451">
        <f t="shared" si="2"/>
        <v>0.85446985446985446</v>
      </c>
      <c r="I15" s="35">
        <f t="shared" si="3"/>
        <v>0.14345114345114346</v>
      </c>
      <c r="J15" s="35">
        <f t="shared" si="4"/>
        <v>2.0790020790020791E-3</v>
      </c>
      <c r="K15" s="450">
        <f t="shared" si="5"/>
        <v>0</v>
      </c>
    </row>
    <row r="16" spans="1:11" x14ac:dyDescent="0.25">
      <c r="A16" s="120">
        <f t="shared" si="0"/>
        <v>10</v>
      </c>
      <c r="B16" s="425" t="s">
        <v>386</v>
      </c>
      <c r="C16" s="453">
        <v>10623</v>
      </c>
      <c r="D16" s="405">
        <v>2361</v>
      </c>
      <c r="E16" s="405">
        <v>208</v>
      </c>
      <c r="F16" s="405">
        <v>74</v>
      </c>
      <c r="G16" s="454">
        <f t="shared" si="1"/>
        <v>13266</v>
      </c>
      <c r="H16" s="451">
        <f t="shared" si="2"/>
        <v>0.80076888285843506</v>
      </c>
      <c r="I16" s="35">
        <f t="shared" si="3"/>
        <v>0.17797376752600633</v>
      </c>
      <c r="J16" s="35">
        <f t="shared" si="4"/>
        <v>1.5679179858284337E-2</v>
      </c>
      <c r="K16" s="450">
        <f t="shared" si="5"/>
        <v>5.5781697572742346E-3</v>
      </c>
    </row>
    <row r="17" spans="1:11" x14ac:dyDescent="0.25">
      <c r="A17" s="120">
        <f t="shared" si="0"/>
        <v>11</v>
      </c>
      <c r="B17" s="425" t="s">
        <v>9</v>
      </c>
      <c r="C17" s="453"/>
      <c r="D17" s="405"/>
      <c r="E17" s="405"/>
      <c r="F17" s="405"/>
      <c r="G17" s="454">
        <f t="shared" si="1"/>
        <v>0</v>
      </c>
      <c r="H17" s="451"/>
      <c r="I17" s="35"/>
      <c r="J17" s="35"/>
      <c r="K17" s="450"/>
    </row>
    <row r="18" spans="1:11" x14ac:dyDescent="0.25">
      <c r="A18" s="458">
        <f t="shared" si="0"/>
        <v>12</v>
      </c>
      <c r="B18" s="459" t="s">
        <v>56</v>
      </c>
      <c r="C18" s="460">
        <f>SUM(C8:C16)</f>
        <v>43560</v>
      </c>
      <c r="D18" s="461">
        <f>SUM(D8:D16)</f>
        <v>9811</v>
      </c>
      <c r="E18" s="461">
        <f>SUM(E8:E16)</f>
        <v>850</v>
      </c>
      <c r="F18" s="461">
        <f>SUM(F8:F16)</f>
        <v>281</v>
      </c>
      <c r="G18" s="462">
        <f>SUM(G8:G16)</f>
        <v>54502</v>
      </c>
      <c r="H18" s="463"/>
      <c r="I18" s="464"/>
      <c r="J18" s="464"/>
      <c r="K18" s="465"/>
    </row>
    <row r="19" spans="1:11" x14ac:dyDescent="0.25">
      <c r="A19" s="412">
        <f t="shared" si="0"/>
        <v>13</v>
      </c>
      <c r="B19" s="424" t="s">
        <v>24</v>
      </c>
      <c r="C19" s="436"/>
      <c r="D19" s="337"/>
      <c r="E19" s="337"/>
      <c r="F19" s="337"/>
      <c r="G19" s="359"/>
      <c r="H19" s="432"/>
      <c r="I19" s="337"/>
      <c r="J19" s="337"/>
      <c r="K19" s="359"/>
    </row>
    <row r="20" spans="1:11" x14ac:dyDescent="0.25">
      <c r="A20" s="120">
        <f t="shared" si="0"/>
        <v>14</v>
      </c>
      <c r="B20" s="52" t="s">
        <v>2</v>
      </c>
      <c r="C20" s="60">
        <v>225602338.60690317</v>
      </c>
      <c r="D20" s="5">
        <v>57965625.719457015</v>
      </c>
      <c r="E20" s="5">
        <v>4528709</v>
      </c>
      <c r="F20" s="5">
        <v>1358770</v>
      </c>
      <c r="G20" s="18">
        <f t="shared" ref="G20:G29" si="6">SUM(C20:F20)</f>
        <v>289455443.32636017</v>
      </c>
      <c r="H20" s="451">
        <f t="shared" ref="H20:H28" si="7">C20/G20</f>
        <v>0.77940264661921455</v>
      </c>
      <c r="I20" s="35">
        <f t="shared" ref="I20:I28" si="8">D20/G20</f>
        <v>0.20025750786832136</v>
      </c>
      <c r="J20" s="35">
        <f t="shared" ref="J20:J28" si="9">E20/G20</f>
        <v>1.5645616983246343E-2</v>
      </c>
      <c r="K20" s="450">
        <f t="shared" ref="K20:K28" si="10">F20/G20</f>
        <v>4.6942285292178483E-3</v>
      </c>
    </row>
    <row r="21" spans="1:11" x14ac:dyDescent="0.25">
      <c r="A21" s="120">
        <f t="shared" si="0"/>
        <v>15</v>
      </c>
      <c r="B21" s="52" t="s">
        <v>309</v>
      </c>
      <c r="C21" s="60">
        <v>88516284.126289561</v>
      </c>
      <c r="D21" s="5">
        <v>17337883.176470589</v>
      </c>
      <c r="E21" s="5">
        <v>3437363</v>
      </c>
      <c r="F21" s="5">
        <v>534747</v>
      </c>
      <c r="G21" s="18">
        <f t="shared" si="6"/>
        <v>109826277.30276015</v>
      </c>
      <c r="H21" s="451">
        <f t="shared" si="7"/>
        <v>0.80596635249936643</v>
      </c>
      <c r="I21" s="35">
        <f t="shared" si="8"/>
        <v>0.15786643781683432</v>
      </c>
      <c r="J21" s="35">
        <f t="shared" si="9"/>
        <v>3.1298183680797606E-2</v>
      </c>
      <c r="K21" s="450">
        <f t="shared" si="10"/>
        <v>4.8690260030015671E-3</v>
      </c>
    </row>
    <row r="22" spans="1:11" x14ac:dyDescent="0.25">
      <c r="A22" s="120">
        <f t="shared" si="0"/>
        <v>16</v>
      </c>
      <c r="B22" s="52" t="s">
        <v>310</v>
      </c>
      <c r="C22" s="60">
        <v>245152652.91698945</v>
      </c>
      <c r="D22" s="5">
        <v>106710585.06033182</v>
      </c>
      <c r="E22" s="5">
        <v>0</v>
      </c>
      <c r="F22" s="5">
        <v>1478160</v>
      </c>
      <c r="G22" s="18">
        <f t="shared" si="6"/>
        <v>353341397.97732127</v>
      </c>
      <c r="H22" s="451">
        <f t="shared" si="7"/>
        <v>0.69381242707576607</v>
      </c>
      <c r="I22" s="35">
        <f t="shared" si="8"/>
        <v>0.30200419670944101</v>
      </c>
      <c r="J22" s="35">
        <f t="shared" si="9"/>
        <v>0</v>
      </c>
      <c r="K22" s="450">
        <f t="shared" si="10"/>
        <v>4.1833762147929056E-3</v>
      </c>
    </row>
    <row r="23" spans="1:11" x14ac:dyDescent="0.25">
      <c r="A23" s="120">
        <f t="shared" si="0"/>
        <v>17</v>
      </c>
      <c r="B23" s="52" t="s">
        <v>275</v>
      </c>
      <c r="C23" s="60">
        <v>113731870.00479385</v>
      </c>
      <c r="D23" s="5">
        <v>0</v>
      </c>
      <c r="E23" s="5">
        <v>0</v>
      </c>
      <c r="F23" s="5">
        <v>0</v>
      </c>
      <c r="G23" s="18">
        <f t="shared" si="6"/>
        <v>113731870.00479385</v>
      </c>
      <c r="H23" s="451">
        <f t="shared" si="7"/>
        <v>1</v>
      </c>
      <c r="I23" s="35">
        <f t="shared" si="8"/>
        <v>0</v>
      </c>
      <c r="J23" s="35">
        <f t="shared" si="9"/>
        <v>0</v>
      </c>
      <c r="K23" s="450">
        <f t="shared" si="10"/>
        <v>0</v>
      </c>
    </row>
    <row r="24" spans="1:11" x14ac:dyDescent="0.25">
      <c r="A24" s="120">
        <f t="shared" si="0"/>
        <v>18</v>
      </c>
      <c r="B24" s="52" t="s">
        <v>389</v>
      </c>
      <c r="C24" s="60">
        <v>33167215.004141606</v>
      </c>
      <c r="D24" s="5">
        <v>0</v>
      </c>
      <c r="E24" s="5">
        <v>0</v>
      </c>
      <c r="F24" s="5">
        <v>0</v>
      </c>
      <c r="G24" s="18">
        <f t="shared" si="6"/>
        <v>33167215.004141606</v>
      </c>
      <c r="H24" s="451">
        <f t="shared" si="7"/>
        <v>1</v>
      </c>
      <c r="I24" s="35">
        <f t="shared" si="8"/>
        <v>0</v>
      </c>
      <c r="J24" s="35">
        <f t="shared" si="9"/>
        <v>0</v>
      </c>
      <c r="K24" s="450">
        <f t="shared" si="10"/>
        <v>0</v>
      </c>
    </row>
    <row r="25" spans="1:11" x14ac:dyDescent="0.25">
      <c r="A25" s="120">
        <f t="shared" si="0"/>
        <v>19</v>
      </c>
      <c r="B25" s="52" t="s">
        <v>312</v>
      </c>
      <c r="C25" s="60">
        <v>0</v>
      </c>
      <c r="D25" s="5">
        <v>31573402.002986562</v>
      </c>
      <c r="E25" s="5">
        <v>0</v>
      </c>
      <c r="F25" s="5">
        <v>0</v>
      </c>
      <c r="G25" s="18">
        <f t="shared" si="6"/>
        <v>31573402.002986562</v>
      </c>
      <c r="H25" s="451">
        <f t="shared" si="7"/>
        <v>0</v>
      </c>
      <c r="I25" s="35">
        <f t="shared" si="8"/>
        <v>1</v>
      </c>
      <c r="J25" s="35">
        <f t="shared" si="9"/>
        <v>0</v>
      </c>
      <c r="K25" s="450">
        <f t="shared" si="10"/>
        <v>0</v>
      </c>
    </row>
    <row r="26" spans="1:11" x14ac:dyDescent="0.25">
      <c r="A26" s="120">
        <f t="shared" si="0"/>
        <v>20</v>
      </c>
      <c r="B26" s="52" t="s">
        <v>388</v>
      </c>
      <c r="C26" s="60">
        <v>923683.96</v>
      </c>
      <c r="D26" s="5">
        <v>325760</v>
      </c>
      <c r="E26" s="5">
        <v>0</v>
      </c>
      <c r="F26" s="5">
        <v>0</v>
      </c>
      <c r="G26" s="18">
        <f t="shared" si="6"/>
        <v>1249443.96</v>
      </c>
      <c r="H26" s="451">
        <f t="shared" si="7"/>
        <v>0.73927602163125428</v>
      </c>
      <c r="I26" s="35">
        <f t="shared" si="8"/>
        <v>0.26072397836874572</v>
      </c>
      <c r="J26" s="35">
        <f t="shared" si="9"/>
        <v>0</v>
      </c>
      <c r="K26" s="450">
        <f t="shared" si="10"/>
        <v>0</v>
      </c>
    </row>
    <row r="27" spans="1:11" x14ac:dyDescent="0.25">
      <c r="A27" s="120">
        <f t="shared" si="0"/>
        <v>21</v>
      </c>
      <c r="B27" s="52" t="s">
        <v>387</v>
      </c>
      <c r="C27" s="60">
        <v>364562.62511984661</v>
      </c>
      <c r="D27" s="5">
        <v>43208.128205128203</v>
      </c>
      <c r="E27" s="5">
        <v>881</v>
      </c>
      <c r="F27" s="5">
        <v>0</v>
      </c>
      <c r="G27" s="18">
        <f t="shared" si="6"/>
        <v>408651.75332497479</v>
      </c>
      <c r="H27" s="451">
        <f t="shared" si="7"/>
        <v>0.89211075727340172</v>
      </c>
      <c r="I27" s="35">
        <f t="shared" si="8"/>
        <v>0.10573337286226574</v>
      </c>
      <c r="J27" s="35">
        <f t="shared" si="9"/>
        <v>2.1558698643326184E-3</v>
      </c>
      <c r="K27" s="450">
        <f t="shared" si="10"/>
        <v>0</v>
      </c>
    </row>
    <row r="28" spans="1:11" x14ac:dyDescent="0.25">
      <c r="A28" s="120">
        <f t="shared" si="0"/>
        <v>22</v>
      </c>
      <c r="B28" s="52" t="s">
        <v>386</v>
      </c>
      <c r="C28" s="60">
        <v>5912082.511025887</v>
      </c>
      <c r="D28" s="5">
        <v>1450049.8190045247</v>
      </c>
      <c r="E28" s="5">
        <v>116024</v>
      </c>
      <c r="F28" s="5">
        <v>55093</v>
      </c>
      <c r="G28" s="18">
        <f t="shared" si="6"/>
        <v>7533249.3300304115</v>
      </c>
      <c r="H28" s="451">
        <f t="shared" si="7"/>
        <v>0.78479846504722284</v>
      </c>
      <c r="I28" s="35">
        <f t="shared" si="8"/>
        <v>0.19248663564394078</v>
      </c>
      <c r="J28" s="35">
        <f t="shared" si="9"/>
        <v>1.5401587670473614E-2</v>
      </c>
      <c r="K28" s="450">
        <f t="shared" si="10"/>
        <v>7.313311638362777E-3</v>
      </c>
    </row>
    <row r="29" spans="1:11" x14ac:dyDescent="0.25">
      <c r="A29" s="466">
        <f t="shared" si="0"/>
        <v>23</v>
      </c>
      <c r="B29" s="467" t="s">
        <v>18</v>
      </c>
      <c r="C29" s="468">
        <f>SUM(C20:C28)</f>
        <v>713370689.75526345</v>
      </c>
      <c r="D29" s="469">
        <f>SUM(D20:D28)</f>
        <v>215406513.90645564</v>
      </c>
      <c r="E29" s="469">
        <f>SUM(E20:E28)</f>
        <v>8082977</v>
      </c>
      <c r="F29" s="469">
        <f>SUM(F20:F28)</f>
        <v>3426770</v>
      </c>
      <c r="G29" s="470">
        <f t="shared" si="6"/>
        <v>940286950.66171908</v>
      </c>
      <c r="H29" s="471"/>
      <c r="I29" s="472"/>
      <c r="J29" s="472"/>
      <c r="K29" s="473"/>
    </row>
    <row r="30" spans="1:11" x14ac:dyDescent="0.25">
      <c r="A30" s="412">
        <f t="shared" si="0"/>
        <v>24</v>
      </c>
      <c r="B30" s="424" t="s">
        <v>54</v>
      </c>
      <c r="C30" s="436"/>
      <c r="D30" s="337"/>
      <c r="E30" s="337"/>
      <c r="F30" s="337"/>
      <c r="G30" s="359"/>
      <c r="H30" s="432"/>
      <c r="I30" s="337"/>
      <c r="J30" s="337"/>
      <c r="K30" s="359"/>
    </row>
    <row r="31" spans="1:11" x14ac:dyDescent="0.25">
      <c r="A31" s="120">
        <f t="shared" si="0"/>
        <v>25</v>
      </c>
      <c r="B31" s="52" t="s">
        <v>2</v>
      </c>
      <c r="C31" s="60">
        <v>0</v>
      </c>
      <c r="D31" s="5">
        <v>0</v>
      </c>
      <c r="E31" s="5">
        <v>0</v>
      </c>
      <c r="F31" s="5">
        <v>0</v>
      </c>
      <c r="G31" s="18">
        <f t="shared" ref="G31:G39" si="11">SUM(C31:F31)</f>
        <v>0</v>
      </c>
      <c r="H31" s="452"/>
      <c r="I31" s="3"/>
      <c r="J31" s="3"/>
      <c r="K31" s="11"/>
    </row>
    <row r="32" spans="1:11" x14ac:dyDescent="0.25">
      <c r="A32" s="120">
        <f t="shared" si="0"/>
        <v>26</v>
      </c>
      <c r="B32" s="52" t="s">
        <v>309</v>
      </c>
      <c r="C32" s="60">
        <v>0</v>
      </c>
      <c r="D32" s="5">
        <v>0</v>
      </c>
      <c r="E32" s="5">
        <v>0</v>
      </c>
      <c r="F32" s="5">
        <v>0</v>
      </c>
      <c r="G32" s="18">
        <f t="shared" si="11"/>
        <v>0</v>
      </c>
      <c r="H32" s="452"/>
      <c r="I32" s="3"/>
      <c r="J32" s="3"/>
      <c r="K32" s="11"/>
    </row>
    <row r="33" spans="1:11" x14ac:dyDescent="0.25">
      <c r="A33" s="120">
        <f t="shared" si="0"/>
        <v>27</v>
      </c>
      <c r="B33" s="52" t="s">
        <v>310</v>
      </c>
      <c r="C33" s="60">
        <v>694185</v>
      </c>
      <c r="D33" s="5">
        <v>240319.3</v>
      </c>
      <c r="E33" s="5">
        <v>0</v>
      </c>
      <c r="F33" s="5">
        <v>3877.7</v>
      </c>
      <c r="G33" s="18">
        <f t="shared" si="11"/>
        <v>938382</v>
      </c>
      <c r="H33" s="451">
        <f>C33/G33</f>
        <v>0.73976802624091254</v>
      </c>
      <c r="I33" s="35">
        <f>D33/G33</f>
        <v>0.25609964811771752</v>
      </c>
      <c r="J33" s="35">
        <f>E33/G33</f>
        <v>0</v>
      </c>
      <c r="K33" s="450">
        <f>F33/G33</f>
        <v>4.1323256413699321E-3</v>
      </c>
    </row>
    <row r="34" spans="1:11" x14ac:dyDescent="0.25">
      <c r="A34" s="120">
        <f t="shared" si="0"/>
        <v>28</v>
      </c>
      <c r="B34" s="52" t="s">
        <v>275</v>
      </c>
      <c r="C34" s="60">
        <v>273287</v>
      </c>
      <c r="D34" s="5">
        <v>0</v>
      </c>
      <c r="E34" s="5">
        <v>0</v>
      </c>
      <c r="F34" s="5">
        <v>0</v>
      </c>
      <c r="G34" s="18">
        <f t="shared" si="11"/>
        <v>273287</v>
      </c>
      <c r="H34" s="451">
        <f>C34/G34</f>
        <v>1</v>
      </c>
      <c r="I34" s="35">
        <f>D34/G34</f>
        <v>0</v>
      </c>
      <c r="J34" s="35">
        <f>E34/G34</f>
        <v>0</v>
      </c>
      <c r="K34" s="450">
        <f>F34/G34</f>
        <v>0</v>
      </c>
    </row>
    <row r="35" spans="1:11" x14ac:dyDescent="0.25">
      <c r="A35" s="120">
        <f t="shared" si="0"/>
        <v>29</v>
      </c>
      <c r="B35" s="52" t="s">
        <v>389</v>
      </c>
      <c r="C35" s="60">
        <v>81852</v>
      </c>
      <c r="D35" s="5">
        <v>0</v>
      </c>
      <c r="E35" s="5">
        <v>0</v>
      </c>
      <c r="F35" s="5">
        <v>0</v>
      </c>
      <c r="G35" s="18">
        <f t="shared" si="11"/>
        <v>81852</v>
      </c>
      <c r="H35" s="452"/>
      <c r="I35" s="3"/>
      <c r="J35" s="3"/>
      <c r="K35" s="11"/>
    </row>
    <row r="36" spans="1:11" x14ac:dyDescent="0.25">
      <c r="A36" s="120">
        <f t="shared" si="0"/>
        <v>30</v>
      </c>
      <c r="B36" s="52" t="s">
        <v>312</v>
      </c>
      <c r="C36" s="60">
        <v>0</v>
      </c>
      <c r="D36" s="5">
        <v>65619</v>
      </c>
      <c r="E36" s="5">
        <v>0</v>
      </c>
      <c r="F36" s="5">
        <v>0</v>
      </c>
      <c r="G36" s="18">
        <f t="shared" si="11"/>
        <v>65619</v>
      </c>
      <c r="H36" s="451">
        <f>C36/G36</f>
        <v>0</v>
      </c>
      <c r="I36" s="35">
        <f>D36/G36</f>
        <v>1</v>
      </c>
      <c r="J36" s="35">
        <f>E36/G36</f>
        <v>0</v>
      </c>
      <c r="K36" s="450">
        <f>F36/G36</f>
        <v>0</v>
      </c>
    </row>
    <row r="37" spans="1:11" x14ac:dyDescent="0.25">
      <c r="A37" s="120">
        <f t="shared" si="0"/>
        <v>31</v>
      </c>
      <c r="B37" s="52" t="s">
        <v>388</v>
      </c>
      <c r="C37" s="60"/>
      <c r="D37" s="5">
        <v>0</v>
      </c>
      <c r="E37" s="5">
        <v>0</v>
      </c>
      <c r="F37" s="5">
        <v>0</v>
      </c>
      <c r="G37" s="18">
        <f t="shared" si="11"/>
        <v>0</v>
      </c>
      <c r="H37" s="452"/>
      <c r="I37" s="3"/>
      <c r="J37" s="3"/>
      <c r="K37" s="11"/>
    </row>
    <row r="38" spans="1:11" x14ac:dyDescent="0.25">
      <c r="A38" s="120">
        <f t="shared" si="0"/>
        <v>32</v>
      </c>
      <c r="B38" s="52" t="s">
        <v>387</v>
      </c>
      <c r="C38" s="60">
        <v>1022.0166666666667</v>
      </c>
      <c r="D38" s="5">
        <v>120.24722222222222</v>
      </c>
      <c r="E38" s="5">
        <v>2</v>
      </c>
      <c r="F38" s="5">
        <v>0</v>
      </c>
      <c r="G38" s="18">
        <f t="shared" si="11"/>
        <v>1144.2638888888889</v>
      </c>
      <c r="H38" s="451">
        <f>C38/G38</f>
        <v>0.89316518382754562</v>
      </c>
      <c r="I38" s="35">
        <f>D38/G38</f>
        <v>0.10508696760411229</v>
      </c>
      <c r="J38" s="35">
        <f>E38/G38</f>
        <v>1.7478485683420928E-3</v>
      </c>
      <c r="K38" s="450">
        <f>F38/G38</f>
        <v>0</v>
      </c>
    </row>
    <row r="39" spans="1:11" x14ac:dyDescent="0.25">
      <c r="A39" s="120">
        <f t="shared" si="0"/>
        <v>33</v>
      </c>
      <c r="B39" s="52" t="s">
        <v>386</v>
      </c>
      <c r="C39" s="60">
        <v>17520.12</v>
      </c>
      <c r="D39" s="5">
        <v>4315.7</v>
      </c>
      <c r="E39" s="5">
        <v>343.4</v>
      </c>
      <c r="F39" s="5">
        <v>163.1</v>
      </c>
      <c r="G39" s="18">
        <f t="shared" si="11"/>
        <v>22342.32</v>
      </c>
      <c r="H39" s="451">
        <f>C39/G39</f>
        <v>0.78416744545776795</v>
      </c>
      <c r="I39" s="35">
        <f>D39/G39</f>
        <v>0.19316257219483024</v>
      </c>
      <c r="J39" s="35">
        <f>E39/G39</f>
        <v>1.5369934724773434E-2</v>
      </c>
      <c r="K39" s="450">
        <f>F39/G39</f>
        <v>7.300047622628268E-3</v>
      </c>
    </row>
    <row r="40" spans="1:11" x14ac:dyDescent="0.25">
      <c r="A40" s="466">
        <f t="shared" si="0"/>
        <v>34</v>
      </c>
      <c r="B40" s="467" t="s">
        <v>18</v>
      </c>
      <c r="C40" s="468"/>
      <c r="D40" s="469"/>
      <c r="E40" s="469"/>
      <c r="F40" s="469"/>
      <c r="G40" s="470"/>
      <c r="H40" s="471"/>
      <c r="I40" s="472"/>
      <c r="J40" s="472"/>
      <c r="K40" s="473"/>
    </row>
  </sheetData>
  <mergeCells count="4">
    <mergeCell ref="A5:A6"/>
    <mergeCell ref="B5:B6"/>
    <mergeCell ref="C5:G5"/>
    <mergeCell ref="H5:K5"/>
  </mergeCells>
  <pageMargins left="0.7" right="0.7" top="0.75" bottom="0.75" header="0.3" footer="0.3"/>
  <pageSetup scale="79" orientation="landscape"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T74"/>
  <sheetViews>
    <sheetView tabSelected="1" workbookViewId="0">
      <pane xSplit="2" ySplit="6" topLeftCell="F7" activePane="bottomRight" state="frozen"/>
      <selection pane="topRight" activeCell="C1" sqref="C1"/>
      <selection pane="bottomLeft" activeCell="A7" sqref="A7"/>
      <selection pane="bottomRight" activeCell="F14" sqref="F14"/>
    </sheetView>
  </sheetViews>
  <sheetFormatPr defaultRowHeight="15" x14ac:dyDescent="0.25"/>
  <cols>
    <col min="1" max="1" width="5.5703125" customWidth="1"/>
    <col min="2" max="2" width="36.85546875" bestFit="1" customWidth="1"/>
    <col min="3" max="3" width="7.28515625" customWidth="1"/>
    <col min="4" max="8" width="12.7109375" customWidth="1"/>
    <col min="9" max="12" width="9.28515625" bestFit="1" customWidth="1"/>
    <col min="13" max="18" width="13.7109375" customWidth="1"/>
    <col min="19" max="19" width="14.28515625" style="407" bestFit="1" customWidth="1"/>
    <col min="20" max="20" width="14.5703125" bestFit="1" customWidth="1"/>
  </cols>
  <sheetData>
    <row r="1" spans="1:19" ht="18.75" x14ac:dyDescent="0.3">
      <c r="A1" s="406" t="s">
        <v>34</v>
      </c>
    </row>
    <row r="2" spans="1:19" ht="18.75" x14ac:dyDescent="0.3">
      <c r="A2" s="406" t="s">
        <v>398</v>
      </c>
    </row>
    <row r="3" spans="1:19" ht="19.5" thickBot="1" x14ac:dyDescent="0.35">
      <c r="A3" s="474" t="s">
        <v>397</v>
      </c>
      <c r="B3" s="33"/>
      <c r="C3" s="33"/>
      <c r="D3" s="33"/>
      <c r="E3" s="33"/>
      <c r="F3" s="33"/>
      <c r="G3" s="33"/>
      <c r="H3" s="33"/>
      <c r="I3" s="33"/>
      <c r="J3" s="33"/>
      <c r="K3" s="33"/>
      <c r="L3" s="33"/>
      <c r="M3" s="33"/>
      <c r="N3" s="33"/>
      <c r="O3" s="33"/>
      <c r="P3" s="33"/>
      <c r="Q3" s="33"/>
      <c r="R3" s="33"/>
      <c r="S3" s="529"/>
    </row>
    <row r="4" spans="1:19" x14ac:dyDescent="0.25">
      <c r="A4" s="285"/>
    </row>
    <row r="5" spans="1:19" x14ac:dyDescent="0.25">
      <c r="A5" s="494" t="s">
        <v>396</v>
      </c>
      <c r="B5" s="511" t="s">
        <v>35</v>
      </c>
      <c r="C5" s="523" t="s">
        <v>408</v>
      </c>
      <c r="D5" s="525" t="s">
        <v>399</v>
      </c>
      <c r="E5" s="526"/>
      <c r="F5" s="526"/>
      <c r="G5" s="526"/>
      <c r="H5" s="527"/>
      <c r="I5" s="525" t="s">
        <v>401</v>
      </c>
      <c r="J5" s="526"/>
      <c r="K5" s="526"/>
      <c r="L5" s="527"/>
      <c r="M5" s="526" t="s">
        <v>402</v>
      </c>
      <c r="N5" s="526"/>
      <c r="O5" s="526"/>
      <c r="P5" s="528"/>
      <c r="Q5" s="519" t="s">
        <v>403</v>
      </c>
      <c r="R5" s="521" t="s">
        <v>404</v>
      </c>
      <c r="S5" s="521" t="s">
        <v>409</v>
      </c>
    </row>
    <row r="6" spans="1:19" x14ac:dyDescent="0.25">
      <c r="A6" s="495"/>
      <c r="B6" s="512"/>
      <c r="C6" s="524"/>
      <c r="D6" s="400" t="s">
        <v>393</v>
      </c>
      <c r="E6" s="402" t="s">
        <v>385</v>
      </c>
      <c r="F6" s="402" t="s">
        <v>400</v>
      </c>
      <c r="G6" s="402" t="s">
        <v>391</v>
      </c>
      <c r="H6" s="435" t="s">
        <v>18</v>
      </c>
      <c r="I6" s="400" t="s">
        <v>393</v>
      </c>
      <c r="J6" s="402" t="s">
        <v>385</v>
      </c>
      <c r="K6" s="402" t="s">
        <v>400</v>
      </c>
      <c r="L6" s="435" t="s">
        <v>391</v>
      </c>
      <c r="M6" s="401" t="s">
        <v>393</v>
      </c>
      <c r="N6" s="402" t="s">
        <v>385</v>
      </c>
      <c r="O6" s="402" t="s">
        <v>400</v>
      </c>
      <c r="P6" s="402" t="s">
        <v>391</v>
      </c>
      <c r="Q6" s="520"/>
      <c r="R6" s="522"/>
      <c r="S6" s="522"/>
    </row>
    <row r="7" spans="1:19" s="34" customFormat="1" ht="30" customHeight="1" x14ac:dyDescent="0.25">
      <c r="A7" s="475"/>
      <c r="B7" s="486">
        <v>2015</v>
      </c>
      <c r="C7" s="477"/>
      <c r="D7" s="478"/>
      <c r="E7" s="479"/>
      <c r="F7" s="479"/>
      <c r="G7" s="479"/>
      <c r="H7" s="480"/>
      <c r="I7" s="481"/>
      <c r="J7" s="476"/>
      <c r="K7" s="476"/>
      <c r="L7" s="482"/>
      <c r="M7" s="483"/>
      <c r="N7" s="484"/>
      <c r="O7" s="484"/>
      <c r="P7" s="484"/>
      <c r="Q7" s="484"/>
      <c r="R7" s="485"/>
      <c r="S7" s="485"/>
    </row>
    <row r="8" spans="1:19" x14ac:dyDescent="0.25">
      <c r="A8" s="412">
        <v>1</v>
      </c>
      <c r="B8" s="337" t="s">
        <v>405</v>
      </c>
      <c r="C8" s="424"/>
      <c r="D8" s="436"/>
      <c r="E8" s="337"/>
      <c r="F8" s="337"/>
      <c r="G8" s="337"/>
      <c r="H8" s="359"/>
      <c r="I8" s="436"/>
      <c r="J8" s="337"/>
      <c r="K8" s="337"/>
      <c r="L8" s="359"/>
      <c r="M8" s="432"/>
      <c r="N8" s="337"/>
      <c r="O8" s="337"/>
      <c r="P8" s="337"/>
      <c r="Q8" s="337"/>
      <c r="R8" s="359"/>
      <c r="S8" s="359"/>
    </row>
    <row r="9" spans="1:19" x14ac:dyDescent="0.25">
      <c r="A9" s="120">
        <f t="shared" ref="A9:A32" si="0">A8+1</f>
        <v>2</v>
      </c>
      <c r="B9" s="206" t="s">
        <v>2</v>
      </c>
      <c r="C9" s="425" t="s">
        <v>316</v>
      </c>
      <c r="D9" s="60">
        <f>ROUND(Summary!$C$7*'Allocation of LF'!H8,0)</f>
        <v>28893</v>
      </c>
      <c r="E9" s="5">
        <f>ROUND(Summary!$C$7*'Allocation of LF'!I8,0)</f>
        <v>6585</v>
      </c>
      <c r="F9" s="5">
        <f>ROUND(Summary!$C$7*'Allocation of LF'!J8,0)</f>
        <v>553</v>
      </c>
      <c r="G9" s="5">
        <f>ROUND(Summary!$C$7*'Allocation of LF'!K8,0)</f>
        <v>171</v>
      </c>
      <c r="H9" s="18">
        <f>SUM(D9:G9)</f>
        <v>36202</v>
      </c>
      <c r="I9" s="444">
        <v>18.98</v>
      </c>
      <c r="J9" s="409">
        <v>14.43</v>
      </c>
      <c r="K9" s="409">
        <v>13.44</v>
      </c>
      <c r="L9" s="410">
        <v>12.52</v>
      </c>
      <c r="M9" s="433">
        <f>D9*I9*12</f>
        <v>6580669.6799999997</v>
      </c>
      <c r="N9" s="409">
        <f>E9*J9*12</f>
        <v>1140258.6000000001</v>
      </c>
      <c r="O9" s="409">
        <f>F9*K9*12</f>
        <v>89187.839999999997</v>
      </c>
      <c r="P9" s="409">
        <f>G9*L9*12</f>
        <v>25691.040000000001</v>
      </c>
      <c r="Q9" s="409"/>
      <c r="R9" s="410">
        <f>SUM(M9:Q9)</f>
        <v>7835807.1599999992</v>
      </c>
      <c r="S9" s="410">
        <f>ROUND(SUM(M9:P9)/H9/12,2)</f>
        <v>18.04</v>
      </c>
    </row>
    <row r="10" spans="1:19" x14ac:dyDescent="0.25">
      <c r="A10" s="120">
        <f t="shared" si="0"/>
        <v>3</v>
      </c>
      <c r="B10" s="206" t="s">
        <v>309</v>
      </c>
      <c r="C10" s="425" t="s">
        <v>316</v>
      </c>
      <c r="D10" s="60">
        <f>ROUND(Summary!$C$8*'Allocation of LF'!H9,0)</f>
        <v>3081</v>
      </c>
      <c r="E10" s="5">
        <f>ROUND(Summary!$C$8*'Allocation of LF'!I9,0)</f>
        <v>659</v>
      </c>
      <c r="F10" s="5">
        <f>ROUND(Summary!$C$8*'Allocation of LF'!J9,0)</f>
        <v>89</v>
      </c>
      <c r="G10" s="5">
        <f>ROUND(Summary!$C$8*'Allocation of LF'!K9,0)</f>
        <v>32</v>
      </c>
      <c r="H10" s="18">
        <f t="shared" ref="H10:H18" si="1">SUM(D10:G10)</f>
        <v>3861</v>
      </c>
      <c r="I10" s="444">
        <v>34.840000000000003</v>
      </c>
      <c r="J10" s="409">
        <v>19.059999999999999</v>
      </c>
      <c r="K10" s="409">
        <v>27.45</v>
      </c>
      <c r="L10" s="410">
        <v>22.91</v>
      </c>
      <c r="M10" s="433">
        <f t="shared" ref="M10:M18" si="2">D10*I10*12</f>
        <v>1288104.48</v>
      </c>
      <c r="N10" s="409">
        <f t="shared" ref="N10:N18" si="3">E10*J10*12</f>
        <v>150726.47999999998</v>
      </c>
      <c r="O10" s="409">
        <f t="shared" ref="O10:O18" si="4">F10*K10*12</f>
        <v>29316.6</v>
      </c>
      <c r="P10" s="409">
        <f t="shared" ref="P10:P18" si="5">G10*L10*12</f>
        <v>8797.44</v>
      </c>
      <c r="Q10" s="409"/>
      <c r="R10" s="410">
        <f t="shared" ref="R10:R18" si="6">SUM(M10:Q10)</f>
        <v>1476945</v>
      </c>
      <c r="S10" s="410">
        <f t="shared" ref="S10" si="7">ROUND(SUM(M10:P10)/H10/12,2)</f>
        <v>31.88</v>
      </c>
    </row>
    <row r="11" spans="1:19" x14ac:dyDescent="0.25">
      <c r="A11" s="120">
        <f t="shared" si="0"/>
        <v>4</v>
      </c>
      <c r="B11" s="206" t="s">
        <v>310</v>
      </c>
      <c r="C11" s="425" t="s">
        <v>316</v>
      </c>
      <c r="D11" s="60">
        <f>ROUND(Summary!$C$9*'Allocation of LF'!H10,0)-D12-D18</f>
        <v>380</v>
      </c>
      <c r="E11" s="5">
        <f>ROUND(Summary!$C$9*'Allocation of LF'!I10,0)-E12-E18</f>
        <v>98</v>
      </c>
      <c r="F11" s="5">
        <f>ROUND(Summary!$C$9*'Allocation of LF'!J10,0)-F12-F18</f>
        <v>0</v>
      </c>
      <c r="G11" s="5">
        <f>ROUND(Summary!$C$9*'Allocation of LF'!K10,0)-G12-G18</f>
        <v>4</v>
      </c>
      <c r="H11" s="18">
        <f t="shared" si="1"/>
        <v>482</v>
      </c>
      <c r="I11" s="444">
        <v>122.86</v>
      </c>
      <c r="J11" s="409">
        <v>45.55</v>
      </c>
      <c r="K11" s="409"/>
      <c r="L11" s="410">
        <v>279.02</v>
      </c>
      <c r="M11" s="433">
        <f t="shared" si="2"/>
        <v>560241.60000000009</v>
      </c>
      <c r="N11" s="409">
        <f t="shared" si="3"/>
        <v>53566.799999999996</v>
      </c>
      <c r="O11" s="409">
        <f t="shared" si="4"/>
        <v>0</v>
      </c>
      <c r="P11" s="409">
        <f t="shared" si="5"/>
        <v>13392.96</v>
      </c>
      <c r="Q11" s="409"/>
      <c r="R11" s="410">
        <f t="shared" si="6"/>
        <v>627201.3600000001</v>
      </c>
      <c r="S11" s="410">
        <f>ROUND(SUM(M11:P12)/SUM(H11:H12)/12,2)</f>
        <v>108.23</v>
      </c>
    </row>
    <row r="12" spans="1:19" x14ac:dyDescent="0.25">
      <c r="A12" s="120">
        <f t="shared" si="0"/>
        <v>5</v>
      </c>
      <c r="B12" s="206" t="s">
        <v>275</v>
      </c>
      <c r="C12" s="425" t="s">
        <v>316</v>
      </c>
      <c r="D12" s="60">
        <v>12</v>
      </c>
      <c r="E12" s="5"/>
      <c r="F12" s="5"/>
      <c r="G12" s="5"/>
      <c r="H12" s="18">
        <f t="shared" si="1"/>
        <v>12</v>
      </c>
      <c r="I12" s="444">
        <v>99.74</v>
      </c>
      <c r="J12" s="409"/>
      <c r="K12" s="409"/>
      <c r="L12" s="410"/>
      <c r="M12" s="433">
        <f t="shared" si="2"/>
        <v>14362.559999999998</v>
      </c>
      <c r="N12" s="409">
        <f t="shared" si="3"/>
        <v>0</v>
      </c>
      <c r="O12" s="409">
        <f t="shared" si="4"/>
        <v>0</v>
      </c>
      <c r="P12" s="409">
        <f t="shared" si="5"/>
        <v>0</v>
      </c>
      <c r="Q12" s="409"/>
      <c r="R12" s="410">
        <f t="shared" si="6"/>
        <v>14362.559999999998</v>
      </c>
      <c r="S12" s="410"/>
    </row>
    <row r="13" spans="1:19" x14ac:dyDescent="0.25">
      <c r="A13" s="120">
        <f t="shared" si="0"/>
        <v>6</v>
      </c>
      <c r="B13" s="206" t="s">
        <v>389</v>
      </c>
      <c r="C13" s="425" t="s">
        <v>316</v>
      </c>
      <c r="D13" s="60">
        <v>1</v>
      </c>
      <c r="E13" s="5"/>
      <c r="F13" s="5"/>
      <c r="G13" s="5"/>
      <c r="H13" s="18">
        <f t="shared" si="1"/>
        <v>1</v>
      </c>
      <c r="I13" s="444">
        <v>1385.39</v>
      </c>
      <c r="J13" s="409"/>
      <c r="K13" s="409"/>
      <c r="L13" s="410"/>
      <c r="M13" s="433">
        <f t="shared" si="2"/>
        <v>16624.68</v>
      </c>
      <c r="N13" s="409">
        <f t="shared" si="3"/>
        <v>0</v>
      </c>
      <c r="O13" s="409">
        <f t="shared" si="4"/>
        <v>0</v>
      </c>
      <c r="P13" s="409">
        <f t="shared" si="5"/>
        <v>0</v>
      </c>
      <c r="Q13" s="409"/>
      <c r="R13" s="410">
        <f t="shared" si="6"/>
        <v>16624.68</v>
      </c>
      <c r="S13" s="410">
        <f>ROUND(SUM(M13:P14)/SUM(H13:H14)/12,2)</f>
        <v>2615.41</v>
      </c>
    </row>
    <row r="14" spans="1:19" x14ac:dyDescent="0.25">
      <c r="A14" s="120">
        <f t="shared" si="0"/>
        <v>7</v>
      </c>
      <c r="B14" s="206" t="s">
        <v>312</v>
      </c>
      <c r="C14" s="425" t="s">
        <v>316</v>
      </c>
      <c r="D14" s="60"/>
      <c r="E14" s="5">
        <v>1</v>
      </c>
      <c r="F14" s="5"/>
      <c r="G14" s="5"/>
      <c r="H14" s="18">
        <f t="shared" si="1"/>
        <v>1</v>
      </c>
      <c r="I14" s="444"/>
      <c r="J14" s="409">
        <v>3845.43</v>
      </c>
      <c r="K14" s="409"/>
      <c r="L14" s="410"/>
      <c r="M14" s="433">
        <f t="shared" si="2"/>
        <v>0</v>
      </c>
      <c r="N14" s="409">
        <f t="shared" si="3"/>
        <v>46145.159999999996</v>
      </c>
      <c r="O14" s="409">
        <f t="shared" si="4"/>
        <v>0</v>
      </c>
      <c r="P14" s="409">
        <f t="shared" si="5"/>
        <v>0</v>
      </c>
      <c r="Q14" s="409"/>
      <c r="R14" s="410">
        <f t="shared" si="6"/>
        <v>46145.159999999996</v>
      </c>
      <c r="S14" s="410"/>
    </row>
    <row r="15" spans="1:19" x14ac:dyDescent="0.25">
      <c r="A15" s="120">
        <f t="shared" si="0"/>
        <v>8</v>
      </c>
      <c r="B15" s="206" t="s">
        <v>388</v>
      </c>
      <c r="C15" s="425" t="s">
        <v>407</v>
      </c>
      <c r="D15" s="60">
        <f>ROUND(Summary!$C$11*'Allocation of LF'!H14,0)</f>
        <v>231</v>
      </c>
      <c r="E15" s="5">
        <f>ROUND(Summary!$C$11*'Allocation of LF'!I14,0)</f>
        <v>59</v>
      </c>
      <c r="F15" s="5">
        <f>ROUND(Summary!$C$11*'Allocation of LF'!J14,0)</f>
        <v>0</v>
      </c>
      <c r="G15" s="5">
        <f>ROUND(Summary!$C$11*'Allocation of LF'!K14,0)</f>
        <v>0</v>
      </c>
      <c r="H15" s="18">
        <f t="shared" si="1"/>
        <v>290</v>
      </c>
      <c r="I15" s="444">
        <v>11.06</v>
      </c>
      <c r="J15" s="409">
        <v>9.5399999999999991</v>
      </c>
      <c r="K15" s="409"/>
      <c r="L15" s="410"/>
      <c r="M15" s="433">
        <f t="shared" si="2"/>
        <v>30658.32</v>
      </c>
      <c r="N15" s="409">
        <f t="shared" si="3"/>
        <v>6754.3199999999988</v>
      </c>
      <c r="O15" s="409">
        <f t="shared" si="4"/>
        <v>0</v>
      </c>
      <c r="P15" s="409">
        <f t="shared" si="5"/>
        <v>0</v>
      </c>
      <c r="Q15" s="409"/>
      <c r="R15" s="410">
        <f t="shared" si="6"/>
        <v>37412.639999999999</v>
      </c>
      <c r="S15" s="410">
        <f t="shared" ref="S15:S18" si="8">ROUND(SUM(M15:P15)/H15/12,2)</f>
        <v>10.75</v>
      </c>
    </row>
    <row r="16" spans="1:19" x14ac:dyDescent="0.25">
      <c r="A16" s="120">
        <f t="shared" si="0"/>
        <v>9</v>
      </c>
      <c r="B16" s="206" t="s">
        <v>387</v>
      </c>
      <c r="C16" s="425" t="s">
        <v>407</v>
      </c>
      <c r="D16" s="60">
        <f>ROUND(Summary!$C$12*'Allocation of LF'!H15,0)</f>
        <v>435</v>
      </c>
      <c r="E16" s="5">
        <f>ROUND(Summary!$C$12*'Allocation of LF'!I15,0)</f>
        <v>73</v>
      </c>
      <c r="F16" s="5">
        <f>ROUND(Summary!$C$12*'Allocation of LF'!J15,0)</f>
        <v>1</v>
      </c>
      <c r="G16" s="5">
        <f>ROUND(Summary!$C$12*'Allocation of LF'!K15,0)</f>
        <v>0</v>
      </c>
      <c r="H16" s="18">
        <f t="shared" si="1"/>
        <v>509</v>
      </c>
      <c r="I16" s="444">
        <v>8.7100000000000009</v>
      </c>
      <c r="J16" s="409">
        <v>0.18</v>
      </c>
      <c r="K16" s="409">
        <v>0.98</v>
      </c>
      <c r="L16" s="410"/>
      <c r="M16" s="433">
        <f t="shared" si="2"/>
        <v>45466.200000000004</v>
      </c>
      <c r="N16" s="409">
        <f t="shared" si="3"/>
        <v>157.67999999999998</v>
      </c>
      <c r="O16" s="409">
        <f t="shared" si="4"/>
        <v>11.76</v>
      </c>
      <c r="P16" s="409">
        <f t="shared" si="5"/>
        <v>0</v>
      </c>
      <c r="Q16" s="409"/>
      <c r="R16" s="410">
        <f t="shared" si="6"/>
        <v>45635.640000000007</v>
      </c>
      <c r="S16" s="410">
        <f t="shared" si="8"/>
        <v>7.47</v>
      </c>
    </row>
    <row r="17" spans="1:20" x14ac:dyDescent="0.25">
      <c r="A17" s="120">
        <f t="shared" si="0"/>
        <v>10</v>
      </c>
      <c r="B17" s="206" t="s">
        <v>386</v>
      </c>
      <c r="C17" s="425" t="s">
        <v>407</v>
      </c>
      <c r="D17" s="60">
        <f>ROUND(Summary!$C$13*'Allocation of LF'!H16,0)</f>
        <v>10705</v>
      </c>
      <c r="E17" s="5">
        <f>ROUND(Summary!$C$13*'Allocation of LF'!I16,0)</f>
        <v>2379</v>
      </c>
      <c r="F17" s="5">
        <f>ROUND(Summary!$C$13*'Allocation of LF'!J16,0)</f>
        <v>210</v>
      </c>
      <c r="G17" s="5">
        <f>ROUND(Summary!$C$13*'Allocation of LF'!K16,0)</f>
        <v>75</v>
      </c>
      <c r="H17" s="18">
        <f t="shared" si="1"/>
        <v>13369</v>
      </c>
      <c r="I17" s="444">
        <v>1.73</v>
      </c>
      <c r="J17" s="409">
        <v>0.14000000000000001</v>
      </c>
      <c r="K17" s="409">
        <v>0.66</v>
      </c>
      <c r="L17" s="410">
        <v>0.85</v>
      </c>
      <c r="M17" s="433">
        <f t="shared" si="2"/>
        <v>222235.80000000002</v>
      </c>
      <c r="N17" s="409">
        <f t="shared" si="3"/>
        <v>3996.7200000000007</v>
      </c>
      <c r="O17" s="409">
        <f t="shared" si="4"/>
        <v>1663.1999999999998</v>
      </c>
      <c r="P17" s="409">
        <f t="shared" si="5"/>
        <v>765</v>
      </c>
      <c r="Q17" s="409"/>
      <c r="R17" s="410">
        <f t="shared" si="6"/>
        <v>228660.72000000003</v>
      </c>
      <c r="S17" s="410">
        <f t="shared" si="8"/>
        <v>1.43</v>
      </c>
    </row>
    <row r="18" spans="1:20" x14ac:dyDescent="0.25">
      <c r="A18" s="291">
        <f t="shared" si="0"/>
        <v>11</v>
      </c>
      <c r="B18" s="210" t="s">
        <v>303</v>
      </c>
      <c r="C18" s="426" t="s">
        <v>316</v>
      </c>
      <c r="D18" s="67">
        <v>1</v>
      </c>
      <c r="E18" s="25"/>
      <c r="F18" s="25"/>
      <c r="G18" s="25"/>
      <c r="H18" s="68">
        <f t="shared" si="1"/>
        <v>1</v>
      </c>
      <c r="I18" s="445">
        <f>I11</f>
        <v>122.86</v>
      </c>
      <c r="J18" s="65"/>
      <c r="K18" s="65"/>
      <c r="L18" s="22"/>
      <c r="M18" s="434">
        <f t="shared" si="2"/>
        <v>1474.32</v>
      </c>
      <c r="N18" s="413">
        <f t="shared" si="3"/>
        <v>0</v>
      </c>
      <c r="O18" s="413">
        <f t="shared" si="4"/>
        <v>0</v>
      </c>
      <c r="P18" s="413">
        <f t="shared" si="5"/>
        <v>0</v>
      </c>
      <c r="Q18" s="65"/>
      <c r="R18" s="414">
        <f t="shared" si="6"/>
        <v>1474.32</v>
      </c>
      <c r="S18" s="414">
        <f t="shared" si="8"/>
        <v>122.86</v>
      </c>
    </row>
    <row r="19" spans="1:20" x14ac:dyDescent="0.25">
      <c r="A19" s="294">
        <f t="shared" si="0"/>
        <v>12</v>
      </c>
      <c r="B19" s="415" t="s">
        <v>56</v>
      </c>
      <c r="C19" s="427"/>
      <c r="D19" s="304">
        <f>SUM(D9:D18)</f>
        <v>43739</v>
      </c>
      <c r="E19" s="264">
        <f t="shared" ref="E19:H19" si="9">SUM(E9:E18)</f>
        <v>9854</v>
      </c>
      <c r="F19" s="264">
        <f t="shared" si="9"/>
        <v>853</v>
      </c>
      <c r="G19" s="264">
        <f t="shared" si="9"/>
        <v>282</v>
      </c>
      <c r="H19" s="265">
        <f t="shared" si="9"/>
        <v>54728</v>
      </c>
      <c r="I19" s="146"/>
      <c r="J19" s="263"/>
      <c r="K19" s="263"/>
      <c r="L19" s="87"/>
      <c r="M19" s="442">
        <f t="shared" ref="M19:Q19" si="10">SUM(M9:M18)</f>
        <v>8759837.6400000006</v>
      </c>
      <c r="N19" s="416">
        <f t="shared" si="10"/>
        <v>1401605.76</v>
      </c>
      <c r="O19" s="416">
        <f t="shared" si="10"/>
        <v>120179.4</v>
      </c>
      <c r="P19" s="416">
        <f t="shared" si="10"/>
        <v>48646.44</v>
      </c>
      <c r="Q19" s="416">
        <f t="shared" si="10"/>
        <v>0</v>
      </c>
      <c r="R19" s="417">
        <f>SUM(R9:R18)</f>
        <v>10330269.240000002</v>
      </c>
      <c r="S19" s="417"/>
    </row>
    <row r="20" spans="1:20" x14ac:dyDescent="0.25">
      <c r="A20" s="412">
        <f t="shared" si="0"/>
        <v>13</v>
      </c>
      <c r="B20" s="395" t="s">
        <v>406</v>
      </c>
      <c r="C20" s="428"/>
      <c r="D20" s="437"/>
      <c r="E20" s="423"/>
      <c r="F20" s="423"/>
      <c r="G20" s="423"/>
      <c r="H20" s="438"/>
      <c r="I20" s="436"/>
      <c r="J20" s="337"/>
      <c r="K20" s="337"/>
      <c r="L20" s="359"/>
      <c r="M20" s="432"/>
      <c r="N20" s="337"/>
      <c r="O20" s="337"/>
      <c r="P20" s="337"/>
      <c r="Q20" s="337"/>
      <c r="R20" s="359"/>
      <c r="S20" s="359"/>
    </row>
    <row r="21" spans="1:20" x14ac:dyDescent="0.25">
      <c r="A21" s="120">
        <f t="shared" si="0"/>
        <v>14</v>
      </c>
      <c r="B21" s="3" t="s">
        <v>2</v>
      </c>
      <c r="C21" s="52" t="s">
        <v>24</v>
      </c>
      <c r="D21" s="60">
        <f>Summary!$D$7*'Allocation of LF'!H20</f>
        <v>220583877.14016587</v>
      </c>
      <c r="E21" s="5">
        <f>Summary!$D$7*'Allocation of LF'!I20</f>
        <v>56676196.448179461</v>
      </c>
      <c r="F21" s="5">
        <f>Summary!$D$7*'Allocation of LF'!J20</f>
        <v>4427969.1240266087</v>
      </c>
      <c r="G21" s="5">
        <f>Summary!$D$7*'Allocation of LF'!K20</f>
        <v>1328544.5381130991</v>
      </c>
      <c r="H21" s="18">
        <f>SUM(D21:G21)</f>
        <v>283016587.25048506</v>
      </c>
      <c r="I21" s="446">
        <v>8.8000000000000005E-3</v>
      </c>
      <c r="J21" s="249">
        <v>1.46E-2</v>
      </c>
      <c r="K21" s="249">
        <v>1.2699999999999999E-2</v>
      </c>
      <c r="L21" s="314">
        <v>1.26E-2</v>
      </c>
      <c r="M21" s="487">
        <f>D21*I21</f>
        <v>1941138.1188334597</v>
      </c>
      <c r="N21" s="488">
        <f>E21*J21</f>
        <v>827472.46814342018</v>
      </c>
      <c r="O21" s="488">
        <f>F21*K21</f>
        <v>56235.20787513793</v>
      </c>
      <c r="P21" s="488">
        <f>G21*L21</f>
        <v>16739.661180225048</v>
      </c>
      <c r="Q21" s="488"/>
      <c r="R21" s="250">
        <f>SUM(M21:Q21)</f>
        <v>2841585.4560322431</v>
      </c>
      <c r="S21" s="314">
        <f>ROUND(SUM(M21:P21)/H21,4)</f>
        <v>0.01</v>
      </c>
    </row>
    <row r="22" spans="1:20" x14ac:dyDescent="0.25">
      <c r="A22" s="120">
        <f t="shared" si="0"/>
        <v>15</v>
      </c>
      <c r="B22" s="3" t="s">
        <v>309</v>
      </c>
      <c r="C22" s="52" t="s">
        <v>24</v>
      </c>
      <c r="D22" s="60">
        <f>Summary!$D$8*'Allocation of LF'!H21</f>
        <v>84092652.776598006</v>
      </c>
      <c r="E22" s="5">
        <f>Summary!$D$8*'Allocation of LF'!I21</f>
        <v>16471416.578671483</v>
      </c>
      <c r="F22" s="5">
        <f>Summary!$D$8*'Allocation of LF'!J21</f>
        <v>3265579.6171212597</v>
      </c>
      <c r="G22" s="5">
        <f>Summary!$D$8*'Allocation of LF'!K21</f>
        <v>508022.8371332158</v>
      </c>
      <c r="H22" s="18">
        <f t="shared" ref="H22:H30" si="11">SUM(D22:G22)</f>
        <v>104337671.80952397</v>
      </c>
      <c r="I22" s="446">
        <v>1.18E-2</v>
      </c>
      <c r="J22" s="249">
        <v>5.1000000000000004E-3</v>
      </c>
      <c r="K22" s="249">
        <v>6.1000000000000004E-3</v>
      </c>
      <c r="L22" s="314">
        <v>1.14E-2</v>
      </c>
      <c r="M22" s="487">
        <f>D22*I22</f>
        <v>992293.30276385648</v>
      </c>
      <c r="N22" s="488">
        <f t="shared" ref="N22:N29" si="12">E22*J22</f>
        <v>84004.224551224572</v>
      </c>
      <c r="O22" s="488">
        <f t="shared" ref="O22:O29" si="13">F22*K22</f>
        <v>19920.035664439685</v>
      </c>
      <c r="P22" s="488">
        <f t="shared" ref="P22:P29" si="14">G22*L22</f>
        <v>5791.4603433186603</v>
      </c>
      <c r="Q22" s="488"/>
      <c r="R22" s="250">
        <f t="shared" ref="R22:R30" si="15">SUM(M22:Q22)</f>
        <v>1102009.0233228395</v>
      </c>
      <c r="S22" s="314">
        <f>ROUND(SUM(M22:P22)/H22,4)</f>
        <v>1.06E-2</v>
      </c>
    </row>
    <row r="23" spans="1:20" x14ac:dyDescent="0.25">
      <c r="A23" s="120">
        <f t="shared" si="0"/>
        <v>16</v>
      </c>
      <c r="B23" s="3" t="s">
        <v>310</v>
      </c>
      <c r="C23" s="52" t="s">
        <v>54</v>
      </c>
      <c r="D23" s="439">
        <f>(Summary!$E$9*'Allocation of LF'!H22)-D24</f>
        <v>583801.27097131032</v>
      </c>
      <c r="E23" s="5">
        <f>(Summary!$E$9*'Allocation of LF'!I22)-E24</f>
        <v>377531.36549084022</v>
      </c>
      <c r="F23" s="5">
        <f>(Summary!$E$9*'Allocation of LF'!J22)-F24</f>
        <v>0</v>
      </c>
      <c r="G23" s="5">
        <f>(Summary!$E$9*'Allocation of LF'!K22)-G24</f>
        <v>5229.5820784641946</v>
      </c>
      <c r="H23" s="18">
        <f t="shared" si="11"/>
        <v>966562.21854061482</v>
      </c>
      <c r="I23" s="446">
        <v>3.4826999999999999</v>
      </c>
      <c r="J23" s="249">
        <v>1.5094000000000001</v>
      </c>
      <c r="K23" s="249"/>
      <c r="L23" s="314">
        <v>1.4026000000000001</v>
      </c>
      <c r="M23" s="487">
        <f t="shared" ref="M23:M28" si="16">D23*I23</f>
        <v>2033204.6864117824</v>
      </c>
      <c r="N23" s="488">
        <f t="shared" si="12"/>
        <v>569845.84307187423</v>
      </c>
      <c r="O23" s="488">
        <f t="shared" si="13"/>
        <v>0</v>
      </c>
      <c r="P23" s="488">
        <f t="shared" si="14"/>
        <v>7335.0118232538798</v>
      </c>
      <c r="Q23" s="488">
        <f>(H23*34.9%*-0.6)</f>
        <v>-202398.12856240475</v>
      </c>
      <c r="R23" s="250">
        <f t="shared" si="15"/>
        <v>2407987.4127445053</v>
      </c>
      <c r="S23" s="314">
        <f>ROUND(SUM(M23:P24)/SUM(H23:H24),4)</f>
        <v>3.1608999999999998</v>
      </c>
      <c r="T23" s="108"/>
    </row>
    <row r="24" spans="1:20" x14ac:dyDescent="0.25">
      <c r="A24" s="120">
        <f t="shared" si="0"/>
        <v>17</v>
      </c>
      <c r="B24" s="3" t="s">
        <v>275</v>
      </c>
      <c r="C24" s="52" t="s">
        <v>54</v>
      </c>
      <c r="D24" s="60">
        <f>('Allocation of LF'!C34*'Rate Class Energy Model'!D37)</f>
        <v>283524.26901261648</v>
      </c>
      <c r="E24" s="5"/>
      <c r="F24" s="5"/>
      <c r="G24" s="5"/>
      <c r="H24" s="18">
        <f t="shared" si="11"/>
        <v>283524.26901261648</v>
      </c>
      <c r="I24" s="446">
        <v>4.7298</v>
      </c>
      <c r="J24" s="249"/>
      <c r="K24" s="249"/>
      <c r="L24" s="314"/>
      <c r="M24" s="487">
        <f t="shared" si="16"/>
        <v>1341013.0875758734</v>
      </c>
      <c r="N24" s="488">
        <f t="shared" si="12"/>
        <v>0</v>
      </c>
      <c r="O24" s="488">
        <f t="shared" si="13"/>
        <v>0</v>
      </c>
      <c r="P24" s="488">
        <f t="shared" si="14"/>
        <v>0</v>
      </c>
      <c r="Q24" s="488">
        <f>D24*-0.6</f>
        <v>-170114.56140756988</v>
      </c>
      <c r="R24" s="250">
        <f t="shared" si="15"/>
        <v>1170898.5261683036</v>
      </c>
      <c r="S24" s="314"/>
      <c r="T24" s="2"/>
    </row>
    <row r="25" spans="1:20" x14ac:dyDescent="0.25">
      <c r="A25" s="120">
        <f t="shared" si="0"/>
        <v>18</v>
      </c>
      <c r="B25" s="3" t="s">
        <v>389</v>
      </c>
      <c r="C25" s="52" t="s">
        <v>54</v>
      </c>
      <c r="D25" s="60">
        <f>'Rate Class Demand Model'!E36</f>
        <v>51897</v>
      </c>
      <c r="E25" s="5"/>
      <c r="F25" s="5"/>
      <c r="G25" s="5"/>
      <c r="H25" s="18">
        <f t="shared" si="11"/>
        <v>51897</v>
      </c>
      <c r="I25" s="446">
        <v>3.4954000000000001</v>
      </c>
      <c r="J25" s="249"/>
      <c r="K25" s="249"/>
      <c r="L25" s="314"/>
      <c r="M25" s="487">
        <f t="shared" si="16"/>
        <v>181400.7738</v>
      </c>
      <c r="N25" s="488">
        <f t="shared" si="12"/>
        <v>0</v>
      </c>
      <c r="O25" s="488">
        <f t="shared" si="13"/>
        <v>0</v>
      </c>
      <c r="P25" s="488">
        <f t="shared" si="14"/>
        <v>0</v>
      </c>
      <c r="Q25" s="488">
        <f>D25*-0.6</f>
        <v>-31138.199999999997</v>
      </c>
      <c r="R25" s="250">
        <f t="shared" si="15"/>
        <v>150262.57380000001</v>
      </c>
      <c r="S25" s="314">
        <f>ROUND(SUM(M25:P26)/SUM(H25:H26),4)</f>
        <v>1.6315</v>
      </c>
      <c r="T25" s="108"/>
    </row>
    <row r="26" spans="1:20" x14ac:dyDescent="0.25">
      <c r="A26" s="120">
        <f t="shared" si="0"/>
        <v>19</v>
      </c>
      <c r="B26" s="3" t="s">
        <v>312</v>
      </c>
      <c r="C26" s="52" t="s">
        <v>54</v>
      </c>
      <c r="D26" s="60"/>
      <c r="E26" s="5">
        <f>'Rate Class Demand Model'!F36</f>
        <v>61427</v>
      </c>
      <c r="F26" s="5"/>
      <c r="G26" s="5"/>
      <c r="H26" s="18">
        <f t="shared" si="11"/>
        <v>61427</v>
      </c>
      <c r="I26" s="446"/>
      <c r="J26" s="249">
        <v>5.67E-2</v>
      </c>
      <c r="K26" s="249"/>
      <c r="L26" s="314"/>
      <c r="M26" s="487">
        <f t="shared" si="16"/>
        <v>0</v>
      </c>
      <c r="N26" s="488">
        <f t="shared" si="12"/>
        <v>3482.9108999999999</v>
      </c>
      <c r="O26" s="488">
        <f t="shared" si="13"/>
        <v>0</v>
      </c>
      <c r="P26" s="488">
        <f t="shared" si="14"/>
        <v>0</v>
      </c>
      <c r="Q26" s="488">
        <f>E26*-0.6</f>
        <v>-36856.199999999997</v>
      </c>
      <c r="R26" s="250">
        <f t="shared" si="15"/>
        <v>-33373.289099999995</v>
      </c>
      <c r="S26" s="314"/>
    </row>
    <row r="27" spans="1:20" x14ac:dyDescent="0.25">
      <c r="A27" s="120">
        <f t="shared" si="0"/>
        <v>20</v>
      </c>
      <c r="B27" s="3" t="s">
        <v>388</v>
      </c>
      <c r="C27" s="429" t="s">
        <v>24</v>
      </c>
      <c r="D27" s="60">
        <f>Summary!$D$11*'Allocation of LF'!H26</f>
        <v>937956.45244465384</v>
      </c>
      <c r="E27" s="5">
        <f>Summary!$D$11*'Allocation of LF'!I26</f>
        <v>330793.54755534616</v>
      </c>
      <c r="F27" s="5">
        <f>Summary!$D$11*'Allocation of LF'!J26</f>
        <v>0</v>
      </c>
      <c r="G27" s="5">
        <f>Summary!$D$11*'Allocation of LF'!K26</f>
        <v>0</v>
      </c>
      <c r="H27" s="18">
        <f t="shared" si="11"/>
        <v>1268750</v>
      </c>
      <c r="I27" s="446">
        <v>8.0000000000000004E-4</v>
      </c>
      <c r="J27" s="249">
        <v>5.4999999999999997E-3</v>
      </c>
      <c r="K27" s="249"/>
      <c r="L27" s="314"/>
      <c r="M27" s="487">
        <f t="shared" si="16"/>
        <v>750.36516195572312</v>
      </c>
      <c r="N27" s="488">
        <f t="shared" si="12"/>
        <v>1819.3645115544039</v>
      </c>
      <c r="O27" s="488">
        <f t="shared" si="13"/>
        <v>0</v>
      </c>
      <c r="P27" s="488">
        <f t="shared" si="14"/>
        <v>0</v>
      </c>
      <c r="Q27" s="488"/>
      <c r="R27" s="250">
        <f t="shared" si="15"/>
        <v>2569.7296735101272</v>
      </c>
      <c r="S27" s="314">
        <f t="shared" ref="S27:S30" si="17">ROUND(SUM(M27:P27)/H27,4)</f>
        <v>2E-3</v>
      </c>
    </row>
    <row r="28" spans="1:20" x14ac:dyDescent="0.25">
      <c r="A28" s="120">
        <f t="shared" si="0"/>
        <v>21</v>
      </c>
      <c r="B28" s="3" t="s">
        <v>387</v>
      </c>
      <c r="C28" s="429" t="s">
        <v>54</v>
      </c>
      <c r="D28" s="60">
        <f>Summary!$E$12*'Allocation of LF'!H27</f>
        <v>1005.4088234471237</v>
      </c>
      <c r="E28" s="5">
        <f>Summary!$E$12*'Allocation of LF'!I27</f>
        <v>119.16151121577349</v>
      </c>
      <c r="F28" s="5">
        <f>Summary!$E$12*'Allocation of LF'!J27</f>
        <v>2.4296653371028611</v>
      </c>
      <c r="G28" s="5">
        <f>Summary!$E$12*'Allocation of LF'!K27</f>
        <v>0</v>
      </c>
      <c r="H28" s="18">
        <f t="shared" si="11"/>
        <v>1127.0000000000002</v>
      </c>
      <c r="I28" s="446">
        <v>0.61850000000000005</v>
      </c>
      <c r="J28" s="249">
        <v>1.0357000000000001</v>
      </c>
      <c r="K28" s="249">
        <v>5.2239000000000004</v>
      </c>
      <c r="L28" s="314"/>
      <c r="M28" s="487">
        <f t="shared" si="16"/>
        <v>621.84535730204607</v>
      </c>
      <c r="N28" s="488">
        <f t="shared" si="12"/>
        <v>123.4155771661766</v>
      </c>
      <c r="O28" s="488">
        <f t="shared" si="13"/>
        <v>12.692328754491637</v>
      </c>
      <c r="P28" s="488">
        <f t="shared" si="14"/>
        <v>0</v>
      </c>
      <c r="Q28" s="488"/>
      <c r="R28" s="250">
        <f t="shared" si="15"/>
        <v>757.95326322271433</v>
      </c>
      <c r="S28" s="314">
        <f t="shared" si="17"/>
        <v>0.67249999999999999</v>
      </c>
    </row>
    <row r="29" spans="1:20" x14ac:dyDescent="0.25">
      <c r="A29" s="120">
        <f t="shared" si="0"/>
        <v>22</v>
      </c>
      <c r="B29" s="3" t="s">
        <v>386</v>
      </c>
      <c r="C29" s="429" t="s">
        <v>54</v>
      </c>
      <c r="D29" s="60">
        <f>Summary!$E$13*'Allocation of LF'!H28</f>
        <v>17413.893140932829</v>
      </c>
      <c r="E29" s="5">
        <f>Summary!$E$13*'Allocation of LF'!I28</f>
        <v>4271.0859583034016</v>
      </c>
      <c r="F29" s="5">
        <f>Summary!$E$13*'Allocation of LF'!J28</f>
        <v>341.74582882013902</v>
      </c>
      <c r="G29" s="5">
        <f>Summary!$E$13*'Allocation of LF'!K28</f>
        <v>162.27507194363167</v>
      </c>
      <c r="H29" s="18">
        <f t="shared" si="11"/>
        <v>22189</v>
      </c>
      <c r="I29" s="446">
        <v>1.2859</v>
      </c>
      <c r="J29" s="249">
        <v>0.6069</v>
      </c>
      <c r="K29" s="249">
        <v>3.0966</v>
      </c>
      <c r="L29" s="314">
        <v>3.5493999999999999</v>
      </c>
      <c r="M29" s="487">
        <f>D29*I29</f>
        <v>22392.525189925524</v>
      </c>
      <c r="N29" s="488">
        <f t="shared" si="12"/>
        <v>2592.1220680943343</v>
      </c>
      <c r="O29" s="488">
        <f t="shared" si="13"/>
        <v>1058.2501335244426</v>
      </c>
      <c r="P29" s="488">
        <f t="shared" si="14"/>
        <v>575.97914035672625</v>
      </c>
      <c r="Q29" s="488"/>
      <c r="R29" s="250">
        <f t="shared" si="15"/>
        <v>26618.876531901024</v>
      </c>
      <c r="S29" s="314">
        <f t="shared" si="17"/>
        <v>1.1996</v>
      </c>
    </row>
    <row r="30" spans="1:20" x14ac:dyDescent="0.25">
      <c r="A30" s="291">
        <f t="shared" si="0"/>
        <v>23</v>
      </c>
      <c r="B30" s="65" t="s">
        <v>303</v>
      </c>
      <c r="C30" s="430" t="s">
        <v>54</v>
      </c>
      <c r="D30" s="67">
        <v>0</v>
      </c>
      <c r="E30" s="25"/>
      <c r="F30" s="25"/>
      <c r="G30" s="25"/>
      <c r="H30" s="68">
        <f t="shared" si="11"/>
        <v>0</v>
      </c>
      <c r="I30" s="447">
        <v>0</v>
      </c>
      <c r="J30" s="251">
        <v>0</v>
      </c>
      <c r="K30" s="251">
        <v>0</v>
      </c>
      <c r="L30" s="270">
        <v>0</v>
      </c>
      <c r="M30" s="489">
        <f t="shared" ref="M30" si="18">D30*I30</f>
        <v>0</v>
      </c>
      <c r="N30" s="490"/>
      <c r="O30" s="490"/>
      <c r="P30" s="490"/>
      <c r="Q30" s="490"/>
      <c r="R30" s="292">
        <f t="shared" si="15"/>
        <v>0</v>
      </c>
      <c r="S30" s="270" t="e">
        <f t="shared" si="17"/>
        <v>#DIV/0!</v>
      </c>
    </row>
    <row r="31" spans="1:20" x14ac:dyDescent="0.25">
      <c r="A31" s="294">
        <f t="shared" si="0"/>
        <v>24</v>
      </c>
      <c r="B31" s="263" t="s">
        <v>18</v>
      </c>
      <c r="C31" s="301"/>
      <c r="D31" s="304"/>
      <c r="E31" s="264"/>
      <c r="F31" s="264"/>
      <c r="G31" s="264"/>
      <c r="H31" s="265"/>
      <c r="I31" s="146"/>
      <c r="J31" s="263"/>
      <c r="K31" s="263"/>
      <c r="L31" s="87"/>
      <c r="M31" s="442">
        <f>SUM(M21:M30)</f>
        <v>6512814.705094154</v>
      </c>
      <c r="N31" s="416">
        <f t="shared" ref="N31:R31" si="19">SUM(N21:N29)</f>
        <v>1489340.3488233341</v>
      </c>
      <c r="O31" s="416">
        <f t="shared" si="19"/>
        <v>77226.186001856549</v>
      </c>
      <c r="P31" s="416">
        <f t="shared" si="19"/>
        <v>30442.112487154314</v>
      </c>
      <c r="Q31" s="416">
        <f t="shared" si="19"/>
        <v>-440507.08996997465</v>
      </c>
      <c r="R31" s="417">
        <f t="shared" si="19"/>
        <v>7669316.2624365268</v>
      </c>
      <c r="S31" s="417"/>
    </row>
    <row r="32" spans="1:20" s="34" customFormat="1" ht="30" customHeight="1" x14ac:dyDescent="0.25">
      <c r="A32" s="418">
        <f t="shared" si="0"/>
        <v>25</v>
      </c>
      <c r="B32" s="419" t="s">
        <v>319</v>
      </c>
      <c r="C32" s="431"/>
      <c r="D32" s="440"/>
      <c r="E32" s="420"/>
      <c r="F32" s="420"/>
      <c r="G32" s="420"/>
      <c r="H32" s="441"/>
      <c r="I32" s="448"/>
      <c r="J32" s="419"/>
      <c r="K32" s="419"/>
      <c r="L32" s="449"/>
      <c r="M32" s="443">
        <f>M19+M31</f>
        <v>15272652.345094156</v>
      </c>
      <c r="N32" s="421">
        <f t="shared" ref="N32:R32" si="20">N19+N31</f>
        <v>2890946.1088233339</v>
      </c>
      <c r="O32" s="421">
        <f t="shared" si="20"/>
        <v>197405.58600185654</v>
      </c>
      <c r="P32" s="421">
        <f t="shared" si="20"/>
        <v>79088.552487154317</v>
      </c>
      <c r="Q32" s="421">
        <f t="shared" si="20"/>
        <v>-440507.08996997465</v>
      </c>
      <c r="R32" s="422">
        <f t="shared" si="20"/>
        <v>17999585.50243653</v>
      </c>
      <c r="S32" s="422"/>
    </row>
    <row r="33" spans="1:19" s="34" customFormat="1" ht="30" customHeight="1" x14ac:dyDescent="0.25">
      <c r="A33" s="475"/>
      <c r="B33" s="486">
        <v>2016</v>
      </c>
      <c r="C33" s="477"/>
      <c r="D33" s="478"/>
      <c r="E33" s="479"/>
      <c r="F33" s="479"/>
      <c r="G33" s="479"/>
      <c r="H33" s="480"/>
      <c r="I33" s="481"/>
      <c r="J33" s="476"/>
      <c r="K33" s="476"/>
      <c r="L33" s="482"/>
      <c r="M33" s="483"/>
      <c r="N33" s="484"/>
      <c r="O33" s="484"/>
      <c r="P33" s="484"/>
      <c r="Q33" s="484"/>
      <c r="R33" s="485"/>
      <c r="S33" s="485"/>
    </row>
    <row r="34" spans="1:19" x14ac:dyDescent="0.25">
      <c r="A34" s="412">
        <v>1</v>
      </c>
      <c r="B34" s="337" t="s">
        <v>405</v>
      </c>
      <c r="C34" s="424"/>
      <c r="D34" s="436"/>
      <c r="E34" s="337"/>
      <c r="F34" s="337"/>
      <c r="G34" s="337"/>
      <c r="H34" s="359"/>
      <c r="I34" s="436"/>
      <c r="J34" s="337"/>
      <c r="K34" s="337"/>
      <c r="L34" s="359"/>
      <c r="M34" s="432"/>
      <c r="N34" s="337"/>
      <c r="O34" s="337"/>
      <c r="P34" s="337"/>
      <c r="Q34" s="337"/>
      <c r="R34" s="359"/>
      <c r="S34" s="359"/>
    </row>
    <row r="35" spans="1:19" x14ac:dyDescent="0.25">
      <c r="A35" s="120">
        <f t="shared" ref="A35:A55" si="21">A34+1</f>
        <v>2</v>
      </c>
      <c r="B35" s="206" t="s">
        <v>2</v>
      </c>
      <c r="C35" s="425" t="s">
        <v>316</v>
      </c>
      <c r="D35" s="60">
        <f>ROUND(Summary!$F$7*'Allocation of LF'!H8,0)</f>
        <v>28997</v>
      </c>
      <c r="E35" s="5">
        <f>ROUND(Summary!$F$7*'Allocation of LF'!I8,0)</f>
        <v>6609</v>
      </c>
      <c r="F35" s="5">
        <f>ROUND(Summary!$F$7*'Allocation of LF'!J8,0)</f>
        <v>555</v>
      </c>
      <c r="G35" s="5">
        <f>ROUND(Summary!$F$7*'Allocation of LF'!K8,0)</f>
        <v>172</v>
      </c>
      <c r="H35" s="18">
        <f>SUM(D35:G35)</f>
        <v>36333</v>
      </c>
      <c r="I35" s="444">
        <v>18.98</v>
      </c>
      <c r="J35" s="409">
        <v>14.43</v>
      </c>
      <c r="K35" s="409">
        <v>13.44</v>
      </c>
      <c r="L35" s="410">
        <v>12.52</v>
      </c>
      <c r="M35" s="433">
        <f>D35*I35*12</f>
        <v>6604356.7200000007</v>
      </c>
      <c r="N35" s="409">
        <f>E35*J35*12</f>
        <v>1144414.44</v>
      </c>
      <c r="O35" s="409">
        <f>F35*K35*12</f>
        <v>89510.399999999994</v>
      </c>
      <c r="P35" s="409">
        <f>G35*L35*12</f>
        <v>25841.279999999999</v>
      </c>
      <c r="Q35" s="409"/>
      <c r="R35" s="410">
        <f>SUM(M35:Q35)</f>
        <v>7864122.8400000008</v>
      </c>
      <c r="S35" s="410">
        <f>ROUND(SUM(M35:P35)/H35/12,2)</f>
        <v>18.04</v>
      </c>
    </row>
    <row r="36" spans="1:19" x14ac:dyDescent="0.25">
      <c r="A36" s="120">
        <f t="shared" si="21"/>
        <v>3</v>
      </c>
      <c r="B36" s="206" t="s">
        <v>309</v>
      </c>
      <c r="C36" s="425" t="s">
        <v>316</v>
      </c>
      <c r="D36" s="60">
        <f>ROUND(Summary!$F$8*'Allocation of LF'!H9,0)</f>
        <v>3073</v>
      </c>
      <c r="E36" s="5">
        <f>ROUND(Summary!$F$8*'Allocation of LF'!I9,0)</f>
        <v>657</v>
      </c>
      <c r="F36" s="5">
        <f>ROUND(Summary!$F$8*'Allocation of LF'!J9,0)</f>
        <v>88</v>
      </c>
      <c r="G36" s="5">
        <f>ROUND(Summary!$F$8*'Allocation of LF'!K9,0)</f>
        <v>32</v>
      </c>
      <c r="H36" s="18">
        <f t="shared" ref="H36:H44" si="22">SUM(D36:G36)</f>
        <v>3850</v>
      </c>
      <c r="I36" s="444">
        <v>34.840000000000003</v>
      </c>
      <c r="J36" s="409">
        <v>19.059999999999999</v>
      </c>
      <c r="K36" s="409">
        <v>27.45</v>
      </c>
      <c r="L36" s="410">
        <v>22.91</v>
      </c>
      <c r="M36" s="433">
        <f t="shared" ref="M36:P44" si="23">D36*I36*12</f>
        <v>1284759.8400000001</v>
      </c>
      <c r="N36" s="409">
        <f t="shared" ref="N36:P43" si="24">E36*J36*12</f>
        <v>150269.03999999998</v>
      </c>
      <c r="O36" s="409">
        <f t="shared" si="24"/>
        <v>28987.199999999997</v>
      </c>
      <c r="P36" s="409">
        <f t="shared" si="24"/>
        <v>8797.44</v>
      </c>
      <c r="Q36" s="409"/>
      <c r="R36" s="410">
        <f t="shared" ref="R36:R44" si="25">SUM(M36:Q36)</f>
        <v>1472813.52</v>
      </c>
      <c r="S36" s="410">
        <f t="shared" ref="S36:S44" si="26">ROUND(SUM(M36:P36)/H36/12,2)</f>
        <v>31.88</v>
      </c>
    </row>
    <row r="37" spans="1:19" x14ac:dyDescent="0.25">
      <c r="A37" s="120">
        <f t="shared" si="21"/>
        <v>4</v>
      </c>
      <c r="B37" s="206" t="s">
        <v>310</v>
      </c>
      <c r="C37" s="425" t="s">
        <v>316</v>
      </c>
      <c r="D37" s="60">
        <f>ROUND(Summary!$F$9*'Allocation of LF'!H10,0)-D38-D44</f>
        <v>377</v>
      </c>
      <c r="E37" s="5">
        <f>ROUND(Summary!$F$9*'Allocation of LF'!I10,0)-E38</f>
        <v>97</v>
      </c>
      <c r="F37" s="5">
        <f>ROUND(Summary!$F$9*'Allocation of LF'!J10,0)-F38</f>
        <v>0</v>
      </c>
      <c r="G37" s="5">
        <f>ROUND(Summary!$F$9*'Allocation of LF'!K10,0)-G38</f>
        <v>4</v>
      </c>
      <c r="H37" s="18">
        <f t="shared" si="22"/>
        <v>478</v>
      </c>
      <c r="I37" s="444">
        <v>122.86</v>
      </c>
      <c r="J37" s="409">
        <v>45.55</v>
      </c>
      <c r="K37" s="409"/>
      <c r="L37" s="410">
        <v>279.02</v>
      </c>
      <c r="M37" s="433">
        <f t="shared" si="23"/>
        <v>555818.64</v>
      </c>
      <c r="N37" s="409">
        <f t="shared" si="24"/>
        <v>53020.2</v>
      </c>
      <c r="O37" s="409">
        <f t="shared" si="24"/>
        <v>0</v>
      </c>
      <c r="P37" s="409">
        <f t="shared" si="24"/>
        <v>13392.96</v>
      </c>
      <c r="Q37" s="409"/>
      <c r="R37" s="410">
        <f t="shared" si="25"/>
        <v>622231.79999999993</v>
      </c>
      <c r="S37" s="410">
        <f>ROUND(SUM(M37:P38)/SUM(H37:H38)/12,2)</f>
        <v>108.26</v>
      </c>
    </row>
    <row r="38" spans="1:19" x14ac:dyDescent="0.25">
      <c r="A38" s="120">
        <f t="shared" si="21"/>
        <v>5</v>
      </c>
      <c r="B38" s="206" t="s">
        <v>275</v>
      </c>
      <c r="C38" s="425" t="s">
        <v>316</v>
      </c>
      <c r="D38" s="60">
        <v>12</v>
      </c>
      <c r="E38" s="5"/>
      <c r="F38" s="5"/>
      <c r="G38" s="5"/>
      <c r="H38" s="18">
        <f t="shared" si="22"/>
        <v>12</v>
      </c>
      <c r="I38" s="444">
        <v>99.74</v>
      </c>
      <c r="J38" s="409"/>
      <c r="K38" s="409"/>
      <c r="L38" s="410"/>
      <c r="M38" s="433">
        <f t="shared" si="23"/>
        <v>14362.559999999998</v>
      </c>
      <c r="N38" s="409">
        <f t="shared" si="24"/>
        <v>0</v>
      </c>
      <c r="O38" s="409">
        <f t="shared" si="24"/>
        <v>0</v>
      </c>
      <c r="P38" s="409">
        <f t="shared" si="24"/>
        <v>0</v>
      </c>
      <c r="Q38" s="409"/>
      <c r="R38" s="410">
        <f t="shared" si="25"/>
        <v>14362.559999999998</v>
      </c>
      <c r="S38" s="410"/>
    </row>
    <row r="39" spans="1:19" x14ac:dyDescent="0.25">
      <c r="A39" s="120">
        <f t="shared" si="21"/>
        <v>6</v>
      </c>
      <c r="B39" s="206" t="s">
        <v>389</v>
      </c>
      <c r="C39" s="425" t="s">
        <v>316</v>
      </c>
      <c r="D39" s="60">
        <v>1</v>
      </c>
      <c r="E39" s="5"/>
      <c r="F39" s="5"/>
      <c r="G39" s="5"/>
      <c r="H39" s="18">
        <f t="shared" si="22"/>
        <v>1</v>
      </c>
      <c r="I39" s="444">
        <v>1385.39</v>
      </c>
      <c r="J39" s="409"/>
      <c r="K39" s="409"/>
      <c r="L39" s="410"/>
      <c r="M39" s="433">
        <f t="shared" si="23"/>
        <v>16624.68</v>
      </c>
      <c r="N39" s="409">
        <f t="shared" si="24"/>
        <v>0</v>
      </c>
      <c r="O39" s="409">
        <f t="shared" si="24"/>
        <v>0</v>
      </c>
      <c r="P39" s="409">
        <f t="shared" si="24"/>
        <v>0</v>
      </c>
      <c r="Q39" s="409"/>
      <c r="R39" s="410">
        <f t="shared" si="25"/>
        <v>16624.68</v>
      </c>
      <c r="S39" s="410">
        <f>ROUND(SUM(M39:P40)/SUM(H39:H40)/12,2)</f>
        <v>2615.41</v>
      </c>
    </row>
    <row r="40" spans="1:19" x14ac:dyDescent="0.25">
      <c r="A40" s="120">
        <f t="shared" si="21"/>
        <v>7</v>
      </c>
      <c r="B40" s="206" t="s">
        <v>312</v>
      </c>
      <c r="C40" s="425" t="s">
        <v>316</v>
      </c>
      <c r="D40" s="60"/>
      <c r="E40" s="5">
        <v>1</v>
      </c>
      <c r="F40" s="5"/>
      <c r="G40" s="5"/>
      <c r="H40" s="18">
        <f t="shared" si="22"/>
        <v>1</v>
      </c>
      <c r="I40" s="444"/>
      <c r="J40" s="409">
        <v>3845.43</v>
      </c>
      <c r="K40" s="409"/>
      <c r="L40" s="410"/>
      <c r="M40" s="433">
        <f t="shared" si="23"/>
        <v>0</v>
      </c>
      <c r="N40" s="409">
        <f t="shared" si="24"/>
        <v>46145.159999999996</v>
      </c>
      <c r="O40" s="409">
        <f t="shared" si="24"/>
        <v>0</v>
      </c>
      <c r="P40" s="409">
        <f t="shared" si="24"/>
        <v>0</v>
      </c>
      <c r="Q40" s="409"/>
      <c r="R40" s="410">
        <f t="shared" si="25"/>
        <v>46145.159999999996</v>
      </c>
      <c r="S40" s="410"/>
    </row>
    <row r="41" spans="1:19" x14ac:dyDescent="0.25">
      <c r="A41" s="120">
        <f t="shared" si="21"/>
        <v>8</v>
      </c>
      <c r="B41" s="206" t="s">
        <v>388</v>
      </c>
      <c r="C41" s="425" t="s">
        <v>407</v>
      </c>
      <c r="D41" s="60">
        <f>ROUND(Summary!$F$11*'Allocation of LF'!H14,0)</f>
        <v>267</v>
      </c>
      <c r="E41" s="5">
        <f>ROUND(Summary!$F$11*'Allocation of LF'!I14,0)</f>
        <v>68</v>
      </c>
      <c r="F41" s="5">
        <f>ROUND(Summary!$F$11*'Allocation of LF'!J14,0)</f>
        <v>0</v>
      </c>
      <c r="G41" s="5">
        <f>ROUND(Summary!$F$11*'Allocation of LF'!K14,0)</f>
        <v>0</v>
      </c>
      <c r="H41" s="18">
        <f t="shared" si="22"/>
        <v>335</v>
      </c>
      <c r="I41" s="444">
        <v>11.06</v>
      </c>
      <c r="J41" s="409">
        <v>9.5399999999999991</v>
      </c>
      <c r="K41" s="409"/>
      <c r="L41" s="410"/>
      <c r="M41" s="433">
        <f t="shared" si="23"/>
        <v>35436.239999999998</v>
      </c>
      <c r="N41" s="409">
        <f t="shared" si="24"/>
        <v>7784.6399999999994</v>
      </c>
      <c r="O41" s="409">
        <f t="shared" si="24"/>
        <v>0</v>
      </c>
      <c r="P41" s="409">
        <f t="shared" si="24"/>
        <v>0</v>
      </c>
      <c r="Q41" s="409"/>
      <c r="R41" s="410">
        <f t="shared" si="25"/>
        <v>43220.88</v>
      </c>
      <c r="S41" s="410">
        <f t="shared" si="26"/>
        <v>10.75</v>
      </c>
    </row>
    <row r="42" spans="1:19" x14ac:dyDescent="0.25">
      <c r="A42" s="120">
        <f t="shared" si="21"/>
        <v>9</v>
      </c>
      <c r="B42" s="206" t="s">
        <v>387</v>
      </c>
      <c r="C42" s="425" t="s">
        <v>407</v>
      </c>
      <c r="D42" s="60">
        <f>ROUND(Summary!$F$12*'Allocation of LF'!H15,0)</f>
        <v>455</v>
      </c>
      <c r="E42" s="5">
        <f>ROUND(Summary!$F$12*'Allocation of LF'!I15,0)</f>
        <v>76</v>
      </c>
      <c r="F42" s="5">
        <f>ROUND(Summary!$F$12*'Allocation of LF'!J15,0)</f>
        <v>1</v>
      </c>
      <c r="G42" s="5">
        <f>ROUND(Summary!$F$12*'Allocation of LF'!K15,0)</f>
        <v>0</v>
      </c>
      <c r="H42" s="18">
        <f t="shared" si="22"/>
        <v>532</v>
      </c>
      <c r="I42" s="444">
        <v>8.7100000000000009</v>
      </c>
      <c r="J42" s="409">
        <v>0.18</v>
      </c>
      <c r="K42" s="409">
        <v>0.98</v>
      </c>
      <c r="L42" s="410"/>
      <c r="M42" s="433">
        <f t="shared" si="23"/>
        <v>47556.600000000006</v>
      </c>
      <c r="N42" s="409">
        <f t="shared" si="24"/>
        <v>164.16</v>
      </c>
      <c r="O42" s="409">
        <f t="shared" si="24"/>
        <v>11.76</v>
      </c>
      <c r="P42" s="409">
        <f t="shared" si="24"/>
        <v>0</v>
      </c>
      <c r="Q42" s="409"/>
      <c r="R42" s="410">
        <f t="shared" si="25"/>
        <v>47732.520000000011</v>
      </c>
      <c r="S42" s="410">
        <f t="shared" si="26"/>
        <v>7.48</v>
      </c>
    </row>
    <row r="43" spans="1:19" x14ac:dyDescent="0.25">
      <c r="A43" s="120">
        <f t="shared" si="21"/>
        <v>10</v>
      </c>
      <c r="B43" s="206" t="s">
        <v>386</v>
      </c>
      <c r="C43" s="425" t="s">
        <v>407</v>
      </c>
      <c r="D43" s="60">
        <f>ROUND(Summary!$F$13*'Allocation of LF'!H16,0)</f>
        <v>10786</v>
      </c>
      <c r="E43" s="5">
        <f>ROUND(Summary!$F$13*'Allocation of LF'!I16,0)</f>
        <v>2397</v>
      </c>
      <c r="F43" s="5">
        <f>ROUND(Summary!$F$13*'Allocation of LF'!J16,0)</f>
        <v>211</v>
      </c>
      <c r="G43" s="5">
        <f>ROUND(Summary!$F$13*'Allocation of LF'!K16,0)</f>
        <v>75</v>
      </c>
      <c r="H43" s="18">
        <f t="shared" si="22"/>
        <v>13469</v>
      </c>
      <c r="I43" s="444">
        <v>1.73</v>
      </c>
      <c r="J43" s="409">
        <v>0.14000000000000001</v>
      </c>
      <c r="K43" s="409">
        <v>0.66</v>
      </c>
      <c r="L43" s="410">
        <v>0.85</v>
      </c>
      <c r="M43" s="433">
        <f t="shared" si="23"/>
        <v>223917.36</v>
      </c>
      <c r="N43" s="409">
        <f t="shared" si="24"/>
        <v>4026.9600000000005</v>
      </c>
      <c r="O43" s="409">
        <f t="shared" si="24"/>
        <v>1671.1200000000003</v>
      </c>
      <c r="P43" s="409">
        <f t="shared" si="24"/>
        <v>765</v>
      </c>
      <c r="Q43" s="409"/>
      <c r="R43" s="410">
        <f t="shared" si="25"/>
        <v>230380.43999999997</v>
      </c>
      <c r="S43" s="410">
        <f t="shared" si="26"/>
        <v>1.43</v>
      </c>
    </row>
    <row r="44" spans="1:19" x14ac:dyDescent="0.25">
      <c r="A44" s="291">
        <f t="shared" si="21"/>
        <v>11</v>
      </c>
      <c r="B44" s="210" t="s">
        <v>303</v>
      </c>
      <c r="C44" s="426" t="s">
        <v>316</v>
      </c>
      <c r="D44" s="67">
        <v>1</v>
      </c>
      <c r="E44" s="25"/>
      <c r="F44" s="25"/>
      <c r="G44" s="25"/>
      <c r="H44" s="68">
        <f t="shared" si="22"/>
        <v>1</v>
      </c>
      <c r="I44" s="445">
        <f>I37</f>
        <v>122.86</v>
      </c>
      <c r="J44" s="65"/>
      <c r="K44" s="65"/>
      <c r="L44" s="22"/>
      <c r="M44" s="434">
        <f t="shared" si="23"/>
        <v>1474.32</v>
      </c>
      <c r="N44" s="413">
        <f t="shared" si="23"/>
        <v>0</v>
      </c>
      <c r="O44" s="413">
        <f t="shared" si="23"/>
        <v>0</v>
      </c>
      <c r="P44" s="413">
        <f t="shared" si="23"/>
        <v>0</v>
      </c>
      <c r="Q44" s="65"/>
      <c r="R44" s="414">
        <f t="shared" si="25"/>
        <v>1474.32</v>
      </c>
      <c r="S44" s="414">
        <f t="shared" si="26"/>
        <v>122.86</v>
      </c>
    </row>
    <row r="45" spans="1:19" x14ac:dyDescent="0.25">
      <c r="A45" s="294">
        <f t="shared" si="21"/>
        <v>12</v>
      </c>
      <c r="B45" s="415" t="s">
        <v>56</v>
      </c>
      <c r="C45" s="427"/>
      <c r="D45" s="304">
        <f>SUM(D35:D44)</f>
        <v>43969</v>
      </c>
      <c r="E45" s="264">
        <f t="shared" ref="E45:H45" si="27">SUM(E35:E44)</f>
        <v>9905</v>
      </c>
      <c r="F45" s="264">
        <f t="shared" si="27"/>
        <v>855</v>
      </c>
      <c r="G45" s="264">
        <f t="shared" si="27"/>
        <v>283</v>
      </c>
      <c r="H45" s="265">
        <f t="shared" si="27"/>
        <v>55012</v>
      </c>
      <c r="I45" s="146"/>
      <c r="J45" s="263"/>
      <c r="K45" s="263"/>
      <c r="L45" s="87"/>
      <c r="M45" s="442">
        <f t="shared" ref="M45:Q45" si="28">SUM(M35:M44)</f>
        <v>8784306.9600000009</v>
      </c>
      <c r="N45" s="416">
        <f t="shared" si="28"/>
        <v>1405824.5999999996</v>
      </c>
      <c r="O45" s="416">
        <f t="shared" si="28"/>
        <v>120180.47999999998</v>
      </c>
      <c r="P45" s="416">
        <f t="shared" si="28"/>
        <v>48796.68</v>
      </c>
      <c r="Q45" s="416">
        <f t="shared" si="28"/>
        <v>0</v>
      </c>
      <c r="R45" s="417">
        <f>SUM(R35:R44)</f>
        <v>10359108.720000003</v>
      </c>
      <c r="S45" s="417"/>
    </row>
    <row r="46" spans="1:19" x14ac:dyDescent="0.25">
      <c r="A46" s="412">
        <f t="shared" si="21"/>
        <v>13</v>
      </c>
      <c r="B46" s="395" t="s">
        <v>406</v>
      </c>
      <c r="C46" s="428"/>
      <c r="D46" s="437"/>
      <c r="E46" s="423"/>
      <c r="F46" s="423"/>
      <c r="G46" s="423"/>
      <c r="H46" s="438"/>
      <c r="I46" s="436"/>
      <c r="J46" s="337"/>
      <c r="K46" s="337"/>
      <c r="L46" s="359"/>
      <c r="M46" s="432"/>
      <c r="N46" s="337"/>
      <c r="O46" s="337"/>
      <c r="P46" s="337"/>
      <c r="Q46" s="337"/>
      <c r="R46" s="359"/>
      <c r="S46" s="359"/>
    </row>
    <row r="47" spans="1:19" x14ac:dyDescent="0.25">
      <c r="A47" s="120">
        <f t="shared" si="21"/>
        <v>14</v>
      </c>
      <c r="B47" s="3" t="s">
        <v>2</v>
      </c>
      <c r="C47" s="52" t="s">
        <v>24</v>
      </c>
      <c r="D47" s="60">
        <f>Summary!$G$7*'Allocation of LF'!H20</f>
        <v>216265535.97031051</v>
      </c>
      <c r="E47" s="5">
        <f>Summary!$G$7*'Allocation of LF'!I20</f>
        <v>55566654.102446437</v>
      </c>
      <c r="F47" s="5">
        <f>Summary!$G$7*'Allocation of LF'!J20</f>
        <v>4341283.3625147548</v>
      </c>
      <c r="G47" s="5">
        <f>Summary!$G$7*'Allocation of LF'!K20</f>
        <v>1302535.7987197174</v>
      </c>
      <c r="H47" s="18">
        <f>SUM(D47:G47)</f>
        <v>277476009.23399138</v>
      </c>
      <c r="I47" s="446">
        <v>8.8000000000000005E-3</v>
      </c>
      <c r="J47" s="249">
        <v>1.46E-2</v>
      </c>
      <c r="K47" s="249">
        <v>1.2699999999999999E-2</v>
      </c>
      <c r="L47" s="314">
        <v>1.26E-2</v>
      </c>
      <c r="M47" s="433">
        <f>D47*I47</f>
        <v>1903136.7165387326</v>
      </c>
      <c r="N47" s="409">
        <f>E47*J47</f>
        <v>811273.14989571797</v>
      </c>
      <c r="O47" s="409">
        <f>F47*K47</f>
        <v>55134.298703937384</v>
      </c>
      <c r="P47" s="409">
        <f>G47*L47</f>
        <v>16411.951063868441</v>
      </c>
      <c r="Q47" s="409"/>
      <c r="R47" s="410">
        <f>SUM(M47:Q47)</f>
        <v>2785956.1162022566</v>
      </c>
      <c r="S47" s="314">
        <f>ROUND(SUM(M47:P47)/H47,4)</f>
        <v>0.01</v>
      </c>
    </row>
    <row r="48" spans="1:19" x14ac:dyDescent="0.25">
      <c r="A48" s="120">
        <f t="shared" si="21"/>
        <v>15</v>
      </c>
      <c r="B48" s="3" t="s">
        <v>309</v>
      </c>
      <c r="C48" s="52" t="s">
        <v>24</v>
      </c>
      <c r="D48" s="60">
        <f>Summary!$G$8*'Allocation of LF'!H21</f>
        <v>80340953.659433648</v>
      </c>
      <c r="E48" s="5">
        <f>Summary!$G$8*'Allocation of LF'!I21</f>
        <v>15736562.854876898</v>
      </c>
      <c r="F48" s="5">
        <f>Summary!$G$8*'Allocation of LF'!J21</f>
        <v>3119889.4555903682</v>
      </c>
      <c r="G48" s="5">
        <f>Summary!$G$8*'Allocation of LF'!K21</f>
        <v>485357.96967285167</v>
      </c>
      <c r="H48" s="18">
        <f t="shared" ref="H48:H56" si="29">SUM(D48:G48)</f>
        <v>99682763.939573765</v>
      </c>
      <c r="I48" s="446">
        <v>1.18E-2</v>
      </c>
      <c r="J48" s="249">
        <v>5.1000000000000004E-3</v>
      </c>
      <c r="K48" s="249">
        <v>6.1000000000000004E-3</v>
      </c>
      <c r="L48" s="314">
        <v>1.14E-2</v>
      </c>
      <c r="M48" s="433">
        <f>D48*I48</f>
        <v>948023.25318131701</v>
      </c>
      <c r="N48" s="409">
        <f t="shared" ref="N48:P55" si="30">E48*J48</f>
        <v>80256.470559872192</v>
      </c>
      <c r="O48" s="409">
        <f t="shared" si="30"/>
        <v>19031.325679101246</v>
      </c>
      <c r="P48" s="409">
        <f t="shared" si="30"/>
        <v>5533.080854270509</v>
      </c>
      <c r="Q48" s="409"/>
      <c r="R48" s="410">
        <f t="shared" ref="R48:R56" si="31">SUM(M48:Q48)</f>
        <v>1052844.130274561</v>
      </c>
      <c r="S48" s="314">
        <f>ROUND(SUM(M48:P48)/H48,4)</f>
        <v>1.06E-2</v>
      </c>
    </row>
    <row r="49" spans="1:20" x14ac:dyDescent="0.25">
      <c r="A49" s="120">
        <f t="shared" si="21"/>
        <v>16</v>
      </c>
      <c r="B49" s="3" t="s">
        <v>310</v>
      </c>
      <c r="C49" s="52" t="s">
        <v>54</v>
      </c>
      <c r="D49" s="439">
        <f>(Summary!$H$9*'Allocation of LF'!H33)-D50</f>
        <v>647000.29237395455</v>
      </c>
      <c r="E49" s="104">
        <f>(Summary!$H$9*'Allocation of LF'!I33)-E50</f>
        <v>325814.27657054306</v>
      </c>
      <c r="F49" s="104">
        <f>(Summary!$H$9*'Allocation of LF'!J33)-F50</f>
        <v>0</v>
      </c>
      <c r="G49" s="104">
        <f>(Summary!$H$9*'Allocation of LF'!K33)-G50</f>
        <v>5257.2141324379472</v>
      </c>
      <c r="H49" s="18">
        <f t="shared" si="29"/>
        <v>978071.78307693556</v>
      </c>
      <c r="I49" s="446">
        <v>3.4826999999999999</v>
      </c>
      <c r="J49" s="249">
        <v>1.5094000000000001</v>
      </c>
      <c r="K49" s="249"/>
      <c r="L49" s="314">
        <v>1.4026000000000001</v>
      </c>
      <c r="M49" s="433">
        <f t="shared" ref="M49:M56" si="32">D49*I49</f>
        <v>2253307.9182507712</v>
      </c>
      <c r="N49" s="409">
        <f t="shared" si="30"/>
        <v>491784.06905557774</v>
      </c>
      <c r="O49" s="409">
        <f t="shared" si="30"/>
        <v>0</v>
      </c>
      <c r="P49" s="409">
        <f t="shared" si="30"/>
        <v>7373.7685421574652</v>
      </c>
      <c r="Q49" s="409">
        <f>(H49*34.9%*-0.6)</f>
        <v>-204808.23137631032</v>
      </c>
      <c r="R49" s="410">
        <f t="shared" si="31"/>
        <v>2547657.5244721961</v>
      </c>
      <c r="S49" s="314">
        <f>ROUND(SUM(M49:P50)/SUM(H49:H50),4)</f>
        <v>3.2570999999999999</v>
      </c>
      <c r="T49" s="108"/>
    </row>
    <row r="50" spans="1:20" x14ac:dyDescent="0.25">
      <c r="A50" s="120">
        <f t="shared" si="21"/>
        <v>17</v>
      </c>
      <c r="B50" s="3" t="s">
        <v>275</v>
      </c>
      <c r="C50" s="52" t="s">
        <v>54</v>
      </c>
      <c r="D50" s="60">
        <f>('Allocation of LF'!C34*'Rate Class Energy Model'!D37)*'Rate Class Energy Model'!D37</f>
        <v>294145.02379966306</v>
      </c>
      <c r="E50" s="5"/>
      <c r="F50" s="5"/>
      <c r="G50" s="5"/>
      <c r="H50" s="18">
        <f t="shared" si="29"/>
        <v>294145.02379966306</v>
      </c>
      <c r="I50" s="446">
        <v>4.7298</v>
      </c>
      <c r="J50" s="249"/>
      <c r="K50" s="249"/>
      <c r="L50" s="314"/>
      <c r="M50" s="433">
        <f t="shared" si="32"/>
        <v>1391247.1335676464</v>
      </c>
      <c r="N50" s="409">
        <f t="shared" si="30"/>
        <v>0</v>
      </c>
      <c r="O50" s="409">
        <f t="shared" si="30"/>
        <v>0</v>
      </c>
      <c r="P50" s="409">
        <f t="shared" si="30"/>
        <v>0</v>
      </c>
      <c r="Q50" s="409">
        <f>D50*-0.6</f>
        <v>-176487.01427979782</v>
      </c>
      <c r="R50" s="410">
        <f t="shared" si="31"/>
        <v>1214760.1192878485</v>
      </c>
      <c r="S50" s="314"/>
      <c r="T50" s="2"/>
    </row>
    <row r="51" spans="1:20" x14ac:dyDescent="0.25">
      <c r="A51" s="120">
        <f t="shared" si="21"/>
        <v>18</v>
      </c>
      <c r="B51" s="3" t="s">
        <v>389</v>
      </c>
      <c r="C51" s="52" t="s">
        <v>54</v>
      </c>
      <c r="D51" s="60">
        <f>'Rate Class Demand Model'!E37</f>
        <v>26471</v>
      </c>
      <c r="E51" s="5"/>
      <c r="F51" s="5"/>
      <c r="G51" s="5"/>
      <c r="H51" s="18">
        <f t="shared" si="29"/>
        <v>26471</v>
      </c>
      <c r="I51" s="446">
        <v>3.4954000000000001</v>
      </c>
      <c r="J51" s="249"/>
      <c r="K51" s="249"/>
      <c r="L51" s="314"/>
      <c r="M51" s="433">
        <f t="shared" si="32"/>
        <v>92526.733399999997</v>
      </c>
      <c r="N51" s="409">
        <f t="shared" si="30"/>
        <v>0</v>
      </c>
      <c r="O51" s="409">
        <f t="shared" si="30"/>
        <v>0</v>
      </c>
      <c r="P51" s="409">
        <f t="shared" si="30"/>
        <v>0</v>
      </c>
      <c r="Q51" s="409">
        <f>D51*-0.6</f>
        <v>-15882.599999999999</v>
      </c>
      <c r="R51" s="410">
        <f t="shared" si="31"/>
        <v>76644.133399999992</v>
      </c>
      <c r="S51" s="314">
        <f>ROUND(SUM(M51:P52)/SUM(H51:H52),4)</f>
        <v>1.1124000000000001</v>
      </c>
      <c r="T51" s="108"/>
    </row>
    <row r="52" spans="1:20" x14ac:dyDescent="0.25">
      <c r="A52" s="120">
        <f t="shared" si="21"/>
        <v>19</v>
      </c>
      <c r="B52" s="3" t="s">
        <v>312</v>
      </c>
      <c r="C52" s="52" t="s">
        <v>54</v>
      </c>
      <c r="D52" s="60"/>
      <c r="E52" s="5">
        <f>'Rate Class Demand Model'!F37</f>
        <v>59755</v>
      </c>
      <c r="F52" s="5"/>
      <c r="G52" s="5"/>
      <c r="H52" s="18">
        <f t="shared" si="29"/>
        <v>59755</v>
      </c>
      <c r="I52" s="446"/>
      <c r="J52" s="249">
        <v>5.67E-2</v>
      </c>
      <c r="K52" s="249"/>
      <c r="L52" s="314"/>
      <c r="M52" s="433">
        <f t="shared" si="32"/>
        <v>0</v>
      </c>
      <c r="N52" s="409">
        <f t="shared" si="30"/>
        <v>3388.1084999999998</v>
      </c>
      <c r="O52" s="409">
        <f t="shared" si="30"/>
        <v>0</v>
      </c>
      <c r="P52" s="409">
        <f t="shared" si="30"/>
        <v>0</v>
      </c>
      <c r="Q52" s="409">
        <f>E52*-0.6</f>
        <v>-35853</v>
      </c>
      <c r="R52" s="410">
        <f t="shared" si="31"/>
        <v>-32464.891500000002</v>
      </c>
      <c r="S52" s="314"/>
    </row>
    <row r="53" spans="1:20" x14ac:dyDescent="0.25">
      <c r="A53" s="120">
        <f t="shared" si="21"/>
        <v>20</v>
      </c>
      <c r="B53" s="3" t="s">
        <v>388</v>
      </c>
      <c r="C53" s="429" t="s">
        <v>24</v>
      </c>
      <c r="D53" s="60">
        <f>Summary!$G$11*'Allocation of LF'!H26</f>
        <v>952242.96156267787</v>
      </c>
      <c r="E53" s="5">
        <f>Summary!$G$11*'Allocation of LF'!I26</f>
        <v>335832.03843732213</v>
      </c>
      <c r="F53" s="5">
        <f>Summary!$G$11*'Allocation of LF'!J26</f>
        <v>0</v>
      </c>
      <c r="G53" s="5">
        <f>Summary!$G$11*'Allocation of LF'!K26</f>
        <v>0</v>
      </c>
      <c r="H53" s="18">
        <f t="shared" si="29"/>
        <v>1288075</v>
      </c>
      <c r="I53" s="446">
        <v>8.0000000000000004E-4</v>
      </c>
      <c r="J53" s="249">
        <v>5.4999999999999997E-3</v>
      </c>
      <c r="K53" s="249"/>
      <c r="L53" s="314"/>
      <c r="M53" s="433">
        <f t="shared" si="32"/>
        <v>761.79436925014238</v>
      </c>
      <c r="N53" s="409">
        <f t="shared" si="30"/>
        <v>1847.0762114052716</v>
      </c>
      <c r="O53" s="409">
        <f t="shared" si="30"/>
        <v>0</v>
      </c>
      <c r="P53" s="409">
        <f t="shared" si="30"/>
        <v>0</v>
      </c>
      <c r="Q53" s="409"/>
      <c r="R53" s="410">
        <f t="shared" si="31"/>
        <v>2608.870580655414</v>
      </c>
      <c r="S53" s="314">
        <f t="shared" ref="S53:S56" si="33">ROUND(SUM(M53:P53)/H53,4)</f>
        <v>2E-3</v>
      </c>
    </row>
    <row r="54" spans="1:20" x14ac:dyDescent="0.25">
      <c r="A54" s="120">
        <f t="shared" si="21"/>
        <v>21</v>
      </c>
      <c r="B54" s="3" t="s">
        <v>387</v>
      </c>
      <c r="C54" s="429" t="s">
        <v>54</v>
      </c>
      <c r="D54" s="60">
        <f>Summary!$H$12*'Allocation of LF'!H38</f>
        <v>991.41335404857568</v>
      </c>
      <c r="E54" s="5">
        <f>Summary!$H$12*'Allocation of LF'!I38</f>
        <v>116.64653404056465</v>
      </c>
      <c r="F54" s="5">
        <f>Summary!$H$12*'Allocation of LF'!J38</f>
        <v>1.9401119108597229</v>
      </c>
      <c r="G54" s="5">
        <f>Summary!$H$12*'Allocation of LF'!K38</f>
        <v>0</v>
      </c>
      <c r="H54" s="18">
        <f t="shared" si="29"/>
        <v>1110</v>
      </c>
      <c r="I54" s="446">
        <v>0.61850000000000005</v>
      </c>
      <c r="J54" s="249">
        <v>1.0357000000000001</v>
      </c>
      <c r="K54" s="249">
        <v>5.2239000000000004</v>
      </c>
      <c r="L54" s="314"/>
      <c r="M54" s="433">
        <f t="shared" si="32"/>
        <v>613.18915947904406</v>
      </c>
      <c r="N54" s="409">
        <f t="shared" si="30"/>
        <v>120.81081530581281</v>
      </c>
      <c r="O54" s="409">
        <f t="shared" si="30"/>
        <v>10.134950611140107</v>
      </c>
      <c r="P54" s="409">
        <f t="shared" si="30"/>
        <v>0</v>
      </c>
      <c r="Q54" s="409"/>
      <c r="R54" s="410">
        <f t="shared" si="31"/>
        <v>744.13492539599702</v>
      </c>
      <c r="S54" s="314">
        <f t="shared" si="33"/>
        <v>0.6704</v>
      </c>
    </row>
    <row r="55" spans="1:20" x14ac:dyDescent="0.25">
      <c r="A55" s="120">
        <f t="shared" si="21"/>
        <v>22</v>
      </c>
      <c r="B55" s="3" t="s">
        <v>386</v>
      </c>
      <c r="C55" s="429" t="s">
        <v>54</v>
      </c>
      <c r="D55" s="60">
        <f>Summary!$H$13*'Allocation of LF'!H39</f>
        <v>17087.008636524763</v>
      </c>
      <c r="E55" s="5">
        <f>Summary!$H$13*'Allocation of LF'!I39</f>
        <v>4209.0124481253506</v>
      </c>
      <c r="F55" s="5">
        <f>Summary!$H$13*'Allocation of LF'!J39</f>
        <v>334.9108776528131</v>
      </c>
      <c r="G55" s="5">
        <f>Summary!$H$13*'Allocation of LF'!K39</f>
        <v>159.06803769706997</v>
      </c>
      <c r="H55" s="18">
        <f t="shared" si="29"/>
        <v>21789.999999999996</v>
      </c>
      <c r="I55" s="446">
        <v>1.2859</v>
      </c>
      <c r="J55" s="249">
        <v>0.6069</v>
      </c>
      <c r="K55" s="249">
        <v>3.0966</v>
      </c>
      <c r="L55" s="314">
        <v>3.5493999999999999</v>
      </c>
      <c r="M55" s="433">
        <f>D55*I55</f>
        <v>21972.184405707194</v>
      </c>
      <c r="N55" s="409">
        <f t="shared" si="30"/>
        <v>2554.4496547672752</v>
      </c>
      <c r="O55" s="409">
        <f t="shared" si="30"/>
        <v>1037.085023739701</v>
      </c>
      <c r="P55" s="409">
        <f t="shared" si="30"/>
        <v>564.59609300198008</v>
      </c>
      <c r="Q55" s="409"/>
      <c r="R55" s="410">
        <f t="shared" si="31"/>
        <v>26128.315177216151</v>
      </c>
      <c r="S55" s="314">
        <f t="shared" si="33"/>
        <v>1.1991000000000001</v>
      </c>
    </row>
    <row r="56" spans="1:20" x14ac:dyDescent="0.25">
      <c r="A56" s="291">
        <f t="shared" ref="A56:A58" si="34">A55+1</f>
        <v>23</v>
      </c>
      <c r="B56" s="65" t="s">
        <v>303</v>
      </c>
      <c r="C56" s="430" t="s">
        <v>54</v>
      </c>
      <c r="D56" s="67">
        <f>Summary!H14</f>
        <v>11231</v>
      </c>
      <c r="E56" s="25"/>
      <c r="F56" s="25"/>
      <c r="G56" s="25"/>
      <c r="H56" s="68">
        <f t="shared" si="29"/>
        <v>11231</v>
      </c>
      <c r="I56" s="447">
        <v>0</v>
      </c>
      <c r="J56" s="251">
        <v>0</v>
      </c>
      <c r="K56" s="251">
        <v>0</v>
      </c>
      <c r="L56" s="270">
        <v>0</v>
      </c>
      <c r="M56" s="434">
        <f t="shared" si="32"/>
        <v>0</v>
      </c>
      <c r="N56" s="413"/>
      <c r="O56" s="413"/>
      <c r="P56" s="413"/>
      <c r="Q56" s="413"/>
      <c r="R56" s="414">
        <f t="shared" si="31"/>
        <v>0</v>
      </c>
      <c r="S56" s="270">
        <f t="shared" si="33"/>
        <v>0</v>
      </c>
    </row>
    <row r="57" spans="1:20" x14ac:dyDescent="0.25">
      <c r="A57" s="294">
        <f t="shared" si="34"/>
        <v>24</v>
      </c>
      <c r="B57" s="263" t="s">
        <v>18</v>
      </c>
      <c r="C57" s="301"/>
      <c r="D57" s="304"/>
      <c r="E57" s="264"/>
      <c r="F57" s="264"/>
      <c r="G57" s="264"/>
      <c r="H57" s="265"/>
      <c r="I57" s="146"/>
      <c r="J57" s="263"/>
      <c r="K57" s="263"/>
      <c r="L57" s="87"/>
      <c r="M57" s="442">
        <f>SUM(M47:M56)</f>
        <v>6611588.9228729038</v>
      </c>
      <c r="N57" s="416">
        <f t="shared" ref="N57:R57" si="35">SUM(N47:N55)</f>
        <v>1391224.1346926463</v>
      </c>
      <c r="O57" s="416">
        <f t="shared" si="35"/>
        <v>75212.844357389476</v>
      </c>
      <c r="P57" s="416">
        <f t="shared" si="35"/>
        <v>29883.396553298393</v>
      </c>
      <c r="Q57" s="416">
        <f t="shared" si="35"/>
        <v>-433030.84565610811</v>
      </c>
      <c r="R57" s="417">
        <f t="shared" si="35"/>
        <v>7674878.4528201297</v>
      </c>
      <c r="S57" s="417"/>
    </row>
    <row r="58" spans="1:20" s="34" customFormat="1" ht="30" customHeight="1" x14ac:dyDescent="0.25">
      <c r="A58" s="418">
        <f t="shared" si="34"/>
        <v>25</v>
      </c>
      <c r="B58" s="419" t="s">
        <v>319</v>
      </c>
      <c r="C58" s="431"/>
      <c r="D58" s="440"/>
      <c r="E58" s="420"/>
      <c r="F58" s="420"/>
      <c r="G58" s="420"/>
      <c r="H58" s="441"/>
      <c r="I58" s="448"/>
      <c r="J58" s="419"/>
      <c r="K58" s="419"/>
      <c r="L58" s="449"/>
      <c r="M58" s="443">
        <f>M45+M57</f>
        <v>15395895.882872906</v>
      </c>
      <c r="N58" s="421">
        <f t="shared" ref="N58:R58" si="36">N45+N57</f>
        <v>2797048.7346926462</v>
      </c>
      <c r="O58" s="421">
        <f t="shared" si="36"/>
        <v>195393.32435738947</v>
      </c>
      <c r="P58" s="421">
        <f t="shared" si="36"/>
        <v>78680.076553298393</v>
      </c>
      <c r="Q58" s="421">
        <f t="shared" si="36"/>
        <v>-433030.84565610811</v>
      </c>
      <c r="R58" s="422">
        <f t="shared" si="36"/>
        <v>18033987.172820132</v>
      </c>
      <c r="S58" s="422"/>
    </row>
    <row r="59" spans="1:20" x14ac:dyDescent="0.25">
      <c r="A59" s="408"/>
      <c r="B59" s="13"/>
      <c r="C59" s="31"/>
      <c r="D59" s="1"/>
      <c r="E59" s="1"/>
      <c r="F59" s="1"/>
      <c r="G59" s="1"/>
      <c r="H59" s="1"/>
    </row>
    <row r="60" spans="1:20" x14ac:dyDescent="0.25">
      <c r="A60" s="404"/>
      <c r="B60" s="3"/>
      <c r="C60" s="31"/>
      <c r="D60" s="1"/>
      <c r="E60" s="1"/>
      <c r="F60" s="1"/>
      <c r="G60" s="1"/>
      <c r="H60" s="1"/>
    </row>
    <row r="61" spans="1:20" x14ac:dyDescent="0.25">
      <c r="A61" s="404"/>
      <c r="B61" s="3"/>
      <c r="C61" s="31"/>
      <c r="D61" s="1"/>
      <c r="E61" s="1"/>
      <c r="F61" s="1"/>
      <c r="G61" s="1"/>
      <c r="H61" s="1"/>
      <c r="R61" s="407"/>
    </row>
    <row r="62" spans="1:20" x14ac:dyDescent="0.25">
      <c r="A62" s="404"/>
      <c r="B62" s="3"/>
      <c r="C62" s="31"/>
      <c r="D62" s="1"/>
      <c r="E62" s="1"/>
      <c r="F62" s="1"/>
      <c r="G62" s="1"/>
      <c r="H62" s="1"/>
    </row>
    <row r="63" spans="1:20" x14ac:dyDescent="0.25">
      <c r="A63" s="404"/>
      <c r="B63" s="3"/>
      <c r="C63" s="31"/>
      <c r="D63" s="1"/>
      <c r="E63" s="1"/>
      <c r="F63" s="1"/>
      <c r="G63" s="1"/>
      <c r="H63" s="1"/>
    </row>
    <row r="64" spans="1:20" x14ac:dyDescent="0.25">
      <c r="A64" s="404"/>
      <c r="B64" s="3"/>
      <c r="C64" s="31"/>
      <c r="D64" s="1"/>
      <c r="E64" s="1"/>
      <c r="F64" s="1"/>
      <c r="G64" s="1"/>
      <c r="H64" s="1"/>
      <c r="R64" s="407"/>
      <c r="T64" s="407"/>
    </row>
    <row r="65" spans="1:20" x14ac:dyDescent="0.25">
      <c r="A65" s="404"/>
      <c r="B65" s="3"/>
      <c r="C65" s="31"/>
      <c r="D65" s="1"/>
      <c r="E65" s="1"/>
      <c r="F65" s="1"/>
      <c r="G65" s="1"/>
      <c r="H65" s="1"/>
      <c r="R65" s="407"/>
      <c r="T65" s="407"/>
    </row>
    <row r="66" spans="1:20" x14ac:dyDescent="0.25">
      <c r="A66" s="404"/>
      <c r="B66" s="3"/>
      <c r="C66" s="31"/>
      <c r="D66" s="1"/>
      <c r="E66" s="1"/>
      <c r="F66" s="1"/>
      <c r="G66" s="1"/>
      <c r="H66" s="1"/>
      <c r="R66" s="407"/>
      <c r="T66" s="407"/>
    </row>
    <row r="67" spans="1:20" x14ac:dyDescent="0.25">
      <c r="A67" s="404"/>
      <c r="B67" s="3"/>
      <c r="C67" s="31"/>
      <c r="D67" s="1"/>
      <c r="E67" s="1"/>
      <c r="F67" s="1"/>
      <c r="G67" s="1"/>
      <c r="H67" s="1"/>
      <c r="R67" s="407"/>
      <c r="T67" s="407"/>
    </row>
    <row r="68" spans="1:20" x14ac:dyDescent="0.25">
      <c r="A68" s="404"/>
      <c r="B68" s="3"/>
      <c r="C68" s="31"/>
      <c r="D68" s="1"/>
      <c r="E68" s="1"/>
      <c r="F68" s="1"/>
      <c r="G68" s="1"/>
      <c r="H68" s="1"/>
      <c r="R68" s="407"/>
      <c r="T68" s="407"/>
    </row>
    <row r="69" spans="1:20" x14ac:dyDescent="0.25">
      <c r="R69" s="407"/>
      <c r="T69" s="407"/>
    </row>
    <row r="70" spans="1:20" x14ac:dyDescent="0.25">
      <c r="R70" s="407"/>
      <c r="T70" s="407"/>
    </row>
    <row r="71" spans="1:20" x14ac:dyDescent="0.25">
      <c r="R71" s="407"/>
      <c r="T71" s="407"/>
    </row>
    <row r="72" spans="1:20" x14ac:dyDescent="0.25">
      <c r="R72" s="407"/>
      <c r="T72" s="407"/>
    </row>
    <row r="73" spans="1:20" x14ac:dyDescent="0.25">
      <c r="R73" s="407"/>
      <c r="T73" s="407"/>
    </row>
    <row r="74" spans="1:20" x14ac:dyDescent="0.25">
      <c r="R74" s="407"/>
    </row>
  </sheetData>
  <mergeCells count="9">
    <mergeCell ref="Q5:Q6"/>
    <mergeCell ref="R5:R6"/>
    <mergeCell ref="S5:S6"/>
    <mergeCell ref="A5:A6"/>
    <mergeCell ref="B5:B6"/>
    <mergeCell ref="C5:C6"/>
    <mergeCell ref="D5:H5"/>
    <mergeCell ref="I5:L5"/>
    <mergeCell ref="M5:P5"/>
  </mergeCells>
  <pageMargins left="0.7" right="0.7" top="0.75" bottom="0.75" header="0.3" footer="0.3"/>
  <pageSetup scale="50" orientation="landscape"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30" t="s">
        <v>0</v>
      </c>
      <c r="B1" s="30"/>
      <c r="C1" s="97"/>
      <c r="D1" s="96"/>
      <c r="E1" s="96"/>
    </row>
    <row r="2" spans="1:8" ht="18.75" x14ac:dyDescent="0.3">
      <c r="A2" s="30" t="s">
        <v>1</v>
      </c>
      <c r="B2" s="30"/>
      <c r="C2" s="97"/>
      <c r="D2" s="96"/>
      <c r="E2" s="96"/>
    </row>
    <row r="3" spans="1:8" ht="19.5" thickBot="1" x14ac:dyDescent="0.35">
      <c r="A3" s="32" t="s">
        <v>69</v>
      </c>
      <c r="B3" s="32"/>
      <c r="C3" s="98"/>
      <c r="D3" s="99"/>
      <c r="E3" s="99"/>
    </row>
    <row r="5" spans="1:8" ht="15.75" x14ac:dyDescent="0.25">
      <c r="A5" s="105" t="s">
        <v>20</v>
      </c>
      <c r="B5" s="105" t="s">
        <v>23</v>
      </c>
      <c r="C5" s="106" t="s">
        <v>226</v>
      </c>
      <c r="D5" s="106" t="s">
        <v>227</v>
      </c>
      <c r="E5" s="106" t="s">
        <v>18</v>
      </c>
    </row>
    <row r="6" spans="1:8" x14ac:dyDescent="0.25">
      <c r="A6" s="3">
        <v>2012</v>
      </c>
      <c r="B6" s="3" t="s">
        <v>74</v>
      </c>
      <c r="C6" s="5"/>
      <c r="D6" s="5"/>
      <c r="E6" s="5"/>
      <c r="G6">
        <v>518.64</v>
      </c>
      <c r="H6">
        <v>2104.15</v>
      </c>
    </row>
    <row r="7" spans="1:8" x14ac:dyDescent="0.25">
      <c r="A7" s="3">
        <v>2012</v>
      </c>
      <c r="B7" s="3" t="s">
        <v>75</v>
      </c>
      <c r="C7" s="5"/>
      <c r="D7" s="5"/>
      <c r="E7" s="5"/>
      <c r="G7">
        <v>496.98</v>
      </c>
      <c r="H7">
        <v>2061.9699999999998</v>
      </c>
    </row>
    <row r="8" spans="1:8" x14ac:dyDescent="0.25">
      <c r="A8" s="3">
        <v>2012</v>
      </c>
      <c r="B8" s="3" t="s">
        <v>76</v>
      </c>
      <c r="C8" s="5"/>
      <c r="D8" s="5"/>
      <c r="E8" s="5"/>
      <c r="G8">
        <v>519.04</v>
      </c>
      <c r="H8">
        <v>2433.21</v>
      </c>
    </row>
    <row r="9" spans="1:8" x14ac:dyDescent="0.25">
      <c r="A9" s="3">
        <v>2012</v>
      </c>
      <c r="B9" s="3" t="s">
        <v>77</v>
      </c>
      <c r="C9" s="5"/>
      <c r="D9" s="5"/>
      <c r="E9" s="5"/>
      <c r="G9">
        <v>527.66</v>
      </c>
      <c r="H9">
        <v>2221.08</v>
      </c>
    </row>
    <row r="10" spans="1:8" x14ac:dyDescent="0.25">
      <c r="A10" s="3">
        <v>2012</v>
      </c>
      <c r="B10" s="3" t="s">
        <v>86</v>
      </c>
      <c r="C10" s="5"/>
      <c r="D10" s="5"/>
      <c r="E10" s="5"/>
      <c r="G10">
        <v>553.79</v>
      </c>
      <c r="H10">
        <v>2203.9299999999998</v>
      </c>
    </row>
    <row r="11" spans="1:8" x14ac:dyDescent="0.25">
      <c r="A11" s="3">
        <v>2012</v>
      </c>
      <c r="B11" s="3" t="s">
        <v>79</v>
      </c>
      <c r="C11" s="5"/>
      <c r="D11" s="5"/>
      <c r="E11" s="5"/>
      <c r="G11">
        <v>619.23</v>
      </c>
      <c r="H11">
        <v>1740.81</v>
      </c>
    </row>
    <row r="12" spans="1:8" x14ac:dyDescent="0.25">
      <c r="A12" s="3">
        <v>2012</v>
      </c>
      <c r="B12" s="3" t="s">
        <v>80</v>
      </c>
      <c r="C12" s="5">
        <v>74737.39</v>
      </c>
      <c r="D12" s="5"/>
      <c r="E12" s="5">
        <f t="shared" ref="E12:E41" si="0">SUM(C12:D12)</f>
        <v>74737.39</v>
      </c>
      <c r="G12">
        <v>688.25</v>
      </c>
      <c r="H12">
        <v>1529.86</v>
      </c>
    </row>
    <row r="13" spans="1:8" x14ac:dyDescent="0.25">
      <c r="A13" s="3">
        <v>2012</v>
      </c>
      <c r="B13" s="3" t="s">
        <v>81</v>
      </c>
      <c r="C13" s="5">
        <v>357467.14</v>
      </c>
      <c r="D13" s="5"/>
      <c r="E13" s="5">
        <f t="shared" si="0"/>
        <v>357467.14</v>
      </c>
      <c r="G13">
        <v>706.44</v>
      </c>
      <c r="H13">
        <v>2462.25</v>
      </c>
    </row>
    <row r="14" spans="1:8" x14ac:dyDescent="0.25">
      <c r="A14" s="3">
        <v>2012</v>
      </c>
      <c r="B14" s="3" t="s">
        <v>82</v>
      </c>
      <c r="C14" s="5">
        <v>403916.21</v>
      </c>
      <c r="D14" s="5"/>
      <c r="E14" s="5">
        <f t="shared" si="0"/>
        <v>403916.21</v>
      </c>
      <c r="G14">
        <v>699.9</v>
      </c>
    </row>
    <row r="15" spans="1:8" x14ac:dyDescent="0.25">
      <c r="A15" s="3">
        <v>2012</v>
      </c>
      <c r="B15" s="3" t="s">
        <v>83</v>
      </c>
      <c r="C15" s="5">
        <v>360856.57</v>
      </c>
      <c r="D15" s="5"/>
      <c r="E15" s="5">
        <f t="shared" si="0"/>
        <v>360856.57</v>
      </c>
      <c r="G15">
        <v>713.29</v>
      </c>
    </row>
    <row r="16" spans="1:8" x14ac:dyDescent="0.25">
      <c r="A16" s="3">
        <v>2012</v>
      </c>
      <c r="B16" s="3" t="s">
        <v>84</v>
      </c>
      <c r="C16" s="5">
        <v>345522.85</v>
      </c>
      <c r="D16" s="5"/>
      <c r="E16" s="5">
        <f t="shared" si="0"/>
        <v>345522.85</v>
      </c>
      <c r="G16">
        <v>683.63</v>
      </c>
    </row>
    <row r="17" spans="1:7" x14ac:dyDescent="0.25">
      <c r="A17" s="3">
        <v>2012</v>
      </c>
      <c r="B17" s="3" t="s">
        <v>85</v>
      </c>
      <c r="C17" s="5">
        <v>319828.12</v>
      </c>
      <c r="D17" s="5"/>
      <c r="E17" s="5">
        <f t="shared" si="0"/>
        <v>319828.12</v>
      </c>
      <c r="G17">
        <v>613.13</v>
      </c>
    </row>
    <row r="18" spans="1:7" x14ac:dyDescent="0.25">
      <c r="A18" s="3">
        <v>2013</v>
      </c>
      <c r="B18" s="3" t="s">
        <v>74</v>
      </c>
      <c r="C18" s="5">
        <v>342215.98</v>
      </c>
      <c r="D18" s="5"/>
      <c r="E18" s="5">
        <f t="shared" si="0"/>
        <v>342215.98</v>
      </c>
      <c r="G18">
        <v>512.32000000000005</v>
      </c>
    </row>
    <row r="19" spans="1:7" x14ac:dyDescent="0.25">
      <c r="A19" s="3">
        <v>2013</v>
      </c>
      <c r="B19" s="3" t="s">
        <v>75</v>
      </c>
      <c r="C19" s="5">
        <v>327976.34000000003</v>
      </c>
      <c r="D19" s="5"/>
      <c r="E19" s="5">
        <f t="shared" si="0"/>
        <v>327976.34000000003</v>
      </c>
      <c r="G19">
        <v>504.38</v>
      </c>
    </row>
    <row r="20" spans="1:7" x14ac:dyDescent="0.25">
      <c r="A20" s="3">
        <v>2013</v>
      </c>
      <c r="B20" s="3" t="s">
        <v>76</v>
      </c>
      <c r="C20" s="5">
        <v>285028.32</v>
      </c>
      <c r="D20" s="5"/>
      <c r="E20" s="5">
        <f t="shared" si="0"/>
        <v>285028.32</v>
      </c>
      <c r="G20">
        <v>518.77</v>
      </c>
    </row>
    <row r="21" spans="1:7" x14ac:dyDescent="0.25">
      <c r="A21" s="3">
        <v>2013</v>
      </c>
      <c r="B21" s="3" t="s">
        <v>77</v>
      </c>
      <c r="C21" s="5">
        <v>315529.03000000003</v>
      </c>
      <c r="D21" s="5"/>
      <c r="E21" s="5">
        <f t="shared" si="0"/>
        <v>315529.03000000003</v>
      </c>
      <c r="G21">
        <v>534.20000000000005</v>
      </c>
    </row>
    <row r="22" spans="1:7" x14ac:dyDescent="0.25">
      <c r="A22" s="3">
        <v>2013</v>
      </c>
      <c r="B22" s="3" t="s">
        <v>86</v>
      </c>
      <c r="C22" s="5">
        <v>318430.2</v>
      </c>
      <c r="D22" s="5"/>
      <c r="E22" s="5">
        <f t="shared" si="0"/>
        <v>318430.2</v>
      </c>
      <c r="G22">
        <v>547.87</v>
      </c>
    </row>
    <row r="23" spans="1:7" x14ac:dyDescent="0.25">
      <c r="A23" s="3">
        <v>2013</v>
      </c>
      <c r="B23" s="3" t="s">
        <v>79</v>
      </c>
      <c r="C23" s="5">
        <v>370097.98</v>
      </c>
      <c r="D23" s="5"/>
      <c r="E23" s="5">
        <f t="shared" si="0"/>
        <v>370097.98</v>
      </c>
      <c r="G23">
        <v>666.32</v>
      </c>
    </row>
    <row r="24" spans="1:7" x14ac:dyDescent="0.25">
      <c r="A24" s="3">
        <v>2013</v>
      </c>
      <c r="B24" s="3" t="s">
        <v>80</v>
      </c>
      <c r="C24" s="5">
        <v>390317.12</v>
      </c>
      <c r="D24" s="5"/>
      <c r="E24" s="5">
        <f t="shared" si="0"/>
        <v>390317.12</v>
      </c>
      <c r="G24">
        <v>764.12</v>
      </c>
    </row>
    <row r="25" spans="1:7" x14ac:dyDescent="0.25">
      <c r="A25" s="3">
        <v>2013</v>
      </c>
      <c r="B25" s="3" t="s">
        <v>81</v>
      </c>
      <c r="C25" s="5">
        <v>422035.93</v>
      </c>
      <c r="D25" s="5"/>
      <c r="E25" s="5">
        <f t="shared" si="0"/>
        <v>422035.93</v>
      </c>
      <c r="G25">
        <v>733.9</v>
      </c>
    </row>
    <row r="26" spans="1:7" x14ac:dyDescent="0.25">
      <c r="A26" s="3">
        <v>2013</v>
      </c>
      <c r="B26" s="3" t="s">
        <v>82</v>
      </c>
      <c r="C26" s="5">
        <v>402643.29</v>
      </c>
      <c r="D26" s="5"/>
      <c r="E26" s="5">
        <f t="shared" si="0"/>
        <v>402643.29</v>
      </c>
      <c r="G26">
        <v>769.94</v>
      </c>
    </row>
    <row r="27" spans="1:7" x14ac:dyDescent="0.25">
      <c r="A27" s="3">
        <v>2013</v>
      </c>
      <c r="B27" s="3" t="s">
        <v>83</v>
      </c>
      <c r="C27" s="5">
        <v>361475.37</v>
      </c>
      <c r="D27" s="5"/>
      <c r="E27" s="5">
        <f t="shared" si="0"/>
        <v>361475.37</v>
      </c>
      <c r="G27">
        <v>770.96</v>
      </c>
    </row>
    <row r="28" spans="1:7" x14ac:dyDescent="0.25">
      <c r="A28" s="3">
        <v>2013</v>
      </c>
      <c r="B28" s="3" t="s">
        <v>84</v>
      </c>
      <c r="C28" s="5">
        <v>348244.32</v>
      </c>
      <c r="D28" s="5"/>
      <c r="E28" s="5">
        <f t="shared" si="0"/>
        <v>348244.32</v>
      </c>
      <c r="G28">
        <v>736.76</v>
      </c>
    </row>
    <row r="29" spans="1:7" x14ac:dyDescent="0.25">
      <c r="A29" s="3">
        <v>2013</v>
      </c>
      <c r="B29" s="3" t="s">
        <v>85</v>
      </c>
      <c r="C29" s="5">
        <v>316294.63</v>
      </c>
      <c r="D29" s="5"/>
      <c r="E29" s="5">
        <f t="shared" si="0"/>
        <v>316294.63</v>
      </c>
      <c r="G29">
        <v>660.06</v>
      </c>
    </row>
    <row r="30" spans="1:7" x14ac:dyDescent="0.25">
      <c r="A30" s="3">
        <v>2014</v>
      </c>
      <c r="B30" s="3" t="s">
        <v>74</v>
      </c>
      <c r="C30" s="5">
        <v>338538.32</v>
      </c>
      <c r="D30" s="5"/>
      <c r="E30" s="5">
        <f t="shared" si="0"/>
        <v>338538.32</v>
      </c>
      <c r="G30">
        <v>531.9</v>
      </c>
    </row>
    <row r="31" spans="1:7" x14ac:dyDescent="0.25">
      <c r="A31" s="3">
        <v>2014</v>
      </c>
      <c r="B31" s="3" t="s">
        <v>75</v>
      </c>
      <c r="C31" s="5">
        <v>324111.21000000002</v>
      </c>
      <c r="D31" s="5"/>
      <c r="E31" s="5">
        <f t="shared" si="0"/>
        <v>324111.21000000002</v>
      </c>
      <c r="G31">
        <v>515.74</v>
      </c>
    </row>
    <row r="32" spans="1:7" x14ac:dyDescent="0.25">
      <c r="A32" s="3">
        <v>2014</v>
      </c>
      <c r="B32" s="3" t="s">
        <v>76</v>
      </c>
      <c r="C32" s="5">
        <v>284822.09999999998</v>
      </c>
      <c r="D32" s="5"/>
      <c r="E32" s="5">
        <f t="shared" si="0"/>
        <v>284822.09999999998</v>
      </c>
      <c r="G32">
        <v>543.85</v>
      </c>
    </row>
    <row r="33" spans="1:12" x14ac:dyDescent="0.25">
      <c r="A33" s="3">
        <v>2014</v>
      </c>
      <c r="B33" s="3" t="s">
        <v>77</v>
      </c>
      <c r="C33" s="5">
        <v>315535.26</v>
      </c>
      <c r="D33" s="5"/>
      <c r="E33" s="5">
        <f t="shared" si="0"/>
        <v>315535.26</v>
      </c>
      <c r="G33">
        <v>557.83000000000004</v>
      </c>
    </row>
    <row r="34" spans="1:12" x14ac:dyDescent="0.25">
      <c r="A34" s="3">
        <v>2014</v>
      </c>
      <c r="B34" s="3" t="s">
        <v>86</v>
      </c>
      <c r="C34" s="5">
        <v>317535.92</v>
      </c>
      <c r="D34" s="5"/>
      <c r="E34" s="5">
        <f t="shared" si="0"/>
        <v>317535.92</v>
      </c>
      <c r="G34">
        <v>559.02</v>
      </c>
    </row>
    <row r="35" spans="1:12" x14ac:dyDescent="0.25">
      <c r="A35" s="3">
        <v>2014</v>
      </c>
      <c r="B35" s="3" t="s">
        <v>79</v>
      </c>
      <c r="C35" s="5">
        <v>354601.21</v>
      </c>
      <c r="D35" s="5"/>
      <c r="E35" s="5">
        <f t="shared" si="0"/>
        <v>354601.21</v>
      </c>
      <c r="G35">
        <v>638.95000000000005</v>
      </c>
    </row>
    <row r="36" spans="1:12" x14ac:dyDescent="0.25">
      <c r="A36" s="3">
        <v>2014</v>
      </c>
      <c r="B36" s="3" t="s">
        <v>80</v>
      </c>
      <c r="C36" s="5">
        <v>381552.06</v>
      </c>
      <c r="D36" s="5"/>
      <c r="E36" s="5">
        <f t="shared" si="0"/>
        <v>381552.06</v>
      </c>
      <c r="G36">
        <v>698.95</v>
      </c>
    </row>
    <row r="37" spans="1:12" x14ac:dyDescent="0.25">
      <c r="A37" s="3">
        <v>2014</v>
      </c>
      <c r="B37" s="3" t="s">
        <v>81</v>
      </c>
      <c r="C37" s="5">
        <v>387954.8</v>
      </c>
      <c r="D37" s="5"/>
      <c r="E37" s="5">
        <f t="shared" si="0"/>
        <v>387954.8</v>
      </c>
      <c r="G37">
        <v>759.43</v>
      </c>
    </row>
    <row r="38" spans="1:12" x14ac:dyDescent="0.25">
      <c r="A38" s="3">
        <v>2014</v>
      </c>
      <c r="B38" s="3" t="s">
        <v>82</v>
      </c>
      <c r="C38" s="5">
        <v>396158.93</v>
      </c>
      <c r="D38" s="5">
        <v>454713.28</v>
      </c>
      <c r="E38" s="5">
        <f t="shared" si="0"/>
        <v>850872.21</v>
      </c>
      <c r="G38">
        <v>757.92</v>
      </c>
    </row>
    <row r="39" spans="1:12" x14ac:dyDescent="0.25">
      <c r="A39" s="3">
        <v>2014</v>
      </c>
      <c r="B39" s="3" t="s">
        <v>83</v>
      </c>
      <c r="C39" s="5">
        <v>358649.47</v>
      </c>
      <c r="D39" s="5">
        <v>404007.62</v>
      </c>
      <c r="E39" s="5">
        <f t="shared" si="0"/>
        <v>762657.09</v>
      </c>
      <c r="G39">
        <v>783.36</v>
      </c>
    </row>
    <row r="40" spans="1:12" x14ac:dyDescent="0.25">
      <c r="A40" s="3">
        <v>2014</v>
      </c>
      <c r="B40" s="3" t="s">
        <v>84</v>
      </c>
      <c r="C40" s="5">
        <v>341589.21</v>
      </c>
      <c r="D40" s="5">
        <v>366238.71999999997</v>
      </c>
      <c r="E40" s="5">
        <f t="shared" si="0"/>
        <v>707827.92999999993</v>
      </c>
    </row>
    <row r="41" spans="1:12" x14ac:dyDescent="0.25">
      <c r="A41" s="3">
        <v>2014</v>
      </c>
      <c r="B41" s="3" t="s">
        <v>85</v>
      </c>
      <c r="C41" s="5">
        <v>281523.98</v>
      </c>
      <c r="D41" s="5">
        <v>522494.43</v>
      </c>
      <c r="E41" s="5">
        <f t="shared" si="0"/>
        <v>804018.40999999992</v>
      </c>
    </row>
    <row r="42" spans="1:12" x14ac:dyDescent="0.25">
      <c r="A42" s="3">
        <v>2015</v>
      </c>
      <c r="B42" s="3" t="s">
        <v>74</v>
      </c>
      <c r="C42" s="5">
        <f>(SUM(C$30:C$41)*'Rate Class Energy Model'!$D$37)*C30/(SUM(C$30:C$41))</f>
        <v>351219.88865463511</v>
      </c>
      <c r="D42" s="5">
        <v>549982.03</v>
      </c>
      <c r="E42" s="5">
        <f t="shared" ref="E42:E65" si="1">SUM(C42:D42)</f>
        <v>901201.91865463508</v>
      </c>
      <c r="K42" s="1">
        <v>333660.86</v>
      </c>
      <c r="L42" s="1">
        <v>549982.03</v>
      </c>
    </row>
    <row r="43" spans="1:12" x14ac:dyDescent="0.25">
      <c r="A43" s="3">
        <v>2015</v>
      </c>
      <c r="B43" s="3" t="s">
        <v>75</v>
      </c>
      <c r="C43" s="5">
        <f>(SUM(C$30:C$41)*'Rate Class Energy Model'!$D$37)*C31/(SUM(C$30:C$41))</f>
        <v>336252.34238747053</v>
      </c>
      <c r="D43" s="5">
        <v>557403.30000000005</v>
      </c>
      <c r="E43" s="5">
        <f t="shared" si="1"/>
        <v>893655.64238747058</v>
      </c>
      <c r="K43" s="1">
        <v>319169.96999999997</v>
      </c>
      <c r="L43" s="1">
        <v>557403.30000000005</v>
      </c>
    </row>
    <row r="44" spans="1:12" x14ac:dyDescent="0.25">
      <c r="A44" s="3">
        <v>2015</v>
      </c>
      <c r="B44" s="3" t="s">
        <v>76</v>
      </c>
      <c r="C44" s="5">
        <f>(SUM(C$30:C$41)*'Rate Class Energy Model'!$D$37)*C32/(SUM(C$30:C$41))</f>
        <v>295491.47124136297</v>
      </c>
      <c r="D44" s="5">
        <v>327524.89</v>
      </c>
      <c r="E44" s="5">
        <f t="shared" si="1"/>
        <v>623016.36124136299</v>
      </c>
      <c r="G44" s="108">
        <f>SUM(D38:D41)</f>
        <v>1747454.05</v>
      </c>
      <c r="K44" s="1">
        <v>285079.36</v>
      </c>
      <c r="L44" s="1">
        <v>327524.89</v>
      </c>
    </row>
    <row r="45" spans="1:12" x14ac:dyDescent="0.25">
      <c r="A45" s="3">
        <v>2015</v>
      </c>
      <c r="B45" s="3" t="s">
        <v>77</v>
      </c>
      <c r="C45" s="5">
        <f>(SUM(C$30:C$41)*'Rate Class Energy Model'!$D$37)*C33/(SUM(C$30:C$41))</f>
        <v>327355.13924630848</v>
      </c>
      <c r="D45" s="5">
        <v>319225.11</v>
      </c>
      <c r="E45" s="5">
        <f t="shared" si="1"/>
        <v>646580.24924630846</v>
      </c>
      <c r="K45" s="1">
        <v>320064.61</v>
      </c>
      <c r="L45" s="1">
        <v>319225.11</v>
      </c>
    </row>
    <row r="46" spans="1:12" x14ac:dyDescent="0.25">
      <c r="A46" s="3">
        <v>2015</v>
      </c>
      <c r="B46" s="3" t="s">
        <v>78</v>
      </c>
      <c r="C46" s="5">
        <f>(SUM(C$30:C$41)*'Rate Class Energy Model'!$D$37)*C34/(SUM(C$30:C$41))</f>
        <v>329430.7435159692</v>
      </c>
      <c r="D46" s="103">
        <f>D45</f>
        <v>319225.11</v>
      </c>
      <c r="E46" s="5">
        <f t="shared" si="1"/>
        <v>648655.85351596912</v>
      </c>
    </row>
    <row r="47" spans="1:12" x14ac:dyDescent="0.25">
      <c r="A47" s="3">
        <v>2015</v>
      </c>
      <c r="B47" s="3" t="s">
        <v>79</v>
      </c>
      <c r="C47" s="5">
        <f>(SUM(C$30:C$41)*'Rate Class Energy Model'!$D$37)*C35/(SUM(C$30:C$41))</f>
        <v>367884.4908694498</v>
      </c>
      <c r="D47" s="103">
        <f>D39</f>
        <v>404007.62</v>
      </c>
      <c r="E47" s="5">
        <f t="shared" si="1"/>
        <v>771892.1108694498</v>
      </c>
    </row>
    <row r="48" spans="1:12" x14ac:dyDescent="0.25">
      <c r="A48" s="3">
        <v>2015</v>
      </c>
      <c r="B48" s="3" t="s">
        <v>80</v>
      </c>
      <c r="C48" s="5">
        <f>(SUM(C$30:C$41)*'Rate Class Energy Model'!$D$37)*C36/(SUM(C$30:C$41))</f>
        <v>395844.91359544359</v>
      </c>
      <c r="D48" s="103">
        <f>D40</f>
        <v>366238.71999999997</v>
      </c>
      <c r="E48" s="5">
        <f t="shared" si="1"/>
        <v>762083.63359544356</v>
      </c>
    </row>
    <row r="49" spans="1:5" x14ac:dyDescent="0.25">
      <c r="A49" s="3">
        <v>2015</v>
      </c>
      <c r="B49" s="3" t="s">
        <v>81</v>
      </c>
      <c r="C49" s="5">
        <f>(SUM(C$30:C$41)*'Rate Class Energy Model'!$D$37)*C37/(SUM(C$30:C$41))</f>
        <v>402487.49878309551</v>
      </c>
      <c r="D49" s="103">
        <f>D38</f>
        <v>454713.28</v>
      </c>
      <c r="E49" s="5">
        <f t="shared" si="1"/>
        <v>857200.77878309553</v>
      </c>
    </row>
    <row r="50" spans="1:5" x14ac:dyDescent="0.25">
      <c r="A50" s="3">
        <v>2015</v>
      </c>
      <c r="B50" s="3" t="s">
        <v>82</v>
      </c>
      <c r="C50" s="5">
        <f>(SUM(C$30:C$41)*'Rate Class Energy Model'!$D$37)*C38/(SUM(C$30:C$41))</f>
        <v>410998.95363142161</v>
      </c>
      <c r="D50" s="5">
        <f>(SUM(D$38:D$49)*'Rate Class Energy Model'!$D$37)*D38/(SUM(D$38:D$49))</f>
        <v>471746.7362967474</v>
      </c>
      <c r="E50" s="5">
        <f t="shared" si="1"/>
        <v>882745.68992816901</v>
      </c>
    </row>
    <row r="51" spans="1:5" x14ac:dyDescent="0.25">
      <c r="A51" s="3">
        <v>2015</v>
      </c>
      <c r="B51" s="3" t="s">
        <v>83</v>
      </c>
      <c r="C51" s="5">
        <f>(SUM(C$30:C$41)*'Rate Class Energy Model'!$D$37)*C39/(SUM(C$30:C$41))</f>
        <v>372084.39777052082</v>
      </c>
      <c r="D51" s="5">
        <f>(SUM(D$38:D$49)*'Rate Class Energy Model'!$D$37)*D39/(SUM(D$38:D$49))</f>
        <v>419141.65377799509</v>
      </c>
      <c r="E51" s="5">
        <f t="shared" si="1"/>
        <v>791226.05154851591</v>
      </c>
    </row>
    <row r="52" spans="1:5" x14ac:dyDescent="0.25">
      <c r="A52" s="3">
        <v>2015</v>
      </c>
      <c r="B52" s="3" t="s">
        <v>84</v>
      </c>
      <c r="C52" s="5">
        <f>(SUM(C$30:C$41)*'Rate Class Energy Model'!$D$37)*C40/(SUM(C$30:C$41))</f>
        <v>354385.06430180417</v>
      </c>
      <c r="D52" s="5">
        <f>(SUM(D$38:D$49)*'Rate Class Energy Model'!$D$37)*D40/(SUM(D$38:D$49))</f>
        <v>379957.93935355986</v>
      </c>
      <c r="E52" s="5">
        <f t="shared" si="1"/>
        <v>734343.00365536404</v>
      </c>
    </row>
    <row r="53" spans="1:5" x14ac:dyDescent="0.25">
      <c r="A53" s="3">
        <v>2015</v>
      </c>
      <c r="B53" s="3" t="s">
        <v>85</v>
      </c>
      <c r="C53" s="5">
        <f>(SUM(C$30:C$41)*'Rate Class Energy Model'!$D$37)*C41/(SUM(C$30:C$41))</f>
        <v>292069.80441448902</v>
      </c>
      <c r="D53" s="5">
        <f>(SUM(D$38:D$49)*'Rate Class Energy Model'!$D$37)*D41/(SUM(D$38:D$49))</f>
        <v>542066.95279656083</v>
      </c>
      <c r="E53" s="5">
        <f t="shared" si="1"/>
        <v>834136.75721104979</v>
      </c>
    </row>
    <row r="54" spans="1:5" x14ac:dyDescent="0.25">
      <c r="A54" s="3">
        <v>2016</v>
      </c>
      <c r="B54" s="3" t="s">
        <v>74</v>
      </c>
      <c r="C54" s="5">
        <f>(SUM(C$42:C$53)*'Rate Class Energy Model'!$D$37)*C42/(SUM(C$42:C$53))</f>
        <v>364376.50599369151</v>
      </c>
      <c r="D54" s="5">
        <f>(SUM(D$38:D$49)*'Rate Class Energy Model'!$D$37)*D42/(SUM(D$38:D$49))</f>
        <v>570584.23205576895</v>
      </c>
      <c r="E54" s="5">
        <f t="shared" si="1"/>
        <v>934960.73804946046</v>
      </c>
    </row>
    <row r="55" spans="1:5" x14ac:dyDescent="0.25">
      <c r="A55" s="3">
        <v>2016</v>
      </c>
      <c r="B55" s="3" t="s">
        <v>75</v>
      </c>
      <c r="C55" s="5">
        <f>(SUM(C$42:C$53)*'Rate Class Energy Model'!$D$37)*C43/(SUM(C$42:C$53))</f>
        <v>348848.27883941651</v>
      </c>
      <c r="D55" s="5">
        <f>(SUM(D$38:D$49)*'Rate Class Energy Model'!$D$37)*D43/(SUM(D$38:D$49))</f>
        <v>578283.50114612177</v>
      </c>
      <c r="E55" s="5">
        <f t="shared" si="1"/>
        <v>927131.77998553822</v>
      </c>
    </row>
    <row r="56" spans="1:5" x14ac:dyDescent="0.25">
      <c r="A56" s="3">
        <v>2016</v>
      </c>
      <c r="B56" s="3" t="s">
        <v>76</v>
      </c>
      <c r="C56" s="5">
        <f>(SUM(C$42:C$53)*'Rate Class Energy Model'!$D$37)*C44/(SUM(C$42:C$53))</f>
        <v>306560.51470860309</v>
      </c>
      <c r="D56" s="5">
        <f>(SUM(D$38:D$49)*'Rate Class Energy Model'!$D$37)*D44/(SUM(D$38:D$49))</f>
        <v>339793.89806572441</v>
      </c>
      <c r="E56" s="5">
        <f t="shared" si="1"/>
        <v>646354.41277432744</v>
      </c>
    </row>
    <row r="57" spans="1:5" x14ac:dyDescent="0.25">
      <c r="A57" s="3">
        <v>2016</v>
      </c>
      <c r="B57" s="3" t="s">
        <v>77</v>
      </c>
      <c r="C57" s="5">
        <f>(SUM(C$42:C$53)*'Rate Class Energy Model'!$D$37)*C45/(SUM(C$42:C$53))</f>
        <v>339617.78848731512</v>
      </c>
      <c r="D57" s="5">
        <f>(SUM(D$38:D$49)*'Rate Class Energy Model'!$D$37)*D45/(SUM(D$38:D$49))</f>
        <v>331183.21019010083</v>
      </c>
      <c r="E57" s="5">
        <f t="shared" si="1"/>
        <v>670800.99867741601</v>
      </c>
    </row>
    <row r="58" spans="1:5" x14ac:dyDescent="0.25">
      <c r="A58" s="3">
        <v>2016</v>
      </c>
      <c r="B58" s="3" t="s">
        <v>78</v>
      </c>
      <c r="C58" s="5">
        <f>(SUM(C$42:C$53)*'Rate Class Energy Model'!$D$37)*C46/(SUM(C$42:C$53))</f>
        <v>341771.14442197367</v>
      </c>
      <c r="D58" s="5">
        <f>(SUM(D$38:D$49)*'Rate Class Energy Model'!$D$37)*D46/(SUM(D$38:D$49))</f>
        <v>331183.21019010083</v>
      </c>
      <c r="E58" s="5">
        <f t="shared" si="1"/>
        <v>672954.35461207456</v>
      </c>
    </row>
    <row r="59" spans="1:5" x14ac:dyDescent="0.25">
      <c r="A59" s="3">
        <v>2016</v>
      </c>
      <c r="B59" s="3" t="s">
        <v>79</v>
      </c>
      <c r="C59" s="5">
        <f>(SUM(C$42:C$53)*'Rate Class Energy Model'!$D$37)*C47/(SUM(C$42:C$53))</f>
        <v>381665.36042636255</v>
      </c>
      <c r="D59" s="5">
        <f>(SUM(D$38:D$49)*'Rate Class Energy Model'!$D$37)*D47/(SUM(D$38:D$49))</f>
        <v>419141.65377799509</v>
      </c>
      <c r="E59" s="5">
        <f t="shared" si="1"/>
        <v>800807.01420435763</v>
      </c>
    </row>
    <row r="60" spans="1:5" x14ac:dyDescent="0.25">
      <c r="A60" s="3">
        <v>2016</v>
      </c>
      <c r="B60" s="3" t="s">
        <v>80</v>
      </c>
      <c r="C60" s="5">
        <f>(SUM(C$42:C$53)*'Rate Class Energy Model'!$D$37)*C48/(SUM(C$42:C$53))</f>
        <v>410673.17424359912</v>
      </c>
      <c r="D60" s="104">
        <f>(SUM(D$38:D$49)*'Rate Class Energy Model'!$D$37)*D48/(SUM(D$38:D$49))</f>
        <v>379957.93935355986</v>
      </c>
      <c r="E60" s="5">
        <f t="shared" si="1"/>
        <v>790631.11359715904</v>
      </c>
    </row>
    <row r="61" spans="1:5" x14ac:dyDescent="0.25">
      <c r="A61" s="3">
        <v>2016</v>
      </c>
      <c r="B61" s="3" t="s">
        <v>81</v>
      </c>
      <c r="C61" s="5">
        <f>(SUM(C$42:C$53)*'Rate Class Energy Model'!$D$37)*C49/(SUM(C$42:C$53))</f>
        <v>417564.58916521288</v>
      </c>
      <c r="D61" s="104">
        <f>(SUM(D$49:D$60)*'Rate Class Energy Model'!$D$37)*D49/(SUM(D$49:D$60))</f>
        <v>471746.73629674746</v>
      </c>
      <c r="E61" s="5">
        <f t="shared" si="1"/>
        <v>889311.3254619604</v>
      </c>
    </row>
    <row r="62" spans="1:5" x14ac:dyDescent="0.25">
      <c r="A62" s="3">
        <v>2016</v>
      </c>
      <c r="B62" s="3" t="s">
        <v>82</v>
      </c>
      <c r="C62" s="5">
        <f>(SUM(C$42:C$53)*'Rate Class Energy Model'!$D$37)*C50/(SUM(C$42:C$53))</f>
        <v>426394.88118095289</v>
      </c>
      <c r="D62" s="104">
        <f>(SUM(D$49:D$60)*'Rate Class Energy Model'!$D$37)*D50/(SUM(D$49:D$60))</f>
        <v>489418.26200156927</v>
      </c>
      <c r="E62" s="5">
        <f t="shared" si="1"/>
        <v>915813.14318252215</v>
      </c>
    </row>
    <row r="63" spans="1:5" x14ac:dyDescent="0.25">
      <c r="A63" s="3">
        <v>2016</v>
      </c>
      <c r="B63" s="3" t="s">
        <v>83</v>
      </c>
      <c r="C63" s="5">
        <f>(SUM(C$42:C$53)*'Rate Class Energy Model'!$D$37)*C51/(SUM(C$42:C$53))</f>
        <v>386022.59488701093</v>
      </c>
      <c r="D63" s="104">
        <f>(SUM(D$49:D$60)*'Rate Class Energy Model'!$D$37)*D51/(SUM(D$49:D$60))</f>
        <v>434842.60502748116</v>
      </c>
      <c r="E63" s="5">
        <f t="shared" si="1"/>
        <v>820865.19991449208</v>
      </c>
    </row>
    <row r="64" spans="1:5" x14ac:dyDescent="0.25">
      <c r="A64" s="3">
        <v>2016</v>
      </c>
      <c r="B64" s="3" t="s">
        <v>84</v>
      </c>
      <c r="C64" s="5">
        <f>(SUM(C$42:C$53)*'Rate Class Energy Model'!$D$37)*C52/(SUM(C$42:C$53))</f>
        <v>367660.24840244185</v>
      </c>
      <c r="D64" s="104">
        <f>(SUM(D$49:D$60)*'Rate Class Energy Model'!$D$37)*D52/(SUM(D$49:D$60))</f>
        <v>394191.07755128539</v>
      </c>
      <c r="E64" s="5">
        <f t="shared" si="1"/>
        <v>761851.32595372724</v>
      </c>
    </row>
    <row r="65" spans="1:5" x14ac:dyDescent="0.25">
      <c r="A65" s="3">
        <v>2016</v>
      </c>
      <c r="B65" s="3" t="s">
        <v>85</v>
      </c>
      <c r="C65" s="5">
        <f>(SUM(C$42:C$53)*'Rate Class Energy Model'!$D$37)*C53/(SUM(C$42:C$53))</f>
        <v>303010.67301875271</v>
      </c>
      <c r="D65" s="104">
        <f>(SUM(D$49:D$60)*'Rate Class Energy Model'!$D$37)*D53/(SUM(D$49:D$60))</f>
        <v>562372.65785617824</v>
      </c>
      <c r="E65" s="5">
        <f t="shared" si="1"/>
        <v>865383.33087493095</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Model'!D37</f>
        <v>4235504.7084119711</v>
      </c>
      <c r="D71" s="5"/>
      <c r="E71" s="5">
        <f>SUMIF($A$6:$A$65,A71,$E$6:$E$65)</f>
        <v>9346738.0506368354</v>
      </c>
    </row>
    <row r="72" spans="1:5" x14ac:dyDescent="0.25">
      <c r="A72" s="3">
        <v>2016</v>
      </c>
      <c r="B72" s="3"/>
      <c r="C72" s="5">
        <f>C71*'Rate Class Energy Model'!D37</f>
        <v>4394165.7537753331</v>
      </c>
      <c r="D72" s="5"/>
      <c r="E72" s="5">
        <f>SUMIF($A$6:$A$65,A72,$E$6:$E$65)</f>
        <v>9696864.7372879665</v>
      </c>
    </row>
    <row r="74" spans="1:5" x14ac:dyDescent="0.25">
      <c r="A74" s="88" t="s">
        <v>20</v>
      </c>
      <c r="B74" s="89" t="s">
        <v>24</v>
      </c>
      <c r="C74" s="110" t="s">
        <v>54</v>
      </c>
      <c r="D74" s="110" t="s">
        <v>228</v>
      </c>
    </row>
    <row r="75" spans="1:5" x14ac:dyDescent="0.25">
      <c r="A75" s="3">
        <v>2012</v>
      </c>
      <c r="B75" s="5">
        <f>SUMIFS([11]Data!$G:$G,[11]Data!$B:$B,A75,[11]Data!$E:$E,"MPART")</f>
        <v>1862328.28</v>
      </c>
      <c r="C75" s="5">
        <f>SUMIFS([11]Data!$H:$H,[11]Data!$B:$B,A75,[11]Data!$E:$E,"MPART")</f>
        <v>4197.63</v>
      </c>
      <c r="D75" s="109">
        <f>C75/B75</f>
        <v>2.2539688867313982E-3</v>
      </c>
    </row>
    <row r="76" spans="1:5" x14ac:dyDescent="0.25">
      <c r="A76" s="3">
        <v>2013</v>
      </c>
      <c r="B76" s="5">
        <f>SUMIFS([11]Data!$G:$G,[11]Data!$B:$B,A76,[11]Data!$E:$E,"MPART")</f>
        <v>4199611</v>
      </c>
      <c r="C76" s="5">
        <f>SUMIFS([11]Data!$H:$H,[11]Data!$B:$B,A76,[11]Data!$E:$E,"MPART")</f>
        <v>9630</v>
      </c>
      <c r="D76" s="109">
        <f>C76/B76</f>
        <v>2.2930695247726516E-3</v>
      </c>
    </row>
    <row r="77" spans="1:5" x14ac:dyDescent="0.25">
      <c r="A77" s="3">
        <v>2014</v>
      </c>
      <c r="B77" s="5">
        <f>SUMIFS([11]Data!$G:$G,[11]Data!$B:$B,A77,[11]Data!$E:$E,"MPART")</f>
        <v>6375131</v>
      </c>
      <c r="C77" s="5">
        <f>SUMIFS([11]Data!$H:$H,[11]Data!$B:$B,A77,[11]Data!$E:$E,"MPART")</f>
        <v>17662</v>
      </c>
      <c r="D77" s="109">
        <f>C77/B77</f>
        <v>2.7704528738311416E-3</v>
      </c>
    </row>
    <row r="78" spans="1:5" x14ac:dyDescent="0.25">
      <c r="A78" s="3">
        <v>2015</v>
      </c>
      <c r="B78" s="5">
        <f>(B77+(1747454/4*8))*'Rate Class Energy Model'!D37</f>
        <v>10239768.421480043</v>
      </c>
      <c r="C78" s="5">
        <f>AVERAGE(D75:D77)*B78</f>
        <v>24976.472062676901</v>
      </c>
      <c r="D78" s="5"/>
    </row>
    <row r="79" spans="1:5" x14ac:dyDescent="0.25">
      <c r="A79" s="3">
        <v>2016</v>
      </c>
      <c r="B79" s="5">
        <f>B78*'Rate Class Energy Model'!D37</f>
        <v>10623347.823199065</v>
      </c>
      <c r="C79" s="5">
        <f>AVERAGE(D75:D77)*B79</f>
        <v>25912.08503911458</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M135" sqref="M135"/>
    </sheetView>
  </sheetViews>
  <sheetFormatPr defaultRowHeight="15" x14ac:dyDescent="0.25"/>
  <cols>
    <col min="1" max="1" width="50.140625" bestFit="1" customWidth="1"/>
    <col min="2" max="9" width="15.7109375" customWidth="1"/>
  </cols>
  <sheetData>
    <row r="1" spans="1:9" ht="18.75" x14ac:dyDescent="0.3">
      <c r="A1" s="30" t="s">
        <v>0</v>
      </c>
    </row>
    <row r="2" spans="1:9" ht="18.75" x14ac:dyDescent="0.3">
      <c r="A2" s="30" t="s">
        <v>294</v>
      </c>
    </row>
    <row r="3" spans="1:9" ht="19.5" thickBot="1" x14ac:dyDescent="0.35">
      <c r="A3" s="32" t="s">
        <v>373</v>
      </c>
      <c r="B3" s="33"/>
      <c r="C3" s="33"/>
      <c r="D3" s="33"/>
      <c r="E3" s="33"/>
      <c r="F3" s="33"/>
      <c r="G3" s="33"/>
      <c r="H3" s="33"/>
      <c r="I3" s="33"/>
    </row>
    <row r="4" spans="1:9" ht="15.75" thickBot="1" x14ac:dyDescent="0.3"/>
    <row r="5" spans="1:9" x14ac:dyDescent="0.25">
      <c r="A5" s="164" t="s">
        <v>237</v>
      </c>
      <c r="B5" s="164"/>
      <c r="C5" s="162"/>
      <c r="D5" s="162"/>
      <c r="E5" s="162"/>
      <c r="F5" s="162"/>
      <c r="G5" s="162"/>
      <c r="H5" s="162"/>
      <c r="I5" s="162"/>
    </row>
    <row r="6" spans="1:9" x14ac:dyDescent="0.25">
      <c r="A6" s="165" t="s">
        <v>238</v>
      </c>
      <c r="B6" s="390">
        <f>[10]Forecast!O6</f>
        <v>0.96207399470908816</v>
      </c>
      <c r="C6" s="162"/>
      <c r="D6" s="162"/>
      <c r="E6" s="162"/>
      <c r="F6" s="162"/>
      <c r="G6" s="162"/>
      <c r="H6" s="162"/>
      <c r="I6" s="162"/>
    </row>
    <row r="7" spans="1:9" x14ac:dyDescent="0.25">
      <c r="A7" s="165" t="s">
        <v>239</v>
      </c>
      <c r="B7" s="390">
        <f>[10]Forecast!O7</f>
        <v>0.92558637129550259</v>
      </c>
      <c r="C7" s="162"/>
      <c r="D7" s="162"/>
      <c r="E7" s="162"/>
      <c r="F7" s="162"/>
      <c r="G7" s="162"/>
      <c r="H7" s="162"/>
      <c r="I7" s="162"/>
    </row>
    <row r="8" spans="1:9" x14ac:dyDescent="0.25">
      <c r="A8" s="165" t="s">
        <v>240</v>
      </c>
      <c r="B8" s="390">
        <f>[10]Forecast!O8</f>
        <v>0.92193864439822337</v>
      </c>
      <c r="C8" s="162"/>
      <c r="D8" s="162"/>
      <c r="E8" s="162"/>
      <c r="F8" s="162"/>
      <c r="G8" s="162"/>
      <c r="H8" s="162"/>
      <c r="I8" s="162"/>
    </row>
    <row r="9" spans="1:9" x14ac:dyDescent="0.25">
      <c r="A9" s="165" t="s">
        <v>241</v>
      </c>
      <c r="B9" s="165">
        <f>[10]Forecast!O9</f>
        <v>2145168.8054860975</v>
      </c>
      <c r="C9" s="162"/>
      <c r="D9" s="162"/>
      <c r="E9" s="162"/>
      <c r="F9" s="162"/>
      <c r="G9" s="162"/>
      <c r="H9" s="162"/>
      <c r="I9" s="162"/>
    </row>
    <row r="10" spans="1:9" ht="15.75" thickBot="1" x14ac:dyDescent="0.3">
      <c r="A10" s="166" t="s">
        <v>242</v>
      </c>
      <c r="B10" s="166">
        <f>[10]Forecast!O10</f>
        <v>108</v>
      </c>
      <c r="C10" s="162"/>
      <c r="D10" s="162"/>
      <c r="E10" s="162"/>
      <c r="F10" s="162"/>
      <c r="G10" s="162"/>
      <c r="H10" s="162"/>
      <c r="I10" s="162"/>
    </row>
    <row r="11" spans="1:9" x14ac:dyDescent="0.25">
      <c r="A11" s="162"/>
      <c r="B11" s="162"/>
      <c r="C11" s="162"/>
      <c r="D11" s="162"/>
      <c r="E11" s="162"/>
      <c r="F11" s="162"/>
      <c r="G11" s="162"/>
      <c r="H11" s="162"/>
      <c r="I11" s="162"/>
    </row>
    <row r="12" spans="1:9" ht="15.75" thickBot="1" x14ac:dyDescent="0.3">
      <c r="A12" s="162" t="s">
        <v>243</v>
      </c>
      <c r="B12" s="162"/>
      <c r="C12" s="162"/>
      <c r="D12" s="162"/>
      <c r="E12" s="162"/>
      <c r="F12" s="162"/>
      <c r="G12" s="162"/>
      <c r="H12" s="162"/>
      <c r="I12" s="162"/>
    </row>
    <row r="13" spans="1:9" x14ac:dyDescent="0.25">
      <c r="A13" s="167"/>
      <c r="B13" s="167" t="s">
        <v>244</v>
      </c>
      <c r="C13" s="167" t="s">
        <v>245</v>
      </c>
      <c r="D13" s="167" t="s">
        <v>246</v>
      </c>
      <c r="E13" s="167" t="s">
        <v>247</v>
      </c>
      <c r="F13" s="167" t="s">
        <v>248</v>
      </c>
      <c r="G13" s="162"/>
      <c r="H13" s="162"/>
      <c r="I13" s="162"/>
    </row>
    <row r="14" spans="1:9" x14ac:dyDescent="0.25">
      <c r="A14" s="165" t="s">
        <v>249</v>
      </c>
      <c r="B14" s="165">
        <f>[10]Forecast!O14</f>
        <v>5</v>
      </c>
      <c r="C14" s="165">
        <f>[10]Forecast!P14</f>
        <v>5838315843419600</v>
      </c>
      <c r="D14" s="165">
        <f>[10]Forecast!Q14</f>
        <v>1167663168683920</v>
      </c>
      <c r="E14" s="165">
        <f>[10]Forecast!R14</f>
        <v>253.74333039731269</v>
      </c>
      <c r="F14" s="165">
        <f>[10]Forecast!S14</f>
        <v>7.2175474937938835E-56</v>
      </c>
      <c r="G14" s="162"/>
      <c r="H14" s="162"/>
      <c r="I14" s="162"/>
    </row>
    <row r="15" spans="1:9" x14ac:dyDescent="0.25">
      <c r="A15" s="165" t="s">
        <v>250</v>
      </c>
      <c r="B15" s="165">
        <f>[10]Forecast!O15</f>
        <v>102</v>
      </c>
      <c r="C15" s="165">
        <f>[10]Forecast!P15</f>
        <v>469378418811126.37</v>
      </c>
      <c r="D15" s="165">
        <f>[10]Forecast!Q15</f>
        <v>4601749204030.6504</v>
      </c>
      <c r="E15" s="165">
        <f>[10]Forecast!R15</f>
        <v>0</v>
      </c>
      <c r="F15" s="165">
        <f>[10]Forecast!S15</f>
        <v>0</v>
      </c>
      <c r="G15" s="162"/>
      <c r="H15" s="162"/>
      <c r="I15" s="162"/>
    </row>
    <row r="16" spans="1:9" ht="15.75" thickBot="1" x14ac:dyDescent="0.3">
      <c r="A16" s="166" t="s">
        <v>18</v>
      </c>
      <c r="B16" s="166">
        <f>[10]Forecast!O16</f>
        <v>107</v>
      </c>
      <c r="C16" s="166">
        <f>[10]Forecast!P16</f>
        <v>6307694262230726</v>
      </c>
      <c r="D16" s="166">
        <f>[10]Forecast!Q16</f>
        <v>0</v>
      </c>
      <c r="E16" s="166">
        <f>[10]Forecast!R16</f>
        <v>0</v>
      </c>
      <c r="F16" s="166">
        <f>[10]Forecast!S16</f>
        <v>0</v>
      </c>
      <c r="G16" s="162"/>
      <c r="H16" s="162"/>
      <c r="I16" s="162"/>
    </row>
    <row r="17" spans="1:9" ht="15.75" thickBot="1" x14ac:dyDescent="0.3">
      <c r="A17" s="162"/>
      <c r="B17" s="162"/>
      <c r="C17" s="162"/>
      <c r="D17" s="162"/>
      <c r="E17" s="162"/>
      <c r="F17" s="162"/>
      <c r="G17" s="162"/>
      <c r="H17" s="162"/>
      <c r="I17" s="162"/>
    </row>
    <row r="18" spans="1:9" x14ac:dyDescent="0.25">
      <c r="A18" s="167"/>
      <c r="B18" s="167" t="s">
        <v>251</v>
      </c>
      <c r="C18" s="167" t="s">
        <v>241</v>
      </c>
      <c r="D18" s="167" t="s">
        <v>252</v>
      </c>
      <c r="E18" s="167" t="s">
        <v>253</v>
      </c>
      <c r="F18" s="167" t="s">
        <v>254</v>
      </c>
      <c r="G18" s="167" t="s">
        <v>255</v>
      </c>
      <c r="H18" s="167" t="s">
        <v>256</v>
      </c>
      <c r="I18" s="167" t="s">
        <v>257</v>
      </c>
    </row>
    <row r="19" spans="1:9" x14ac:dyDescent="0.25">
      <c r="A19" s="165" t="s">
        <v>258</v>
      </c>
      <c r="B19" s="366">
        <f>[10]Forecast!O19</f>
        <v>1300695332.4640992</v>
      </c>
      <c r="C19" s="366">
        <f>[10]Forecast!P19</f>
        <v>162375763.65895224</v>
      </c>
      <c r="D19" s="366">
        <f>[10]Forecast!Q19</f>
        <v>8.0104031731978758</v>
      </c>
      <c r="E19" s="366">
        <f>[10]Forecast!R19</f>
        <v>1.9394131258925524E-12</v>
      </c>
      <c r="F19" s="366">
        <f>[10]Forecast!S19</f>
        <v>978623775.14104044</v>
      </c>
      <c r="G19" s="366">
        <f>[10]Forecast!T19</f>
        <v>1622766889.787158</v>
      </c>
      <c r="H19" s="366">
        <f>[10]Forecast!U19</f>
        <v>978623775.14104044</v>
      </c>
      <c r="I19" s="366">
        <f>[10]Forecast!V19</f>
        <v>1622766889.787158</v>
      </c>
    </row>
    <row r="20" spans="1:9" x14ac:dyDescent="0.25">
      <c r="A20" s="165" t="s">
        <v>355</v>
      </c>
      <c r="B20" s="366">
        <f>[10]Forecast!O20</f>
        <v>-627256.41941589501</v>
      </c>
      <c r="C20" s="366">
        <f>[10]Forecast!P20</f>
        <v>80626.691887799068</v>
      </c>
      <c r="D20" s="366">
        <f>[10]Forecast!Q20</f>
        <v>-7.7797613262961534</v>
      </c>
      <c r="E20" s="366">
        <f>[10]Forecast!R20</f>
        <v>6.1096083543632409E-12</v>
      </c>
      <c r="F20" s="366">
        <f>[10]Forecast!S20</f>
        <v>-787179.08048895479</v>
      </c>
      <c r="G20" s="366">
        <f>[10]Forecast!T20</f>
        <v>-467333.75834283524</v>
      </c>
      <c r="H20" s="366">
        <f>[10]Forecast!U20</f>
        <v>-787179.08048895479</v>
      </c>
      <c r="I20" s="366">
        <f>[10]Forecast!V20</f>
        <v>-467333.75834283524</v>
      </c>
    </row>
    <row r="21" spans="1:9" x14ac:dyDescent="0.25">
      <c r="A21" s="165" t="s">
        <v>356</v>
      </c>
      <c r="B21" s="366">
        <f>[10]Forecast!O21</f>
        <v>19737.516212979423</v>
      </c>
      <c r="C21" s="366">
        <f>[10]Forecast!P21</f>
        <v>1186.0139475359658</v>
      </c>
      <c r="D21" s="366">
        <f>[10]Forecast!Q21</f>
        <v>16.641892158170325</v>
      </c>
      <c r="E21" s="366">
        <f>[10]Forecast!R21</f>
        <v>7.8328750322773386E-31</v>
      </c>
      <c r="F21" s="366">
        <f>[10]Forecast!S21</f>
        <v>17385.063171452388</v>
      </c>
      <c r="G21" s="366">
        <f>[10]Forecast!T21</f>
        <v>22089.969254506457</v>
      </c>
      <c r="H21" s="366">
        <f>[10]Forecast!U21</f>
        <v>17385.063171452388</v>
      </c>
      <c r="I21" s="366">
        <f>[10]Forecast!V21</f>
        <v>22089.969254506457</v>
      </c>
    </row>
    <row r="22" spans="1:9" x14ac:dyDescent="0.25">
      <c r="A22" s="165" t="s">
        <v>357</v>
      </c>
      <c r="B22" s="366">
        <f>[10]Forecast!O22</f>
        <v>161357.28282464572</v>
      </c>
      <c r="C22" s="366">
        <f>[10]Forecast!P22</f>
        <v>10064.050776496253</v>
      </c>
      <c r="D22" s="366">
        <f>[10]Forecast!Q22</f>
        <v>16.033035445477097</v>
      </c>
      <c r="E22" s="366">
        <f>[10]Forecast!R22</f>
        <v>1.2379419534004461E-29</v>
      </c>
      <c r="F22" s="366">
        <f>[10]Forecast!S22</f>
        <v>141395.28582752933</v>
      </c>
      <c r="G22" s="366">
        <f>[10]Forecast!T22</f>
        <v>181319.27982176212</v>
      </c>
      <c r="H22" s="366">
        <f>[10]Forecast!U22</f>
        <v>141395.28582752933</v>
      </c>
      <c r="I22" s="366">
        <f>[10]Forecast!V22</f>
        <v>181319.27982176212</v>
      </c>
    </row>
    <row r="23" spans="1:9" x14ac:dyDescent="0.25">
      <c r="A23" s="165" t="s">
        <v>25</v>
      </c>
      <c r="B23" s="366">
        <f>[10]Forecast!O23</f>
        <v>0.69404585611958125</v>
      </c>
      <c r="C23" s="366">
        <f>[10]Forecast!P23</f>
        <v>5.1647499814454045E-2</v>
      </c>
      <c r="D23" s="366">
        <f>[10]Forecast!Q23</f>
        <v>13.438130763598858</v>
      </c>
      <c r="E23" s="366">
        <f>[10]Forecast!R23</f>
        <v>2.6400664482301366E-24</v>
      </c>
      <c r="F23" s="366">
        <f>[10]Forecast!S23</f>
        <v>0.59160328512098437</v>
      </c>
      <c r="G23" s="366">
        <f>[10]Forecast!T23</f>
        <v>0.79648842711817813</v>
      </c>
      <c r="H23" s="366">
        <f>[10]Forecast!U23</f>
        <v>0.59160328512098437</v>
      </c>
      <c r="I23" s="366">
        <f>[10]Forecast!V23</f>
        <v>0.79648842711817813</v>
      </c>
    </row>
    <row r="24" spans="1:9" ht="15.75" thickBot="1" x14ac:dyDescent="0.3">
      <c r="A24" s="166" t="s">
        <v>358</v>
      </c>
      <c r="B24" s="367">
        <f>[10]Forecast!O24</f>
        <v>6778225.2920919145</v>
      </c>
      <c r="C24" s="367">
        <f>[10]Forecast!P24</f>
        <v>481058.1829811075</v>
      </c>
      <c r="D24" s="367">
        <f>[10]Forecast!Q24</f>
        <v>14.090240082992445</v>
      </c>
      <c r="E24" s="367">
        <f>[10]Forecast!R24</f>
        <v>1.1231951861626398E-25</v>
      </c>
      <c r="F24" s="367">
        <f>[10]Forecast!S24</f>
        <v>5824048.6670560129</v>
      </c>
      <c r="G24" s="367">
        <f>[10]Forecast!T24</f>
        <v>7732401.917127816</v>
      </c>
      <c r="H24" s="367">
        <f>[10]Forecast!U24</f>
        <v>5824048.6670560129</v>
      </c>
      <c r="I24" s="367">
        <f>[10]Forecast!V24</f>
        <v>7732401.917127816</v>
      </c>
    </row>
    <row r="25" spans="1:9" x14ac:dyDescent="0.25">
      <c r="A25" s="162"/>
      <c r="B25" s="162"/>
      <c r="C25" s="162"/>
      <c r="D25" s="162"/>
      <c r="E25" s="162"/>
      <c r="F25" s="162"/>
      <c r="G25" s="162"/>
      <c r="H25" s="162"/>
      <c r="I25" s="162"/>
    </row>
    <row r="26" spans="1:9" ht="15.75" thickBot="1" x14ac:dyDescent="0.3">
      <c r="A26" s="162"/>
      <c r="B26" s="162"/>
      <c r="C26" s="162"/>
      <c r="D26" s="162"/>
      <c r="E26" s="162"/>
      <c r="F26" s="162"/>
      <c r="G26" s="162"/>
      <c r="H26" s="162"/>
      <c r="I26" s="162"/>
    </row>
    <row r="27" spans="1:9" x14ac:dyDescent="0.25">
      <c r="A27" s="167" t="s">
        <v>259</v>
      </c>
      <c r="B27" s="167" t="s">
        <v>260</v>
      </c>
      <c r="C27" s="162"/>
      <c r="D27" s="162"/>
      <c r="E27" s="162"/>
      <c r="F27" s="162"/>
      <c r="G27" s="162"/>
      <c r="H27" s="162"/>
      <c r="I27" s="162"/>
    </row>
    <row r="28" spans="1:9" x14ac:dyDescent="0.25">
      <c r="A28" s="165" t="s">
        <v>258</v>
      </c>
      <c r="B28" s="168">
        <f>[10]Forecast!O28</f>
        <v>8.0104031731978758</v>
      </c>
      <c r="C28" s="162"/>
      <c r="D28" s="169"/>
      <c r="E28" s="162"/>
      <c r="F28" s="162"/>
      <c r="G28" s="162"/>
      <c r="H28" s="162"/>
      <c r="I28" s="162"/>
    </row>
    <row r="29" spans="1:9" x14ac:dyDescent="0.25">
      <c r="A29" s="165" t="s">
        <v>355</v>
      </c>
      <c r="B29" s="168">
        <f>[10]Forecast!O29</f>
        <v>-7.7797613262961534</v>
      </c>
      <c r="C29" s="162"/>
      <c r="D29" s="162"/>
      <c r="E29" s="162"/>
      <c r="F29" s="162"/>
      <c r="G29" s="162"/>
      <c r="H29" s="162"/>
      <c r="I29" s="162"/>
    </row>
    <row r="30" spans="1:9" x14ac:dyDescent="0.25">
      <c r="A30" s="165" t="s">
        <v>356</v>
      </c>
      <c r="B30" s="168">
        <f>[10]Forecast!O30</f>
        <v>16.641892158170325</v>
      </c>
      <c r="C30" s="162"/>
      <c r="D30" s="169"/>
      <c r="E30" s="162"/>
      <c r="F30" s="163"/>
      <c r="G30" s="162"/>
      <c r="H30" s="162"/>
      <c r="I30" s="162"/>
    </row>
    <row r="31" spans="1:9" x14ac:dyDescent="0.25">
      <c r="A31" s="165" t="s">
        <v>357</v>
      </c>
      <c r="B31" s="168">
        <f>[10]Forecast!O31</f>
        <v>16.033035445477097</v>
      </c>
      <c r="C31" s="162"/>
      <c r="D31" s="162"/>
      <c r="E31" s="162"/>
      <c r="F31" s="162"/>
      <c r="G31" s="162"/>
      <c r="H31" s="162"/>
      <c r="I31" s="162"/>
    </row>
    <row r="32" spans="1:9" x14ac:dyDescent="0.25">
      <c r="A32" s="165" t="s">
        <v>25</v>
      </c>
      <c r="B32" s="168">
        <f>[10]Forecast!O32</f>
        <v>13.438130763598858</v>
      </c>
      <c r="C32" s="162"/>
      <c r="D32" s="162"/>
      <c r="E32" s="162"/>
      <c r="F32" s="162"/>
      <c r="G32" s="162"/>
      <c r="H32" s="162"/>
      <c r="I32" s="162"/>
    </row>
    <row r="33" spans="1:9" ht="15.75" thickBot="1" x14ac:dyDescent="0.3">
      <c r="A33" s="166" t="s">
        <v>358</v>
      </c>
      <c r="B33" s="170">
        <f>[10]Forecast!O33</f>
        <v>14.090240082992445</v>
      </c>
      <c r="C33" s="162"/>
      <c r="D33" s="162"/>
      <c r="E33" s="162"/>
      <c r="F33" s="162"/>
      <c r="G33" s="162"/>
      <c r="H33" s="162"/>
      <c r="I33" s="162"/>
    </row>
    <row r="34" spans="1:9" x14ac:dyDescent="0.25">
      <c r="A34" s="162"/>
      <c r="B34" s="162"/>
      <c r="C34" s="162"/>
      <c r="D34" s="162"/>
      <c r="E34" s="162"/>
      <c r="F34" s="162"/>
      <c r="G34" s="162"/>
      <c r="H34" s="162"/>
      <c r="I34" s="162"/>
    </row>
  </sheetData>
  <pageMargins left="0.7" right="0.7" top="0.75" bottom="0.75" header="0.3" footer="0.3"/>
  <pageSetup scale="69" fitToHeight="2"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M135" sqref="M135"/>
    </sheetView>
  </sheetViews>
  <sheetFormatPr defaultRowHeight="15" x14ac:dyDescent="0.25"/>
  <cols>
    <col min="1" max="1" width="12.7109375" customWidth="1"/>
    <col min="2" max="3" width="14.7109375" customWidth="1"/>
    <col min="4" max="5" width="12.7109375" customWidth="1"/>
    <col min="6" max="6" width="2.7109375" customWidth="1"/>
    <col min="7" max="7" width="12.7109375" customWidth="1"/>
    <col min="8" max="10" width="14.7109375" customWidth="1"/>
    <col min="11" max="11" width="12.7109375" customWidth="1"/>
  </cols>
  <sheetData>
    <row r="1" spans="1:11" ht="18.75" x14ac:dyDescent="0.3">
      <c r="A1" s="30" t="s">
        <v>0</v>
      </c>
    </row>
    <row r="2" spans="1:11" ht="18.75" x14ac:dyDescent="0.3">
      <c r="A2" s="30" t="s">
        <v>294</v>
      </c>
    </row>
    <row r="3" spans="1:11" ht="19.5" thickBot="1" x14ac:dyDescent="0.35">
      <c r="A3" s="32" t="s">
        <v>63</v>
      </c>
      <c r="B3" s="33"/>
      <c r="C3" s="33"/>
      <c r="D3" s="33"/>
      <c r="E3" s="33"/>
      <c r="F3" s="33"/>
      <c r="G3" s="33"/>
      <c r="H3" s="33"/>
      <c r="I3" s="33"/>
      <c r="J3" s="33"/>
      <c r="K3" s="33"/>
    </row>
    <row r="5" spans="1:11" ht="18.75" x14ac:dyDescent="0.3">
      <c r="A5" s="116" t="s">
        <v>30</v>
      </c>
      <c r="B5" s="117"/>
      <c r="C5" s="117"/>
      <c r="D5" s="117"/>
      <c r="E5" s="118"/>
      <c r="G5" s="116" t="s">
        <v>31</v>
      </c>
      <c r="H5" s="117"/>
      <c r="I5" s="117"/>
      <c r="J5" s="117"/>
      <c r="K5" s="118"/>
    </row>
    <row r="6" spans="1:11" ht="30" x14ac:dyDescent="0.25">
      <c r="A6" s="58" t="s">
        <v>20</v>
      </c>
      <c r="B6" s="16" t="s">
        <v>26</v>
      </c>
      <c r="C6" s="16" t="s">
        <v>27</v>
      </c>
      <c r="D6" s="16" t="s">
        <v>28</v>
      </c>
      <c r="E6" s="17" t="s">
        <v>29</v>
      </c>
      <c r="G6" s="58" t="s">
        <v>20</v>
      </c>
      <c r="H6" s="16" t="s">
        <v>26</v>
      </c>
      <c r="I6" s="16" t="s">
        <v>32</v>
      </c>
      <c r="J6" s="16" t="s">
        <v>61</v>
      </c>
      <c r="K6" s="17" t="s">
        <v>62</v>
      </c>
    </row>
    <row r="7" spans="1:11" x14ac:dyDescent="0.25">
      <c r="A7" s="119">
        <v>2006</v>
      </c>
      <c r="B7" s="79">
        <f>SUMIF('Purchase Forecast'!F:F,A7,'Purchase Forecast'!B:B)</f>
        <v>1095393373.0999999</v>
      </c>
      <c r="C7" s="47">
        <f>SUMIF('Purchase Forecast'!F:F,A7,'Purchase Forecast'!K:K)</f>
        <v>1049193051.3158149</v>
      </c>
      <c r="D7" s="79">
        <f>B7-C7</f>
        <v>46200321.784185052</v>
      </c>
      <c r="E7" s="80">
        <f t="shared" ref="E7:E15" si="0">D7/B7</f>
        <v>4.2176922846845967E-2</v>
      </c>
      <c r="G7" s="119">
        <v>2006</v>
      </c>
      <c r="H7" s="79">
        <f t="shared" ref="H7:H17" si="1">B7</f>
        <v>1095393373.0999999</v>
      </c>
      <c r="I7" s="47">
        <f>'Rate Class Energy Model'!K8</f>
        <v>1078222399</v>
      </c>
      <c r="J7" s="79">
        <f>H7-I7</f>
        <v>17170974.099999905</v>
      </c>
      <c r="K7" s="80">
        <f>1+(J7/H7)</f>
        <v>1.0156756234989861</v>
      </c>
    </row>
    <row r="8" spans="1:11" x14ac:dyDescent="0.25">
      <c r="A8" s="120">
        <v>2007</v>
      </c>
      <c r="B8" s="79">
        <f>SUMIF('Purchase Forecast'!F:F,A8,'Purchase Forecast'!B:B)</f>
        <v>1103377335.9000001</v>
      </c>
      <c r="C8" s="47">
        <f>SUMIF('Purchase Forecast'!F:F,A8,'Purchase Forecast'!K:K)</f>
        <v>1043199742.5321345</v>
      </c>
      <c r="D8" s="79">
        <f t="shared" ref="D8:D15" si="2">B8-C8</f>
        <v>60177593.367865562</v>
      </c>
      <c r="E8" s="75">
        <f t="shared" si="0"/>
        <v>5.453945029492567E-2</v>
      </c>
      <c r="G8" s="120">
        <v>2007</v>
      </c>
      <c r="H8" s="6">
        <f t="shared" si="1"/>
        <v>1103377335.9000001</v>
      </c>
      <c r="I8" s="5">
        <f>'Rate Class Energy Model'!K9</f>
        <v>1055654062</v>
      </c>
      <c r="J8" s="6">
        <f t="shared" ref="J8:J15" si="3">H8-I8</f>
        <v>47723273.900000095</v>
      </c>
      <c r="K8" s="75">
        <f t="shared" ref="K8:K15" si="4">1+(J8/H8)</f>
        <v>1.0432519976142824</v>
      </c>
    </row>
    <row r="9" spans="1:11" x14ac:dyDescent="0.25">
      <c r="A9" s="120">
        <v>2008</v>
      </c>
      <c r="B9" s="79">
        <f>SUMIF('Purchase Forecast'!F:F,A9,'Purchase Forecast'!B:B)</f>
        <v>1066571962.6</v>
      </c>
      <c r="C9" s="47">
        <f>SUMIF('Purchase Forecast'!F:F,A9,'Purchase Forecast'!K:K)</f>
        <v>1004606523.0564409</v>
      </c>
      <c r="D9" s="79">
        <f t="shared" si="2"/>
        <v>61965439.543559074</v>
      </c>
      <c r="E9" s="75">
        <f t="shared" si="0"/>
        <v>5.8097757785142694E-2</v>
      </c>
      <c r="G9" s="120">
        <v>2008</v>
      </c>
      <c r="H9" s="6">
        <f t="shared" si="1"/>
        <v>1066571962.6</v>
      </c>
      <c r="I9" s="5">
        <f>'Rate Class Energy Model'!K10</f>
        <v>1021199819</v>
      </c>
      <c r="J9" s="6">
        <f t="shared" si="3"/>
        <v>45372143.600000024</v>
      </c>
      <c r="K9" s="75">
        <f t="shared" si="4"/>
        <v>1.0425401615559025</v>
      </c>
    </row>
    <row r="10" spans="1:11" x14ac:dyDescent="0.25">
      <c r="A10" s="120">
        <v>2009</v>
      </c>
      <c r="B10" s="79">
        <f>SUMIF('Purchase Forecast'!F:F,A10,'Purchase Forecast'!B:B)</f>
        <v>925631872.89999986</v>
      </c>
      <c r="C10" s="47">
        <f>SUMIF('Purchase Forecast'!F:F,A10,'Purchase Forecast'!K:K)</f>
        <v>914212544.52141738</v>
      </c>
      <c r="D10" s="79">
        <f t="shared" si="2"/>
        <v>11419328.378582478</v>
      </c>
      <c r="E10" s="75">
        <f t="shared" si="0"/>
        <v>1.2336792533737826E-2</v>
      </c>
      <c r="G10" s="120">
        <v>2009</v>
      </c>
      <c r="H10" s="6">
        <f t="shared" si="1"/>
        <v>925631872.89999986</v>
      </c>
      <c r="I10" s="5">
        <f>'Rate Class Energy Model'!K11</f>
        <v>886643741</v>
      </c>
      <c r="J10" s="6">
        <f t="shared" si="3"/>
        <v>38988131.899999857</v>
      </c>
      <c r="K10" s="75">
        <f t="shared" si="4"/>
        <v>1.0421205589840485</v>
      </c>
    </row>
    <row r="11" spans="1:11" x14ac:dyDescent="0.25">
      <c r="A11" s="120">
        <v>2010</v>
      </c>
      <c r="B11" s="79">
        <f>SUMIF('Purchase Forecast'!F:F,A11,'Purchase Forecast'!B:B)</f>
        <v>970978473.95000017</v>
      </c>
      <c r="C11" s="47">
        <f>SUMIF('Purchase Forecast'!F:F,A11,'Purchase Forecast'!K:K)</f>
        <v>961947493.27961743</v>
      </c>
      <c r="D11" s="79">
        <f t="shared" si="2"/>
        <v>9030980.6703827381</v>
      </c>
      <c r="E11" s="75">
        <f t="shared" si="0"/>
        <v>9.3009071907064565E-3</v>
      </c>
      <c r="G11" s="120">
        <v>2010</v>
      </c>
      <c r="H11" s="6">
        <f t="shared" si="1"/>
        <v>970978473.95000017</v>
      </c>
      <c r="I11" s="5">
        <f>'Rate Class Energy Model'!K12</f>
        <v>932206593</v>
      </c>
      <c r="J11" s="6">
        <f t="shared" si="3"/>
        <v>38771880.950000167</v>
      </c>
      <c r="K11" s="75">
        <f t="shared" si="4"/>
        <v>1.0399307317208319</v>
      </c>
    </row>
    <row r="12" spans="1:11" x14ac:dyDescent="0.25">
      <c r="A12" s="120">
        <v>2011</v>
      </c>
      <c r="B12" s="79">
        <f>SUMIF('Purchase Forecast'!F:F,A12,'Purchase Forecast'!B:B)</f>
        <v>968593687.67000008</v>
      </c>
      <c r="C12" s="47">
        <f>SUMIF('Purchase Forecast'!F:F,A12,'Purchase Forecast'!K:K)</f>
        <v>972522943.43112957</v>
      </c>
      <c r="D12" s="79">
        <f t="shared" si="2"/>
        <v>-3929255.7611294985</v>
      </c>
      <c r="E12" s="75">
        <f t="shared" si="0"/>
        <v>-4.0566605080624854E-3</v>
      </c>
      <c r="G12" s="120">
        <v>2011</v>
      </c>
      <c r="H12" s="6">
        <f t="shared" si="1"/>
        <v>968593687.67000008</v>
      </c>
      <c r="I12" s="5">
        <f>'Rate Class Energy Model'!K13</f>
        <v>938179332</v>
      </c>
      <c r="J12" s="6">
        <f t="shared" si="3"/>
        <v>30414355.670000076</v>
      </c>
      <c r="K12" s="75">
        <f t="shared" si="4"/>
        <v>1.0314005305394498</v>
      </c>
    </row>
    <row r="13" spans="1:11" x14ac:dyDescent="0.25">
      <c r="A13" s="120">
        <v>2012</v>
      </c>
      <c r="B13" s="79">
        <f>SUMIF('Purchase Forecast'!F:F,A13,'Purchase Forecast'!B:B)</f>
        <v>973607964.36021817</v>
      </c>
      <c r="C13" s="47">
        <f>SUMIF('Purchase Forecast'!F:F,A13,'Purchase Forecast'!K:K)</f>
        <v>962982436.24449039</v>
      </c>
      <c r="D13" s="79">
        <f t="shared" si="2"/>
        <v>10625528.115727782</v>
      </c>
      <c r="E13" s="75">
        <f t="shared" si="0"/>
        <v>1.0913559157982113E-2</v>
      </c>
      <c r="G13" s="120">
        <v>2012</v>
      </c>
      <c r="H13" s="6">
        <f t="shared" si="1"/>
        <v>973607964.36021817</v>
      </c>
      <c r="I13" s="5">
        <f>'Rate Class Energy Model'!K14</f>
        <v>936088111</v>
      </c>
      <c r="J13" s="6">
        <f t="shared" si="3"/>
        <v>37519853.360218167</v>
      </c>
      <c r="K13" s="75">
        <f t="shared" si="4"/>
        <v>1.0385369211568369</v>
      </c>
    </row>
    <row r="14" spans="1:11" x14ac:dyDescent="0.25">
      <c r="A14" s="120">
        <v>2013</v>
      </c>
      <c r="B14" s="79">
        <f>SUMIF('Purchase Forecast'!F:F,A14,'Purchase Forecast'!B:B)</f>
        <v>970760691.54651523</v>
      </c>
      <c r="C14" s="47">
        <f>SUMIF('Purchase Forecast'!F:F,A14,'Purchase Forecast'!K:K)</f>
        <v>973593881.73271227</v>
      </c>
      <c r="D14" s="79">
        <f t="shared" si="2"/>
        <v>-2833190.1861970425</v>
      </c>
      <c r="E14" s="75">
        <f t="shared" si="0"/>
        <v>-2.9185258641689516E-3</v>
      </c>
      <c r="G14" s="120">
        <v>2013</v>
      </c>
      <c r="H14" s="6">
        <f t="shared" si="1"/>
        <v>970760691.54651523</v>
      </c>
      <c r="I14" s="5">
        <f>'Rate Class Energy Model'!K15</f>
        <v>928696615</v>
      </c>
      <c r="J14" s="6">
        <f t="shared" si="3"/>
        <v>42064076.546515226</v>
      </c>
      <c r="K14" s="75">
        <f t="shared" si="4"/>
        <v>1.043331046377149</v>
      </c>
    </row>
    <row r="15" spans="1:11" x14ac:dyDescent="0.25">
      <c r="A15" s="120">
        <v>2014</v>
      </c>
      <c r="B15" s="79">
        <f>SUMIF('Purchase Forecast'!F:F,A15,'Purchase Forecast'!B:B)</f>
        <v>971112987.38102555</v>
      </c>
      <c r="C15" s="47">
        <f>SUMIF('Purchase Forecast'!F:F,A15,'Purchase Forecast'!K:K)</f>
        <v>973414830.29313838</v>
      </c>
      <c r="D15" s="79">
        <f t="shared" si="2"/>
        <v>-2301842.9121128321</v>
      </c>
      <c r="E15" s="75">
        <f t="shared" si="0"/>
        <v>-2.3703142085666306E-3</v>
      </c>
      <c r="G15" s="120">
        <v>2014</v>
      </c>
      <c r="H15" s="6">
        <f t="shared" si="1"/>
        <v>971112987.38102555</v>
      </c>
      <c r="I15" s="5">
        <f>'Rate Class Energy Model'!K16</f>
        <v>933911819</v>
      </c>
      <c r="J15" s="6">
        <f t="shared" si="3"/>
        <v>37201168.381025553</v>
      </c>
      <c r="K15" s="75">
        <f t="shared" si="4"/>
        <v>1.0383077652800758</v>
      </c>
    </row>
    <row r="16" spans="1:11" x14ac:dyDescent="0.25">
      <c r="A16" s="120">
        <v>2015</v>
      </c>
      <c r="B16" s="79">
        <f>SUMIF('Purchase Forecast'!F:F,A16,'Purchase Forecast'!B:B)</f>
        <v>0</v>
      </c>
      <c r="C16" s="47">
        <f>SUMIF('Purchase Forecast'!F:F,A16,'Purchase Forecast'!K:K)</f>
        <v>972164493.0348599</v>
      </c>
      <c r="D16" s="3"/>
      <c r="E16" s="76"/>
      <c r="G16" s="120">
        <v>2015</v>
      </c>
      <c r="H16" s="6">
        <f t="shared" si="1"/>
        <v>0</v>
      </c>
      <c r="I16" s="5">
        <f>C16/K16</f>
        <v>934838752.26445103</v>
      </c>
      <c r="J16" s="3"/>
      <c r="K16" s="76">
        <f>AVERAGE(K8:K15)</f>
        <v>1.0399274641535721</v>
      </c>
    </row>
    <row r="17" spans="1:11" x14ac:dyDescent="0.25">
      <c r="A17" s="121">
        <v>2016</v>
      </c>
      <c r="B17" s="45">
        <f>SUMIF('Purchase Forecast'!F:F,A17,'Purchase Forecast'!B:B)</f>
        <v>0</v>
      </c>
      <c r="C17" s="45">
        <f>SUMIF('Purchase Forecast'!F:F,A17,'Purchase Forecast'!K:K)</f>
        <v>974498367.10392272</v>
      </c>
      <c r="D17" s="77"/>
      <c r="E17" s="78"/>
      <c r="G17" s="121">
        <v>2016</v>
      </c>
      <c r="H17" s="45">
        <f t="shared" si="1"/>
        <v>0</v>
      </c>
      <c r="I17" s="19">
        <f>C17/K16</f>
        <v>937083018.4748472</v>
      </c>
      <c r="J17" s="77"/>
      <c r="K17" s="78">
        <f>AVERAGE(K8:K15)</f>
        <v>1.0399274641535721</v>
      </c>
    </row>
    <row r="19" spans="1:11" x14ac:dyDescent="0.25">
      <c r="G19" t="s">
        <v>71</v>
      </c>
    </row>
    <row r="20" spans="1:11" ht="29.25" customHeight="1" x14ac:dyDescent="0.25">
      <c r="G20" s="491" t="s">
        <v>264</v>
      </c>
      <c r="H20" s="491"/>
      <c r="I20" s="491"/>
      <c r="J20" s="491"/>
      <c r="K20" s="491"/>
    </row>
    <row r="34" ht="46.5" customHeight="1" x14ac:dyDescent="0.25"/>
  </sheetData>
  <mergeCells count="1">
    <mergeCell ref="G20:K20"/>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zoomScale="110" zoomScaleNormal="110" workbookViewId="0">
      <pane xSplit="1" ySplit="6" topLeftCell="B19" activePane="bottomRight" state="frozen"/>
      <selection activeCell="M135" sqref="M135"/>
      <selection pane="topRight" activeCell="M135" sqref="M135"/>
      <selection pane="bottomLeft" activeCell="M135" sqref="M135"/>
      <selection pane="bottomRight" activeCell="M135" sqref="M135"/>
    </sheetView>
  </sheetViews>
  <sheetFormatPr defaultRowHeight="15" x14ac:dyDescent="0.25"/>
  <cols>
    <col min="1" max="1" width="10" customWidth="1"/>
    <col min="2" max="11" width="12.7109375" customWidth="1"/>
    <col min="13" max="23" width="9.140625" hidden="1" customWidth="1"/>
  </cols>
  <sheetData>
    <row r="1" spans="1:23" ht="18.75" x14ac:dyDescent="0.3">
      <c r="A1" s="30" t="s">
        <v>0</v>
      </c>
      <c r="B1" s="31"/>
      <c r="C1" s="31"/>
      <c r="D1" s="31"/>
      <c r="E1" s="31"/>
      <c r="F1" s="31"/>
      <c r="G1" s="31"/>
      <c r="H1" s="31"/>
      <c r="I1" s="31"/>
      <c r="J1" s="31"/>
      <c r="K1" s="31"/>
    </row>
    <row r="2" spans="1:23" ht="18.75" x14ac:dyDescent="0.3">
      <c r="A2" s="30" t="s">
        <v>294</v>
      </c>
      <c r="B2" s="31"/>
      <c r="C2" s="31"/>
      <c r="D2" s="31"/>
      <c r="E2" s="31"/>
      <c r="F2" s="31"/>
      <c r="G2" s="31"/>
      <c r="H2" s="31"/>
      <c r="I2" s="31"/>
      <c r="J2" s="31"/>
      <c r="K2" s="31"/>
    </row>
    <row r="3" spans="1:23" ht="19.5" thickBot="1" x14ac:dyDescent="0.35">
      <c r="A3" s="32" t="s">
        <v>22</v>
      </c>
      <c r="B3" s="33"/>
      <c r="C3" s="33"/>
      <c r="D3" s="33"/>
      <c r="E3" s="33"/>
      <c r="F3" s="33"/>
      <c r="G3" s="33"/>
      <c r="H3" s="33"/>
      <c r="I3" s="33"/>
      <c r="J3" s="33"/>
      <c r="K3" s="33"/>
    </row>
    <row r="5" spans="1:23" ht="45" x14ac:dyDescent="0.25">
      <c r="A5" s="15" t="s">
        <v>20</v>
      </c>
      <c r="B5" s="16" t="s">
        <v>2</v>
      </c>
      <c r="C5" s="16" t="s">
        <v>3</v>
      </c>
      <c r="D5" s="16" t="s">
        <v>4</v>
      </c>
      <c r="E5" s="16" t="s">
        <v>265</v>
      </c>
      <c r="F5" s="16" t="s">
        <v>266</v>
      </c>
      <c r="G5" s="16" t="s">
        <v>344</v>
      </c>
      <c r="H5" s="16" t="s">
        <v>345</v>
      </c>
      <c r="I5" s="16" t="s">
        <v>346</v>
      </c>
      <c r="J5" s="16" t="s">
        <v>303</v>
      </c>
      <c r="K5" s="17" t="s">
        <v>18</v>
      </c>
    </row>
    <row r="6" spans="1:23" hidden="1" x14ac:dyDescent="0.25">
      <c r="A6" s="12"/>
      <c r="B6" s="13" t="s">
        <v>10</v>
      </c>
      <c r="C6" s="13" t="s">
        <v>11</v>
      </c>
      <c r="D6" s="13" t="s">
        <v>12</v>
      </c>
      <c r="E6" s="13" t="s">
        <v>267</v>
      </c>
      <c r="F6" s="13" t="s">
        <v>14</v>
      </c>
      <c r="G6" s="13" t="s">
        <v>15</v>
      </c>
      <c r="H6" s="13" t="s">
        <v>16</v>
      </c>
      <c r="I6" s="13" t="s">
        <v>17</v>
      </c>
      <c r="J6" s="13" t="s">
        <v>13</v>
      </c>
      <c r="K6" s="14"/>
      <c r="N6" s="13" t="s">
        <v>10</v>
      </c>
      <c r="O6" s="13" t="s">
        <v>11</v>
      </c>
      <c r="P6" s="13" t="s">
        <v>12</v>
      </c>
      <c r="Q6" s="13" t="s">
        <v>267</v>
      </c>
      <c r="R6" s="13" t="s">
        <v>14</v>
      </c>
      <c r="S6" s="13" t="s">
        <v>15</v>
      </c>
      <c r="T6" s="13" t="s">
        <v>16</v>
      </c>
      <c r="U6" s="13" t="s">
        <v>17</v>
      </c>
      <c r="V6" s="13" t="s">
        <v>13</v>
      </c>
    </row>
    <row r="7" spans="1:23" ht="18.75" x14ac:dyDescent="0.3">
      <c r="A7" s="82" t="s">
        <v>360</v>
      </c>
      <c r="B7" s="4"/>
      <c r="C7" s="4"/>
      <c r="D7" s="4"/>
      <c r="E7" s="4"/>
      <c r="F7" s="4"/>
      <c r="G7" s="4"/>
      <c r="H7" s="4"/>
      <c r="I7" s="4"/>
      <c r="J7" s="4"/>
      <c r="K7" s="9"/>
      <c r="M7" s="82" t="s">
        <v>359</v>
      </c>
      <c r="N7" s="4"/>
      <c r="O7" s="4"/>
      <c r="P7" s="4"/>
      <c r="Q7" s="4"/>
      <c r="R7" s="4"/>
      <c r="S7" s="4"/>
      <c r="T7" s="4"/>
      <c r="U7" s="4"/>
      <c r="V7" s="4"/>
      <c r="W7" s="9"/>
    </row>
    <row r="8" spans="1:23" x14ac:dyDescent="0.25">
      <c r="A8" s="27">
        <v>2006</v>
      </c>
      <c r="B8" s="5">
        <v>35142</v>
      </c>
      <c r="C8" s="5">
        <v>4009</v>
      </c>
      <c r="D8" s="5">
        <v>507</v>
      </c>
      <c r="E8" s="5">
        <v>1</v>
      </c>
      <c r="F8" s="5">
        <v>2</v>
      </c>
      <c r="G8" s="5">
        <v>0</v>
      </c>
      <c r="H8" s="5">
        <v>393</v>
      </c>
      <c r="I8" s="5">
        <v>12468</v>
      </c>
      <c r="J8" s="5">
        <v>0</v>
      </c>
      <c r="K8" s="10">
        <f t="shared" ref="K8:K16" si="0">SUM(B8:J8)</f>
        <v>52522</v>
      </c>
      <c r="M8" s="27">
        <v>2006</v>
      </c>
      <c r="N8" s="5">
        <f>SUMIFS([11]Data!$F:$F,[11]Data!$B:$B,$A8,[11]Data!$D:$D,N$6)</f>
        <v>35142</v>
      </c>
      <c r="O8" s="5">
        <f>SUMIFS([11]Data!$F:$F,[11]Data!$B:$B,$A8,[11]Data!$D:$D,O$6)</f>
        <v>4009</v>
      </c>
      <c r="P8" s="5">
        <f>SUMIFS([11]Data!$F:$F,[11]Data!$B:$B,$A8,[11]Data!$D:$D,P$6)</f>
        <v>506</v>
      </c>
      <c r="Q8" s="5">
        <f>SUMIFS([11]Data!$F:$F,[11]Data!$B:$B,$A8,[11]Data!$D:$D,Q$6)</f>
        <v>3</v>
      </c>
      <c r="R8" s="5">
        <f>SUMIFS([11]Data!$F:$F,[11]Data!$B:$B,$A8,[11]Data!$D:$D,R$6)</f>
        <v>1</v>
      </c>
      <c r="S8" s="5">
        <f>SUMIFS([11]Data!$F:$F,[11]Data!$B:$B,$A8,[11]Data!$D:$D,S$6)</f>
        <v>0</v>
      </c>
      <c r="T8" s="5">
        <f>SUMIFS([11]Data!$F:$F,[11]Data!$B:$B,$A8,[11]Data!$D:$D,T$6)</f>
        <v>393</v>
      </c>
      <c r="U8" s="5">
        <f>SUMIFS([11]Data!$F:$F,[11]Data!$B:$B,$A8,[11]Data!$D:$D,U$6)</f>
        <v>12468</v>
      </c>
      <c r="V8" s="5">
        <f>SUMIFS([11]Data!$F:$F,[11]Data!$B:$B,$A8,[11]Data!$D:$D,V$6)</f>
        <v>0</v>
      </c>
      <c r="W8" s="10">
        <v>52522</v>
      </c>
    </row>
    <row r="9" spans="1:23" x14ac:dyDescent="0.25">
      <c r="A9" s="27">
        <v>2007</v>
      </c>
      <c r="B9" s="5">
        <f>ROUND(AVERAGE(N8:N9),0)</f>
        <v>35190</v>
      </c>
      <c r="C9" s="5">
        <f t="shared" ref="C9:J16" si="1">ROUND(AVERAGE(O8:O9),0)</f>
        <v>4001</v>
      </c>
      <c r="D9" s="5">
        <f t="shared" si="1"/>
        <v>513</v>
      </c>
      <c r="E9" s="5">
        <f t="shared" si="1"/>
        <v>3</v>
      </c>
      <c r="F9" s="5">
        <f t="shared" si="1"/>
        <v>1</v>
      </c>
      <c r="G9" s="5">
        <f t="shared" si="1"/>
        <v>0</v>
      </c>
      <c r="H9" s="5">
        <f t="shared" si="1"/>
        <v>394</v>
      </c>
      <c r="I9" s="5">
        <f t="shared" si="1"/>
        <v>12468</v>
      </c>
      <c r="J9" s="5">
        <f t="shared" si="1"/>
        <v>1</v>
      </c>
      <c r="K9" s="10">
        <f t="shared" si="0"/>
        <v>52571</v>
      </c>
      <c r="M9" s="27">
        <v>2007</v>
      </c>
      <c r="N9" s="5">
        <f>SUMIFS([11]Data!$F:$F,[11]Data!$B:$B,$A9,[11]Data!$D:$D,N$6)</f>
        <v>35238</v>
      </c>
      <c r="O9" s="5">
        <f>SUMIFS([11]Data!$F:$F,[11]Data!$B:$B,$A9,[11]Data!$D:$D,O$6)</f>
        <v>3993</v>
      </c>
      <c r="P9" s="5">
        <f>SUMIFS([11]Data!$F:$F,[11]Data!$B:$B,$A9,[11]Data!$D:$D,P$6)</f>
        <v>519</v>
      </c>
      <c r="Q9" s="5">
        <f>SUMIFS([11]Data!$F:$F,[11]Data!$B:$B,$A9,[11]Data!$D:$D,Q$6)</f>
        <v>3</v>
      </c>
      <c r="R9" s="5">
        <f>SUMIFS([11]Data!$F:$F,[11]Data!$B:$B,$A9,[11]Data!$D:$D,R$6)</f>
        <v>1</v>
      </c>
      <c r="S9" s="5">
        <f>SUMIFS([11]Data!$F:$F,[11]Data!$B:$B,$A9,[11]Data!$D:$D,S$6)</f>
        <v>0</v>
      </c>
      <c r="T9" s="5">
        <f>SUMIFS([11]Data!$F:$F,[11]Data!$B:$B,$A9,[11]Data!$D:$D,T$6)</f>
        <v>394</v>
      </c>
      <c r="U9" s="5">
        <f>SUMIFS([11]Data!$F:$F,[11]Data!$B:$B,$A9,[11]Data!$D:$D,U$6)</f>
        <v>12468</v>
      </c>
      <c r="V9" s="5">
        <f>SUMIFS([11]Data!$F:$F,[11]Data!$B:$B,$A9,[11]Data!$D:$D,V$6)</f>
        <v>1</v>
      </c>
      <c r="W9" s="10">
        <v>52617</v>
      </c>
    </row>
    <row r="10" spans="1:23" x14ac:dyDescent="0.25">
      <c r="A10" s="27">
        <v>2008</v>
      </c>
      <c r="B10" s="5">
        <f t="shared" ref="B10:B16" si="2">ROUND(AVERAGE(N9:N10),0)</f>
        <v>35334</v>
      </c>
      <c r="C10" s="5">
        <f t="shared" si="1"/>
        <v>3976</v>
      </c>
      <c r="D10" s="5">
        <f t="shared" si="1"/>
        <v>523</v>
      </c>
      <c r="E10" s="5">
        <f t="shared" si="1"/>
        <v>3</v>
      </c>
      <c r="F10" s="5">
        <f t="shared" si="1"/>
        <v>1</v>
      </c>
      <c r="G10" s="5">
        <f t="shared" si="1"/>
        <v>0</v>
      </c>
      <c r="H10" s="5">
        <f t="shared" si="1"/>
        <v>393</v>
      </c>
      <c r="I10" s="5">
        <f t="shared" si="1"/>
        <v>12553</v>
      </c>
      <c r="J10" s="5">
        <f t="shared" si="1"/>
        <v>1</v>
      </c>
      <c r="K10" s="10">
        <f t="shared" si="0"/>
        <v>52784</v>
      </c>
      <c r="M10" s="27">
        <v>2008</v>
      </c>
      <c r="N10" s="5">
        <f>SUMIFS([11]Data!$F:$F,[11]Data!$B:$B,$A10,[11]Data!$D:$D,N$6)</f>
        <v>35429</v>
      </c>
      <c r="O10" s="5">
        <f>SUMIFS([11]Data!$F:$F,[11]Data!$B:$B,$A10,[11]Data!$D:$D,O$6)</f>
        <v>3959</v>
      </c>
      <c r="P10" s="5">
        <f>SUMIFS([11]Data!$F:$F,[11]Data!$B:$B,$A10,[11]Data!$D:$D,P$6)</f>
        <v>527</v>
      </c>
      <c r="Q10" s="5">
        <f>SUMIFS([11]Data!$F:$F,[11]Data!$B:$B,$A10,[11]Data!$D:$D,Q$6)</f>
        <v>3</v>
      </c>
      <c r="R10" s="5">
        <f>SUMIFS([11]Data!$F:$F,[11]Data!$B:$B,$A10,[11]Data!$D:$D,R$6)</f>
        <v>1</v>
      </c>
      <c r="S10" s="5">
        <f>SUMIFS([11]Data!$F:$F,[11]Data!$B:$B,$A10,[11]Data!$D:$D,S$6)</f>
        <v>0</v>
      </c>
      <c r="T10" s="5">
        <f>SUMIFS([11]Data!$F:$F,[11]Data!$B:$B,$A10,[11]Data!$D:$D,T$6)</f>
        <v>391</v>
      </c>
      <c r="U10" s="5">
        <f>SUMIFS([11]Data!$F:$F,[11]Data!$B:$B,$A10,[11]Data!$D:$D,U$6)</f>
        <v>12637</v>
      </c>
      <c r="V10" s="5">
        <f>SUMIFS([11]Data!$F:$F,[11]Data!$B:$B,$A10,[11]Data!$D:$D,V$6)</f>
        <v>1</v>
      </c>
      <c r="W10" s="10">
        <v>52948</v>
      </c>
    </row>
    <row r="11" spans="1:23" x14ac:dyDescent="0.25">
      <c r="A11" s="27">
        <v>2009</v>
      </c>
      <c r="B11" s="5">
        <f t="shared" si="2"/>
        <v>35438</v>
      </c>
      <c r="C11" s="5">
        <f t="shared" si="1"/>
        <v>3919</v>
      </c>
      <c r="D11" s="5">
        <f t="shared" si="1"/>
        <v>517</v>
      </c>
      <c r="E11" s="5">
        <f t="shared" si="1"/>
        <v>3</v>
      </c>
      <c r="F11" s="5">
        <f t="shared" si="1"/>
        <v>1</v>
      </c>
      <c r="G11" s="5">
        <f t="shared" si="1"/>
        <v>122</v>
      </c>
      <c r="H11" s="5">
        <f t="shared" si="1"/>
        <v>390</v>
      </c>
      <c r="I11" s="5">
        <f t="shared" si="1"/>
        <v>12784</v>
      </c>
      <c r="J11" s="5">
        <f t="shared" si="1"/>
        <v>1</v>
      </c>
      <c r="K11" s="10">
        <f t="shared" si="0"/>
        <v>53175</v>
      </c>
      <c r="M11" s="27">
        <v>2009</v>
      </c>
      <c r="N11" s="5">
        <f>SUMIFS([11]Data!$F:$F,[11]Data!$B:$B,$A11,[11]Data!$D:$D,N$6)</f>
        <v>35447</v>
      </c>
      <c r="O11" s="5">
        <f>SUMIFS([11]Data!$F:$F,[11]Data!$B:$B,$A11,[11]Data!$D:$D,O$6)</f>
        <v>3879</v>
      </c>
      <c r="P11" s="5">
        <f>SUMIFS([11]Data!$F:$F,[11]Data!$B:$B,$A11,[11]Data!$D:$D,P$6)</f>
        <v>506</v>
      </c>
      <c r="Q11" s="5">
        <f>SUMIFS([11]Data!$F:$F,[11]Data!$B:$B,$A11,[11]Data!$D:$D,Q$6)</f>
        <v>2</v>
      </c>
      <c r="R11" s="5">
        <f>SUMIFS([11]Data!$F:$F,[11]Data!$B:$B,$A11,[11]Data!$D:$D,R$6)</f>
        <v>1</v>
      </c>
      <c r="S11" s="5">
        <f>SUMIFS([11]Data!$F:$F,[11]Data!$B:$B,$A11,[11]Data!$D:$D,S$6)</f>
        <v>243</v>
      </c>
      <c r="T11" s="5">
        <f>SUMIFS([11]Data!$F:$F,[11]Data!$B:$B,$A11,[11]Data!$D:$D,T$6)</f>
        <v>388</v>
      </c>
      <c r="U11" s="5">
        <f>SUMIFS([11]Data!$F:$F,[11]Data!$B:$B,$A11,[11]Data!$D:$D,U$6)</f>
        <v>12931</v>
      </c>
      <c r="V11" s="5">
        <f>SUMIFS([11]Data!$F:$F,[11]Data!$B:$B,$A11,[11]Data!$D:$D,V$6)</f>
        <v>1</v>
      </c>
      <c r="W11" s="10">
        <v>53398</v>
      </c>
    </row>
    <row r="12" spans="1:23" x14ac:dyDescent="0.25">
      <c r="A12" s="27">
        <v>2010</v>
      </c>
      <c r="B12" s="5">
        <f t="shared" si="2"/>
        <v>35472</v>
      </c>
      <c r="C12" s="5">
        <f t="shared" si="1"/>
        <v>3916</v>
      </c>
      <c r="D12" s="5">
        <f t="shared" si="1"/>
        <v>496</v>
      </c>
      <c r="E12" s="5">
        <f t="shared" si="1"/>
        <v>2</v>
      </c>
      <c r="F12" s="5">
        <f t="shared" si="1"/>
        <v>1</v>
      </c>
      <c r="G12" s="5">
        <f t="shared" si="1"/>
        <v>244</v>
      </c>
      <c r="H12" s="5">
        <f t="shared" si="1"/>
        <v>388</v>
      </c>
      <c r="I12" s="5">
        <f t="shared" si="1"/>
        <v>12931</v>
      </c>
      <c r="J12" s="5">
        <f t="shared" si="1"/>
        <v>1</v>
      </c>
      <c r="K12" s="10">
        <f t="shared" si="0"/>
        <v>53451</v>
      </c>
      <c r="M12" s="27">
        <v>2010</v>
      </c>
      <c r="N12" s="5">
        <f>SUMIFS([11]Data!$F:$F,[11]Data!$B:$B,$A12,[11]Data!$D:$D,N$6)</f>
        <v>35496</v>
      </c>
      <c r="O12" s="5">
        <f>SUMIFS([11]Data!$F:$F,[11]Data!$B:$B,$A12,[11]Data!$D:$D,O$6)</f>
        <v>3952</v>
      </c>
      <c r="P12" s="5">
        <f>SUMIFS([11]Data!$F:$F,[11]Data!$B:$B,$A12,[11]Data!$D:$D,P$6)</f>
        <v>485</v>
      </c>
      <c r="Q12" s="5">
        <f>SUMIFS([11]Data!$F:$F,[11]Data!$B:$B,$A12,[11]Data!$D:$D,Q$6)</f>
        <v>1.5</v>
      </c>
      <c r="R12" s="5">
        <f>SUMIFS([11]Data!$F:$F,[11]Data!$B:$B,$A12,[11]Data!$D:$D,R$6)</f>
        <v>1</v>
      </c>
      <c r="S12" s="5">
        <f>SUMIFS([11]Data!$F:$F,[11]Data!$B:$B,$A12,[11]Data!$D:$D,S$6)</f>
        <v>245</v>
      </c>
      <c r="T12" s="5">
        <f>SUMIFS([11]Data!$F:$F,[11]Data!$B:$B,$A12,[11]Data!$D:$D,T$6)</f>
        <v>388</v>
      </c>
      <c r="U12" s="5">
        <f>SUMIFS([11]Data!$F:$F,[11]Data!$B:$B,$A12,[11]Data!$D:$D,U$6)</f>
        <v>12931</v>
      </c>
      <c r="V12" s="5">
        <f>SUMIFS([11]Data!$F:$F,[11]Data!$B:$B,$A12,[11]Data!$D:$D,V$6)</f>
        <v>1</v>
      </c>
      <c r="W12" s="10">
        <v>53502</v>
      </c>
    </row>
    <row r="13" spans="1:23" x14ac:dyDescent="0.25">
      <c r="A13" s="27">
        <v>2011</v>
      </c>
      <c r="B13" s="5">
        <f t="shared" si="2"/>
        <v>35628</v>
      </c>
      <c r="C13" s="5">
        <f t="shared" si="1"/>
        <v>3907</v>
      </c>
      <c r="D13" s="5">
        <f t="shared" si="1"/>
        <v>490</v>
      </c>
      <c r="E13" s="5">
        <f t="shared" si="1"/>
        <v>1</v>
      </c>
      <c r="F13" s="5">
        <f t="shared" si="1"/>
        <v>1</v>
      </c>
      <c r="G13" s="5">
        <f t="shared" si="1"/>
        <v>245</v>
      </c>
      <c r="H13" s="5">
        <f t="shared" si="1"/>
        <v>388</v>
      </c>
      <c r="I13" s="5">
        <f t="shared" si="1"/>
        <v>12931</v>
      </c>
      <c r="J13" s="5">
        <f t="shared" si="1"/>
        <v>1</v>
      </c>
      <c r="K13" s="10">
        <f t="shared" si="0"/>
        <v>53592</v>
      </c>
      <c r="M13" s="27">
        <v>2011</v>
      </c>
      <c r="N13" s="5">
        <f>SUMIFS([11]Data!$F:$F,[11]Data!$B:$B,$A13,[11]Data!$D:$D,N$6)</f>
        <v>35760</v>
      </c>
      <c r="O13" s="5">
        <f>SUMIFS([11]Data!$F:$F,[11]Data!$B:$B,$A13,[11]Data!$D:$D,O$6)</f>
        <v>3862</v>
      </c>
      <c r="P13" s="5">
        <f>SUMIFS([11]Data!$F:$F,[11]Data!$B:$B,$A13,[11]Data!$D:$D,P$6)</f>
        <v>495</v>
      </c>
      <c r="Q13" s="5">
        <f>SUMIFS([11]Data!$F:$F,[11]Data!$B:$B,$A13,[11]Data!$D:$D,Q$6)</f>
        <v>1</v>
      </c>
      <c r="R13" s="5">
        <f>SUMIFS([11]Data!$F:$F,[11]Data!$B:$B,$A13,[11]Data!$D:$D,R$6)</f>
        <v>1</v>
      </c>
      <c r="S13" s="5">
        <f>SUMIFS([11]Data!$F:$F,[11]Data!$B:$B,$A13,[11]Data!$D:$D,S$6)</f>
        <v>245</v>
      </c>
      <c r="T13" s="5">
        <f>SUMIFS([11]Data!$F:$F,[11]Data!$B:$B,$A13,[11]Data!$D:$D,T$6)</f>
        <v>388</v>
      </c>
      <c r="U13" s="5">
        <f>SUMIFS([11]Data!$F:$F,[11]Data!$B:$B,$A13,[11]Data!$D:$D,U$6)</f>
        <v>12931</v>
      </c>
      <c r="V13" s="5">
        <f>SUMIFS([11]Data!$F:$F,[11]Data!$B:$B,$A13,[11]Data!$D:$D,V$6)</f>
        <v>1</v>
      </c>
      <c r="W13" s="10">
        <v>53685</v>
      </c>
    </row>
    <row r="14" spans="1:23" x14ac:dyDescent="0.25">
      <c r="A14" s="27">
        <v>2012</v>
      </c>
      <c r="B14" s="5">
        <f t="shared" si="2"/>
        <v>35816</v>
      </c>
      <c r="C14" s="5">
        <f t="shared" si="1"/>
        <v>3859</v>
      </c>
      <c r="D14" s="5">
        <f t="shared" si="1"/>
        <v>498</v>
      </c>
      <c r="E14" s="5">
        <f t="shared" si="1"/>
        <v>1</v>
      </c>
      <c r="F14" s="5">
        <f t="shared" si="1"/>
        <v>1</v>
      </c>
      <c r="G14" s="5">
        <f t="shared" si="1"/>
        <v>245</v>
      </c>
      <c r="H14" s="5">
        <f t="shared" si="1"/>
        <v>388</v>
      </c>
      <c r="I14" s="5">
        <f t="shared" si="1"/>
        <v>12931</v>
      </c>
      <c r="J14" s="5">
        <f t="shared" si="1"/>
        <v>1</v>
      </c>
      <c r="K14" s="10">
        <f t="shared" si="0"/>
        <v>53740</v>
      </c>
      <c r="M14" s="27">
        <v>2012</v>
      </c>
      <c r="N14" s="5">
        <f>SUMIFS([11]Data!$F:$F,[11]Data!$B:$B,$A14,[11]Data!$D:$D,N$6)</f>
        <v>35872</v>
      </c>
      <c r="O14" s="5">
        <f>SUMIFS([11]Data!$F:$F,[11]Data!$B:$B,$A14,[11]Data!$D:$D,O$6)</f>
        <v>3855</v>
      </c>
      <c r="P14" s="5">
        <f>SUMIFS([11]Data!$F:$F,[11]Data!$B:$B,$A14,[11]Data!$D:$D,P$6)</f>
        <v>501</v>
      </c>
      <c r="Q14" s="5">
        <f>SUMIFS([11]Data!$F:$F,[11]Data!$B:$B,$A14,[11]Data!$D:$D,Q$6)</f>
        <v>1</v>
      </c>
      <c r="R14" s="5">
        <f>SUMIFS([11]Data!$F:$F,[11]Data!$B:$B,$A14,[11]Data!$D:$D,R$6)</f>
        <v>1</v>
      </c>
      <c r="S14" s="5">
        <f>SUMIFS([11]Data!$F:$F,[11]Data!$B:$B,$A14,[11]Data!$D:$D,S$6)</f>
        <v>245</v>
      </c>
      <c r="T14" s="5">
        <f>SUMIFS([11]Data!$F:$F,[11]Data!$B:$B,$A14,[11]Data!$D:$D,T$6)</f>
        <v>388</v>
      </c>
      <c r="U14" s="5">
        <f>SUMIFS([11]Data!$F:$F,[11]Data!$B:$B,$A14,[11]Data!$D:$D,U$6)</f>
        <v>12931</v>
      </c>
      <c r="V14" s="5">
        <f>SUMIFS([11]Data!$F:$F,[11]Data!$B:$B,$A14,[11]Data!$D:$D,V$6)</f>
        <v>1</v>
      </c>
      <c r="W14" s="10">
        <v>53796</v>
      </c>
    </row>
    <row r="15" spans="1:23" x14ac:dyDescent="0.25">
      <c r="A15" s="27">
        <v>2013</v>
      </c>
      <c r="B15" s="5">
        <f t="shared" si="2"/>
        <v>35944</v>
      </c>
      <c r="C15" s="5">
        <f t="shared" si="1"/>
        <v>3862</v>
      </c>
      <c r="D15" s="5">
        <f t="shared" si="1"/>
        <v>499</v>
      </c>
      <c r="E15" s="5">
        <f t="shared" si="1"/>
        <v>1</v>
      </c>
      <c r="F15" s="5">
        <f t="shared" si="1"/>
        <v>1</v>
      </c>
      <c r="G15" s="5">
        <f t="shared" si="1"/>
        <v>248</v>
      </c>
      <c r="H15" s="5">
        <f t="shared" si="1"/>
        <v>441</v>
      </c>
      <c r="I15" s="5">
        <f t="shared" si="1"/>
        <v>13103</v>
      </c>
      <c r="J15" s="5">
        <f t="shared" si="1"/>
        <v>1</v>
      </c>
      <c r="K15" s="10">
        <f t="shared" si="0"/>
        <v>54100</v>
      </c>
      <c r="M15" s="27">
        <v>2013</v>
      </c>
      <c r="N15" s="5">
        <f>SUMIFS([11]Data!$F:$F,[11]Data!$B:$B,$A15,[11]Data!$D:$D,N$6)</f>
        <v>36016</v>
      </c>
      <c r="O15" s="5">
        <f>SUMIFS([11]Data!$F:$F,[11]Data!$B:$B,$A15,[11]Data!$D:$D,O$6)</f>
        <v>3869</v>
      </c>
      <c r="P15" s="5">
        <f>SUMIFS([11]Data!$F:$F,[11]Data!$B:$B,$A15,[11]Data!$D:$D,P$6)</f>
        <v>496</v>
      </c>
      <c r="Q15" s="5">
        <f>SUMIFS([11]Data!$F:$F,[11]Data!$B:$B,$A15,[11]Data!$D:$D,Q$6)</f>
        <v>1</v>
      </c>
      <c r="R15" s="5">
        <f>SUMIFS([11]Data!$F:$F,[11]Data!$B:$B,$A15,[11]Data!$D:$D,R$6)</f>
        <v>1</v>
      </c>
      <c r="S15" s="5">
        <f>SUMIFS([11]Data!$F:$F,[11]Data!$B:$B,$A15,[11]Data!$D:$D,S$6)</f>
        <v>251</v>
      </c>
      <c r="T15" s="5">
        <f>SUMIFS([11]Data!$F:$F,[11]Data!$B:$B,$A15,[11]Data!$D:$D,T$6)</f>
        <v>493</v>
      </c>
      <c r="U15" s="5">
        <f>SUMIFS([11]Data!$F:$F,[11]Data!$B:$B,$A15,[11]Data!$D:$D,U$6)</f>
        <v>13274</v>
      </c>
      <c r="V15" s="5">
        <f>SUMIFS([11]Data!$F:$F,[11]Data!$B:$B,$A15,[11]Data!$D:$D,V$6)</f>
        <v>1</v>
      </c>
      <c r="W15" s="10">
        <v>54403</v>
      </c>
    </row>
    <row r="16" spans="1:23" x14ac:dyDescent="0.25">
      <c r="A16" s="28">
        <v>2014</v>
      </c>
      <c r="B16" s="5">
        <f t="shared" si="2"/>
        <v>36074</v>
      </c>
      <c r="C16" s="5">
        <f t="shared" si="1"/>
        <v>3870</v>
      </c>
      <c r="D16" s="5">
        <f t="shared" si="1"/>
        <v>497</v>
      </c>
      <c r="E16" s="5">
        <f t="shared" si="1"/>
        <v>1</v>
      </c>
      <c r="F16" s="5">
        <f t="shared" si="1"/>
        <v>1</v>
      </c>
      <c r="G16" s="5">
        <f t="shared" si="1"/>
        <v>251</v>
      </c>
      <c r="H16" s="5">
        <f t="shared" si="1"/>
        <v>487</v>
      </c>
      <c r="I16" s="5">
        <f t="shared" si="1"/>
        <v>13270</v>
      </c>
      <c r="J16" s="5">
        <f t="shared" si="1"/>
        <v>1</v>
      </c>
      <c r="K16" s="26">
        <f t="shared" si="0"/>
        <v>54452</v>
      </c>
      <c r="M16" s="28">
        <v>2014</v>
      </c>
      <c r="N16" s="5">
        <f>SUMIFS([11]Data!$F:$F,[11]Data!$B:$B,$A16,[11]Data!$D:$D,N$6)</f>
        <v>36131</v>
      </c>
      <c r="O16" s="5">
        <f>SUMIFS([11]Data!$F:$F,[11]Data!$B:$B,$A16,[11]Data!$D:$D,O$6)</f>
        <v>3871</v>
      </c>
      <c r="P16" s="5">
        <f>SUMIFS([11]Data!$F:$F,[11]Data!$B:$B,$A16,[11]Data!$D:$D,P$6)</f>
        <v>498</v>
      </c>
      <c r="Q16" s="5">
        <f>SUMIFS([11]Data!$F:$F,[11]Data!$B:$B,$A16,[11]Data!$D:$D,Q$6)</f>
        <v>1</v>
      </c>
      <c r="R16" s="5">
        <f>SUMIFS([11]Data!$F:$F,[11]Data!$B:$B,$A16,[11]Data!$D:$D,R$6)</f>
        <v>1</v>
      </c>
      <c r="S16" s="5">
        <f>SUMIFS([11]Data!$F:$F,[11]Data!$B:$B,$A16,[11]Data!$D:$D,S$6)</f>
        <v>250</v>
      </c>
      <c r="T16" s="5">
        <f>SUMIFS([11]Data!$F:$F,[11]Data!$B:$B,$A16,[11]Data!$D:$D,T$6)</f>
        <v>481</v>
      </c>
      <c r="U16" s="5">
        <f>SUMIFS([11]Data!$F:$F,[11]Data!$B:$B,$A16,[11]Data!$D:$D,U$6)</f>
        <v>13266</v>
      </c>
      <c r="V16" s="5">
        <f>SUMIFS([11]Data!$F:$F,[11]Data!$B:$B,$A16,[11]Data!$D:$D,V$6)</f>
        <v>1</v>
      </c>
      <c r="W16" s="26">
        <v>54501</v>
      </c>
    </row>
    <row r="17" spans="1:23" x14ac:dyDescent="0.25">
      <c r="A17" s="83" t="s">
        <v>19</v>
      </c>
      <c r="B17" s="84">
        <f>AVERAGE(B8:B16)</f>
        <v>35559.777777777781</v>
      </c>
      <c r="C17" s="84">
        <f t="shared" ref="C17:K17" si="3">AVERAGE(C8:C16)</f>
        <v>3924.3333333333335</v>
      </c>
      <c r="D17" s="84">
        <f t="shared" si="3"/>
        <v>504.44444444444446</v>
      </c>
      <c r="E17" s="84">
        <f t="shared" si="3"/>
        <v>1.7777777777777777</v>
      </c>
      <c r="F17" s="84">
        <f>AVERAGE(F8:F16)</f>
        <v>1.1111111111111112</v>
      </c>
      <c r="G17" s="84">
        <f t="shared" si="3"/>
        <v>150.55555555555554</v>
      </c>
      <c r="H17" s="84">
        <f t="shared" si="3"/>
        <v>406.88888888888891</v>
      </c>
      <c r="I17" s="84">
        <f t="shared" si="3"/>
        <v>12826.555555555555</v>
      </c>
      <c r="J17" s="84">
        <f t="shared" si="3"/>
        <v>0.88888888888888884</v>
      </c>
      <c r="K17" s="85">
        <f t="shared" si="3"/>
        <v>53376.333333333336</v>
      </c>
    </row>
    <row r="18" spans="1:23" ht="18.75" x14ac:dyDescent="0.3">
      <c r="A18" s="81" t="s">
        <v>21</v>
      </c>
      <c r="B18" s="23"/>
      <c r="C18" s="23"/>
      <c r="D18" s="23"/>
      <c r="E18" s="23"/>
      <c r="F18" s="23"/>
      <c r="G18" s="23"/>
      <c r="H18" s="23"/>
      <c r="I18" s="23"/>
      <c r="J18" s="23"/>
      <c r="K18" s="24"/>
    </row>
    <row r="19" spans="1:23" x14ac:dyDescent="0.25">
      <c r="A19" s="27">
        <v>2006</v>
      </c>
      <c r="B19" s="5">
        <v>0</v>
      </c>
      <c r="C19" s="5">
        <v>0</v>
      </c>
      <c r="D19" s="5">
        <v>0</v>
      </c>
      <c r="E19" s="5">
        <v>0</v>
      </c>
      <c r="F19" s="5">
        <v>0</v>
      </c>
      <c r="G19" s="5">
        <v>0</v>
      </c>
      <c r="H19" s="5">
        <v>0</v>
      </c>
      <c r="I19" s="5">
        <v>0</v>
      </c>
      <c r="J19" s="5">
        <v>0</v>
      </c>
      <c r="K19" s="11"/>
    </row>
    <row r="20" spans="1:23" x14ac:dyDescent="0.25">
      <c r="A20" s="27">
        <v>2007</v>
      </c>
      <c r="B20" s="7">
        <f>IFERROR(ROUND(B9/B8,4),0)</f>
        <v>1.0014000000000001</v>
      </c>
      <c r="C20" s="7">
        <f t="shared" ref="C20:J20" si="4">IFERROR(ROUND(C9/C8,4),0)</f>
        <v>0.998</v>
      </c>
      <c r="D20" s="7">
        <f t="shared" si="4"/>
        <v>1.0118</v>
      </c>
      <c r="E20" s="7">
        <f t="shared" si="4"/>
        <v>3</v>
      </c>
      <c r="F20" s="7">
        <f t="shared" ref="F20:F27" si="5">IFERROR(ROUND(F9/F8,4),0)</f>
        <v>0.5</v>
      </c>
      <c r="G20" s="7">
        <f t="shared" si="4"/>
        <v>0</v>
      </c>
      <c r="H20" s="7">
        <f t="shared" si="4"/>
        <v>1.0024999999999999</v>
      </c>
      <c r="I20" s="7">
        <f t="shared" si="4"/>
        <v>1</v>
      </c>
      <c r="J20" s="7">
        <f t="shared" si="4"/>
        <v>0</v>
      </c>
      <c r="K20" s="11"/>
    </row>
    <row r="21" spans="1:23" x14ac:dyDescent="0.25">
      <c r="A21" s="27">
        <v>2008</v>
      </c>
      <c r="B21" s="7">
        <f t="shared" ref="B21:J27" si="6">IFERROR(ROUND(B10/B9,4),0)</f>
        <v>1.0041</v>
      </c>
      <c r="C21" s="7">
        <f t="shared" si="6"/>
        <v>0.99380000000000002</v>
      </c>
      <c r="D21" s="7">
        <f t="shared" si="6"/>
        <v>1.0195000000000001</v>
      </c>
      <c r="E21" s="7">
        <f t="shared" si="6"/>
        <v>1</v>
      </c>
      <c r="F21" s="7">
        <f t="shared" si="5"/>
        <v>1</v>
      </c>
      <c r="G21" s="7">
        <f t="shared" si="6"/>
        <v>0</v>
      </c>
      <c r="H21" s="7">
        <f t="shared" si="6"/>
        <v>0.99750000000000005</v>
      </c>
      <c r="I21" s="7">
        <f t="shared" si="6"/>
        <v>1.0067999999999999</v>
      </c>
      <c r="J21" s="7">
        <f t="shared" si="6"/>
        <v>1</v>
      </c>
      <c r="K21" s="11"/>
    </row>
    <row r="22" spans="1:23" x14ac:dyDescent="0.25">
      <c r="A22" s="27">
        <v>2009</v>
      </c>
      <c r="B22" s="7">
        <f t="shared" si="6"/>
        <v>1.0028999999999999</v>
      </c>
      <c r="C22" s="7">
        <f t="shared" si="6"/>
        <v>0.98570000000000002</v>
      </c>
      <c r="D22" s="7">
        <f t="shared" si="6"/>
        <v>0.98850000000000005</v>
      </c>
      <c r="E22" s="7">
        <f t="shared" si="6"/>
        <v>1</v>
      </c>
      <c r="F22" s="7">
        <f t="shared" si="5"/>
        <v>1</v>
      </c>
      <c r="G22" s="7">
        <f t="shared" si="6"/>
        <v>0</v>
      </c>
      <c r="H22" s="7">
        <f t="shared" si="6"/>
        <v>0.99239999999999995</v>
      </c>
      <c r="I22" s="7">
        <f t="shared" si="6"/>
        <v>1.0184</v>
      </c>
      <c r="J22" s="7">
        <f t="shared" si="6"/>
        <v>1</v>
      </c>
      <c r="K22" s="11"/>
    </row>
    <row r="23" spans="1:23" x14ac:dyDescent="0.25">
      <c r="A23" s="100">
        <v>2010</v>
      </c>
      <c r="B23" s="7">
        <f t="shared" si="6"/>
        <v>1.0009999999999999</v>
      </c>
      <c r="C23" s="7">
        <f t="shared" si="6"/>
        <v>0.99919999999999998</v>
      </c>
      <c r="D23" s="7">
        <f t="shared" si="6"/>
        <v>0.95940000000000003</v>
      </c>
      <c r="E23" s="7">
        <f t="shared" si="6"/>
        <v>0.66669999999999996</v>
      </c>
      <c r="F23" s="7">
        <f t="shared" si="5"/>
        <v>1</v>
      </c>
      <c r="G23" s="7">
        <f t="shared" si="6"/>
        <v>2</v>
      </c>
      <c r="H23" s="7">
        <f t="shared" si="6"/>
        <v>0.99490000000000001</v>
      </c>
      <c r="I23" s="7">
        <f t="shared" si="6"/>
        <v>1.0115000000000001</v>
      </c>
      <c r="J23" s="7">
        <f t="shared" si="6"/>
        <v>1</v>
      </c>
      <c r="K23" s="11"/>
    </row>
    <row r="24" spans="1:23" x14ac:dyDescent="0.25">
      <c r="A24" s="100">
        <v>2011</v>
      </c>
      <c r="B24" s="7">
        <f t="shared" si="6"/>
        <v>1.0044</v>
      </c>
      <c r="C24" s="7">
        <f t="shared" si="6"/>
        <v>0.99770000000000003</v>
      </c>
      <c r="D24" s="7">
        <f t="shared" si="6"/>
        <v>0.9879</v>
      </c>
      <c r="E24" s="7">
        <f t="shared" si="6"/>
        <v>0.5</v>
      </c>
      <c r="F24" s="7">
        <f t="shared" si="5"/>
        <v>1</v>
      </c>
      <c r="G24" s="7">
        <f t="shared" si="6"/>
        <v>1.0041</v>
      </c>
      <c r="H24" s="7">
        <f t="shared" si="6"/>
        <v>1</v>
      </c>
      <c r="I24" s="7">
        <f t="shared" si="6"/>
        <v>1</v>
      </c>
      <c r="J24" s="7">
        <f t="shared" si="6"/>
        <v>1</v>
      </c>
      <c r="K24" s="11"/>
    </row>
    <row r="25" spans="1:23" x14ac:dyDescent="0.25">
      <c r="A25" s="100">
        <v>2012</v>
      </c>
      <c r="B25" s="7">
        <f t="shared" si="6"/>
        <v>1.0053000000000001</v>
      </c>
      <c r="C25" s="7">
        <f t="shared" si="6"/>
        <v>0.98770000000000002</v>
      </c>
      <c r="D25" s="7">
        <f t="shared" si="6"/>
        <v>1.0163</v>
      </c>
      <c r="E25" s="7">
        <f t="shared" si="6"/>
        <v>1</v>
      </c>
      <c r="F25" s="7">
        <f t="shared" si="5"/>
        <v>1</v>
      </c>
      <c r="G25" s="7">
        <f t="shared" si="6"/>
        <v>1</v>
      </c>
      <c r="H25" s="7">
        <f t="shared" si="6"/>
        <v>1</v>
      </c>
      <c r="I25" s="7">
        <f t="shared" si="6"/>
        <v>1</v>
      </c>
      <c r="J25" s="7">
        <f t="shared" si="6"/>
        <v>1</v>
      </c>
      <c r="K25" s="11"/>
    </row>
    <row r="26" spans="1:23" x14ac:dyDescent="0.25">
      <c r="A26" s="100">
        <v>2013</v>
      </c>
      <c r="B26" s="7">
        <f t="shared" si="6"/>
        <v>1.0036</v>
      </c>
      <c r="C26" s="7">
        <f t="shared" si="6"/>
        <v>1.0007999999999999</v>
      </c>
      <c r="D26" s="7">
        <f t="shared" si="6"/>
        <v>1.002</v>
      </c>
      <c r="E26" s="7">
        <f t="shared" si="6"/>
        <v>1</v>
      </c>
      <c r="F26" s="7">
        <f t="shared" si="5"/>
        <v>1</v>
      </c>
      <c r="G26" s="7">
        <f t="shared" si="6"/>
        <v>1.0122</v>
      </c>
      <c r="H26" s="7">
        <f t="shared" si="6"/>
        <v>1.1366000000000001</v>
      </c>
      <c r="I26" s="7">
        <f t="shared" si="6"/>
        <v>1.0133000000000001</v>
      </c>
      <c r="J26" s="7">
        <f t="shared" si="6"/>
        <v>1</v>
      </c>
      <c r="K26" s="11"/>
    </row>
    <row r="27" spans="1:23" x14ac:dyDescent="0.25">
      <c r="A27" s="101">
        <v>2014</v>
      </c>
      <c r="B27" s="21">
        <f t="shared" si="6"/>
        <v>1.0036</v>
      </c>
      <c r="C27" s="21">
        <f t="shared" si="6"/>
        <v>1.0021</v>
      </c>
      <c r="D27" s="21">
        <f t="shared" si="6"/>
        <v>0.996</v>
      </c>
      <c r="E27" s="21">
        <f t="shared" si="6"/>
        <v>1</v>
      </c>
      <c r="F27" s="21">
        <f t="shared" si="5"/>
        <v>1</v>
      </c>
      <c r="G27" s="21">
        <f t="shared" si="6"/>
        <v>1.0121</v>
      </c>
      <c r="H27" s="21">
        <f t="shared" si="6"/>
        <v>1.1043000000000001</v>
      </c>
      <c r="I27" s="21">
        <f t="shared" si="6"/>
        <v>1.0126999999999999</v>
      </c>
      <c r="J27" s="21">
        <f t="shared" si="6"/>
        <v>1</v>
      </c>
      <c r="K27" s="22"/>
    </row>
    <row r="28" spans="1:23" x14ac:dyDescent="0.25">
      <c r="A28" s="83" t="s">
        <v>73</v>
      </c>
      <c r="B28" s="86">
        <f>GEOMEAN(B23:B27)</f>
        <v>1.003578974104403</v>
      </c>
      <c r="C28" s="86">
        <f t="shared" ref="C28:J28" si="7">GEOMEAN(C23:C27)</f>
        <v>0.99748681095103398</v>
      </c>
      <c r="D28" s="86">
        <f t="shared" si="7"/>
        <v>0.99213857820381701</v>
      </c>
      <c r="E28" s="86">
        <f t="shared" si="7"/>
        <v>0.8027495890153048</v>
      </c>
      <c r="F28" s="86">
        <f>GEOMEAN(F23:F27)</f>
        <v>1</v>
      </c>
      <c r="G28" s="86">
        <f>GEOMEAN(G23:G27)</f>
        <v>1.1552057558426145</v>
      </c>
      <c r="H28" s="86">
        <f>GEOMEAN(H23:H27)</f>
        <v>1.0454296927258548</v>
      </c>
      <c r="I28" s="86">
        <f t="shared" si="7"/>
        <v>1.0074811934269989</v>
      </c>
      <c r="J28" s="86">
        <f t="shared" si="7"/>
        <v>1</v>
      </c>
      <c r="K28" s="87"/>
    </row>
    <row r="29" spans="1:23" ht="18.75" x14ac:dyDescent="0.3">
      <c r="A29" s="81" t="s">
        <v>361</v>
      </c>
      <c r="B29" s="23"/>
      <c r="C29" s="23"/>
      <c r="D29" s="23"/>
      <c r="E29" s="23"/>
      <c r="F29" s="23"/>
      <c r="G29" s="23"/>
      <c r="H29" s="23"/>
      <c r="I29" s="23"/>
      <c r="J29" s="23"/>
      <c r="K29" s="24"/>
    </row>
    <row r="30" spans="1:23" s="124" customFormat="1" x14ac:dyDescent="0.25">
      <c r="A30" s="100">
        <v>2015</v>
      </c>
      <c r="B30" s="36">
        <f>ROUND(B16*B28,0)</f>
        <v>36203</v>
      </c>
      <c r="C30" s="36">
        <f t="shared" ref="C30:J30" si="8">ROUND(C16*C28,0)</f>
        <v>3860</v>
      </c>
      <c r="D30" s="36">
        <f t="shared" si="8"/>
        <v>493</v>
      </c>
      <c r="E30" s="36">
        <f t="shared" si="8"/>
        <v>1</v>
      </c>
      <c r="F30" s="36">
        <f>ROUND(F16*F28,0)</f>
        <v>1</v>
      </c>
      <c r="G30" s="36">
        <f t="shared" si="8"/>
        <v>290</v>
      </c>
      <c r="H30" s="36">
        <f t="shared" si="8"/>
        <v>509</v>
      </c>
      <c r="I30" s="36">
        <f t="shared" si="8"/>
        <v>13369</v>
      </c>
      <c r="J30" s="36">
        <f t="shared" si="8"/>
        <v>1</v>
      </c>
      <c r="K30" s="123">
        <f t="shared" ref="K30:K31" si="9">SUM(B30:J30)</f>
        <v>54727</v>
      </c>
      <c r="M30"/>
      <c r="N30"/>
      <c r="O30"/>
      <c r="P30"/>
      <c r="Q30"/>
      <c r="R30"/>
      <c r="S30"/>
      <c r="T30"/>
      <c r="U30"/>
      <c r="V30"/>
      <c r="W30"/>
    </row>
    <row r="31" spans="1:23" s="124" customFormat="1" x14ac:dyDescent="0.25">
      <c r="A31" s="125">
        <v>2016</v>
      </c>
      <c r="B31" s="126">
        <f>ROUND(B30*B$28,0)</f>
        <v>36333</v>
      </c>
      <c r="C31" s="126">
        <f t="shared" ref="C31:J31" si="10">ROUND(C30*C$28,0)</f>
        <v>3850</v>
      </c>
      <c r="D31" s="126">
        <f t="shared" si="10"/>
        <v>489</v>
      </c>
      <c r="E31" s="126">
        <f t="shared" si="10"/>
        <v>1</v>
      </c>
      <c r="F31" s="126">
        <f>ROUND(F30*F$28,0)</f>
        <v>1</v>
      </c>
      <c r="G31" s="126">
        <f t="shared" si="10"/>
        <v>335</v>
      </c>
      <c r="H31" s="126">
        <f t="shared" si="10"/>
        <v>532</v>
      </c>
      <c r="I31" s="126">
        <f t="shared" si="10"/>
        <v>13469</v>
      </c>
      <c r="J31" s="126">
        <f t="shared" si="10"/>
        <v>1</v>
      </c>
      <c r="K31" s="127">
        <f t="shared" si="9"/>
        <v>55011</v>
      </c>
      <c r="M31"/>
      <c r="N31"/>
      <c r="O31"/>
      <c r="P31"/>
      <c r="Q31"/>
      <c r="R31"/>
      <c r="S31"/>
      <c r="T31"/>
      <c r="U31"/>
      <c r="V31"/>
      <c r="W31"/>
    </row>
    <row r="32" spans="1:23" ht="18.75" x14ac:dyDescent="0.3">
      <c r="A32" s="81" t="s">
        <v>371</v>
      </c>
      <c r="B32" s="23"/>
      <c r="C32" s="23"/>
      <c r="D32" s="23"/>
      <c r="E32" s="23"/>
      <c r="F32" s="23"/>
      <c r="G32" s="23"/>
      <c r="H32" s="23"/>
      <c r="I32" s="23"/>
      <c r="J32" s="23"/>
      <c r="K32" s="24"/>
    </row>
    <row r="33" spans="1:23" s="124" customFormat="1" x14ac:dyDescent="0.25">
      <c r="A33" s="100">
        <v>2015</v>
      </c>
      <c r="B33" s="36">
        <v>0</v>
      </c>
      <c r="C33" s="36">
        <v>0</v>
      </c>
      <c r="D33" s="36">
        <v>2</v>
      </c>
      <c r="E33" s="36">
        <v>0</v>
      </c>
      <c r="F33" s="36">
        <v>0</v>
      </c>
      <c r="G33" s="36">
        <v>0</v>
      </c>
      <c r="H33" s="36">
        <v>0</v>
      </c>
      <c r="I33" s="36">
        <v>0</v>
      </c>
      <c r="J33" s="36">
        <v>0</v>
      </c>
      <c r="K33" s="123">
        <f>SUM(B33:J33)</f>
        <v>2</v>
      </c>
      <c r="M33"/>
      <c r="N33"/>
      <c r="O33"/>
      <c r="P33"/>
      <c r="Q33"/>
      <c r="R33"/>
      <c r="S33"/>
      <c r="T33"/>
      <c r="U33"/>
      <c r="V33"/>
      <c r="W33"/>
    </row>
    <row r="34" spans="1:23" s="124" customFormat="1" x14ac:dyDescent="0.25">
      <c r="A34" s="125">
        <v>2016</v>
      </c>
      <c r="B34" s="126">
        <v>0</v>
      </c>
      <c r="C34" s="126">
        <v>0</v>
      </c>
      <c r="D34" s="126">
        <v>2</v>
      </c>
      <c r="E34" s="126">
        <v>0</v>
      </c>
      <c r="F34" s="126">
        <v>0</v>
      </c>
      <c r="G34" s="126">
        <v>0</v>
      </c>
      <c r="H34" s="126">
        <v>0</v>
      </c>
      <c r="I34" s="126">
        <v>0</v>
      </c>
      <c r="J34" s="126">
        <v>0</v>
      </c>
      <c r="K34" s="127">
        <f>SUM(B34:J34)</f>
        <v>2</v>
      </c>
      <c r="M34"/>
      <c r="N34"/>
      <c r="O34"/>
      <c r="P34"/>
      <c r="Q34"/>
      <c r="R34"/>
      <c r="S34"/>
      <c r="T34"/>
      <c r="U34"/>
      <c r="V34"/>
      <c r="W34"/>
    </row>
    <row r="35" spans="1:23" ht="18.75" x14ac:dyDescent="0.3">
      <c r="A35" s="81" t="s">
        <v>378</v>
      </c>
      <c r="B35" s="23"/>
      <c r="C35" s="23"/>
      <c r="D35" s="23"/>
      <c r="E35" s="23"/>
      <c r="F35" s="23"/>
      <c r="G35" s="23"/>
      <c r="H35" s="23"/>
      <c r="I35" s="23"/>
      <c r="J35" s="23"/>
      <c r="K35" s="24"/>
    </row>
    <row r="36" spans="1:23" s="124" customFormat="1" x14ac:dyDescent="0.25">
      <c r="A36" s="100">
        <v>2015</v>
      </c>
      <c r="B36" s="36">
        <f>B30+B33</f>
        <v>36203</v>
      </c>
      <c r="C36" s="36">
        <f t="shared" ref="C36:J36" si="11">C30+C33</f>
        <v>3860</v>
      </c>
      <c r="D36" s="36">
        <f t="shared" si="11"/>
        <v>495</v>
      </c>
      <c r="E36" s="36">
        <f t="shared" si="11"/>
        <v>1</v>
      </c>
      <c r="F36" s="36">
        <f t="shared" si="11"/>
        <v>1</v>
      </c>
      <c r="G36" s="36">
        <f t="shared" si="11"/>
        <v>290</v>
      </c>
      <c r="H36" s="36">
        <f t="shared" si="11"/>
        <v>509</v>
      </c>
      <c r="I36" s="36">
        <f t="shared" si="11"/>
        <v>13369</v>
      </c>
      <c r="J36" s="36">
        <f t="shared" si="11"/>
        <v>1</v>
      </c>
      <c r="K36" s="123">
        <f t="shared" ref="K36:K37" si="12">SUM(B36:J36)</f>
        <v>54729</v>
      </c>
      <c r="M36"/>
      <c r="N36"/>
      <c r="O36"/>
      <c r="P36"/>
      <c r="Q36"/>
      <c r="R36"/>
      <c r="S36"/>
      <c r="T36"/>
      <c r="U36"/>
      <c r="V36"/>
      <c r="W36"/>
    </row>
    <row r="37" spans="1:23" s="124" customFormat="1" x14ac:dyDescent="0.25">
      <c r="A37" s="125">
        <v>2016</v>
      </c>
      <c r="B37" s="126">
        <f>B31+B34</f>
        <v>36333</v>
      </c>
      <c r="C37" s="126">
        <f t="shared" ref="C37:J37" si="13">C31+C34</f>
        <v>3850</v>
      </c>
      <c r="D37" s="126">
        <f t="shared" si="13"/>
        <v>491</v>
      </c>
      <c r="E37" s="126">
        <f t="shared" si="13"/>
        <v>1</v>
      </c>
      <c r="F37" s="126">
        <f t="shared" si="13"/>
        <v>1</v>
      </c>
      <c r="G37" s="126">
        <f t="shared" si="13"/>
        <v>335</v>
      </c>
      <c r="H37" s="126">
        <f t="shared" si="13"/>
        <v>532</v>
      </c>
      <c r="I37" s="126">
        <f t="shared" si="13"/>
        <v>13469</v>
      </c>
      <c r="J37" s="126">
        <f t="shared" si="13"/>
        <v>1</v>
      </c>
      <c r="K37" s="127">
        <f t="shared" si="12"/>
        <v>55013</v>
      </c>
      <c r="M37"/>
      <c r="N37"/>
      <c r="O37"/>
      <c r="P37"/>
      <c r="Q37"/>
      <c r="R37"/>
      <c r="S37"/>
      <c r="T37"/>
      <c r="U37"/>
      <c r="V37"/>
      <c r="W37"/>
    </row>
  </sheetData>
  <pageMargins left="0.7" right="0.7" top="0.75" bottom="0.75" header="0.3" footer="0.3"/>
  <pageSetup scale="89" fitToHeight="2" orientation="landscape" r:id="rId1"/>
  <headerFooter>
    <oddFooter>&amp;R&amp;P/&amp;N</oddFooter>
  </headerFooter>
  <ignoredErrors>
    <ignoredError sqref="K8 K33:K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110" zoomScaleNormal="110" workbookViewId="0">
      <pane xSplit="1" ySplit="6" topLeftCell="B34" activePane="bottomRight" state="frozen"/>
      <selection activeCell="M135" sqref="M135"/>
      <selection pane="topRight" activeCell="M135" sqref="M135"/>
      <selection pane="bottomLeft" activeCell="M135" sqref="M135"/>
      <selection pane="bottomRight" activeCell="M135" sqref="M135"/>
    </sheetView>
  </sheetViews>
  <sheetFormatPr defaultRowHeight="15" x14ac:dyDescent="0.25"/>
  <cols>
    <col min="1" max="1" width="7" customWidth="1"/>
    <col min="2" max="10" width="12.7109375" customWidth="1"/>
    <col min="11" max="11" width="14.7109375" customWidth="1"/>
  </cols>
  <sheetData>
    <row r="1" spans="1:11" ht="18.75" x14ac:dyDescent="0.3">
      <c r="A1" s="30" t="s">
        <v>0</v>
      </c>
      <c r="B1" s="31"/>
      <c r="C1" s="31"/>
      <c r="D1" s="31"/>
      <c r="E1" s="31"/>
      <c r="F1" s="31"/>
      <c r="G1" s="31"/>
      <c r="H1" s="31"/>
      <c r="I1" s="31"/>
      <c r="J1" s="31"/>
      <c r="K1" s="31"/>
    </row>
    <row r="2" spans="1:11" ht="18.75" x14ac:dyDescent="0.3">
      <c r="A2" s="30" t="s">
        <v>294</v>
      </c>
      <c r="B2" s="31"/>
      <c r="C2" s="31"/>
      <c r="D2" s="31"/>
      <c r="E2" s="31"/>
      <c r="F2" s="31"/>
      <c r="G2" s="31"/>
      <c r="H2" s="31"/>
      <c r="I2" s="31"/>
      <c r="J2" s="31"/>
      <c r="K2" s="31"/>
    </row>
    <row r="3" spans="1:11" ht="19.5" thickBot="1" x14ac:dyDescent="0.35">
      <c r="A3" s="32" t="s">
        <v>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137" t="s">
        <v>65</v>
      </c>
      <c r="B7" s="138"/>
      <c r="C7" s="138"/>
      <c r="D7" s="138"/>
      <c r="E7" s="138"/>
      <c r="F7" s="138"/>
      <c r="G7" s="138"/>
      <c r="H7" s="138"/>
      <c r="I7" s="138"/>
      <c r="J7" s="138"/>
      <c r="K7" s="139"/>
    </row>
    <row r="8" spans="1:11" x14ac:dyDescent="0.25">
      <c r="A8" s="27">
        <v>2006</v>
      </c>
      <c r="B8" s="5">
        <f>ROUND(SUMIFS([11]Data!$G:$G,[11]Data!$B:$B,$A8,[11]Data!$D:$D,B$6),0)</f>
        <v>302355083</v>
      </c>
      <c r="C8" s="5">
        <f>ROUND(SUMIFS([11]Data!$G:$G,[11]Data!$B:$B,$A8,[11]Data!$D:$D,C$6),0)</f>
        <v>129600878</v>
      </c>
      <c r="D8" s="5">
        <f>ROUND(SUMIFS([11]Data!$G:$G,[11]Data!$B:$B,$A8,[11]Data!$D:$D,D$6),0)</f>
        <v>507947705</v>
      </c>
      <c r="E8" s="5">
        <f>ROUND(SUMIFS([11]Data!$G:$G,[11]Data!$B:$B,$A8,[11]Data!$D:$D,E$6),0)</f>
        <v>92372408</v>
      </c>
      <c r="F8" s="5">
        <f>ROUND(SUMIFS([11]Data!$G:$G,[11]Data!$B:$B,$A8,[11]Data!$D:$D,F$6),0)</f>
        <v>36694467</v>
      </c>
      <c r="G8" s="36">
        <f>ROUND(SUMIFS([11]Data!$G:$G,[11]Data!$B:$B,$A8,[11]Data!$D:$D,G$6),0)</f>
        <v>0</v>
      </c>
      <c r="H8" s="5">
        <f>ROUND(SUMIFS([11]Data!$G:$G,[11]Data!$B:$B,$A8,[11]Data!$D:$D,H$6),0)</f>
        <v>454662</v>
      </c>
      <c r="I8" s="5">
        <f>ROUND(SUMIFS([11]Data!$G:$G,[11]Data!$B:$B,$A8,[11]Data!$D:$D,I$6),0)</f>
        <v>8797196</v>
      </c>
      <c r="J8" s="36">
        <f>ROUND(SUMIFS([11]Data!$G:$G,[11]Data!$B:$B,$A8,[11]Data!$D:$D,J$6),0)</f>
        <v>0</v>
      </c>
      <c r="K8" s="10">
        <f t="shared" ref="K8:K16" si="0">SUM(B8:J8)</f>
        <v>1078222399</v>
      </c>
    </row>
    <row r="9" spans="1:11" x14ac:dyDescent="0.25">
      <c r="A9" s="27">
        <v>2007</v>
      </c>
      <c r="B9" s="5">
        <f>ROUND(SUMIFS([11]Data!$G:$G,[11]Data!$B:$B,$A9,[11]Data!$D:$D,B$6),0)</f>
        <v>299638406</v>
      </c>
      <c r="C9" s="5">
        <f>ROUND(SUMIFS([11]Data!$G:$G,[11]Data!$B:$B,$A9,[11]Data!$D:$D,C$6),0)</f>
        <v>126763870</v>
      </c>
      <c r="D9" s="5">
        <f>ROUND(SUMIFS([11]Data!$G:$G,[11]Data!$B:$B,$A9,[11]Data!$D:$D,D$6),0)</f>
        <v>498423262</v>
      </c>
      <c r="E9" s="5">
        <f>ROUND(SUMIFS([11]Data!$G:$G,[11]Data!$B:$B,$A9,[11]Data!$D:$D,E$6),0)</f>
        <v>89275102</v>
      </c>
      <c r="F9" s="5">
        <f>ROUND(SUMIFS([11]Data!$G:$G,[11]Data!$B:$B,$A9,[11]Data!$D:$D,F$6),0)</f>
        <v>27015842</v>
      </c>
      <c r="G9" s="36">
        <f>ROUND(SUMIFS([11]Data!$G:$G,[11]Data!$B:$B,$A9,[11]Data!$D:$D,G$6),0)</f>
        <v>0</v>
      </c>
      <c r="H9" s="5">
        <f>ROUND(SUMIFS([11]Data!$G:$G,[11]Data!$B:$B,$A9,[11]Data!$D:$D,H$6),0)</f>
        <v>445369</v>
      </c>
      <c r="I9" s="5">
        <f>ROUND(SUMIFS([11]Data!$G:$G,[11]Data!$B:$B,$A9,[11]Data!$D:$D,I$6),0)</f>
        <v>8797782</v>
      </c>
      <c r="J9" s="5">
        <f>ROUND(SUMIFS([11]Data!$G:$G,[11]Data!$B:$B,$A9,[11]Data!$D:$D,J$6),0)</f>
        <v>5294429</v>
      </c>
      <c r="K9" s="10">
        <f t="shared" si="0"/>
        <v>1055654062</v>
      </c>
    </row>
    <row r="10" spans="1:11" x14ac:dyDescent="0.25">
      <c r="A10" s="27">
        <v>2008</v>
      </c>
      <c r="B10" s="5">
        <f>ROUND(SUMIFS([11]Data!$G:$G,[11]Data!$B:$B,$A10,[11]Data!$D:$D,B$6),0)</f>
        <v>296054771</v>
      </c>
      <c r="C10" s="5">
        <f>ROUND(SUMIFS([11]Data!$G:$G,[11]Data!$B:$B,$A10,[11]Data!$D:$D,C$6),0)</f>
        <v>125816796</v>
      </c>
      <c r="D10" s="5">
        <f>ROUND(SUMIFS([11]Data!$G:$G,[11]Data!$B:$B,$A10,[11]Data!$D:$D,D$6),0)</f>
        <v>464092558</v>
      </c>
      <c r="E10" s="5">
        <f>ROUND(SUMIFS([11]Data!$G:$G,[11]Data!$B:$B,$A10,[11]Data!$D:$D,E$6),0)</f>
        <v>98751177</v>
      </c>
      <c r="F10" s="5">
        <f>ROUND(SUMIFS([11]Data!$G:$G,[11]Data!$B:$B,$A10,[11]Data!$D:$D,F$6),0)</f>
        <v>22647906</v>
      </c>
      <c r="G10" s="36">
        <f>ROUND(SUMIFS([11]Data!$G:$G,[11]Data!$B:$B,$A10,[11]Data!$D:$D,G$6),0)</f>
        <v>0</v>
      </c>
      <c r="H10" s="5">
        <f>ROUND(SUMIFS([11]Data!$G:$G,[11]Data!$B:$B,$A10,[11]Data!$D:$D,H$6),0)</f>
        <v>436740</v>
      </c>
      <c r="I10" s="5">
        <f>ROUND(SUMIFS([11]Data!$G:$G,[11]Data!$B:$B,$A10,[11]Data!$D:$D,I$6),0)</f>
        <v>8199730</v>
      </c>
      <c r="J10" s="5">
        <f>ROUND(SUMIFS([11]Data!$G:$G,[11]Data!$B:$B,$A10,[11]Data!$D:$D,J$6),0)</f>
        <v>5200141</v>
      </c>
      <c r="K10" s="10">
        <f t="shared" si="0"/>
        <v>1021199819</v>
      </c>
    </row>
    <row r="11" spans="1:11" x14ac:dyDescent="0.25">
      <c r="A11" s="27">
        <v>2009</v>
      </c>
      <c r="B11" s="5">
        <f>ROUND(SUMIFS([11]Data!$G:$G,[11]Data!$B:$B,$A11,[11]Data!$D:$D,B$6),0)</f>
        <v>291091689</v>
      </c>
      <c r="C11" s="5">
        <f>ROUND(SUMIFS([11]Data!$G:$G,[11]Data!$B:$B,$A11,[11]Data!$D:$D,C$6),0)</f>
        <v>114518667</v>
      </c>
      <c r="D11" s="5">
        <f>ROUND(SUMIFS([11]Data!$G:$G,[11]Data!$B:$B,$A11,[11]Data!$D:$D,D$6),0)</f>
        <v>395794984</v>
      </c>
      <c r="E11" s="36">
        <f>ROUND(SUMIFS([11]Data!$G:$G,[11]Data!$B:$B,$A11,[11]Data!$D:$D,E$6),0)</f>
        <v>53009042</v>
      </c>
      <c r="F11" s="36">
        <f>ROUND(SUMIFS([11]Data!$G:$G,[11]Data!$B:$B,$A11,[11]Data!$D:$D,F$6),0)</f>
        <v>17181839</v>
      </c>
      <c r="G11" s="5">
        <f>ROUND(SUMIFS([11]Data!$G:$G,[11]Data!$B:$B,$A11,[11]Data!$D:$D,G$6),0)</f>
        <v>1158647</v>
      </c>
      <c r="H11" s="5">
        <f>ROUND(SUMIFS([11]Data!$G:$G,[11]Data!$B:$B,$A11,[11]Data!$D:$D,H$6),0)</f>
        <v>440153</v>
      </c>
      <c r="I11" s="5">
        <f>ROUND(SUMIFS([11]Data!$G:$G,[11]Data!$B:$B,$A11,[11]Data!$D:$D,I$6),0)</f>
        <v>8235437</v>
      </c>
      <c r="J11" s="5">
        <f>ROUND(SUMIFS([11]Data!$G:$G,[11]Data!$B:$B,$A11,[11]Data!$D:$D,J$6),0)</f>
        <v>5213283</v>
      </c>
      <c r="K11" s="10">
        <f t="shared" si="0"/>
        <v>886643741</v>
      </c>
    </row>
    <row r="12" spans="1:11" x14ac:dyDescent="0.25">
      <c r="A12" s="27">
        <v>2010</v>
      </c>
      <c r="B12" s="5">
        <f>ROUND(SUMIFS([11]Data!$G:$G,[11]Data!$B:$B,$A12,[11]Data!$D:$D,B$6),0)</f>
        <v>301267823</v>
      </c>
      <c r="C12" s="5">
        <f>ROUND(SUMIFS([11]Data!$G:$G,[11]Data!$B:$B,$A12,[11]Data!$D:$D,C$6),0)</f>
        <v>116294933</v>
      </c>
      <c r="D12" s="5">
        <f>ROUND(SUMIFS([11]Data!$G:$G,[11]Data!$B:$B,$A12,[11]Data!$D:$D,D$6),0)</f>
        <v>435880111</v>
      </c>
      <c r="E12" s="5">
        <f>ROUND(SUMIFS([11]Data!$G:$G,[11]Data!$B:$B,$A12,[11]Data!$D:$D,E$6),0)</f>
        <v>35030946</v>
      </c>
      <c r="F12" s="5">
        <f>ROUND(SUMIFS([11]Data!$G:$G,[11]Data!$B:$B,$A12,[11]Data!$D:$D,F$6),0)</f>
        <v>29034336</v>
      </c>
      <c r="G12" s="5">
        <f>ROUND(SUMIFS([11]Data!$G:$G,[11]Data!$B:$B,$A12,[11]Data!$D:$D,G$6),0)</f>
        <v>1191306</v>
      </c>
      <c r="H12" s="5">
        <f>ROUND(SUMIFS([11]Data!$G:$G,[11]Data!$B:$B,$A12,[11]Data!$D:$D,H$6),0)</f>
        <v>433931</v>
      </c>
      <c r="I12" s="5">
        <f>ROUND(SUMIFS([11]Data!$G:$G,[11]Data!$B:$B,$A12,[11]Data!$D:$D,I$6),0)</f>
        <v>8221743</v>
      </c>
      <c r="J12" s="5">
        <f>ROUND(SUMIFS([11]Data!$G:$G,[11]Data!$B:$B,$A12,[11]Data!$D:$D,J$6),0)</f>
        <v>4851464</v>
      </c>
      <c r="K12" s="10">
        <f t="shared" si="0"/>
        <v>932206593</v>
      </c>
    </row>
    <row r="13" spans="1:11" x14ac:dyDescent="0.25">
      <c r="A13" s="27">
        <v>2011</v>
      </c>
      <c r="B13" s="5">
        <f>ROUND(SUMIFS([11]Data!$G:$G,[11]Data!$B:$B,$A13,[11]Data!$D:$D,B$6),0)</f>
        <v>299495986</v>
      </c>
      <c r="C13" s="5">
        <f>ROUND(SUMIFS([11]Data!$G:$G,[11]Data!$B:$B,$A13,[11]Data!$D:$D,C$6),0)</f>
        <v>116705566</v>
      </c>
      <c r="D13" s="5">
        <f>ROUND(SUMIFS([11]Data!$G:$G,[11]Data!$B:$B,$A13,[11]Data!$D:$D,D$6),0)</f>
        <v>444705629</v>
      </c>
      <c r="E13" s="5">
        <f>ROUND(SUMIFS([11]Data!$G:$G,[11]Data!$B:$B,$A13,[11]Data!$D:$D,E$6),0)</f>
        <v>28996883</v>
      </c>
      <c r="F13" s="5">
        <f>ROUND(SUMIFS([11]Data!$G:$G,[11]Data!$B:$B,$A13,[11]Data!$D:$D,F$6),0)</f>
        <v>34298990</v>
      </c>
      <c r="G13" s="5">
        <f>ROUND(SUMIFS([11]Data!$G:$G,[11]Data!$B:$B,$A13,[11]Data!$D:$D,G$6),0)</f>
        <v>1249000</v>
      </c>
      <c r="H13" s="5">
        <f>ROUND(SUMIFS([11]Data!$G:$G,[11]Data!$B:$B,$A13,[11]Data!$D:$D,H$6),0)</f>
        <v>353837</v>
      </c>
      <c r="I13" s="5">
        <f>ROUND(SUMIFS([11]Data!$G:$G,[11]Data!$B:$B,$A13,[11]Data!$D:$D,I$6),0)</f>
        <v>8221874</v>
      </c>
      <c r="J13" s="5">
        <f>ROUND(SUMIFS([11]Data!$G:$G,[11]Data!$B:$B,$A13,[11]Data!$D:$D,J$6),0)</f>
        <v>4151567</v>
      </c>
      <c r="K13" s="10">
        <f t="shared" si="0"/>
        <v>938179332</v>
      </c>
    </row>
    <row r="14" spans="1:11" x14ac:dyDescent="0.25">
      <c r="A14" s="27">
        <v>2012</v>
      </c>
      <c r="B14" s="5">
        <f>ROUND(SUMIFS([11]Data!$G:$G,[11]Data!$B:$B,$A14,[11]Data!$D:$D,B$6),0)</f>
        <v>296656279</v>
      </c>
      <c r="C14" s="5">
        <f>ROUND(SUMIFS([11]Data!$G:$G,[11]Data!$B:$B,$A14,[11]Data!$D:$D,C$6),0)</f>
        <v>109007040</v>
      </c>
      <c r="D14" s="5">
        <f>ROUND(SUMIFS([11]Data!$G:$G,[11]Data!$B:$B,$A14,[11]Data!$D:$D,D$6),0)</f>
        <v>453565445</v>
      </c>
      <c r="E14" s="5">
        <f>ROUND(SUMIFS([11]Data!$G:$G,[11]Data!$B:$B,$A14,[11]Data!$D:$D,E$6),0)</f>
        <v>28118306</v>
      </c>
      <c r="F14" s="5">
        <f>ROUND(SUMIFS([11]Data!$G:$G,[11]Data!$B:$B,$A14,[11]Data!$D:$D,F$6),0)</f>
        <v>34317082</v>
      </c>
      <c r="G14" s="5">
        <f>ROUND(SUMIFS([11]Data!$G:$G,[11]Data!$B:$B,$A14,[11]Data!$D:$D,G$6),0)</f>
        <v>1213037</v>
      </c>
      <c r="H14" s="5">
        <f>ROUND(SUMIFS([11]Data!$G:$G,[11]Data!$B:$B,$A14,[11]Data!$D:$D,H$6),0)</f>
        <v>405259</v>
      </c>
      <c r="I14" s="5">
        <f>ROUND(SUMIFS([11]Data!$G:$G,[11]Data!$B:$B,$A14,[11]Data!$D:$D,I$6),0)</f>
        <v>8250167</v>
      </c>
      <c r="J14" s="5">
        <f>ROUND(SUMIFS([11]Data!$G:$G,[11]Data!$B:$B,$A14,[11]Data!$D:$D,J$6),0)</f>
        <v>4555496</v>
      </c>
      <c r="K14" s="10">
        <f t="shared" si="0"/>
        <v>936088111</v>
      </c>
    </row>
    <row r="15" spans="1:11" x14ac:dyDescent="0.25">
      <c r="A15" s="27">
        <v>2013</v>
      </c>
      <c r="B15" s="5">
        <f>ROUND(SUMIFS([11]Data!$G:$G,[11]Data!$B:$B,$A15,[11]Data!$D:$D,B$6),0)</f>
        <v>281071800</v>
      </c>
      <c r="C15" s="5">
        <f>ROUND(SUMIFS([11]Data!$G:$G,[11]Data!$B:$B,$A15,[11]Data!$D:$D,C$6),0)</f>
        <v>105791729</v>
      </c>
      <c r="D15" s="5">
        <f>ROUND(SUMIFS([11]Data!$G:$G,[11]Data!$B:$B,$A15,[11]Data!$D:$D,D$6),0)</f>
        <v>456115509</v>
      </c>
      <c r="E15" s="5">
        <f>ROUND(SUMIFS([11]Data!$G:$G,[11]Data!$B:$B,$A15,[11]Data!$D:$D,E$6),0)</f>
        <v>39427413</v>
      </c>
      <c r="F15" s="5">
        <f>ROUND(SUMIFS([11]Data!$G:$G,[11]Data!$B:$B,$A15,[11]Data!$D:$D,F$6),0)</f>
        <v>32247068</v>
      </c>
      <c r="G15" s="5">
        <f>ROUND(SUMIFS([11]Data!$G:$G,[11]Data!$B:$B,$A15,[11]Data!$D:$D,G$6),0)</f>
        <v>1228666</v>
      </c>
      <c r="H15" s="5">
        <f>ROUND(SUMIFS([11]Data!$G:$G,[11]Data!$B:$B,$A15,[11]Data!$D:$D,H$6),0)</f>
        <v>410160</v>
      </c>
      <c r="I15" s="5">
        <f>ROUND(SUMIFS([11]Data!$G:$G,[11]Data!$B:$B,$A15,[11]Data!$D:$D,I$6),0)</f>
        <v>7792246</v>
      </c>
      <c r="J15" s="5">
        <f>ROUND(SUMIFS([11]Data!$G:$G,[11]Data!$B:$B,$A15,[11]Data!$D:$D,J$6),0)</f>
        <v>4612024</v>
      </c>
      <c r="K15" s="10">
        <f t="shared" si="0"/>
        <v>928696615</v>
      </c>
    </row>
    <row r="16" spans="1:11" x14ac:dyDescent="0.25">
      <c r="A16" s="28">
        <v>2014</v>
      </c>
      <c r="B16" s="25">
        <f>ROUND(SUMIFS([11]Data!$G:$G,[11]Data!$B:$B,$A16,[11]Data!$D:$D,B$6),0)</f>
        <v>289455443</v>
      </c>
      <c r="C16" s="25">
        <f>ROUND(SUMIFS([11]Data!$G:$G,[11]Data!$B:$B,$A16,[11]Data!$D:$D,C$6),0)</f>
        <v>108543510</v>
      </c>
      <c r="D16" s="25">
        <f>ROUND(SUMIFS([11]Data!$G:$G,[11]Data!$B:$B,$A16,[11]Data!$D:$D,D$6),0)</f>
        <v>457346103</v>
      </c>
      <c r="E16" s="25">
        <f>ROUND(SUMIFS([11]Data!$G:$G,[11]Data!$B:$B,$A16,[11]Data!$D:$D,E$6),0)</f>
        <v>33167215</v>
      </c>
      <c r="F16" s="25">
        <f>ROUND(SUMIFS([11]Data!$G:$G,[11]Data!$B:$B,$A16,[11]Data!$D:$D,F$6),0)</f>
        <v>31573402</v>
      </c>
      <c r="G16" s="25">
        <f>ROUND(SUMIFS([11]Data!$G:$G,[11]Data!$B:$B,$A16,[11]Data!$D:$D,G$6),0)</f>
        <v>1249444</v>
      </c>
      <c r="H16" s="25">
        <f>ROUND(SUMIFS([11]Data!$G:$G,[11]Data!$B:$B,$A16,[11]Data!$D:$D,H$6),0)</f>
        <v>408652</v>
      </c>
      <c r="I16" s="25">
        <f>ROUND(SUMIFS([11]Data!$G:$G,[11]Data!$B:$B,$A16,[11]Data!$D:$D,I$6),0)</f>
        <v>7533249</v>
      </c>
      <c r="J16" s="25">
        <f>ROUND(SUMIFS([11]Data!$G:$G,[11]Data!$B:$B,$A16,[11]Data!$D:$D,J$6),0)</f>
        <v>4634801</v>
      </c>
      <c r="K16" s="26">
        <f t="shared" si="0"/>
        <v>933911819</v>
      </c>
    </row>
    <row r="17" spans="1:11" ht="18.75" x14ac:dyDescent="0.3">
      <c r="A17" s="137" t="s">
        <v>66</v>
      </c>
      <c r="B17" s="138"/>
      <c r="C17" s="138"/>
      <c r="D17" s="138"/>
      <c r="E17" s="138"/>
      <c r="F17" s="138"/>
      <c r="G17" s="138"/>
      <c r="H17" s="138"/>
      <c r="I17" s="138"/>
      <c r="J17" s="138"/>
      <c r="K17" s="139"/>
    </row>
    <row r="18" spans="1:11" x14ac:dyDescent="0.25">
      <c r="A18" s="140">
        <v>2006</v>
      </c>
      <c r="B18" s="141">
        <f>IFERROR(ROUND(B8/'Rate Class Customer Model'!B8,0),0)</f>
        <v>8604</v>
      </c>
      <c r="C18" s="141">
        <f>IFERROR(ROUND(C8/'Rate Class Customer Model'!C8,0),0)</f>
        <v>32327</v>
      </c>
      <c r="D18" s="141">
        <f>IFERROR(ROUND(D8/'Rate Class Customer Model'!D8,0),0)</f>
        <v>1001869</v>
      </c>
      <c r="E18" s="141">
        <f>IFERROR(ROUND(E8/'Rate Class Customer Model'!E8,0),0)</f>
        <v>92372408</v>
      </c>
      <c r="F18" s="141">
        <f>IFERROR(ROUND(F8/'Rate Class Customer Model'!F8,0),0)</f>
        <v>18347234</v>
      </c>
      <c r="G18" s="141">
        <f>IFERROR(ROUND(G8/'Rate Class Customer Model'!G8,0),0)</f>
        <v>0</v>
      </c>
      <c r="H18" s="141">
        <f>IFERROR(ROUND(H8/'Rate Class Customer Model'!H8,0),0)</f>
        <v>1157</v>
      </c>
      <c r="I18" s="141">
        <f>IFERROR(ROUND(I8/'Rate Class Customer Model'!I8,0),0)</f>
        <v>706</v>
      </c>
      <c r="J18" s="141">
        <f>IFERROR(ROUND(J8/'Rate Class Customer Model'!J8,0),0)</f>
        <v>0</v>
      </c>
      <c r="K18" s="142"/>
    </row>
    <row r="19" spans="1:11" x14ac:dyDescent="0.25">
      <c r="A19" s="27">
        <v>2007</v>
      </c>
      <c r="B19" s="5">
        <f>IFERROR(ROUND(B9/'Rate Class Customer Model'!B9,0),0)</f>
        <v>8515</v>
      </c>
      <c r="C19" s="5">
        <f>IFERROR(ROUND(C9/'Rate Class Customer Model'!C9,0),0)</f>
        <v>31683</v>
      </c>
      <c r="D19" s="5">
        <f>IFERROR(ROUND(D9/'Rate Class Customer Model'!D9,0),0)</f>
        <v>971585</v>
      </c>
      <c r="E19" s="5">
        <f>IFERROR(ROUND(E9/'Rate Class Customer Model'!E9,0),0)</f>
        <v>29758367</v>
      </c>
      <c r="F19" s="5">
        <f>IFERROR(ROUND(F9/'Rate Class Customer Model'!F9,0),0)</f>
        <v>27015842</v>
      </c>
      <c r="G19" s="5">
        <f>IFERROR(ROUND(G9/'Rate Class Customer Model'!G9,0),0)</f>
        <v>0</v>
      </c>
      <c r="H19" s="5">
        <f>IFERROR(ROUND(H9/'Rate Class Customer Model'!H9,0),0)</f>
        <v>1130</v>
      </c>
      <c r="I19" s="5">
        <f>IFERROR(ROUND(I9/'Rate Class Customer Model'!I9,0),0)</f>
        <v>706</v>
      </c>
      <c r="J19" s="5">
        <f>IFERROR(ROUND(J9/'Rate Class Customer Model'!J9,0),0)</f>
        <v>5294429</v>
      </c>
      <c r="K19" s="11"/>
    </row>
    <row r="20" spans="1:11" x14ac:dyDescent="0.25">
      <c r="A20" s="27">
        <v>2008</v>
      </c>
      <c r="B20" s="5">
        <f>IFERROR(ROUND(B10/'Rate Class Customer Model'!B10,0),0)</f>
        <v>8379</v>
      </c>
      <c r="C20" s="5">
        <f>IFERROR(ROUND(C10/'Rate Class Customer Model'!C10,0),0)</f>
        <v>31644</v>
      </c>
      <c r="D20" s="5">
        <f>IFERROR(ROUND(D10/'Rate Class Customer Model'!D10,0),0)</f>
        <v>887366</v>
      </c>
      <c r="E20" s="5">
        <f>IFERROR(ROUND(E10/'Rate Class Customer Model'!E10,0),0)</f>
        <v>32917059</v>
      </c>
      <c r="F20" s="5">
        <f>IFERROR(ROUND(F10/'Rate Class Customer Model'!F10,0),0)</f>
        <v>22647906</v>
      </c>
      <c r="G20" s="5">
        <f>IFERROR(ROUND(G10/'Rate Class Customer Model'!G10,0),0)</f>
        <v>0</v>
      </c>
      <c r="H20" s="5">
        <f>IFERROR(ROUND(H10/'Rate Class Customer Model'!H10,0),0)</f>
        <v>1111</v>
      </c>
      <c r="I20" s="5">
        <f>IFERROR(ROUND(I10/'Rate Class Customer Model'!I10,0),0)</f>
        <v>653</v>
      </c>
      <c r="J20" s="5">
        <f>IFERROR(ROUND(J10/'Rate Class Customer Model'!J10,0),0)</f>
        <v>5200141</v>
      </c>
      <c r="K20" s="11"/>
    </row>
    <row r="21" spans="1:11" x14ac:dyDescent="0.25">
      <c r="A21" s="27">
        <v>2009</v>
      </c>
      <c r="B21" s="5">
        <f>IFERROR(ROUND(B11/'Rate Class Customer Model'!B11,0),0)</f>
        <v>8214</v>
      </c>
      <c r="C21" s="5">
        <f>IFERROR(ROUND(C11/'Rate Class Customer Model'!C11,0),0)</f>
        <v>29221</v>
      </c>
      <c r="D21" s="5">
        <f>IFERROR(ROUND(D11/'Rate Class Customer Model'!D11,0),0)</f>
        <v>765561</v>
      </c>
      <c r="E21" s="5">
        <f>IFERROR(ROUND(E11/'Rate Class Customer Model'!E11,0),0)</f>
        <v>17669681</v>
      </c>
      <c r="F21" s="5">
        <f>IFERROR(ROUND(F11/'Rate Class Customer Model'!F11,0),0)</f>
        <v>17181839</v>
      </c>
      <c r="G21" s="5">
        <f>IFERROR(ROUND(G11/'Rate Class Customer Model'!G11,0),0)</f>
        <v>9497</v>
      </c>
      <c r="H21" s="5">
        <f>IFERROR(ROUND(H11/'Rate Class Customer Model'!H11,0),0)</f>
        <v>1129</v>
      </c>
      <c r="I21" s="5">
        <f>IFERROR(ROUND(I11/'Rate Class Customer Model'!I11,0),0)</f>
        <v>644</v>
      </c>
      <c r="J21" s="5">
        <f>IFERROR(ROUND(J11/'Rate Class Customer Model'!J11,0),0)</f>
        <v>5213283</v>
      </c>
      <c r="K21" s="11"/>
    </row>
    <row r="22" spans="1:11" x14ac:dyDescent="0.25">
      <c r="A22" s="27">
        <v>2010</v>
      </c>
      <c r="B22" s="5">
        <f>IFERROR(ROUND(B12/'Rate Class Customer Model'!B12,0),0)</f>
        <v>8493</v>
      </c>
      <c r="C22" s="5">
        <f>IFERROR(ROUND(C12/'Rate Class Customer Model'!C12,0),0)</f>
        <v>29697</v>
      </c>
      <c r="D22" s="5">
        <f>IFERROR(ROUND(D12/'Rate Class Customer Model'!D12,0),0)</f>
        <v>878791</v>
      </c>
      <c r="E22" s="5">
        <f>IFERROR(ROUND(E12/'Rate Class Customer Model'!E12,0),0)</f>
        <v>17515473</v>
      </c>
      <c r="F22" s="5">
        <f>IFERROR(ROUND(F12/'Rate Class Customer Model'!F12,0),0)</f>
        <v>29034336</v>
      </c>
      <c r="G22" s="5">
        <f>IFERROR(ROUND(G12/'Rate Class Customer Model'!G12,0),0)</f>
        <v>4882</v>
      </c>
      <c r="H22" s="5">
        <f>IFERROR(ROUND(H12/'Rate Class Customer Model'!H12,0),0)</f>
        <v>1118</v>
      </c>
      <c r="I22" s="5">
        <f>IFERROR(ROUND(I12/'Rate Class Customer Model'!I12,0),0)</f>
        <v>636</v>
      </c>
      <c r="J22" s="5">
        <f>IFERROR(ROUND(J12/'Rate Class Customer Model'!J12,0),0)</f>
        <v>4851464</v>
      </c>
      <c r="K22" s="11"/>
    </row>
    <row r="23" spans="1:11" x14ac:dyDescent="0.25">
      <c r="A23" s="27">
        <v>2011</v>
      </c>
      <c r="B23" s="5">
        <f>IFERROR(ROUND(B13/'Rate Class Customer Model'!B13,0),0)</f>
        <v>8406</v>
      </c>
      <c r="C23" s="5">
        <f>IFERROR(ROUND(C13/'Rate Class Customer Model'!C13,0),0)</f>
        <v>29871</v>
      </c>
      <c r="D23" s="5">
        <f>IFERROR(ROUND(D13/'Rate Class Customer Model'!D13,0),0)</f>
        <v>907563</v>
      </c>
      <c r="E23" s="5">
        <f>IFERROR(ROUND(E13/'Rate Class Customer Model'!E13,0),0)</f>
        <v>28996883</v>
      </c>
      <c r="F23" s="5">
        <f>IFERROR(ROUND(F13/'Rate Class Customer Model'!F13,0),0)</f>
        <v>34298990</v>
      </c>
      <c r="G23" s="5">
        <f>IFERROR(ROUND(G13/'Rate Class Customer Model'!G13,0),0)</f>
        <v>5098</v>
      </c>
      <c r="H23" s="5">
        <f>IFERROR(ROUND(H13/'Rate Class Customer Model'!H13,0),0)</f>
        <v>912</v>
      </c>
      <c r="I23" s="5">
        <f>IFERROR(ROUND(I13/'Rate Class Customer Model'!I13,0),0)</f>
        <v>636</v>
      </c>
      <c r="J23" s="5">
        <f>IFERROR(ROUND(J13/'Rate Class Customer Model'!J13,0),0)</f>
        <v>4151567</v>
      </c>
      <c r="K23" s="11"/>
    </row>
    <row r="24" spans="1:11" x14ac:dyDescent="0.25">
      <c r="A24" s="27">
        <v>2012</v>
      </c>
      <c r="B24" s="5">
        <f>IFERROR(ROUND(B14/'Rate Class Customer Model'!B14,0),0)</f>
        <v>8283</v>
      </c>
      <c r="C24" s="5">
        <f>IFERROR(ROUND(C14/'Rate Class Customer Model'!C14,0),0)</f>
        <v>28247</v>
      </c>
      <c r="D24" s="5">
        <f>IFERROR(ROUND(D14/'Rate Class Customer Model'!D14,0),0)</f>
        <v>910774</v>
      </c>
      <c r="E24" s="5">
        <f>IFERROR(ROUND(E14/'Rate Class Customer Model'!E14,0),0)</f>
        <v>28118306</v>
      </c>
      <c r="F24" s="5">
        <f>IFERROR(ROUND(F14/'Rate Class Customer Model'!F14,0),0)</f>
        <v>34317082</v>
      </c>
      <c r="G24" s="5">
        <f>IFERROR(ROUND(G14/'Rate Class Customer Model'!G14,0),0)</f>
        <v>4951</v>
      </c>
      <c r="H24" s="5">
        <f>IFERROR(ROUND(H14/'Rate Class Customer Model'!H14,0),0)</f>
        <v>1044</v>
      </c>
      <c r="I24" s="5">
        <f>IFERROR(ROUND(I14/'Rate Class Customer Model'!I14,0),0)</f>
        <v>638</v>
      </c>
      <c r="J24" s="5">
        <f>IFERROR(ROUND(J14/'Rate Class Customer Model'!J14,0),0)</f>
        <v>4555496</v>
      </c>
      <c r="K24" s="11"/>
    </row>
    <row r="25" spans="1:11" x14ac:dyDescent="0.25">
      <c r="A25" s="27">
        <v>2013</v>
      </c>
      <c r="B25" s="5">
        <f>IFERROR(ROUND(B15/'Rate Class Customer Model'!B15,0),0)</f>
        <v>7820</v>
      </c>
      <c r="C25" s="5">
        <f>IFERROR(ROUND(C15/'Rate Class Customer Model'!C15,0),0)</f>
        <v>27393</v>
      </c>
      <c r="D25" s="5">
        <f>IFERROR(ROUND(D15/'Rate Class Customer Model'!D15,0),0)</f>
        <v>914059</v>
      </c>
      <c r="E25" s="5">
        <f>IFERROR(ROUND(E15/'Rate Class Customer Model'!E15,0),0)</f>
        <v>39427413</v>
      </c>
      <c r="F25" s="5">
        <f>IFERROR(ROUND(F15/'Rate Class Customer Model'!F15,0),0)</f>
        <v>32247068</v>
      </c>
      <c r="G25" s="5">
        <f>IFERROR(ROUND(G15/'Rate Class Customer Model'!G15,0),0)</f>
        <v>4954</v>
      </c>
      <c r="H25" s="5">
        <f>IFERROR(ROUND(H15/'Rate Class Customer Model'!H15,0),0)</f>
        <v>930</v>
      </c>
      <c r="I25" s="5">
        <f>IFERROR(ROUND(I15/'Rate Class Customer Model'!I15,0),0)</f>
        <v>595</v>
      </c>
      <c r="J25" s="5">
        <f>IFERROR(ROUND(J15/'Rate Class Customer Model'!J15,0),0)</f>
        <v>4612024</v>
      </c>
      <c r="K25" s="11"/>
    </row>
    <row r="26" spans="1:11" x14ac:dyDescent="0.25">
      <c r="A26" s="29">
        <v>2014</v>
      </c>
      <c r="B26" s="19">
        <f>IFERROR(ROUND(B16/'Rate Class Customer Model'!B16,0),0)</f>
        <v>8024</v>
      </c>
      <c r="C26" s="19">
        <f>IFERROR(ROUND(C16/'Rate Class Customer Model'!C16,0),0)</f>
        <v>28047</v>
      </c>
      <c r="D26" s="19">
        <f>IFERROR(ROUND(D16/'Rate Class Customer Model'!D16,0),0)</f>
        <v>920213</v>
      </c>
      <c r="E26" s="19">
        <f>IFERROR(ROUND(E16/'Rate Class Customer Model'!E16,0),0)</f>
        <v>33167215</v>
      </c>
      <c r="F26" s="19">
        <f>IFERROR(ROUND(F16/'Rate Class Customer Model'!F16,0),0)</f>
        <v>31573402</v>
      </c>
      <c r="G26" s="19">
        <f>IFERROR(ROUND(G16/'Rate Class Customer Model'!G16,0),0)</f>
        <v>4978</v>
      </c>
      <c r="H26" s="19">
        <f>IFERROR(ROUND(H16/'Rate Class Customer Model'!H16,0),0)</f>
        <v>839</v>
      </c>
      <c r="I26" s="19">
        <f>IFERROR(ROUND(I16/'Rate Class Customer Model'!I16,0),0)</f>
        <v>568</v>
      </c>
      <c r="J26" s="19">
        <f>IFERROR(ROUND(J16/'Rate Class Customer Model'!J16,0),0)</f>
        <v>4634801</v>
      </c>
      <c r="K26" s="143"/>
    </row>
    <row r="27" spans="1:11" ht="18.75" x14ac:dyDescent="0.3">
      <c r="A27" s="137" t="s">
        <v>64</v>
      </c>
      <c r="B27" s="138"/>
      <c r="C27" s="138"/>
      <c r="D27" s="138"/>
      <c r="E27" s="138"/>
      <c r="F27" s="138"/>
      <c r="G27" s="138"/>
      <c r="H27" s="138"/>
      <c r="I27" s="138"/>
      <c r="J27" s="138"/>
      <c r="K27" s="139"/>
    </row>
    <row r="28" spans="1:11" x14ac:dyDescent="0.25">
      <c r="A28" s="140">
        <v>2006</v>
      </c>
      <c r="B28" s="144">
        <v>0</v>
      </c>
      <c r="C28" s="144">
        <v>0</v>
      </c>
      <c r="D28" s="144">
        <v>0</v>
      </c>
      <c r="E28" s="144">
        <v>0</v>
      </c>
      <c r="F28" s="144">
        <v>0</v>
      </c>
      <c r="G28" s="144">
        <v>0</v>
      </c>
      <c r="H28" s="144">
        <v>0</v>
      </c>
      <c r="I28" s="144">
        <v>0</v>
      </c>
      <c r="J28" s="144">
        <v>0</v>
      </c>
      <c r="K28" s="142"/>
    </row>
    <row r="29" spans="1:11" x14ac:dyDescent="0.25">
      <c r="A29" s="27">
        <v>2007</v>
      </c>
      <c r="B29" s="102">
        <f>IFERROR(ROUND(B19/B18,4),0)</f>
        <v>0.98970000000000002</v>
      </c>
      <c r="C29" s="102">
        <f t="shared" ref="C29:J29" si="1">IFERROR(ROUND(C19/C18,4),0)</f>
        <v>0.98009999999999997</v>
      </c>
      <c r="D29" s="102">
        <f t="shared" si="1"/>
        <v>0.9698</v>
      </c>
      <c r="E29" s="102">
        <f t="shared" si="1"/>
        <v>0.32219999999999999</v>
      </c>
      <c r="F29" s="102">
        <f t="shared" ref="F29:F36" si="2">IFERROR(ROUND(F19/F18,4),0)</f>
        <v>1.4724999999999999</v>
      </c>
      <c r="G29" s="102">
        <f t="shared" si="1"/>
        <v>0</v>
      </c>
      <c r="H29" s="102">
        <f t="shared" si="1"/>
        <v>0.97670000000000001</v>
      </c>
      <c r="I29" s="102">
        <f t="shared" si="1"/>
        <v>1</v>
      </c>
      <c r="J29" s="102">
        <f t="shared" si="1"/>
        <v>0</v>
      </c>
      <c r="K29" s="11"/>
    </row>
    <row r="30" spans="1:11" x14ac:dyDescent="0.25">
      <c r="A30" s="27">
        <v>2008</v>
      </c>
      <c r="B30" s="102">
        <f t="shared" ref="B30:J36" si="3">IFERROR(ROUND(B20/B19,4),0)</f>
        <v>0.98399999999999999</v>
      </c>
      <c r="C30" s="102">
        <f t="shared" si="3"/>
        <v>0.99880000000000002</v>
      </c>
      <c r="D30" s="102">
        <f t="shared" si="3"/>
        <v>0.9133</v>
      </c>
      <c r="E30" s="102">
        <f t="shared" si="3"/>
        <v>1.1061000000000001</v>
      </c>
      <c r="F30" s="102">
        <f t="shared" si="2"/>
        <v>0.83830000000000005</v>
      </c>
      <c r="G30" s="102">
        <f t="shared" si="3"/>
        <v>0</v>
      </c>
      <c r="H30" s="102">
        <f t="shared" si="3"/>
        <v>0.98319999999999996</v>
      </c>
      <c r="I30" s="102">
        <f t="shared" si="3"/>
        <v>0.92490000000000006</v>
      </c>
      <c r="J30" s="102">
        <f t="shared" si="3"/>
        <v>0.98219999999999996</v>
      </c>
      <c r="K30" s="11"/>
    </row>
    <row r="31" spans="1:11" x14ac:dyDescent="0.25">
      <c r="A31" s="27">
        <v>2009</v>
      </c>
      <c r="B31" s="102">
        <f t="shared" si="3"/>
        <v>0.98029999999999995</v>
      </c>
      <c r="C31" s="102">
        <f t="shared" si="3"/>
        <v>0.9234</v>
      </c>
      <c r="D31" s="102">
        <f t="shared" si="3"/>
        <v>0.86270000000000002</v>
      </c>
      <c r="E31" s="102">
        <f t="shared" si="3"/>
        <v>0.53680000000000005</v>
      </c>
      <c r="F31" s="102">
        <f t="shared" si="2"/>
        <v>0.75870000000000004</v>
      </c>
      <c r="G31" s="102">
        <f t="shared" si="3"/>
        <v>0</v>
      </c>
      <c r="H31" s="102">
        <f t="shared" si="3"/>
        <v>1.0162</v>
      </c>
      <c r="I31" s="102">
        <f t="shared" si="3"/>
        <v>0.98619999999999997</v>
      </c>
      <c r="J31" s="102">
        <f t="shared" si="3"/>
        <v>1.0024999999999999</v>
      </c>
      <c r="K31" s="11"/>
    </row>
    <row r="32" spans="1:11" x14ac:dyDescent="0.25">
      <c r="A32" s="100">
        <v>2010</v>
      </c>
      <c r="B32" s="102">
        <f t="shared" si="3"/>
        <v>1.034</v>
      </c>
      <c r="C32" s="102">
        <f t="shared" si="3"/>
        <v>1.0163</v>
      </c>
      <c r="D32" s="102">
        <f t="shared" si="3"/>
        <v>1.1478999999999999</v>
      </c>
      <c r="E32" s="102">
        <f t="shared" si="3"/>
        <v>0.99129999999999996</v>
      </c>
      <c r="F32" s="102">
        <f t="shared" si="2"/>
        <v>1.6898</v>
      </c>
      <c r="G32" s="102">
        <f t="shared" si="3"/>
        <v>0.5141</v>
      </c>
      <c r="H32" s="102">
        <f t="shared" si="3"/>
        <v>0.99029999999999996</v>
      </c>
      <c r="I32" s="102">
        <f t="shared" si="3"/>
        <v>0.98760000000000003</v>
      </c>
      <c r="J32" s="102">
        <f t="shared" si="3"/>
        <v>0.93059999999999998</v>
      </c>
      <c r="K32" s="11"/>
    </row>
    <row r="33" spans="1:11" x14ac:dyDescent="0.25">
      <c r="A33" s="100">
        <v>2011</v>
      </c>
      <c r="B33" s="102">
        <f t="shared" si="3"/>
        <v>0.98980000000000001</v>
      </c>
      <c r="C33" s="102">
        <f t="shared" si="3"/>
        <v>1.0059</v>
      </c>
      <c r="D33" s="102">
        <f t="shared" si="3"/>
        <v>1.0327</v>
      </c>
      <c r="E33" s="102">
        <f t="shared" si="3"/>
        <v>1.6555</v>
      </c>
      <c r="F33" s="102">
        <f t="shared" si="2"/>
        <v>1.1813</v>
      </c>
      <c r="G33" s="102">
        <f t="shared" si="3"/>
        <v>1.0442</v>
      </c>
      <c r="H33" s="102">
        <f t="shared" si="3"/>
        <v>0.81569999999999998</v>
      </c>
      <c r="I33" s="102">
        <f t="shared" si="3"/>
        <v>1</v>
      </c>
      <c r="J33" s="102">
        <f t="shared" si="3"/>
        <v>0.85570000000000002</v>
      </c>
      <c r="K33" s="11"/>
    </row>
    <row r="34" spans="1:11" x14ac:dyDescent="0.25">
      <c r="A34" s="100">
        <v>2012</v>
      </c>
      <c r="B34" s="102">
        <f t="shared" si="3"/>
        <v>0.98540000000000005</v>
      </c>
      <c r="C34" s="102">
        <f t="shared" si="3"/>
        <v>0.9456</v>
      </c>
      <c r="D34" s="102">
        <f t="shared" si="3"/>
        <v>1.0035000000000001</v>
      </c>
      <c r="E34" s="102">
        <f t="shared" si="3"/>
        <v>0.96970000000000001</v>
      </c>
      <c r="F34" s="102">
        <f t="shared" si="2"/>
        <v>1.0004999999999999</v>
      </c>
      <c r="G34" s="102">
        <f t="shared" si="3"/>
        <v>0.97119999999999995</v>
      </c>
      <c r="H34" s="102">
        <f t="shared" si="3"/>
        <v>1.1447000000000001</v>
      </c>
      <c r="I34" s="102">
        <f t="shared" si="3"/>
        <v>1.0031000000000001</v>
      </c>
      <c r="J34" s="102">
        <f t="shared" si="3"/>
        <v>1.0972999999999999</v>
      </c>
      <c r="K34" s="11"/>
    </row>
    <row r="35" spans="1:11" x14ac:dyDescent="0.25">
      <c r="A35" s="100">
        <v>2013</v>
      </c>
      <c r="B35" s="102">
        <f t="shared" si="3"/>
        <v>0.94410000000000005</v>
      </c>
      <c r="C35" s="102">
        <f t="shared" si="3"/>
        <v>0.9698</v>
      </c>
      <c r="D35" s="102">
        <f t="shared" si="3"/>
        <v>1.0036</v>
      </c>
      <c r="E35" s="102">
        <f t="shared" si="3"/>
        <v>1.4021999999999999</v>
      </c>
      <c r="F35" s="102">
        <f t="shared" si="2"/>
        <v>0.93969999999999998</v>
      </c>
      <c r="G35" s="102">
        <f t="shared" si="3"/>
        <v>1.0005999999999999</v>
      </c>
      <c r="H35" s="102">
        <f t="shared" si="3"/>
        <v>0.89080000000000004</v>
      </c>
      <c r="I35" s="102">
        <f t="shared" si="3"/>
        <v>0.93259999999999998</v>
      </c>
      <c r="J35" s="102">
        <f t="shared" si="3"/>
        <v>1.0124</v>
      </c>
      <c r="K35" s="11"/>
    </row>
    <row r="36" spans="1:11" x14ac:dyDescent="0.25">
      <c r="A36" s="101">
        <v>2014</v>
      </c>
      <c r="B36" s="145">
        <f t="shared" si="3"/>
        <v>1.0261</v>
      </c>
      <c r="C36" s="145">
        <f t="shared" si="3"/>
        <v>1.0239</v>
      </c>
      <c r="D36" s="145">
        <f t="shared" si="3"/>
        <v>1.0066999999999999</v>
      </c>
      <c r="E36" s="145">
        <f t="shared" si="3"/>
        <v>0.84119999999999995</v>
      </c>
      <c r="F36" s="145">
        <f t="shared" si="2"/>
        <v>0.97909999999999997</v>
      </c>
      <c r="G36" s="145">
        <f t="shared" si="3"/>
        <v>1.0047999999999999</v>
      </c>
      <c r="H36" s="145">
        <f t="shared" si="3"/>
        <v>0.9022</v>
      </c>
      <c r="I36" s="145">
        <f t="shared" si="3"/>
        <v>0.9546</v>
      </c>
      <c r="J36" s="145">
        <f t="shared" si="3"/>
        <v>1.0048999999999999</v>
      </c>
      <c r="K36" s="22"/>
    </row>
    <row r="37" spans="1:11" x14ac:dyDescent="0.25">
      <c r="A37" s="326" t="s">
        <v>73</v>
      </c>
      <c r="B37" s="147">
        <f>GEOMEAN(B32:B36)</f>
        <v>0.9953541838237554</v>
      </c>
      <c r="C37" s="147">
        <f t="shared" ref="C37:J37" si="4">GEOMEAN(C32:C36)</f>
        <v>0.99184722824280214</v>
      </c>
      <c r="D37" s="147">
        <f t="shared" si="4"/>
        <v>1.0374597731052575</v>
      </c>
      <c r="E37" s="147">
        <f>GEOMEAN(E34:E36)</f>
        <v>1.0458005698390831</v>
      </c>
      <c r="F37" s="147">
        <f>GEOMEAN(F34:F36)</f>
        <v>0.9727721388029148</v>
      </c>
      <c r="G37" s="147">
        <f t="shared" si="4"/>
        <v>0.87881208051758597</v>
      </c>
      <c r="H37" s="147">
        <f t="shared" si="4"/>
        <v>0.94235467855367994</v>
      </c>
      <c r="I37" s="147">
        <f t="shared" si="4"/>
        <v>0.97518818424671516</v>
      </c>
      <c r="J37" s="147">
        <f t="shared" si="4"/>
        <v>0.97673553539316416</v>
      </c>
      <c r="K37" s="87"/>
    </row>
    <row r="38" spans="1:11" ht="18.75" x14ac:dyDescent="0.3">
      <c r="A38" s="137" t="s">
        <v>67</v>
      </c>
      <c r="B38" s="138"/>
      <c r="C38" s="138"/>
      <c r="D38" s="138"/>
      <c r="E38" s="138"/>
      <c r="F38" s="138"/>
      <c r="G38" s="138"/>
      <c r="H38" s="138"/>
      <c r="I38" s="138"/>
      <c r="J38" s="138"/>
      <c r="K38" s="139"/>
    </row>
    <row r="39" spans="1:11" x14ac:dyDescent="0.25">
      <c r="A39" s="122">
        <v>2015</v>
      </c>
      <c r="B39" s="47">
        <f>ROUND(B26*B37,0)</f>
        <v>7987</v>
      </c>
      <c r="C39" s="47">
        <f t="shared" ref="C39:J39" si="5">ROUND(C26*C37,0)</f>
        <v>27818</v>
      </c>
      <c r="D39" s="47">
        <f t="shared" si="5"/>
        <v>954684</v>
      </c>
      <c r="E39" s="47">
        <f t="shared" si="5"/>
        <v>34686292</v>
      </c>
      <c r="F39" s="47">
        <f>ROUND(F26*F37,0)</f>
        <v>30713726</v>
      </c>
      <c r="G39" s="47">
        <f t="shared" si="5"/>
        <v>4375</v>
      </c>
      <c r="H39" s="47">
        <f t="shared" si="5"/>
        <v>791</v>
      </c>
      <c r="I39" s="47">
        <f t="shared" si="5"/>
        <v>554</v>
      </c>
      <c r="J39" s="47">
        <f t="shared" si="5"/>
        <v>4526975</v>
      </c>
      <c r="K39" s="148"/>
    </row>
    <row r="40" spans="1:11" x14ac:dyDescent="0.25">
      <c r="A40" s="28">
        <v>2016</v>
      </c>
      <c r="B40" s="25">
        <f>ROUND(B39*B37,0)</f>
        <v>7950</v>
      </c>
      <c r="C40" s="25">
        <f t="shared" ref="C40:J40" si="6">ROUND(C39*C37,0)</f>
        <v>27591</v>
      </c>
      <c r="D40" s="25">
        <f t="shared" si="6"/>
        <v>990446</v>
      </c>
      <c r="E40" s="25">
        <f t="shared" si="6"/>
        <v>36274944</v>
      </c>
      <c r="F40" s="25">
        <f>ROUND(F39*F37,0)</f>
        <v>29877457</v>
      </c>
      <c r="G40" s="25">
        <f t="shared" si="6"/>
        <v>3845</v>
      </c>
      <c r="H40" s="25">
        <f t="shared" si="6"/>
        <v>745</v>
      </c>
      <c r="I40" s="25">
        <f t="shared" si="6"/>
        <v>540</v>
      </c>
      <c r="J40" s="25">
        <f t="shared" si="6"/>
        <v>4421657</v>
      </c>
      <c r="K40" s="26"/>
    </row>
    <row r="41" spans="1:11" ht="18.75" x14ac:dyDescent="0.3">
      <c r="A41" s="137" t="s">
        <v>68</v>
      </c>
      <c r="B41" s="138"/>
      <c r="C41" s="138"/>
      <c r="D41" s="138"/>
      <c r="E41" s="138"/>
      <c r="F41" s="138"/>
      <c r="G41" s="138"/>
      <c r="H41" s="138"/>
      <c r="I41" s="138"/>
      <c r="J41" s="138"/>
      <c r="K41" s="139"/>
    </row>
    <row r="42" spans="1:11" x14ac:dyDescent="0.25">
      <c r="A42" s="140">
        <v>2015</v>
      </c>
      <c r="B42" s="70">
        <f>B39*'Rate Class Customer Model'!B30</f>
        <v>289153361</v>
      </c>
      <c r="C42" s="70">
        <f>C39*'Rate Class Customer Model'!C30</f>
        <v>107377480</v>
      </c>
      <c r="D42" s="70">
        <f>D39*'Rate Class Customer Model'!D30</f>
        <v>470659212</v>
      </c>
      <c r="E42" s="70">
        <f>E39*'Rate Class Customer Model'!E30</f>
        <v>34686292</v>
      </c>
      <c r="F42" s="70">
        <f>F39*'Rate Class Customer Model'!F30</f>
        <v>30713726</v>
      </c>
      <c r="G42" s="70">
        <f>G39*'Rate Class Customer Model'!G30</f>
        <v>1268750</v>
      </c>
      <c r="H42" s="70">
        <f>H39*'Rate Class Customer Model'!H30</f>
        <v>402619</v>
      </c>
      <c r="I42" s="70">
        <f>I39*'Rate Class Customer Model'!I30</f>
        <v>7406426</v>
      </c>
      <c r="J42" s="70">
        <f>J39*'Rate Class Customer Model'!J30</f>
        <v>4526975</v>
      </c>
      <c r="K42" s="73">
        <f>SUM(B42:J42)</f>
        <v>946194841</v>
      </c>
    </row>
    <row r="43" spans="1:11" x14ac:dyDescent="0.25">
      <c r="A43" s="29">
        <v>2016</v>
      </c>
      <c r="B43" s="45">
        <f>B40*'Rate Class Customer Model'!B31</f>
        <v>288847350</v>
      </c>
      <c r="C43" s="45">
        <f>C40*'Rate Class Customer Model'!C31</f>
        <v>106225350</v>
      </c>
      <c r="D43" s="45">
        <f>D40*'Rate Class Customer Model'!D31</f>
        <v>484328094</v>
      </c>
      <c r="E43" s="45">
        <f>E40*'Rate Class Customer Model'!E31</f>
        <v>36274944</v>
      </c>
      <c r="F43" s="45">
        <f>F40*'Rate Class Customer Model'!F31</f>
        <v>29877457</v>
      </c>
      <c r="G43" s="45">
        <f>G40*'Rate Class Customer Model'!G31</f>
        <v>1288075</v>
      </c>
      <c r="H43" s="45">
        <f>H40*'Rate Class Customer Model'!H31</f>
        <v>396340</v>
      </c>
      <c r="I43" s="45">
        <f>I40*'Rate Class Customer Model'!I31</f>
        <v>7273260</v>
      </c>
      <c r="J43" s="45">
        <f>J40*'Rate Class Customer Model'!J31</f>
        <v>4421657</v>
      </c>
      <c r="K43" s="46">
        <f>SUM(B43:J43)</f>
        <v>958932527</v>
      </c>
    </row>
    <row r="44" spans="1:11" ht="18.75" x14ac:dyDescent="0.3">
      <c r="A44" s="137" t="s">
        <v>87</v>
      </c>
      <c r="B44" s="138"/>
      <c r="C44" s="138"/>
      <c r="D44" s="138"/>
      <c r="E44" s="138"/>
      <c r="F44" s="138"/>
      <c r="G44" s="138"/>
      <c r="H44" s="138"/>
      <c r="I44" s="138"/>
      <c r="J44" s="138"/>
      <c r="K44" s="139"/>
    </row>
    <row r="45" spans="1:11" s="34" customFormat="1" ht="30" x14ac:dyDescent="0.25">
      <c r="A45" s="327" t="s">
        <v>88</v>
      </c>
      <c r="B45" s="328">
        <f>(1+D45)/2</f>
        <v>0.66950972636319495</v>
      </c>
      <c r="C45" s="328">
        <f>B45</f>
        <v>0.66950972636319495</v>
      </c>
      <c r="D45" s="329">
        <f>[12]Sheet1!$H$8</f>
        <v>0.33901945272638984</v>
      </c>
      <c r="E45" s="328"/>
      <c r="F45" s="328"/>
      <c r="G45" s="328"/>
      <c r="H45" s="328"/>
      <c r="I45" s="328"/>
      <c r="J45" s="328"/>
      <c r="K45" s="330"/>
    </row>
    <row r="46" spans="1:11" x14ac:dyDescent="0.25">
      <c r="A46" s="128">
        <v>2015</v>
      </c>
      <c r="B46" s="5">
        <f>B45*B42</f>
        <v>193590987.60010812</v>
      </c>
      <c r="C46" s="5">
        <f t="shared" ref="C46:J46" si="7">C45*C42</f>
        <v>71890267.252369434</v>
      </c>
      <c r="D46" s="5">
        <f t="shared" si="7"/>
        <v>159562628.4728739</v>
      </c>
      <c r="E46" s="5">
        <f t="shared" si="7"/>
        <v>0</v>
      </c>
      <c r="F46" s="5">
        <f>F45*F42</f>
        <v>0</v>
      </c>
      <c r="G46" s="5">
        <f t="shared" si="7"/>
        <v>0</v>
      </c>
      <c r="H46" s="5">
        <f t="shared" si="7"/>
        <v>0</v>
      </c>
      <c r="I46" s="5">
        <f t="shared" si="7"/>
        <v>0</v>
      </c>
      <c r="J46" s="5">
        <f t="shared" si="7"/>
        <v>0</v>
      </c>
      <c r="K46" s="18">
        <f>SUM(B46:J46)</f>
        <v>425043883.32535148</v>
      </c>
    </row>
    <row r="47" spans="1:11" x14ac:dyDescent="0.25">
      <c r="A47" s="152">
        <v>2016</v>
      </c>
      <c r="B47" s="19">
        <f t="shared" ref="B47:J47" si="8">B43*B45</f>
        <v>193386110.25923401</v>
      </c>
      <c r="C47" s="19">
        <f t="shared" si="8"/>
        <v>71118905.011334613</v>
      </c>
      <c r="D47" s="19">
        <f t="shared" si="8"/>
        <v>164196645.36789548</v>
      </c>
      <c r="E47" s="19">
        <f t="shared" si="8"/>
        <v>0</v>
      </c>
      <c r="F47" s="19">
        <f>F43*F45</f>
        <v>0</v>
      </c>
      <c r="G47" s="19">
        <f t="shared" si="8"/>
        <v>0</v>
      </c>
      <c r="H47" s="19">
        <f t="shared" si="8"/>
        <v>0</v>
      </c>
      <c r="I47" s="19">
        <f t="shared" si="8"/>
        <v>0</v>
      </c>
      <c r="J47" s="19">
        <f t="shared" si="8"/>
        <v>0</v>
      </c>
      <c r="K47" s="20">
        <f>SUM(B47:J47)</f>
        <v>428701660.63846409</v>
      </c>
    </row>
    <row r="48" spans="1:11" ht="18.75" x14ac:dyDescent="0.3">
      <c r="A48" s="137" t="s">
        <v>90</v>
      </c>
      <c r="B48" s="138"/>
      <c r="C48" s="138"/>
      <c r="D48" s="138"/>
      <c r="E48" s="138"/>
      <c r="F48" s="138"/>
      <c r="G48" s="138"/>
      <c r="H48" s="138"/>
      <c r="I48" s="138"/>
      <c r="J48" s="138"/>
      <c r="K48" s="139"/>
    </row>
    <row r="49" spans="1:11" x14ac:dyDescent="0.25">
      <c r="A49" s="331" t="s">
        <v>89</v>
      </c>
      <c r="B49" s="150">
        <f t="shared" ref="B49:J49" si="9">B46/$K$46</f>
        <v>0.45546117752722287</v>
      </c>
      <c r="C49" s="150">
        <f t="shared" si="9"/>
        <v>0.16913610587672132</v>
      </c>
      <c r="D49" s="150">
        <f t="shared" si="9"/>
        <v>0.37540271659605573</v>
      </c>
      <c r="E49" s="150">
        <f t="shared" si="9"/>
        <v>0</v>
      </c>
      <c r="F49" s="150">
        <f>F46/$K$46</f>
        <v>0</v>
      </c>
      <c r="G49" s="150">
        <f t="shared" si="9"/>
        <v>0</v>
      </c>
      <c r="H49" s="150">
        <f t="shared" si="9"/>
        <v>0</v>
      </c>
      <c r="I49" s="150">
        <f t="shared" si="9"/>
        <v>0</v>
      </c>
      <c r="J49" s="150">
        <f t="shared" si="9"/>
        <v>0</v>
      </c>
      <c r="K49" s="151">
        <f>SUM(B49:J49)</f>
        <v>0.99999999999999989</v>
      </c>
    </row>
    <row r="50" spans="1:11" x14ac:dyDescent="0.25">
      <c r="A50" s="130">
        <v>2015</v>
      </c>
      <c r="B50" s="5">
        <f t="shared" ref="B50:J50" si="10">B49*$K50</f>
        <v>-5172257.5475967666</v>
      </c>
      <c r="C50" s="5">
        <f t="shared" si="10"/>
        <v>-1920724.6267212534</v>
      </c>
      <c r="D50" s="5">
        <f t="shared" si="10"/>
        <v>-4263106.5612309519</v>
      </c>
      <c r="E50" s="5">
        <f t="shared" si="10"/>
        <v>0</v>
      </c>
      <c r="F50" s="5">
        <f>F49*$K50</f>
        <v>0</v>
      </c>
      <c r="G50" s="5">
        <f t="shared" si="10"/>
        <v>0</v>
      </c>
      <c r="H50" s="5">
        <f t="shared" si="10"/>
        <v>0</v>
      </c>
      <c r="I50" s="5">
        <f t="shared" si="10"/>
        <v>0</v>
      </c>
      <c r="J50" s="5">
        <f t="shared" si="10"/>
        <v>0</v>
      </c>
      <c r="K50" s="10">
        <f>'Forecast Accuracy'!I16-'Rate Class Energy Model'!K42</f>
        <v>-11356088.735548973</v>
      </c>
    </row>
    <row r="51" spans="1:11" x14ac:dyDescent="0.25">
      <c r="A51" s="332" t="s">
        <v>89</v>
      </c>
      <c r="B51" s="35">
        <f t="shared" ref="B51:J51" si="11">B47/$K$47</f>
        <v>0.45109718019572087</v>
      </c>
      <c r="C51" s="35">
        <f t="shared" si="11"/>
        <v>0.16589370077414078</v>
      </c>
      <c r="D51" s="35">
        <f t="shared" si="11"/>
        <v>0.3830091190301384</v>
      </c>
      <c r="E51" s="35">
        <f t="shared" si="11"/>
        <v>0</v>
      </c>
      <c r="F51" s="35">
        <f>F47/$K$47</f>
        <v>0</v>
      </c>
      <c r="G51" s="35">
        <f t="shared" si="11"/>
        <v>0</v>
      </c>
      <c r="H51" s="35">
        <f t="shared" si="11"/>
        <v>0</v>
      </c>
      <c r="I51" s="35">
        <f t="shared" si="11"/>
        <v>0</v>
      </c>
      <c r="J51" s="35">
        <f t="shared" si="11"/>
        <v>0</v>
      </c>
      <c r="K51" s="129">
        <f>SUM(B51:J51)</f>
        <v>1</v>
      </c>
    </row>
    <row r="52" spans="1:11" x14ac:dyDescent="0.25">
      <c r="A52" s="153">
        <v>2016</v>
      </c>
      <c r="B52" s="25">
        <f t="shared" ref="B52:J52" si="12">B51*$K52</f>
        <v>-9856251.6843587924</v>
      </c>
      <c r="C52" s="25">
        <f t="shared" si="12"/>
        <v>-3624695.829333737</v>
      </c>
      <c r="D52" s="25">
        <f t="shared" si="12"/>
        <v>-8368561.0114602735</v>
      </c>
      <c r="E52" s="25">
        <f t="shared" si="12"/>
        <v>0</v>
      </c>
      <c r="F52" s="25">
        <f>F51*$K52</f>
        <v>0</v>
      </c>
      <c r="G52" s="25">
        <f t="shared" si="12"/>
        <v>0</v>
      </c>
      <c r="H52" s="25">
        <f t="shared" si="12"/>
        <v>0</v>
      </c>
      <c r="I52" s="25">
        <f t="shared" si="12"/>
        <v>0</v>
      </c>
      <c r="J52" s="25">
        <f t="shared" si="12"/>
        <v>0</v>
      </c>
      <c r="K52" s="26">
        <f>'Forecast Accuracy'!I17-'Rate Class Energy Model'!K43</f>
        <v>-21849508.525152802</v>
      </c>
    </row>
    <row r="53" spans="1:11" ht="18.75" x14ac:dyDescent="0.3">
      <c r="A53" s="137" t="s">
        <v>91</v>
      </c>
      <c r="B53" s="138"/>
      <c r="C53" s="138"/>
      <c r="D53" s="138"/>
      <c r="E53" s="138"/>
      <c r="F53" s="138"/>
      <c r="G53" s="138"/>
      <c r="H53" s="138"/>
      <c r="I53" s="138"/>
      <c r="J53" s="138"/>
      <c r="K53" s="139"/>
    </row>
    <row r="54" spans="1:11" s="34" customFormat="1" ht="18.75" customHeight="1" x14ac:dyDescent="0.25">
      <c r="A54" s="149">
        <v>2015</v>
      </c>
      <c r="B54" s="154">
        <f>B42+B50</f>
        <v>283981103.45240325</v>
      </c>
      <c r="C54" s="154">
        <f t="shared" ref="C54:J54" si="13">C42+C50</f>
        <v>105456755.37327875</v>
      </c>
      <c r="D54" s="154">
        <f t="shared" si="13"/>
        <v>466396105.43876904</v>
      </c>
      <c r="E54" s="154">
        <f t="shared" si="13"/>
        <v>34686292</v>
      </c>
      <c r="F54" s="154">
        <f>F42+F50</f>
        <v>30713726</v>
      </c>
      <c r="G54" s="154">
        <f t="shared" si="13"/>
        <v>1268750</v>
      </c>
      <c r="H54" s="154">
        <f t="shared" si="13"/>
        <v>402619</v>
      </c>
      <c r="I54" s="154">
        <f t="shared" si="13"/>
        <v>7406426</v>
      </c>
      <c r="J54" s="154">
        <f t="shared" si="13"/>
        <v>4526975</v>
      </c>
      <c r="K54" s="155">
        <f>SUM(B54:J54)</f>
        <v>934838752.26445103</v>
      </c>
    </row>
    <row r="55" spans="1:11" s="34" customFormat="1" ht="18.75" customHeight="1" x14ac:dyDescent="0.25">
      <c r="A55" s="152">
        <v>2016</v>
      </c>
      <c r="B55" s="156">
        <f>B43+B52</f>
        <v>278991098.31564122</v>
      </c>
      <c r="C55" s="156">
        <f t="shared" ref="C55:J55" si="14">C43+C52</f>
        <v>102600654.17066626</v>
      </c>
      <c r="D55" s="156">
        <f t="shared" si="14"/>
        <v>475959532.98853976</v>
      </c>
      <c r="E55" s="156">
        <f t="shared" si="14"/>
        <v>36274944</v>
      </c>
      <c r="F55" s="156">
        <f>F43+F52</f>
        <v>29877457</v>
      </c>
      <c r="G55" s="156">
        <f t="shared" si="14"/>
        <v>1288075</v>
      </c>
      <c r="H55" s="156">
        <f t="shared" si="14"/>
        <v>396340</v>
      </c>
      <c r="I55" s="156">
        <f t="shared" si="14"/>
        <v>7273260</v>
      </c>
      <c r="J55" s="156">
        <f t="shared" si="14"/>
        <v>4421657</v>
      </c>
      <c r="K55" s="157">
        <f>SUM(B55:J55)</f>
        <v>937083018.47484732</v>
      </c>
    </row>
    <row r="56" spans="1:11" ht="18.75" x14ac:dyDescent="0.3">
      <c r="A56" s="137" t="s">
        <v>362</v>
      </c>
      <c r="B56" s="138"/>
      <c r="C56" s="138"/>
      <c r="D56" s="138"/>
      <c r="E56" s="138"/>
      <c r="F56" s="138"/>
      <c r="G56" s="138"/>
      <c r="H56" s="138"/>
      <c r="I56" s="138"/>
      <c r="J56" s="138"/>
      <c r="K56" s="139"/>
    </row>
    <row r="57" spans="1:11" x14ac:dyDescent="0.25">
      <c r="A57" s="149">
        <v>2015</v>
      </c>
      <c r="B57" s="141">
        <f>-CDM!B37</f>
        <v>-964516.20191821572</v>
      </c>
      <c r="C57" s="141">
        <f>-CDM!C37</f>
        <v>-1119083.5637547849</v>
      </c>
      <c r="D57" s="141">
        <f>-CDM!D37</f>
        <v>-2503647.0470944415</v>
      </c>
      <c r="E57" s="141">
        <f>-CDM!E37</f>
        <v>-13760033.524844849</v>
      </c>
      <c r="F57" s="141">
        <f>-CDM!F37</f>
        <v>0</v>
      </c>
      <c r="G57" s="141">
        <f>-CDM!G37</f>
        <v>0</v>
      </c>
      <c r="H57" s="141">
        <f>-CDM!H37</f>
        <v>0</v>
      </c>
      <c r="I57" s="141">
        <f>-CDM!I37</f>
        <v>-10052.499699127469</v>
      </c>
      <c r="J57" s="141">
        <f>-CDM!J37</f>
        <v>0</v>
      </c>
      <c r="K57" s="158">
        <f>SUM(B57:J57)</f>
        <v>-18357332.837311421</v>
      </c>
    </row>
    <row r="58" spans="1:11" x14ac:dyDescent="0.25">
      <c r="A58" s="152">
        <v>2016</v>
      </c>
      <c r="B58" s="19">
        <f>-CDM!B42</f>
        <v>-1515089.0816498287</v>
      </c>
      <c r="C58" s="19">
        <f>-CDM!C42</f>
        <v>-2917890.2310924772</v>
      </c>
      <c r="D58" s="19">
        <f>-CDM!D42</f>
        <v>-3974393.8669450423</v>
      </c>
      <c r="E58" s="19">
        <f>-CDM!E42</f>
        <v>-25601118.498388674</v>
      </c>
      <c r="F58" s="19">
        <f>-CDM!F42</f>
        <v>0</v>
      </c>
      <c r="G58" s="19">
        <f>-CDM!G42</f>
        <v>0</v>
      </c>
      <c r="H58" s="19">
        <f>-CDM!H42</f>
        <v>0</v>
      </c>
      <c r="I58" s="19">
        <f>-CDM!I42</f>
        <v>-10052.499699127469</v>
      </c>
      <c r="J58" s="19">
        <f>-CDM!J42</f>
        <v>0</v>
      </c>
      <c r="K58" s="20">
        <f>SUM(B58:J58)</f>
        <v>-34018544.177775152</v>
      </c>
    </row>
    <row r="59" spans="1:11" ht="18.75" x14ac:dyDescent="0.3">
      <c r="A59" s="137" t="s">
        <v>363</v>
      </c>
      <c r="B59" s="138"/>
      <c r="C59" s="138"/>
      <c r="D59" s="138"/>
      <c r="E59" s="138"/>
      <c r="F59" s="138"/>
      <c r="G59" s="138"/>
      <c r="H59" s="138"/>
      <c r="I59" s="138"/>
      <c r="J59" s="138"/>
      <c r="K59" s="139"/>
    </row>
    <row r="60" spans="1:11" x14ac:dyDescent="0.25">
      <c r="A60" s="149">
        <v>2015</v>
      </c>
      <c r="B60" s="141"/>
      <c r="C60" s="141"/>
      <c r="D60" s="141">
        <f>WMP!D14</f>
        <v>6613941.9607762937</v>
      </c>
      <c r="E60" s="141"/>
      <c r="F60" s="141"/>
      <c r="G60" s="141"/>
      <c r="H60" s="141"/>
      <c r="I60" s="141"/>
      <c r="J60" s="141"/>
      <c r="K60" s="158">
        <f>SUM(B60:J60)</f>
        <v>6613941.9607762937</v>
      </c>
    </row>
    <row r="61" spans="1:11" x14ac:dyDescent="0.25">
      <c r="A61" s="152">
        <v>2016</v>
      </c>
      <c r="B61" s="19"/>
      <c r="C61" s="19"/>
      <c r="D61" s="19">
        <f>WMP!D15</f>
        <v>6861698.7259583157</v>
      </c>
      <c r="E61" s="19"/>
      <c r="F61" s="19"/>
      <c r="G61" s="19"/>
      <c r="H61" s="19"/>
      <c r="I61" s="19"/>
      <c r="J61" s="19"/>
      <c r="K61" s="20">
        <f>SUM(B61:J61)</f>
        <v>6861698.7259583157</v>
      </c>
    </row>
    <row r="62" spans="1:11" ht="18.75" x14ac:dyDescent="0.3">
      <c r="A62" s="137" t="s">
        <v>364</v>
      </c>
      <c r="B62" s="138"/>
      <c r="C62" s="138"/>
      <c r="D62" s="138"/>
      <c r="E62" s="138"/>
      <c r="F62" s="138"/>
      <c r="G62" s="138"/>
      <c r="H62" s="138"/>
      <c r="I62" s="138"/>
      <c r="J62" s="138"/>
      <c r="K62" s="139"/>
    </row>
    <row r="63" spans="1:11" s="34" customFormat="1" ht="23.25" customHeight="1" x14ac:dyDescent="0.25">
      <c r="A63" s="159">
        <v>2015</v>
      </c>
      <c r="B63" s="160">
        <f>B54+B57+B60</f>
        <v>283016587.250485</v>
      </c>
      <c r="C63" s="160">
        <f t="shared" ref="C63:J63" si="15">C54+C57+C60</f>
        <v>104337671.80952397</v>
      </c>
      <c r="D63" s="160">
        <f t="shared" si="15"/>
        <v>470506400.35245085</v>
      </c>
      <c r="E63" s="160">
        <f t="shared" si="15"/>
        <v>20926258.475155152</v>
      </c>
      <c r="F63" s="160">
        <f t="shared" si="15"/>
        <v>30713726</v>
      </c>
      <c r="G63" s="160">
        <f t="shared" si="15"/>
        <v>1268750</v>
      </c>
      <c r="H63" s="160">
        <f t="shared" si="15"/>
        <v>402619</v>
      </c>
      <c r="I63" s="160">
        <f t="shared" si="15"/>
        <v>7396373.5003008721</v>
      </c>
      <c r="J63" s="160">
        <f t="shared" si="15"/>
        <v>4526975</v>
      </c>
      <c r="K63" s="161">
        <f>SUM(B63:J63)</f>
        <v>923095361.38791585</v>
      </c>
    </row>
    <row r="64" spans="1:11" s="34" customFormat="1" ht="23.25" customHeight="1" x14ac:dyDescent="0.25">
      <c r="A64" s="131">
        <v>2016</v>
      </c>
      <c r="B64" s="132">
        <f>B55+B58+B61</f>
        <v>277476009.23399138</v>
      </c>
      <c r="C64" s="132">
        <f t="shared" ref="C64:J64" si="16">C55+C58+C61</f>
        <v>99682763.93957378</v>
      </c>
      <c r="D64" s="132">
        <f t="shared" si="16"/>
        <v>478846837.84755301</v>
      </c>
      <c r="E64" s="132">
        <f t="shared" si="16"/>
        <v>10673825.501611326</v>
      </c>
      <c r="F64" s="132">
        <f t="shared" si="16"/>
        <v>29877457</v>
      </c>
      <c r="G64" s="132">
        <f t="shared" si="16"/>
        <v>1288075</v>
      </c>
      <c r="H64" s="132">
        <f t="shared" si="16"/>
        <v>396340</v>
      </c>
      <c r="I64" s="132">
        <f t="shared" si="16"/>
        <v>7263207.5003008721</v>
      </c>
      <c r="J64" s="132">
        <f t="shared" si="16"/>
        <v>4421657</v>
      </c>
      <c r="K64" s="133">
        <f>SUM(B64:J64)</f>
        <v>909926173.0230304</v>
      </c>
    </row>
    <row r="66" spans="11:11" x14ac:dyDescent="0.25">
      <c r="K66" s="2"/>
    </row>
    <row r="67" spans="11:11" x14ac:dyDescent="0.25">
      <c r="K67" s="2"/>
    </row>
  </sheetData>
  <pageMargins left="0.7" right="0.7" top="0.75" bottom="0.75" header="0.3" footer="0.3"/>
  <pageSetup scale="78" fitToHeight="2" orientation="landscape" r:id="rId1"/>
  <headerFooter>
    <oddFooter>&amp;R&amp;P/&amp;N</oddFooter>
  </headerFooter>
  <rowBreaks count="1" manualBreakCount="1">
    <brk id="40" max="10" man="1"/>
  </rowBreaks>
  <ignoredErrors>
    <ignoredError sqref="K50 G51:J51 B51:E5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110" zoomScaleNormal="110" workbookViewId="0">
      <pane xSplit="1" ySplit="6" topLeftCell="B22" activePane="bottomRight" state="frozen"/>
      <selection activeCell="M135" sqref="M135"/>
      <selection pane="topRight" activeCell="M135" sqref="M135"/>
      <selection pane="bottomLeft" activeCell="M135" sqref="M135"/>
      <selection pane="bottomRight" activeCell="F36" sqref="F36"/>
    </sheetView>
  </sheetViews>
  <sheetFormatPr defaultRowHeight="15" x14ac:dyDescent="0.25"/>
  <cols>
    <col min="1" max="1" width="7" customWidth="1"/>
    <col min="2" max="11" width="12.7109375" customWidth="1"/>
  </cols>
  <sheetData>
    <row r="1" spans="1:11" ht="18.75" x14ac:dyDescent="0.3">
      <c r="A1" s="30" t="s">
        <v>0</v>
      </c>
      <c r="B1" s="31"/>
      <c r="C1" s="31"/>
      <c r="D1" s="31"/>
      <c r="E1" s="31"/>
      <c r="F1" s="31"/>
      <c r="G1" s="31"/>
      <c r="H1" s="31"/>
      <c r="I1" s="31"/>
      <c r="J1" s="31"/>
      <c r="K1" s="31"/>
    </row>
    <row r="2" spans="1:11" ht="18.75" x14ac:dyDescent="0.3">
      <c r="A2" s="30" t="s">
        <v>294</v>
      </c>
      <c r="B2" s="31"/>
      <c r="C2" s="31"/>
      <c r="D2" s="31"/>
      <c r="E2" s="31"/>
      <c r="F2" s="31"/>
      <c r="G2" s="31"/>
      <c r="H2" s="31"/>
      <c r="I2" s="31"/>
      <c r="J2" s="31"/>
      <c r="K2" s="31"/>
    </row>
    <row r="3" spans="1:11" ht="19.5" thickBot="1" x14ac:dyDescent="0.35">
      <c r="A3" s="32" t="s">
        <v>72</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336" t="s">
        <v>70</v>
      </c>
      <c r="B7" s="337"/>
      <c r="C7" s="337"/>
      <c r="D7" s="337"/>
      <c r="E7" s="337"/>
      <c r="F7" s="337"/>
      <c r="G7" s="337"/>
      <c r="H7" s="337"/>
      <c r="I7" s="337"/>
      <c r="J7" s="337"/>
      <c r="K7" s="338"/>
    </row>
    <row r="8" spans="1:11" x14ac:dyDescent="0.25">
      <c r="A8" s="27">
        <v>2006</v>
      </c>
      <c r="B8" s="5">
        <f>ROUND(SUMIFS([11]Data!$H:$H,[11]Data!$B:$B,$A8,[11]Data!$D:$D,B$6),0)</f>
        <v>0</v>
      </c>
      <c r="C8" s="5">
        <f>ROUND(SUMIFS([11]Data!$H:$H,[11]Data!$B:$B,$A8,[11]Data!$D:$D,C$6),0)</f>
        <v>0</v>
      </c>
      <c r="D8" s="5">
        <f>ROUND(SUMIFS([11]Data!$H:$H,[11]Data!$B:$B,$A8,[11]Data!$D:$D,D$6),0)</f>
        <v>1526414</v>
      </c>
      <c r="E8" s="5">
        <f>ROUND(SUMIFS([11]Data!$H:$H,[11]Data!$B:$B,$A8,[11]Data!$D:$D,E$6),0)</f>
        <v>228620</v>
      </c>
      <c r="F8" s="5">
        <f>ROUND(SUMIFS([11]Data!$H:$H,[11]Data!$B:$B,$A8,[11]Data!$D:$D,F$6),0)</f>
        <v>72885</v>
      </c>
      <c r="G8" s="36">
        <f>ROUND(SUMIFS([11]Data!$H:$H,[11]Data!$B:$B,$A8,[11]Data!$D:$D,G$6),0)</f>
        <v>0</v>
      </c>
      <c r="H8" s="5">
        <f>ROUND(SUMIFS([11]Data!$H:$H,[11]Data!$B:$B,$A8,[11]Data!$D:$D,H$6),0)</f>
        <v>1897</v>
      </c>
      <c r="I8" s="5">
        <f>ROUND(SUMIFS([11]Data!$H:$H,[11]Data!$B:$B,$A8,[11]Data!$D:$D,I$6),0)</f>
        <v>24792</v>
      </c>
      <c r="J8" s="36">
        <f>ROUND(SUMIFS([11]Data!$H:$H,[11]Data!$B:$B,$A8,[11]Data!$D:$D,J$6),0)</f>
        <v>0</v>
      </c>
      <c r="K8" s="10">
        <f t="shared" ref="K8:K16" si="0">SUM(B8:J8)</f>
        <v>1854608</v>
      </c>
    </row>
    <row r="9" spans="1:11" x14ac:dyDescent="0.25">
      <c r="A9" s="27">
        <v>2007</v>
      </c>
      <c r="B9" s="5">
        <f>ROUND(SUMIFS([11]Data!$H:$H,[11]Data!$B:$B,$A9,[11]Data!$D:$D,B$6),0)</f>
        <v>0</v>
      </c>
      <c r="C9" s="5">
        <f>ROUND(SUMIFS([11]Data!$H:$H,[11]Data!$B:$B,$A9,[11]Data!$D:$D,C$6),0)</f>
        <v>0</v>
      </c>
      <c r="D9" s="5">
        <f>ROUND(SUMIFS([11]Data!$H:$H,[11]Data!$B:$B,$A9,[11]Data!$D:$D,D$6),0)</f>
        <v>1319003</v>
      </c>
      <c r="E9" s="5">
        <f>ROUND(SUMIFS([11]Data!$H:$H,[11]Data!$B:$B,$A9,[11]Data!$D:$D,E$6),0)</f>
        <v>206603</v>
      </c>
      <c r="F9" s="5">
        <f>ROUND(SUMIFS([11]Data!$H:$H,[11]Data!$B:$B,$A9,[11]Data!$D:$D,F$6),0)</f>
        <v>57865</v>
      </c>
      <c r="G9" s="5">
        <f>ROUND(SUMIFS([11]Data!$H:$H,[11]Data!$B:$B,$A9,[11]Data!$D:$D,G$6),0)</f>
        <v>0</v>
      </c>
      <c r="H9" s="5">
        <f>ROUND(SUMIFS([11]Data!$H:$H,[11]Data!$B:$B,$A9,[11]Data!$D:$D,H$6),0)</f>
        <v>1234</v>
      </c>
      <c r="I9" s="5">
        <f>ROUND(SUMIFS([11]Data!$H:$H,[11]Data!$B:$B,$A9,[11]Data!$D:$D,I$6),0)</f>
        <v>31812</v>
      </c>
      <c r="J9" s="5">
        <f>ROUND(SUMIFS([11]Data!$H:$H,[11]Data!$B:$B,$A9,[11]Data!$D:$D,J$6),0)</f>
        <v>10733</v>
      </c>
      <c r="K9" s="10">
        <f t="shared" si="0"/>
        <v>1627250</v>
      </c>
    </row>
    <row r="10" spans="1:11" x14ac:dyDescent="0.25">
      <c r="A10" s="27">
        <v>2008</v>
      </c>
      <c r="B10" s="5">
        <f>ROUND(SUMIFS([11]Data!$H:$H,[11]Data!$B:$B,$A10,[11]Data!$D:$D,B$6),0)</f>
        <v>0</v>
      </c>
      <c r="C10" s="5">
        <f>ROUND(SUMIFS([11]Data!$H:$H,[11]Data!$B:$B,$A10,[11]Data!$D:$D,C$6),0)</f>
        <v>0</v>
      </c>
      <c r="D10" s="5">
        <f>ROUND(SUMIFS([11]Data!$H:$H,[11]Data!$B:$B,$A10,[11]Data!$D:$D,D$6),0)</f>
        <v>1276603</v>
      </c>
      <c r="E10" s="5">
        <f>ROUND(SUMIFS([11]Data!$H:$H,[11]Data!$B:$B,$A10,[11]Data!$D:$D,E$6),0)</f>
        <v>210734</v>
      </c>
      <c r="F10" s="5">
        <f>ROUND(SUMIFS([11]Data!$H:$H,[11]Data!$B:$B,$A10,[11]Data!$D:$D,F$6),0)</f>
        <v>51576</v>
      </c>
      <c r="G10" s="5">
        <f>ROUND(SUMIFS([11]Data!$H:$H,[11]Data!$B:$B,$A10,[11]Data!$D:$D,G$6),0)</f>
        <v>0</v>
      </c>
      <c r="H10" s="5">
        <f>ROUND(SUMIFS([11]Data!$H:$H,[11]Data!$B:$B,$A10,[11]Data!$D:$D,H$6),0)</f>
        <v>1222</v>
      </c>
      <c r="I10" s="5">
        <f>ROUND(SUMIFS([11]Data!$H:$H,[11]Data!$B:$B,$A10,[11]Data!$D:$D,I$6),0)</f>
        <v>24235</v>
      </c>
      <c r="J10" s="5">
        <f>ROUND(SUMIFS([11]Data!$H:$H,[11]Data!$B:$B,$A10,[11]Data!$D:$D,J$6),0)</f>
        <v>10432</v>
      </c>
      <c r="K10" s="10">
        <f t="shared" si="0"/>
        <v>1574802</v>
      </c>
    </row>
    <row r="11" spans="1:11" x14ac:dyDescent="0.25">
      <c r="A11" s="27">
        <v>2009</v>
      </c>
      <c r="B11" s="5">
        <f>ROUND(SUMIFS([11]Data!$H:$H,[11]Data!$B:$B,$A11,[11]Data!$D:$D,B$6),0)</f>
        <v>0</v>
      </c>
      <c r="C11" s="5">
        <f>ROUND(SUMIFS([11]Data!$H:$H,[11]Data!$B:$B,$A11,[11]Data!$D:$D,C$6),0)</f>
        <v>0</v>
      </c>
      <c r="D11" s="5">
        <f>ROUND(SUMIFS([11]Data!$H:$H,[11]Data!$B:$B,$A11,[11]Data!$D:$D,D$6),0)</f>
        <v>1131642</v>
      </c>
      <c r="E11" s="5">
        <f>ROUND(SUMIFS([11]Data!$H:$H,[11]Data!$B:$B,$A11,[11]Data!$D:$D,E$6),0)</f>
        <v>158060</v>
      </c>
      <c r="F11" s="5">
        <f>ROUND(SUMIFS([11]Data!$H:$H,[11]Data!$B:$B,$A11,[11]Data!$D:$D,F$6),0)</f>
        <v>38952</v>
      </c>
      <c r="G11" s="5">
        <f>ROUND(SUMIFS([11]Data!$H:$H,[11]Data!$B:$B,$A11,[11]Data!$D:$D,G$6),0)</f>
        <v>0</v>
      </c>
      <c r="H11" s="5">
        <f>ROUND(SUMIFS([11]Data!$H:$H,[11]Data!$B:$B,$A11,[11]Data!$D:$D,H$6),0)</f>
        <v>1217</v>
      </c>
      <c r="I11" s="5">
        <f>ROUND(SUMIFS([11]Data!$H:$H,[11]Data!$B:$B,$A11,[11]Data!$D:$D,I$6),0)</f>
        <v>24546</v>
      </c>
      <c r="J11" s="5">
        <f>ROUND(SUMIFS([11]Data!$H:$H,[11]Data!$B:$B,$A11,[11]Data!$D:$D,J$6),0)</f>
        <v>10438</v>
      </c>
      <c r="K11" s="10">
        <f t="shared" si="0"/>
        <v>1364855</v>
      </c>
    </row>
    <row r="12" spans="1:11" x14ac:dyDescent="0.25">
      <c r="A12" s="27">
        <v>2010</v>
      </c>
      <c r="B12" s="5">
        <f>ROUND(SUMIFS([11]Data!$H:$H,[11]Data!$B:$B,$A12,[11]Data!$D:$D,B$6),0)</f>
        <v>0</v>
      </c>
      <c r="C12" s="5">
        <f>ROUND(SUMIFS([11]Data!$H:$H,[11]Data!$B:$B,$A12,[11]Data!$D:$D,C$6),0)</f>
        <v>0</v>
      </c>
      <c r="D12" s="5">
        <f>ROUND(SUMIFS([11]Data!$H:$H,[11]Data!$B:$B,$A12,[11]Data!$D:$D,D$6),0)</f>
        <v>1183053</v>
      </c>
      <c r="E12" s="5">
        <f>ROUND(SUMIFS([11]Data!$H:$H,[11]Data!$B:$B,$A12,[11]Data!$D:$D,E$6),0)</f>
        <v>102526</v>
      </c>
      <c r="F12" s="5">
        <f>ROUND(SUMIFS([11]Data!$H:$H,[11]Data!$B:$B,$A12,[11]Data!$D:$D,F$6),0)</f>
        <v>56098</v>
      </c>
      <c r="G12" s="5">
        <f>ROUND(SUMIFS([11]Data!$H:$H,[11]Data!$B:$B,$A12,[11]Data!$D:$D,G$6),0)</f>
        <v>0</v>
      </c>
      <c r="H12" s="5">
        <f>ROUND(SUMIFS([11]Data!$H:$H,[11]Data!$B:$B,$A12,[11]Data!$D:$D,H$6),0)</f>
        <v>1224</v>
      </c>
      <c r="I12" s="5">
        <f>ROUND(SUMIFS([11]Data!$H:$H,[11]Data!$B:$B,$A12,[11]Data!$D:$D,I$6),0)</f>
        <v>24338</v>
      </c>
      <c r="J12" s="5">
        <f>ROUND(SUMIFS([11]Data!$H:$H,[11]Data!$B:$B,$A12,[11]Data!$D:$D,J$6),0)</f>
        <v>10285</v>
      </c>
      <c r="K12" s="10">
        <f t="shared" si="0"/>
        <v>1377524</v>
      </c>
    </row>
    <row r="13" spans="1:11" x14ac:dyDescent="0.25">
      <c r="A13" s="27">
        <v>2011</v>
      </c>
      <c r="B13" s="5">
        <f>ROUND(SUMIFS([11]Data!$H:$H,[11]Data!$B:$B,$A13,[11]Data!$D:$D,B$6),0)</f>
        <v>0</v>
      </c>
      <c r="C13" s="5">
        <f>ROUND(SUMIFS([11]Data!$H:$H,[11]Data!$B:$B,$A13,[11]Data!$D:$D,C$6),0)</f>
        <v>0</v>
      </c>
      <c r="D13" s="5">
        <f>ROUND(SUMIFS([11]Data!$H:$H,[11]Data!$B:$B,$A13,[11]Data!$D:$D,D$6),0)</f>
        <v>1189083</v>
      </c>
      <c r="E13" s="5">
        <f>ROUND(SUMIFS([11]Data!$H:$H,[11]Data!$B:$B,$A13,[11]Data!$D:$D,E$6),0)</f>
        <v>68609</v>
      </c>
      <c r="F13" s="5">
        <f>ROUND(SUMIFS([11]Data!$H:$H,[11]Data!$B:$B,$A13,[11]Data!$D:$D,F$6),0)</f>
        <v>63856</v>
      </c>
      <c r="G13" s="5">
        <f>ROUND(SUMIFS([11]Data!$H:$H,[11]Data!$B:$B,$A13,[11]Data!$D:$D,G$6),0)</f>
        <v>0</v>
      </c>
      <c r="H13" s="5">
        <f>ROUND(SUMIFS([11]Data!$H:$H,[11]Data!$B:$B,$A13,[11]Data!$D:$D,H$6),0)</f>
        <v>980</v>
      </c>
      <c r="I13" s="5">
        <f>ROUND(SUMIFS([11]Data!$H:$H,[11]Data!$B:$B,$A13,[11]Data!$D:$D,I$6),0)</f>
        <v>24338</v>
      </c>
      <c r="J13" s="5">
        <f>ROUND(SUMIFS([11]Data!$H:$H,[11]Data!$B:$B,$A13,[11]Data!$D:$D,J$6),0)</f>
        <v>11258</v>
      </c>
      <c r="K13" s="10">
        <f t="shared" si="0"/>
        <v>1358124</v>
      </c>
    </row>
    <row r="14" spans="1:11" x14ac:dyDescent="0.25">
      <c r="A14" s="27">
        <v>2012</v>
      </c>
      <c r="B14" s="5">
        <f>ROUND(SUMIFS([11]Data!$H:$H,[11]Data!$B:$B,$A14,[11]Data!$D:$D,B$6),0)</f>
        <v>0</v>
      </c>
      <c r="C14" s="5">
        <f>ROUND(SUMIFS([11]Data!$H:$H,[11]Data!$B:$B,$A14,[11]Data!$D:$D,C$6),0)</f>
        <v>0</v>
      </c>
      <c r="D14" s="5">
        <f>ROUND(SUMIFS([11]Data!$H:$H,[11]Data!$B:$B,$A14,[11]Data!$D:$D,D$6),0)</f>
        <v>1188171</v>
      </c>
      <c r="E14" s="5">
        <f>ROUND(SUMIFS([11]Data!$H:$H,[11]Data!$B:$B,$A14,[11]Data!$D:$D,E$6),0)</f>
        <v>66670</v>
      </c>
      <c r="F14" s="5">
        <f>ROUND(SUMIFS([11]Data!$H:$H,[11]Data!$B:$B,$A14,[11]Data!$D:$D,F$6),0)</f>
        <v>67537</v>
      </c>
      <c r="G14" s="5">
        <f>ROUND(SUMIFS([11]Data!$H:$H,[11]Data!$B:$B,$A14,[11]Data!$D:$D,G$6),0)</f>
        <v>0</v>
      </c>
      <c r="H14" s="5">
        <f>ROUND(SUMIFS([11]Data!$H:$H,[11]Data!$B:$B,$A14,[11]Data!$D:$D,H$6),0)</f>
        <v>1138</v>
      </c>
      <c r="I14" s="5">
        <f>ROUND(SUMIFS([11]Data!$H:$H,[11]Data!$B:$B,$A14,[11]Data!$D:$D,I$6),0)</f>
        <v>24338</v>
      </c>
      <c r="J14" s="5">
        <f>ROUND(SUMIFS([11]Data!$H:$H,[11]Data!$B:$B,$A14,[11]Data!$D:$D,J$6),0)</f>
        <v>10054</v>
      </c>
      <c r="K14" s="10">
        <f t="shared" si="0"/>
        <v>1357908</v>
      </c>
    </row>
    <row r="15" spans="1:11" x14ac:dyDescent="0.25">
      <c r="A15" s="27">
        <v>2013</v>
      </c>
      <c r="B15" s="5">
        <f>ROUND(SUMIFS([11]Data!$H:$H,[11]Data!$B:$B,$A15,[11]Data!$D:$D,B$6),0)</f>
        <v>0</v>
      </c>
      <c r="C15" s="5">
        <f>ROUND(SUMIFS([11]Data!$H:$H,[11]Data!$B:$B,$A15,[11]Data!$D:$D,C$6),0)</f>
        <v>0</v>
      </c>
      <c r="D15" s="5">
        <f>ROUND(SUMIFS([11]Data!$H:$H,[11]Data!$B:$B,$A15,[11]Data!$D:$D,D$6),0)</f>
        <v>1223255</v>
      </c>
      <c r="E15" s="5">
        <f>ROUND(SUMIFS([11]Data!$H:$H,[11]Data!$B:$B,$A15,[11]Data!$D:$D,E$6),0)</f>
        <v>87871</v>
      </c>
      <c r="F15" s="5">
        <f>ROUND(SUMIFS([11]Data!$H:$H,[11]Data!$B:$B,$A15,[11]Data!$D:$D,F$6),0)</f>
        <v>67914</v>
      </c>
      <c r="G15" s="5">
        <f>ROUND(SUMIFS([11]Data!$H:$H,[11]Data!$B:$B,$A15,[11]Data!$D:$D,G$6),0)</f>
        <v>0</v>
      </c>
      <c r="H15" s="5">
        <f>ROUND(SUMIFS([11]Data!$H:$H,[11]Data!$B:$B,$A15,[11]Data!$D:$D,H$6),0)</f>
        <v>1130</v>
      </c>
      <c r="I15" s="5">
        <f>ROUND(SUMIFS([11]Data!$H:$H,[11]Data!$B:$B,$A15,[11]Data!$D:$D,I$6),0)</f>
        <v>23008</v>
      </c>
      <c r="J15" s="5">
        <f>ROUND(SUMIFS([11]Data!$H:$H,[11]Data!$B:$B,$A15,[11]Data!$D:$D,J$6),0)</f>
        <v>9926</v>
      </c>
      <c r="K15" s="10">
        <f t="shared" si="0"/>
        <v>1413104</v>
      </c>
    </row>
    <row r="16" spans="1:11" x14ac:dyDescent="0.25">
      <c r="A16" s="28">
        <v>2014</v>
      </c>
      <c r="B16" s="25">
        <f>ROUND(SUMIFS([11]Data!$H:$H,[11]Data!$B:$B,$A16,[11]Data!$D:$D,B$6),0)</f>
        <v>0</v>
      </c>
      <c r="C16" s="25">
        <f>ROUND(SUMIFS([11]Data!$H:$H,[11]Data!$B:$B,$A16,[11]Data!$D:$D,C$6),0)</f>
        <v>0</v>
      </c>
      <c r="D16" s="25">
        <f>ROUND(SUMIFS([11]Data!$H:$H,[11]Data!$B:$B,$A16,[11]Data!$D:$D,D$6),0)</f>
        <v>1181005</v>
      </c>
      <c r="E16" s="25">
        <f>ROUND(SUMIFS([11]Data!$H:$H,[11]Data!$B:$B,$A16,[11]Data!$D:$D,E$6),0)</f>
        <v>81852</v>
      </c>
      <c r="F16" s="25">
        <f>ROUND(SUMIFS([11]Data!$H:$H,[11]Data!$B:$B,$A16,[11]Data!$D:$D,F$6),0)</f>
        <v>65619</v>
      </c>
      <c r="G16" s="25">
        <f>ROUND(SUMIFS([11]Data!$H:$H,[11]Data!$B:$B,$A16,[11]Data!$D:$D,G$6),0)</f>
        <v>0</v>
      </c>
      <c r="H16" s="25">
        <f>ROUND(SUMIFS([11]Data!$H:$H,[11]Data!$B:$B,$A16,[11]Data!$D:$D,H$6),0)</f>
        <v>1144</v>
      </c>
      <c r="I16" s="25">
        <f>ROUND(SUMIFS([11]Data!$H:$H,[11]Data!$B:$B,$A16,[11]Data!$D:$D,I$6),0)</f>
        <v>22342</v>
      </c>
      <c r="J16" s="25">
        <f>ROUND(SUMIFS([11]Data!$H:$H,[11]Data!$B:$B,$A16,[11]Data!$D:$D,J$6),0)</f>
        <v>16051</v>
      </c>
      <c r="K16" s="26">
        <f t="shared" si="0"/>
        <v>1368013</v>
      </c>
    </row>
    <row r="17" spans="1:11" x14ac:dyDescent="0.25">
      <c r="A17" s="403" t="s">
        <v>19</v>
      </c>
      <c r="B17" s="84">
        <f>AVERAGE(B8:B16)</f>
        <v>0</v>
      </c>
      <c r="C17" s="84">
        <f t="shared" ref="C17:K17" si="1">AVERAGE(C8:C16)</f>
        <v>0</v>
      </c>
      <c r="D17" s="84">
        <f t="shared" si="1"/>
        <v>1246469.888888889</v>
      </c>
      <c r="E17" s="84">
        <f t="shared" si="1"/>
        <v>134616.11111111112</v>
      </c>
      <c r="F17" s="84">
        <f>AVERAGE(F8:F16)</f>
        <v>60255.777777777781</v>
      </c>
      <c r="G17" s="84">
        <f t="shared" si="1"/>
        <v>0</v>
      </c>
      <c r="H17" s="84">
        <f t="shared" si="1"/>
        <v>1242.8888888888889</v>
      </c>
      <c r="I17" s="84">
        <f t="shared" si="1"/>
        <v>24861</v>
      </c>
      <c r="J17" s="84">
        <f t="shared" si="1"/>
        <v>9908.5555555555547</v>
      </c>
      <c r="K17" s="85">
        <f t="shared" si="1"/>
        <v>1477354.2222222222</v>
      </c>
    </row>
    <row r="18" spans="1:11" ht="18.75" x14ac:dyDescent="0.3">
      <c r="A18" s="339" t="s">
        <v>33</v>
      </c>
      <c r="B18" s="340"/>
      <c r="C18" s="340"/>
      <c r="D18" s="340"/>
      <c r="E18" s="341"/>
      <c r="F18" s="340"/>
      <c r="G18" s="340"/>
      <c r="H18" s="340"/>
      <c r="I18" s="340"/>
      <c r="J18" s="340"/>
      <c r="K18" s="342"/>
    </row>
    <row r="19" spans="1:11" x14ac:dyDescent="0.25">
      <c r="A19" s="140">
        <v>2006</v>
      </c>
      <c r="B19" s="343"/>
      <c r="C19" s="343"/>
      <c r="D19" s="343">
        <f>IFERROR(ROUND(D8/'Rate Class Energy Model'!D8,4),0)</f>
        <v>3.0000000000000001E-3</v>
      </c>
      <c r="E19" s="343">
        <f>IFERROR(ROUND(E8/'Rate Class Energy Model'!E8,4),0)</f>
        <v>2.5000000000000001E-3</v>
      </c>
      <c r="F19" s="343">
        <f>IFERROR(ROUND(F8/'Rate Class Energy Model'!F8,4),0)</f>
        <v>2E-3</v>
      </c>
      <c r="G19" s="343"/>
      <c r="H19" s="343">
        <f>IFERROR(ROUND(H8/'Rate Class Energy Model'!H8,4),0)</f>
        <v>4.1999999999999997E-3</v>
      </c>
      <c r="I19" s="343">
        <f>IFERROR(ROUND(I8/'Rate Class Energy Model'!I8,4),0)</f>
        <v>2.8E-3</v>
      </c>
      <c r="J19" s="343">
        <f>IFERROR(ROUND(J8/'Rate Class Energy Model'!J8,4),0)</f>
        <v>0</v>
      </c>
      <c r="K19" s="142"/>
    </row>
    <row r="20" spans="1:11" x14ac:dyDescent="0.25">
      <c r="A20" s="27">
        <v>2007</v>
      </c>
      <c r="B20" s="37"/>
      <c r="C20" s="37"/>
      <c r="D20" s="37">
        <f>IFERROR(ROUND(D9/'Rate Class Energy Model'!D9,4),0)</f>
        <v>2.5999999999999999E-3</v>
      </c>
      <c r="E20" s="37">
        <f>IFERROR(ROUND(E9/'Rate Class Energy Model'!E9,4),0)</f>
        <v>2.3E-3</v>
      </c>
      <c r="F20" s="37">
        <f>IFERROR(ROUND(F9/'Rate Class Energy Model'!F9,4),0)</f>
        <v>2.0999999999999999E-3</v>
      </c>
      <c r="G20" s="37"/>
      <c r="H20" s="37">
        <f>IFERROR(ROUND(H9/'Rate Class Energy Model'!H9,4),0)</f>
        <v>2.8E-3</v>
      </c>
      <c r="I20" s="37">
        <f>IFERROR(ROUND(I9/'Rate Class Energy Model'!I9,4),0)</f>
        <v>3.5999999999999999E-3</v>
      </c>
      <c r="J20" s="37">
        <f>IFERROR(ROUND(J9/'Rate Class Energy Model'!J9,4),0)</f>
        <v>2E-3</v>
      </c>
      <c r="K20" s="11"/>
    </row>
    <row r="21" spans="1:11" x14ac:dyDescent="0.25">
      <c r="A21" s="27">
        <v>2008</v>
      </c>
      <c r="B21" s="37"/>
      <c r="C21" s="37"/>
      <c r="D21" s="37">
        <f>IFERROR(ROUND(D10/'Rate Class Energy Model'!D10,4),0)</f>
        <v>2.8E-3</v>
      </c>
      <c r="E21" s="37">
        <f>IFERROR(ROUND(E10/'Rate Class Energy Model'!E10,4),0)</f>
        <v>2.0999999999999999E-3</v>
      </c>
      <c r="F21" s="37">
        <f>IFERROR(ROUND(F10/'Rate Class Energy Model'!F10,4),0)</f>
        <v>2.3E-3</v>
      </c>
      <c r="G21" s="37"/>
      <c r="H21" s="37">
        <f>IFERROR(ROUND(H10/'Rate Class Energy Model'!H10,4),0)</f>
        <v>2.8E-3</v>
      </c>
      <c r="I21" s="37">
        <f>IFERROR(ROUND(I10/'Rate Class Energy Model'!I10,4),0)</f>
        <v>3.0000000000000001E-3</v>
      </c>
      <c r="J21" s="37">
        <f>IFERROR(ROUND(J10/'Rate Class Energy Model'!J10,4),0)</f>
        <v>2E-3</v>
      </c>
      <c r="K21" s="11"/>
    </row>
    <row r="22" spans="1:11" x14ac:dyDescent="0.25">
      <c r="A22" s="27">
        <v>2009</v>
      </c>
      <c r="B22" s="37"/>
      <c r="C22" s="37"/>
      <c r="D22" s="37">
        <f>IFERROR(ROUND(D11/'Rate Class Energy Model'!D11,4),0)</f>
        <v>2.8999999999999998E-3</v>
      </c>
      <c r="E22" s="37">
        <f>IFERROR(ROUND(E11/'Rate Class Energy Model'!E11,4),0)</f>
        <v>3.0000000000000001E-3</v>
      </c>
      <c r="F22" s="37">
        <f>IFERROR(ROUND(F11/'Rate Class Energy Model'!F11,4),0)</f>
        <v>2.3E-3</v>
      </c>
      <c r="G22" s="37"/>
      <c r="H22" s="37">
        <f>IFERROR(ROUND(H11/'Rate Class Energy Model'!H11,4),0)</f>
        <v>2.8E-3</v>
      </c>
      <c r="I22" s="37">
        <f>IFERROR(ROUND(I11/'Rate Class Energy Model'!I11,4),0)</f>
        <v>3.0000000000000001E-3</v>
      </c>
      <c r="J22" s="37">
        <f>IFERROR(ROUND(J11/'Rate Class Energy Model'!J11,4),0)</f>
        <v>2E-3</v>
      </c>
      <c r="K22" s="11"/>
    </row>
    <row r="23" spans="1:11" x14ac:dyDescent="0.25">
      <c r="A23" s="27">
        <v>2010</v>
      </c>
      <c r="B23" s="37"/>
      <c r="C23" s="37"/>
      <c r="D23" s="37">
        <f>IFERROR(ROUND(D12/'Rate Class Energy Model'!D12,4),0)</f>
        <v>2.7000000000000001E-3</v>
      </c>
      <c r="E23" s="37">
        <f>IFERROR(ROUND(E12/'Rate Class Energy Model'!E12,4),0)</f>
        <v>2.8999999999999998E-3</v>
      </c>
      <c r="F23" s="37">
        <f>IFERROR(ROUND(F12/'Rate Class Energy Model'!F12,4),0)</f>
        <v>1.9E-3</v>
      </c>
      <c r="G23" s="37"/>
      <c r="H23" s="37">
        <f>IFERROR(ROUND(H12/'Rate Class Energy Model'!H12,4),0)</f>
        <v>2.8E-3</v>
      </c>
      <c r="I23" s="37">
        <f>IFERROR(ROUND(I12/'Rate Class Energy Model'!I12,4),0)</f>
        <v>3.0000000000000001E-3</v>
      </c>
      <c r="J23" s="37">
        <f>IFERROR(ROUND(J12/'Rate Class Energy Model'!J12,4),0)</f>
        <v>2.0999999999999999E-3</v>
      </c>
      <c r="K23" s="11"/>
    </row>
    <row r="24" spans="1:11" x14ac:dyDescent="0.25">
      <c r="A24" s="27">
        <v>2011</v>
      </c>
      <c r="B24" s="37"/>
      <c r="C24" s="37"/>
      <c r="D24" s="37">
        <f>IFERROR(ROUND(D13/'Rate Class Energy Model'!D13,4),0)</f>
        <v>2.7000000000000001E-3</v>
      </c>
      <c r="E24" s="37">
        <f>IFERROR(ROUND(E13/'Rate Class Energy Model'!E13,4),0)</f>
        <v>2.3999999999999998E-3</v>
      </c>
      <c r="F24" s="37">
        <f>IFERROR(ROUND(F13/'Rate Class Energy Model'!F13,4),0)</f>
        <v>1.9E-3</v>
      </c>
      <c r="G24" s="37"/>
      <c r="H24" s="37">
        <f>IFERROR(ROUND(H13/'Rate Class Energy Model'!H13,4),0)</f>
        <v>2.8E-3</v>
      </c>
      <c r="I24" s="37">
        <f>IFERROR(ROUND(I13/'Rate Class Energy Model'!I13,4),0)</f>
        <v>3.0000000000000001E-3</v>
      </c>
      <c r="J24" s="37">
        <f>IFERROR(ROUND(J13/'Rate Class Energy Model'!J13,4),0)</f>
        <v>2.7000000000000001E-3</v>
      </c>
      <c r="K24" s="11"/>
    </row>
    <row r="25" spans="1:11" x14ac:dyDescent="0.25">
      <c r="A25" s="27">
        <v>2012</v>
      </c>
      <c r="B25" s="37"/>
      <c r="C25" s="37"/>
      <c r="D25" s="37">
        <f>IFERROR(ROUND(D14/'Rate Class Energy Model'!D14,4),0)</f>
        <v>2.5999999999999999E-3</v>
      </c>
      <c r="E25" s="37">
        <f>IFERROR(ROUND(E14/'Rate Class Energy Model'!E14,4),0)</f>
        <v>2.3999999999999998E-3</v>
      </c>
      <c r="F25" s="37">
        <f>IFERROR(ROUND(F14/'Rate Class Energy Model'!F14,4),0)</f>
        <v>2E-3</v>
      </c>
      <c r="G25" s="37"/>
      <c r="H25" s="37">
        <f>IFERROR(ROUND(H14/'Rate Class Energy Model'!H14,4),0)</f>
        <v>2.8E-3</v>
      </c>
      <c r="I25" s="37">
        <f>IFERROR(ROUND(I14/'Rate Class Energy Model'!I14,4),0)</f>
        <v>3.0000000000000001E-3</v>
      </c>
      <c r="J25" s="37">
        <f>IFERROR(ROUND(J14/'Rate Class Energy Model'!J14,4),0)</f>
        <v>2.2000000000000001E-3</v>
      </c>
      <c r="K25" s="11"/>
    </row>
    <row r="26" spans="1:11" x14ac:dyDescent="0.25">
      <c r="A26" s="27">
        <v>2013</v>
      </c>
      <c r="B26" s="37"/>
      <c r="C26" s="37"/>
      <c r="D26" s="37">
        <f>IFERROR(ROUND(D15/'Rate Class Energy Model'!D15,4),0)</f>
        <v>2.7000000000000001E-3</v>
      </c>
      <c r="E26" s="37">
        <f>IFERROR(ROUND(E15/'Rate Class Energy Model'!E15,4),0)</f>
        <v>2.2000000000000001E-3</v>
      </c>
      <c r="F26" s="37">
        <f>IFERROR(ROUND(F15/'Rate Class Energy Model'!F15,4),0)</f>
        <v>2.0999999999999999E-3</v>
      </c>
      <c r="G26" s="37"/>
      <c r="H26" s="37">
        <f>IFERROR(ROUND(H15/'Rate Class Energy Model'!H15,4),0)</f>
        <v>2.8E-3</v>
      </c>
      <c r="I26" s="37">
        <f>IFERROR(ROUND(I15/'Rate Class Energy Model'!I15,4),0)</f>
        <v>3.0000000000000001E-3</v>
      </c>
      <c r="J26" s="37">
        <f>IFERROR(ROUND(J15/'Rate Class Energy Model'!J15,4),0)</f>
        <v>2.2000000000000001E-3</v>
      </c>
      <c r="K26" s="11"/>
    </row>
    <row r="27" spans="1:11" x14ac:dyDescent="0.25">
      <c r="A27" s="29">
        <v>2014</v>
      </c>
      <c r="B27" s="344"/>
      <c r="C27" s="344"/>
      <c r="D27" s="344">
        <f>IFERROR(ROUND(D16/'Rate Class Energy Model'!D16,4),0)</f>
        <v>2.5999999999999999E-3</v>
      </c>
      <c r="E27" s="344">
        <f>IFERROR(ROUND(E16/'Rate Class Energy Model'!E16,4),0)</f>
        <v>2.5000000000000001E-3</v>
      </c>
      <c r="F27" s="344">
        <f>IFERROR(ROUND(F16/'Rate Class Energy Model'!F16,4),0)</f>
        <v>2.0999999999999999E-3</v>
      </c>
      <c r="G27" s="344"/>
      <c r="H27" s="344">
        <f>IFERROR(ROUND(H16/'Rate Class Energy Model'!H16,4),0)</f>
        <v>2.8E-3</v>
      </c>
      <c r="I27" s="344">
        <f>IFERROR(ROUND(I16/'Rate Class Energy Model'!I16,4),0)</f>
        <v>3.0000000000000001E-3</v>
      </c>
      <c r="J27" s="344">
        <f>IFERROR(ROUND(J16/'Rate Class Energy Model'!J16,4),0)</f>
        <v>3.5000000000000001E-3</v>
      </c>
      <c r="K27" s="143"/>
    </row>
    <row r="28" spans="1:11" x14ac:dyDescent="0.25">
      <c r="A28" s="403" t="s">
        <v>19</v>
      </c>
      <c r="B28" s="345"/>
      <c r="C28" s="345"/>
      <c r="D28" s="345">
        <f>AVERAGE(D23:D27)</f>
        <v>2.66E-3</v>
      </c>
      <c r="E28" s="345">
        <f>AVERAGE(E23:E27)</f>
        <v>2.48E-3</v>
      </c>
      <c r="F28" s="345">
        <f>AVERAGE(F23:F27)</f>
        <v>1.9999999999999996E-3</v>
      </c>
      <c r="G28" s="345"/>
      <c r="H28" s="345">
        <f>AVERAGE(H23:H27)</f>
        <v>2.8E-3</v>
      </c>
      <c r="I28" s="345">
        <f>AVERAGE(I23:I27)</f>
        <v>3.0000000000000001E-3</v>
      </c>
      <c r="J28" s="345">
        <f>AVERAGE(J23:J27)</f>
        <v>2.5400000000000002E-3</v>
      </c>
      <c r="K28" s="87"/>
    </row>
    <row r="29" spans="1:11" ht="18.75" x14ac:dyDescent="0.3">
      <c r="A29" s="81" t="s">
        <v>380</v>
      </c>
      <c r="B29" s="23"/>
      <c r="C29" s="23"/>
      <c r="D29" s="23"/>
      <c r="E29" s="23"/>
      <c r="F29" s="23"/>
      <c r="G29" s="23"/>
      <c r="H29" s="23"/>
      <c r="I29" s="23"/>
      <c r="J29" s="23"/>
      <c r="K29" s="24"/>
    </row>
    <row r="30" spans="1:11" s="34" customFormat="1" ht="23.25" customHeight="1" x14ac:dyDescent="0.25">
      <c r="A30" s="333">
        <v>2015</v>
      </c>
      <c r="B30" s="107">
        <f>ROUND(B28*('Rate Class Energy Model'!B54+'Rate Class Energy Model'!B57),0)</f>
        <v>0</v>
      </c>
      <c r="C30" s="107">
        <f>ROUND(C28*('Rate Class Energy Model'!C54+'Rate Class Energy Model'!C57),0)</f>
        <v>0</v>
      </c>
      <c r="D30" s="107">
        <f>ROUND(D28*('Rate Class Energy Model'!D54+'Rate Class Energy Model'!D57),0)</f>
        <v>1233954</v>
      </c>
      <c r="E30" s="107">
        <f>ROUND(E28*('Rate Class Energy Model'!E54+'Rate Class Energy Model'!E57),0)</f>
        <v>51897</v>
      </c>
      <c r="F30" s="107">
        <f>ROUND(F28*('Rate Class Energy Model'!F54+'Rate Class Energy Model'!F57),0)</f>
        <v>61427</v>
      </c>
      <c r="G30" s="107">
        <f>ROUND(G28*('Rate Class Energy Model'!G54+'Rate Class Energy Model'!G57),0)</f>
        <v>0</v>
      </c>
      <c r="H30" s="107">
        <f>ROUND(H28*('Rate Class Energy Model'!H54+'Rate Class Energy Model'!H57),0)</f>
        <v>1127</v>
      </c>
      <c r="I30" s="107">
        <f>ROUND(I28*('Rate Class Energy Model'!I54+'Rate Class Energy Model'!I57),0)</f>
        <v>22189</v>
      </c>
      <c r="J30" s="107">
        <f>ROUND(J28*('Rate Class Energy Model'!J54+'Rate Class Energy Model'!J57),0)</f>
        <v>11499</v>
      </c>
      <c r="K30" s="334">
        <f>SUM(B30:J30)</f>
        <v>1382093</v>
      </c>
    </row>
    <row r="31" spans="1:11" s="34" customFormat="1" ht="23.25" customHeight="1" x14ac:dyDescent="0.25">
      <c r="A31" s="335">
        <v>2016</v>
      </c>
      <c r="B31" s="132">
        <f>ROUND(B28*('Rate Class Energy Model'!B55+'Rate Class Energy Model'!B58),0)</f>
        <v>0</v>
      </c>
      <c r="C31" s="132">
        <f>ROUND(C28*('Rate Class Energy Model'!C55+'Rate Class Energy Model'!C58),0)</f>
        <v>0</v>
      </c>
      <c r="D31" s="132">
        <f>ROUND(D28*('Rate Class Energy Model'!D55+'Rate Class Energy Model'!D58),0)</f>
        <v>1255480</v>
      </c>
      <c r="E31" s="132">
        <f>ROUND(E28*('Rate Class Energy Model'!E55+'Rate Class Energy Model'!E58),0)</f>
        <v>26471</v>
      </c>
      <c r="F31" s="132">
        <f>ROUND(F28*('Rate Class Energy Model'!F55+'Rate Class Energy Model'!F58),0)</f>
        <v>59755</v>
      </c>
      <c r="G31" s="132">
        <f>ROUND(G28*('Rate Class Energy Model'!G55+'Rate Class Energy Model'!G58),0)</f>
        <v>0</v>
      </c>
      <c r="H31" s="132">
        <f>ROUND(H28*('Rate Class Energy Model'!H55+'Rate Class Energy Model'!H58),0)</f>
        <v>1110</v>
      </c>
      <c r="I31" s="132">
        <f>ROUND(I28*('Rate Class Energy Model'!I55+'Rate Class Energy Model'!I58),0)</f>
        <v>21790</v>
      </c>
      <c r="J31" s="132">
        <f>ROUND(J28*('Rate Class Energy Model'!J55+'Rate Class Energy Model'!J58),0)</f>
        <v>11231</v>
      </c>
      <c r="K31" s="133">
        <f>SUM(B31:J31)</f>
        <v>1375837</v>
      </c>
    </row>
    <row r="32" spans="1:11" ht="18.75" x14ac:dyDescent="0.3">
      <c r="A32" s="358" t="s">
        <v>370</v>
      </c>
      <c r="B32" s="337"/>
      <c r="C32" s="337"/>
      <c r="D32" s="337"/>
      <c r="E32" s="337"/>
      <c r="F32" s="337"/>
      <c r="G32" s="337"/>
      <c r="H32" s="337"/>
      <c r="I32" s="337"/>
      <c r="J32" s="337"/>
      <c r="K32" s="359"/>
    </row>
    <row r="33" spans="1:11" x14ac:dyDescent="0.25">
      <c r="A33" s="333">
        <v>2015</v>
      </c>
      <c r="B33" s="107">
        <f>WMP!B30</f>
        <v>0</v>
      </c>
      <c r="C33" s="107">
        <f>WMP!C30</f>
        <v>0</v>
      </c>
      <c r="D33" s="107">
        <f>WMP!D30</f>
        <v>16132.487553231093</v>
      </c>
      <c r="E33" s="107">
        <f>WMP!E30</f>
        <v>0</v>
      </c>
      <c r="F33" s="107">
        <f>WMP!F30</f>
        <v>0</v>
      </c>
      <c r="G33" s="107">
        <f>WMP!G30</f>
        <v>0</v>
      </c>
      <c r="H33" s="107">
        <f>WMP!H30</f>
        <v>0</v>
      </c>
      <c r="I33" s="107">
        <f>WMP!I30</f>
        <v>0</v>
      </c>
      <c r="J33" s="107">
        <f>WMP!J30</f>
        <v>0</v>
      </c>
      <c r="K33" s="334">
        <f>SUM(B33:J33)</f>
        <v>16132.487553231093</v>
      </c>
    </row>
    <row r="34" spans="1:11" x14ac:dyDescent="0.25">
      <c r="A34" s="335">
        <v>2016</v>
      </c>
      <c r="B34" s="132">
        <f>WMP!B31</f>
        <v>0</v>
      </c>
      <c r="C34" s="132">
        <f>WMP!C31</f>
        <v>0</v>
      </c>
      <c r="D34" s="132">
        <f>WMP!D31</f>
        <v>16736.806876598519</v>
      </c>
      <c r="E34" s="132">
        <f>WMP!E31</f>
        <v>0</v>
      </c>
      <c r="F34" s="132">
        <f>WMP!F31</f>
        <v>0</v>
      </c>
      <c r="G34" s="132">
        <f>WMP!G31</f>
        <v>0</v>
      </c>
      <c r="H34" s="132">
        <f>WMP!H31</f>
        <v>0</v>
      </c>
      <c r="I34" s="132">
        <f>WMP!I31</f>
        <v>0</v>
      </c>
      <c r="J34" s="132">
        <f>WMP!J31</f>
        <v>0</v>
      </c>
      <c r="K34" s="133">
        <f>SUM(B34:J34)</f>
        <v>16736.806876598519</v>
      </c>
    </row>
    <row r="35" spans="1:11" ht="18.75" x14ac:dyDescent="0.3">
      <c r="A35" s="81" t="s">
        <v>379</v>
      </c>
      <c r="B35" s="23"/>
      <c r="C35" s="23"/>
      <c r="D35" s="23"/>
      <c r="E35" s="23"/>
      <c r="F35" s="23"/>
      <c r="G35" s="23"/>
      <c r="H35" s="23"/>
      <c r="I35" s="23"/>
      <c r="J35" s="23"/>
      <c r="K35" s="24"/>
    </row>
    <row r="36" spans="1:11" s="34" customFormat="1" ht="23.25" customHeight="1" x14ac:dyDescent="0.25">
      <c r="A36" s="333">
        <v>2015</v>
      </c>
      <c r="B36" s="107">
        <f>B30+B33</f>
        <v>0</v>
      </c>
      <c r="C36" s="107">
        <f t="shared" ref="C36:J37" si="2">C30+C33</f>
        <v>0</v>
      </c>
      <c r="D36" s="107">
        <f t="shared" si="2"/>
        <v>1250086.4875532312</v>
      </c>
      <c r="E36" s="107">
        <f t="shared" si="2"/>
        <v>51897</v>
      </c>
      <c r="F36" s="107">
        <f t="shared" si="2"/>
        <v>61427</v>
      </c>
      <c r="G36" s="107">
        <f t="shared" si="2"/>
        <v>0</v>
      </c>
      <c r="H36" s="107">
        <f t="shared" si="2"/>
        <v>1127</v>
      </c>
      <c r="I36" s="107">
        <f t="shared" si="2"/>
        <v>22189</v>
      </c>
      <c r="J36" s="107">
        <f t="shared" si="2"/>
        <v>11499</v>
      </c>
      <c r="K36" s="334">
        <f>SUM(B36:J36)</f>
        <v>1398225.4875532312</v>
      </c>
    </row>
    <row r="37" spans="1:11" s="34" customFormat="1" ht="23.25" customHeight="1" x14ac:dyDescent="0.25">
      <c r="A37" s="335">
        <v>2016</v>
      </c>
      <c r="B37" s="132">
        <f>B31+B34</f>
        <v>0</v>
      </c>
      <c r="C37" s="132">
        <f t="shared" si="2"/>
        <v>0</v>
      </c>
      <c r="D37" s="132">
        <f t="shared" si="2"/>
        <v>1272216.8068765986</v>
      </c>
      <c r="E37" s="132">
        <f t="shared" si="2"/>
        <v>26471</v>
      </c>
      <c r="F37" s="132">
        <f t="shared" si="2"/>
        <v>59755</v>
      </c>
      <c r="G37" s="132">
        <f t="shared" si="2"/>
        <v>0</v>
      </c>
      <c r="H37" s="132">
        <f t="shared" si="2"/>
        <v>1110</v>
      </c>
      <c r="I37" s="132">
        <f t="shared" si="2"/>
        <v>21790</v>
      </c>
      <c r="J37" s="132">
        <f t="shared" si="2"/>
        <v>11231</v>
      </c>
      <c r="K37" s="133">
        <f>SUM(B37:J37)</f>
        <v>1392573.8068765986</v>
      </c>
    </row>
  </sheetData>
  <pageMargins left="0.7" right="0.7" top="0.75" bottom="0.75" header="0.3" footer="0.3"/>
  <pageSetup scale="91" fitToHeight="2"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topLeftCell="A19" zoomScale="110" zoomScaleNormal="110" workbookViewId="0">
      <selection activeCell="M135" sqref="M135"/>
    </sheetView>
  </sheetViews>
  <sheetFormatPr defaultRowHeight="15" x14ac:dyDescent="0.25"/>
  <cols>
    <col min="1" max="1" width="24.42578125" style="162" customWidth="1"/>
    <col min="2" max="11" width="12.7109375" style="162" customWidth="1"/>
    <col min="12" max="12" width="13.7109375" style="162" customWidth="1"/>
    <col min="13" max="16384" width="9.140625" style="162"/>
  </cols>
  <sheetData>
    <row r="1" spans="1:13" ht="18.75" x14ac:dyDescent="0.3">
      <c r="A1" s="172" t="s">
        <v>0</v>
      </c>
      <c r="B1" s="172"/>
      <c r="C1" s="172"/>
      <c r="D1" s="172"/>
      <c r="E1" s="172"/>
      <c r="F1" s="172"/>
      <c r="G1" s="172"/>
      <c r="H1" s="172"/>
      <c r="I1" s="172"/>
      <c r="J1" s="172"/>
      <c r="K1" s="172"/>
      <c r="L1" s="172"/>
    </row>
    <row r="2" spans="1:13" ht="18.75" x14ac:dyDescent="0.3">
      <c r="A2" s="30" t="s">
        <v>294</v>
      </c>
      <c r="B2" s="172"/>
      <c r="C2" s="172"/>
      <c r="D2" s="172"/>
      <c r="E2" s="172"/>
      <c r="F2" s="172"/>
      <c r="G2" s="172"/>
      <c r="H2" s="172"/>
      <c r="I2" s="172"/>
      <c r="J2" s="172"/>
      <c r="K2" s="172"/>
      <c r="L2" s="172"/>
    </row>
    <row r="3" spans="1:13" ht="19.5" thickBot="1" x14ac:dyDescent="0.35">
      <c r="A3" s="173" t="s">
        <v>268</v>
      </c>
      <c r="B3" s="173"/>
      <c r="C3" s="173"/>
      <c r="D3" s="173"/>
      <c r="E3" s="173"/>
      <c r="F3" s="173"/>
      <c r="G3" s="173"/>
      <c r="H3" s="173"/>
      <c r="I3" s="173"/>
      <c r="J3" s="173"/>
      <c r="K3" s="173"/>
      <c r="L3" s="172"/>
    </row>
    <row r="4" spans="1:13" ht="18.75" x14ac:dyDescent="0.3">
      <c r="L4" s="172"/>
    </row>
    <row r="5" spans="1:13" ht="18.75" x14ac:dyDescent="0.3">
      <c r="A5" s="174" t="s">
        <v>289</v>
      </c>
      <c r="B5" s="175"/>
      <c r="C5" s="175"/>
      <c r="D5" s="175"/>
      <c r="E5" s="175"/>
      <c r="F5" s="175"/>
      <c r="G5" s="175"/>
      <c r="H5" s="176"/>
    </row>
    <row r="6" spans="1:13" x14ac:dyDescent="0.25">
      <c r="A6" s="177" t="s">
        <v>35</v>
      </c>
      <c r="B6" s="178">
        <v>2015</v>
      </c>
      <c r="C6" s="178">
        <v>2016</v>
      </c>
      <c r="D6" s="178">
        <v>2017</v>
      </c>
      <c r="E6" s="178">
        <v>2018</v>
      </c>
      <c r="F6" s="178">
        <v>2019</v>
      </c>
      <c r="G6" s="179">
        <v>2020</v>
      </c>
      <c r="H6" s="180" t="s">
        <v>56</v>
      </c>
    </row>
    <row r="7" spans="1:13" x14ac:dyDescent="0.25">
      <c r="A7" s="227" t="s">
        <v>290</v>
      </c>
      <c r="B7" s="228"/>
      <c r="C7" s="228"/>
      <c r="D7" s="228"/>
      <c r="E7" s="228"/>
      <c r="F7" s="228"/>
      <c r="G7" s="229"/>
      <c r="H7" s="230"/>
    </row>
    <row r="8" spans="1:13" ht="18.75" x14ac:dyDescent="0.3">
      <c r="A8" s="181" t="s">
        <v>269</v>
      </c>
      <c r="B8" s="182">
        <f>'[13]Detailed CDM Plan Summary'!$F$19*1000</f>
        <v>28775427.410910897</v>
      </c>
      <c r="C8" s="182">
        <f>'[13]Detailed CDM Plan Summary'!$H19*1000</f>
        <v>28775427.410910897</v>
      </c>
      <c r="D8" s="182">
        <f>'[13]Detailed CDM Plan Summary'!$J19*1000</f>
        <v>28775427.410910897</v>
      </c>
      <c r="E8" s="182">
        <f>'[13]Detailed CDM Plan Summary'!$L19*1000</f>
        <v>28775427.410910897</v>
      </c>
      <c r="F8" s="182">
        <f>'[13]Detailed CDM Plan Summary'!$N19*1000</f>
        <v>28396159.760910898</v>
      </c>
      <c r="G8" s="183">
        <f>'[13]Detailed CDM Plan Summary'!$P19*1000</f>
        <v>28396159.760910898</v>
      </c>
      <c r="H8" s="184"/>
      <c r="J8" s="185"/>
      <c r="K8" s="185"/>
      <c r="L8" s="172"/>
    </row>
    <row r="9" spans="1:13" x14ac:dyDescent="0.25">
      <c r="A9" s="186" t="s">
        <v>270</v>
      </c>
      <c r="B9" s="187"/>
      <c r="C9" s="187">
        <f>'[13]Detailed CDM Plan Summary'!$H20*1000</f>
        <v>6218595.9788392587</v>
      </c>
      <c r="D9" s="187">
        <f>'[13]Detailed CDM Plan Summary'!$J20*1000</f>
        <v>6218595.9788392587</v>
      </c>
      <c r="E9" s="187">
        <f>'[13]Detailed CDM Plan Summary'!$L20*1000</f>
        <v>6218595.9788392587</v>
      </c>
      <c r="F9" s="187">
        <f>'[13]Detailed CDM Plan Summary'!$N20*1000</f>
        <v>6218595.9788392587</v>
      </c>
      <c r="G9" s="188">
        <f>'[13]Detailed CDM Plan Summary'!$P20*1000</f>
        <v>5611767.7388392594</v>
      </c>
      <c r="H9" s="189"/>
      <c r="J9" s="185"/>
      <c r="K9" s="185"/>
    </row>
    <row r="10" spans="1:13" x14ac:dyDescent="0.25">
      <c r="A10" s="186" t="s">
        <v>271</v>
      </c>
      <c r="B10" s="187"/>
      <c r="C10" s="187">
        <f>'[13]Detailed CDM Plan Summary'!$H21*1000</f>
        <v>0</v>
      </c>
      <c r="D10" s="187">
        <f>'[13]Detailed CDM Plan Summary'!$J21*1000</f>
        <v>6049722.7290270496</v>
      </c>
      <c r="E10" s="187">
        <f>'[13]Detailed CDM Plan Summary'!$L21*1000</f>
        <v>6049722.7290270496</v>
      </c>
      <c r="F10" s="187">
        <f>'[13]Detailed CDM Plan Summary'!$N21*1000</f>
        <v>6049722.7290270496</v>
      </c>
      <c r="G10" s="188">
        <f>'[13]Detailed CDM Plan Summary'!$P21*1000</f>
        <v>6049722.7290270496</v>
      </c>
      <c r="H10" s="189"/>
      <c r="J10" s="185"/>
      <c r="K10" s="185"/>
    </row>
    <row r="11" spans="1:13" x14ac:dyDescent="0.25">
      <c r="A11" s="186" t="s">
        <v>272</v>
      </c>
      <c r="B11" s="187"/>
      <c r="C11" s="187">
        <f>'[13]Detailed CDM Plan Summary'!$H22*1000</f>
        <v>0</v>
      </c>
      <c r="D11" s="187">
        <f>'[13]Detailed CDM Plan Summary'!$J22*1000</f>
        <v>0</v>
      </c>
      <c r="E11" s="187">
        <f>'[13]Detailed CDM Plan Summary'!$L22*1000</f>
        <v>12078194.915390169</v>
      </c>
      <c r="F11" s="187">
        <f>'[13]Detailed CDM Plan Summary'!$N22*1000</f>
        <v>12078194.915390169</v>
      </c>
      <c r="G11" s="188">
        <f>'[13]Detailed CDM Plan Summary'!$P22*1000</f>
        <v>12078194.915390169</v>
      </c>
      <c r="H11" s="189"/>
      <c r="J11" s="185"/>
      <c r="K11" s="185"/>
    </row>
    <row r="12" spans="1:13" x14ac:dyDescent="0.25">
      <c r="A12" s="186" t="s">
        <v>273</v>
      </c>
      <c r="B12" s="187"/>
      <c r="C12" s="187">
        <f>'[13]Detailed CDM Plan Summary'!$H23*1000</f>
        <v>0</v>
      </c>
      <c r="D12" s="187">
        <f>'[13]Detailed CDM Plan Summary'!$J23*1000</f>
        <v>0</v>
      </c>
      <c r="E12" s="187">
        <f>'[13]Detailed CDM Plan Summary'!$L23*1000</f>
        <v>0</v>
      </c>
      <c r="F12" s="187">
        <f>'[13]Detailed CDM Plan Summary'!$N23*1000</f>
        <v>5165783.3899952797</v>
      </c>
      <c r="G12" s="188">
        <f>'[13]Detailed CDM Plan Summary'!$P23*1000</f>
        <v>5165783.3899952797</v>
      </c>
      <c r="H12" s="189"/>
    </row>
    <row r="13" spans="1:13" x14ac:dyDescent="0.25">
      <c r="A13" s="190" t="s">
        <v>274</v>
      </c>
      <c r="B13" s="191"/>
      <c r="C13" s="191">
        <f>'[13]Detailed CDM Plan Summary'!$H24*1000</f>
        <v>0</v>
      </c>
      <c r="D13" s="191">
        <f>'[13]Detailed CDM Plan Summary'!$J24*1000</f>
        <v>0</v>
      </c>
      <c r="E13" s="191">
        <f>'[13]Detailed CDM Plan Summary'!$L24*1000</f>
        <v>0</v>
      </c>
      <c r="F13" s="191">
        <f>'[13]Detailed CDM Plan Summary'!$N24*1000</f>
        <v>0</v>
      </c>
      <c r="G13" s="192">
        <f>'[13]Detailed CDM Plan Summary'!$P24*1000</f>
        <v>4777518.8415844236</v>
      </c>
      <c r="H13" s="193"/>
    </row>
    <row r="14" spans="1:13" x14ac:dyDescent="0.25">
      <c r="A14" s="198" t="s">
        <v>283</v>
      </c>
      <c r="B14" s="199">
        <f t="shared" ref="B14:G14" si="0">SUM(B8:B13)</f>
        <v>28775427.410910897</v>
      </c>
      <c r="C14" s="199">
        <f t="shared" si="0"/>
        <v>34994023.389750153</v>
      </c>
      <c r="D14" s="199">
        <f t="shared" si="0"/>
        <v>41043746.118777201</v>
      </c>
      <c r="E14" s="199">
        <f t="shared" si="0"/>
        <v>53121941.034167372</v>
      </c>
      <c r="F14" s="199">
        <f t="shared" si="0"/>
        <v>57908456.77416265</v>
      </c>
      <c r="G14" s="200">
        <f t="shared" si="0"/>
        <v>62079147.375747077</v>
      </c>
      <c r="H14" s="235"/>
    </row>
    <row r="15" spans="1:13" x14ac:dyDescent="0.25">
      <c r="A15" s="194" t="s">
        <v>291</v>
      </c>
      <c r="B15" s="195">
        <f>(B8/(SUM($B$8,$C$9,$D$10,$E$11,$F$12,$G$13)))</f>
        <v>0.45628028880592353</v>
      </c>
      <c r="C15" s="195">
        <f>(C9/(SUM($B$8,$C$9,$D$10,$E$11,$F$12,$G$13)))</f>
        <v>9.8605755830276712E-2</v>
      </c>
      <c r="D15" s="195">
        <f>(D10/(SUM($B$8,$C$9,$D$10,$E$11,$F$12,$G$13)))</f>
        <v>9.5928001158014475E-2</v>
      </c>
      <c r="E15" s="195">
        <f>(E11/(SUM($B$8,$C$9,$D$10,$E$11,$F$12,$G$13)))</f>
        <v>0.19151904107456694</v>
      </c>
      <c r="F15" s="195">
        <f>(F12/(SUM($B$8,$C$9,$D$10,$E$11,$F$12,$G$13)))</f>
        <v>8.1911733349342306E-2</v>
      </c>
      <c r="G15" s="196">
        <f>(G13/(SUM($B$8,$C$9,$D$10,$E$11,$F$12,$G$13)))</f>
        <v>7.5755179781876153E-2</v>
      </c>
      <c r="H15" s="197">
        <f>SUM(B15:G15)</f>
        <v>1.0000000000000002</v>
      </c>
    </row>
    <row r="16" spans="1:13" x14ac:dyDescent="0.25">
      <c r="A16" s="231" t="s">
        <v>284</v>
      </c>
      <c r="B16" s="232">
        <f>ROUND($H$16*B15,0)</f>
        <v>25916720</v>
      </c>
      <c r="C16" s="232">
        <f>ROUND($H$16*C15,0)</f>
        <v>5600807</v>
      </c>
      <c r="D16" s="232">
        <f>ROUND($H$16*D15,0)</f>
        <v>5448710</v>
      </c>
      <c r="E16" s="232">
        <f>ROUND($H$16*E15,0)</f>
        <v>10878282</v>
      </c>
      <c r="F16" s="232">
        <f>ROUND($H$16*F15,0)</f>
        <v>4652586</v>
      </c>
      <c r="G16" s="233">
        <f>ROUND(H16*G15,0)+1</f>
        <v>4302895</v>
      </c>
      <c r="H16" s="234">
        <v>56800000</v>
      </c>
      <c r="M16" s="201"/>
    </row>
    <row r="17" spans="1:12" x14ac:dyDescent="0.25">
      <c r="C17" s="185"/>
      <c r="D17" s="185"/>
      <c r="E17" s="185"/>
      <c r="F17" s="185"/>
      <c r="G17" s="185"/>
      <c r="H17" s="185"/>
    </row>
    <row r="18" spans="1:12" ht="18.75" x14ac:dyDescent="0.3">
      <c r="A18" s="239" t="s">
        <v>292</v>
      </c>
      <c r="B18" s="236"/>
      <c r="C18" s="237"/>
      <c r="D18" s="237"/>
      <c r="E18" s="237"/>
      <c r="F18" s="237"/>
      <c r="G18" s="237"/>
      <c r="H18" s="237"/>
      <c r="I18" s="236"/>
      <c r="J18" s="236"/>
      <c r="K18" s="238"/>
    </row>
    <row r="19" spans="1:12" ht="45" x14ac:dyDescent="0.25">
      <c r="A19" s="202" t="s">
        <v>35</v>
      </c>
      <c r="B19" s="203" t="s">
        <v>2</v>
      </c>
      <c r="C19" s="203" t="s">
        <v>3</v>
      </c>
      <c r="D19" s="203" t="s">
        <v>4</v>
      </c>
      <c r="E19" s="203" t="s">
        <v>265</v>
      </c>
      <c r="F19" s="203" t="s">
        <v>266</v>
      </c>
      <c r="G19" s="203" t="s">
        <v>6</v>
      </c>
      <c r="H19" s="203" t="s">
        <v>8</v>
      </c>
      <c r="I19" s="203" t="s">
        <v>7</v>
      </c>
      <c r="J19" s="203" t="s">
        <v>303</v>
      </c>
      <c r="K19" s="204" t="s">
        <v>18</v>
      </c>
    </row>
    <row r="20" spans="1:12" x14ac:dyDescent="0.25">
      <c r="A20" s="240" t="s">
        <v>367</v>
      </c>
      <c r="B20" s="241"/>
      <c r="C20" s="242"/>
      <c r="D20" s="242"/>
      <c r="E20" s="242"/>
      <c r="F20" s="242"/>
      <c r="G20" s="242"/>
      <c r="H20" s="241"/>
      <c r="I20" s="241"/>
      <c r="J20" s="241"/>
      <c r="K20" s="243"/>
    </row>
    <row r="21" spans="1:12" x14ac:dyDescent="0.25">
      <c r="A21" s="186" t="s">
        <v>365</v>
      </c>
      <c r="B21" s="205">
        <f>('[13]CDM Plan Summary'!$D$33+'[13]CDM Plan Summary'!$D$34+'[13]CDM Plan Summary'!$D$35+'[13]CDM Plan Summary'!$D$36+'[13]CDM Plan Summary'!$D$48)*1000</f>
        <v>145989.12385504428</v>
      </c>
      <c r="C21" s="205">
        <f>(('[13]CDM Plan Summary'!$D$32+'[13]CDM Plan Summary'!$D$37+'[13]CDM Plan Summary'!$D$38)*1000)*54.7%</f>
        <v>508863.65995800006</v>
      </c>
      <c r="D21" s="205">
        <f>(('[13]CDM Plan Summary'!$D$32+'[13]CDM Plan Summary'!$D$37+'[13]CDM Plan Summary'!$D$38)*1000)*45.3%</f>
        <v>421417.25404199993</v>
      </c>
      <c r="E21" s="205"/>
      <c r="F21" s="205"/>
      <c r="G21" s="206"/>
      <c r="H21" s="206"/>
      <c r="I21" s="206"/>
      <c r="J21" s="206"/>
      <c r="K21" s="207">
        <f>SUM(B21:J21)</f>
        <v>1076270.0378550442</v>
      </c>
    </row>
    <row r="22" spans="1:12" x14ac:dyDescent="0.25">
      <c r="A22" s="208" t="s">
        <v>366</v>
      </c>
      <c r="B22" s="209">
        <f>('[13]CDM Plan Summary'!$D$40+'[13]CDM Plan Summary'!$D$41+'[13]CDM Plan Summary'!$D$42+'[13]CDM Plan Summary'!$D$43+'[13]CDM Plan Summary'!$D$46)*1000</f>
        <v>439806.58905585483</v>
      </c>
      <c r="C22" s="209">
        <f>(('[13]CDM Plan Summary'!$D$39+'[13]CDM Plan Summary'!$D$44+'[13]CDM Plan Summary'!$D$47)*54.7%)*1000</f>
        <v>1929516.454048</v>
      </c>
      <c r="D22" s="209">
        <f>(('[13]CDM Plan Summary'!$D$39+'[13]CDM Plan Summary'!$D$44+'[13]CDM Plan Summary'!$D$47)*45.3%)*1000</f>
        <v>1597935.9299519998</v>
      </c>
      <c r="E22" s="209">
        <f>'[13]CDM Plan Summary'!$D$45*1000</f>
        <v>23731898.400000002</v>
      </c>
      <c r="F22" s="209"/>
      <c r="G22" s="210"/>
      <c r="H22" s="210"/>
      <c r="I22" s="210"/>
      <c r="J22" s="210"/>
      <c r="K22" s="211">
        <f>SUM(B22:J22)</f>
        <v>27699157.373055857</v>
      </c>
    </row>
    <row r="23" spans="1:12" x14ac:dyDescent="0.25">
      <c r="A23" s="212" t="s">
        <v>286</v>
      </c>
      <c r="B23" s="213">
        <f t="shared" ref="B23:K23" si="1">B21+B22</f>
        <v>585795.71291089908</v>
      </c>
      <c r="C23" s="213">
        <f t="shared" si="1"/>
        <v>2438380.1140060001</v>
      </c>
      <c r="D23" s="213">
        <f t="shared" si="1"/>
        <v>2019353.1839939998</v>
      </c>
      <c r="E23" s="213">
        <f t="shared" si="1"/>
        <v>23731898.400000002</v>
      </c>
      <c r="F23" s="213">
        <f t="shared" si="1"/>
        <v>0</v>
      </c>
      <c r="G23" s="213">
        <f t="shared" si="1"/>
        <v>0</v>
      </c>
      <c r="H23" s="213">
        <f t="shared" si="1"/>
        <v>0</v>
      </c>
      <c r="I23" s="213">
        <f t="shared" si="1"/>
        <v>0</v>
      </c>
      <c r="J23" s="213">
        <f t="shared" si="1"/>
        <v>0</v>
      </c>
      <c r="K23" s="214">
        <f t="shared" si="1"/>
        <v>28775427.410910901</v>
      </c>
    </row>
    <row r="24" spans="1:12" x14ac:dyDescent="0.25">
      <c r="A24" s="215" t="s">
        <v>276</v>
      </c>
      <c r="B24" s="216">
        <f>B23/SUM($B$23:$D$23)</f>
        <v>0.11614798123369971</v>
      </c>
      <c r="C24" s="216">
        <f>C23/SUM($B$23:$D$23)</f>
        <v>0.48346705426516634</v>
      </c>
      <c r="D24" s="216">
        <f>D23/SUM($B$23:$D$23)</f>
        <v>0.40038496450113403</v>
      </c>
      <c r="E24" s="216"/>
      <c r="F24" s="191"/>
      <c r="G24" s="191"/>
      <c r="H24" s="210"/>
      <c r="I24" s="210"/>
      <c r="J24" s="210"/>
      <c r="K24" s="217"/>
    </row>
    <row r="25" spans="1:12" x14ac:dyDescent="0.25">
      <c r="A25" s="198" t="s">
        <v>285</v>
      </c>
      <c r="B25" s="199">
        <f>ROUND(($K$25-$E$25)*B24,0)</f>
        <v>253763</v>
      </c>
      <c r="C25" s="199">
        <f>ROUND(($K$25-$E$25)*C24,0)</f>
        <v>1056289</v>
      </c>
      <c r="D25" s="199">
        <f>ROUND(($K$25-$E$25)*D24,0)</f>
        <v>874770</v>
      </c>
      <c r="E25" s="199">
        <f>E23</f>
        <v>23731898.400000002</v>
      </c>
      <c r="F25" s="199">
        <f>F23</f>
        <v>0</v>
      </c>
      <c r="G25" s="199"/>
      <c r="H25" s="218"/>
      <c r="I25" s="218"/>
      <c r="J25" s="218"/>
      <c r="K25" s="219">
        <f>B16</f>
        <v>25916720</v>
      </c>
      <c r="L25" s="201"/>
    </row>
    <row r="26" spans="1:12" x14ac:dyDescent="0.25">
      <c r="A26" s="244" t="s">
        <v>368</v>
      </c>
      <c r="B26" s="245"/>
      <c r="C26" s="246"/>
      <c r="D26" s="246"/>
      <c r="E26" s="246"/>
      <c r="F26" s="246"/>
      <c r="G26" s="246"/>
      <c r="H26" s="245"/>
      <c r="I26" s="245"/>
      <c r="J26" s="245"/>
      <c r="K26" s="247"/>
    </row>
    <row r="27" spans="1:12" x14ac:dyDescent="0.25">
      <c r="A27" s="215" t="s">
        <v>365</v>
      </c>
      <c r="B27" s="209">
        <f>('[13]CDM Plan Summary'!$F$33+'[13]CDM Plan Summary'!$F$34+'[13]CDM Plan Summary'!$F$35+'[13]CDM Plan Summary'!$F$36+'[13]CDM Plan Summary'!$F$48)*1000</f>
        <v>1008064.1134521361</v>
      </c>
      <c r="C27" s="209">
        <f>(('[13]CDM Plan Summary'!$F$32+'[13]CDM Plan Summary'!$F$37+'[13]CDM Plan Summary'!$F$38+'[13]CDM Plan Summary'!$F$49)*1000)*54.7%</f>
        <v>2850160.9303667569</v>
      </c>
      <c r="D27" s="209">
        <f>(('[13]CDM Plan Summary'!$F$32+'[13]CDM Plan Summary'!$F$37+'[13]CDM Plan Summary'!$F$38+'[13]CDM Plan Summary'!$F$49)*1000)*45.3%</f>
        <v>2360370.9350203671</v>
      </c>
      <c r="E27" s="209"/>
      <c r="F27" s="210"/>
      <c r="G27" s="210"/>
      <c r="H27" s="210"/>
      <c r="I27" s="210"/>
      <c r="J27" s="210"/>
      <c r="K27" s="211">
        <f>SUM(B27:J27)</f>
        <v>6218595.9788392596</v>
      </c>
    </row>
    <row r="28" spans="1:12" x14ac:dyDescent="0.25">
      <c r="A28" s="212" t="s">
        <v>287</v>
      </c>
      <c r="B28" s="213">
        <f>B27</f>
        <v>1008064.1134521361</v>
      </c>
      <c r="C28" s="213">
        <f t="shared" ref="C28:J28" si="2">C27</f>
        <v>2850160.9303667569</v>
      </c>
      <c r="D28" s="213">
        <f t="shared" si="2"/>
        <v>2360370.9350203671</v>
      </c>
      <c r="E28" s="213">
        <f t="shared" si="2"/>
        <v>0</v>
      </c>
      <c r="F28" s="213">
        <f t="shared" si="2"/>
        <v>0</v>
      </c>
      <c r="G28" s="213">
        <f t="shared" si="2"/>
        <v>0</v>
      </c>
      <c r="H28" s="213">
        <f t="shared" si="2"/>
        <v>0</v>
      </c>
      <c r="I28" s="213">
        <f t="shared" si="2"/>
        <v>0</v>
      </c>
      <c r="J28" s="213">
        <f t="shared" si="2"/>
        <v>0</v>
      </c>
      <c r="K28" s="214">
        <f>SUM(B28:J28)</f>
        <v>6218595.9788392596</v>
      </c>
    </row>
    <row r="29" spans="1:12" x14ac:dyDescent="0.25">
      <c r="A29" s="215" t="s">
        <v>276</v>
      </c>
      <c r="B29" s="220">
        <f>B28/$K$28</f>
        <v>0.16210477684712002</v>
      </c>
      <c r="C29" s="220">
        <f>C28/$K$28</f>
        <v>0.45832868706462537</v>
      </c>
      <c r="D29" s="220">
        <f>D28/$K$28</f>
        <v>0.37956653608825464</v>
      </c>
      <c r="E29" s="220"/>
      <c r="F29" s="210"/>
      <c r="G29" s="210"/>
      <c r="H29" s="210"/>
      <c r="I29" s="210"/>
      <c r="J29" s="210"/>
      <c r="K29" s="221"/>
    </row>
    <row r="30" spans="1:12" x14ac:dyDescent="0.25">
      <c r="A30" s="198" t="s">
        <v>288</v>
      </c>
      <c r="B30" s="199">
        <f>ROUND($C$16*B29,0)</f>
        <v>907918</v>
      </c>
      <c r="C30" s="199">
        <f>ROUND($C$16*C29,0)+1</f>
        <v>2567012</v>
      </c>
      <c r="D30" s="199">
        <f>ROUND($C$16*D29,0)</f>
        <v>2125879</v>
      </c>
      <c r="E30" s="199">
        <f>ROUND($C$16*E29,0)</f>
        <v>0</v>
      </c>
      <c r="F30" s="199"/>
      <c r="G30" s="199"/>
      <c r="H30" s="218"/>
      <c r="I30" s="218"/>
      <c r="J30" s="218"/>
      <c r="K30" s="219">
        <f>SUM(B30:J30)</f>
        <v>5600809</v>
      </c>
      <c r="L30" s="201"/>
    </row>
    <row r="32" spans="1:12" ht="18.75" x14ac:dyDescent="0.3">
      <c r="A32" s="239" t="s">
        <v>293</v>
      </c>
      <c r="B32" s="236"/>
      <c r="C32" s="237"/>
      <c r="D32" s="237"/>
      <c r="E32" s="237"/>
      <c r="F32" s="237"/>
      <c r="G32" s="237"/>
      <c r="H32" s="237"/>
      <c r="I32" s="236"/>
      <c r="J32" s="236"/>
      <c r="K32" s="238"/>
    </row>
    <row r="33" spans="1:12" ht="45" x14ac:dyDescent="0.25">
      <c r="A33" s="202" t="s">
        <v>20</v>
      </c>
      <c r="B33" s="203" t="s">
        <v>2</v>
      </c>
      <c r="C33" s="203" t="s">
        <v>3</v>
      </c>
      <c r="D33" s="203" t="s">
        <v>4</v>
      </c>
      <c r="E33" s="203" t="s">
        <v>265</v>
      </c>
      <c r="F33" s="203" t="s">
        <v>266</v>
      </c>
      <c r="G33" s="203" t="s">
        <v>6</v>
      </c>
      <c r="H33" s="203" t="s">
        <v>8</v>
      </c>
      <c r="I33" s="203" t="s">
        <v>7</v>
      </c>
      <c r="J33" s="203" t="s">
        <v>303</v>
      </c>
      <c r="K33" s="204" t="s">
        <v>18</v>
      </c>
      <c r="L33" s="201"/>
    </row>
    <row r="34" spans="1:12" s="248" customFormat="1" x14ac:dyDescent="0.25">
      <c r="A34" s="394" t="s">
        <v>277</v>
      </c>
      <c r="B34" s="395"/>
      <c r="C34" s="396"/>
      <c r="D34" s="396"/>
      <c r="E34" s="396"/>
      <c r="F34" s="396"/>
      <c r="G34" s="396"/>
      <c r="H34" s="395"/>
      <c r="I34" s="395"/>
      <c r="J34" s="395"/>
      <c r="K34" s="397"/>
    </row>
    <row r="35" spans="1:12" x14ac:dyDescent="0.25">
      <c r="A35" s="222" t="s">
        <v>278</v>
      </c>
      <c r="B35" s="187">
        <f>'[14]2014 Persistence summary'!$C$19*0.5</f>
        <v>837634.20191821572</v>
      </c>
      <c r="C35" s="187">
        <f>'[14]2014 Persistence summary'!$D$19*0.5</f>
        <v>590938.56375478487</v>
      </c>
      <c r="D35" s="187">
        <f>('[14]2014 Persistence summary'!$E$19+'[14]2014 Persistence summary'!$F$19)*0.5</f>
        <v>2066262.0470944415</v>
      </c>
      <c r="E35" s="187">
        <f>'[14]2014 Persistence summary'!$G$19*0.5</f>
        <v>1894084.5248448497</v>
      </c>
      <c r="F35" s="187"/>
      <c r="G35" s="187">
        <v>0</v>
      </c>
      <c r="H35" s="187">
        <v>0</v>
      </c>
      <c r="I35" s="187">
        <f>'[14]2014 Persistence summary'!$K$19*0.5</f>
        <v>10052.499699127469</v>
      </c>
      <c r="J35" s="187">
        <v>0</v>
      </c>
      <c r="K35" s="223">
        <f>SUM(B35:J35)</f>
        <v>5398971.8373114197</v>
      </c>
    </row>
    <row r="36" spans="1:12" x14ac:dyDescent="0.25">
      <c r="A36" s="224" t="s">
        <v>279</v>
      </c>
      <c r="B36" s="225">
        <f t="shared" ref="B36:J36" si="3">ROUND(B25*0.5,0)</f>
        <v>126882</v>
      </c>
      <c r="C36" s="225">
        <f t="shared" si="3"/>
        <v>528145</v>
      </c>
      <c r="D36" s="225">
        <f t="shared" si="3"/>
        <v>437385</v>
      </c>
      <c r="E36" s="225">
        <f t="shared" si="3"/>
        <v>11865949</v>
      </c>
      <c r="F36" s="225">
        <f t="shared" si="3"/>
        <v>0</v>
      </c>
      <c r="G36" s="225">
        <f t="shared" si="3"/>
        <v>0</v>
      </c>
      <c r="H36" s="225">
        <f t="shared" si="3"/>
        <v>0</v>
      </c>
      <c r="I36" s="225">
        <f t="shared" si="3"/>
        <v>0</v>
      </c>
      <c r="J36" s="225">
        <f t="shared" si="3"/>
        <v>0</v>
      </c>
      <c r="K36" s="226">
        <f>SUM(B36:J36)</f>
        <v>12958361</v>
      </c>
    </row>
    <row r="37" spans="1:12" x14ac:dyDescent="0.25">
      <c r="A37" s="391" t="s">
        <v>18</v>
      </c>
      <c r="B37" s="392">
        <f>SUM(B35:B36)</f>
        <v>964516.20191821572</v>
      </c>
      <c r="C37" s="392">
        <f t="shared" ref="C37:J37" si="4">SUM(C35:C36)</f>
        <v>1119083.5637547849</v>
      </c>
      <c r="D37" s="392">
        <f t="shared" si="4"/>
        <v>2503647.0470944415</v>
      </c>
      <c r="E37" s="392">
        <f t="shared" si="4"/>
        <v>13760033.524844849</v>
      </c>
      <c r="F37" s="392">
        <f t="shared" si="4"/>
        <v>0</v>
      </c>
      <c r="G37" s="392">
        <f t="shared" si="4"/>
        <v>0</v>
      </c>
      <c r="H37" s="392">
        <f t="shared" si="4"/>
        <v>0</v>
      </c>
      <c r="I37" s="392">
        <f t="shared" si="4"/>
        <v>10052.499699127469</v>
      </c>
      <c r="J37" s="392">
        <f t="shared" si="4"/>
        <v>0</v>
      </c>
      <c r="K37" s="393">
        <f>SUM(B37:J37)</f>
        <v>18357332.837311421</v>
      </c>
    </row>
    <row r="38" spans="1:12" s="248" customFormat="1" x14ac:dyDescent="0.25">
      <c r="A38" s="394" t="s">
        <v>280</v>
      </c>
      <c r="B38" s="395"/>
      <c r="C38" s="396"/>
      <c r="D38" s="396"/>
      <c r="E38" s="396"/>
      <c r="F38" s="396"/>
      <c r="G38" s="396"/>
      <c r="H38" s="395"/>
      <c r="I38" s="395"/>
      <c r="J38" s="395"/>
      <c r="K38" s="397"/>
    </row>
    <row r="39" spans="1:12" x14ac:dyDescent="0.25">
      <c r="A39" s="222" t="s">
        <v>278</v>
      </c>
      <c r="B39" s="187">
        <f>'[14]2014 Persistence summary'!$C$20*0.5</f>
        <v>807367.08164982859</v>
      </c>
      <c r="C39" s="187">
        <f>'[14]2014 Persistence summary'!$D$20*0.5</f>
        <v>578095.23109247745</v>
      </c>
      <c r="D39" s="187">
        <f>('[14]2014 Persistence summary'!$E$20+'[14]2014 Persistence summary'!$F$20)*0.5</f>
        <v>2036683.8669450425</v>
      </c>
      <c r="E39" s="187">
        <f>'[14]2014 Persistence summary'!$G$20*0.5</f>
        <v>1869220.0983886726</v>
      </c>
      <c r="F39" s="187"/>
      <c r="G39" s="187"/>
      <c r="H39" s="187"/>
      <c r="I39" s="187">
        <f>'[14]2014 Persistence summary'!$K$20*0.5</f>
        <v>10052.499699127469</v>
      </c>
      <c r="J39" s="187"/>
      <c r="K39" s="223">
        <f>SUM(B39:J39)</f>
        <v>5301418.7777751489</v>
      </c>
    </row>
    <row r="40" spans="1:12" x14ac:dyDescent="0.25">
      <c r="A40" s="222" t="s">
        <v>281</v>
      </c>
      <c r="B40" s="187">
        <f t="shared" ref="B40:J40" si="5">B25</f>
        <v>253763</v>
      </c>
      <c r="C40" s="187">
        <f t="shared" si="5"/>
        <v>1056289</v>
      </c>
      <c r="D40" s="187">
        <f t="shared" si="5"/>
        <v>874770</v>
      </c>
      <c r="E40" s="187">
        <f t="shared" si="5"/>
        <v>23731898.400000002</v>
      </c>
      <c r="F40" s="187">
        <f t="shared" si="5"/>
        <v>0</v>
      </c>
      <c r="G40" s="187">
        <f t="shared" si="5"/>
        <v>0</v>
      </c>
      <c r="H40" s="187">
        <f t="shared" si="5"/>
        <v>0</v>
      </c>
      <c r="I40" s="187">
        <f t="shared" si="5"/>
        <v>0</v>
      </c>
      <c r="J40" s="187">
        <f t="shared" si="5"/>
        <v>0</v>
      </c>
      <c r="K40" s="223">
        <f>SUM(B40:J40)</f>
        <v>25916720.400000002</v>
      </c>
    </row>
    <row r="41" spans="1:12" x14ac:dyDescent="0.25">
      <c r="A41" s="215" t="s">
        <v>282</v>
      </c>
      <c r="B41" s="191">
        <f t="shared" ref="B41:J41" si="6">ROUND(B30*0.5,0)</f>
        <v>453959</v>
      </c>
      <c r="C41" s="191">
        <f t="shared" si="6"/>
        <v>1283506</v>
      </c>
      <c r="D41" s="191">
        <f t="shared" si="6"/>
        <v>1062940</v>
      </c>
      <c r="E41" s="191">
        <f t="shared" si="6"/>
        <v>0</v>
      </c>
      <c r="F41" s="191">
        <f t="shared" si="6"/>
        <v>0</v>
      </c>
      <c r="G41" s="191">
        <f t="shared" si="6"/>
        <v>0</v>
      </c>
      <c r="H41" s="191">
        <f t="shared" si="6"/>
        <v>0</v>
      </c>
      <c r="I41" s="191">
        <f t="shared" si="6"/>
        <v>0</v>
      </c>
      <c r="J41" s="191">
        <f t="shared" si="6"/>
        <v>0</v>
      </c>
      <c r="K41" s="217">
        <f>SUM(B41:J41)</f>
        <v>2800405</v>
      </c>
    </row>
    <row r="42" spans="1:12" x14ac:dyDescent="0.25">
      <c r="A42" s="391" t="s">
        <v>18</v>
      </c>
      <c r="B42" s="392">
        <f>SUM(B39:B41)</f>
        <v>1515089.0816498287</v>
      </c>
      <c r="C42" s="392">
        <f t="shared" ref="C42:J42" si="7">SUM(C39:C41)</f>
        <v>2917890.2310924772</v>
      </c>
      <c r="D42" s="392">
        <f t="shared" si="7"/>
        <v>3974393.8669450423</v>
      </c>
      <c r="E42" s="392">
        <f t="shared" si="7"/>
        <v>25601118.498388674</v>
      </c>
      <c r="F42" s="392">
        <f t="shared" si="7"/>
        <v>0</v>
      </c>
      <c r="G42" s="392">
        <f t="shared" si="7"/>
        <v>0</v>
      </c>
      <c r="H42" s="392">
        <f t="shared" si="7"/>
        <v>0</v>
      </c>
      <c r="I42" s="392">
        <f t="shared" si="7"/>
        <v>10052.499699127469</v>
      </c>
      <c r="J42" s="392">
        <f t="shared" si="7"/>
        <v>0</v>
      </c>
      <c r="K42" s="393">
        <f>SUM(B42:J42)</f>
        <v>34018544.177775152</v>
      </c>
    </row>
  </sheetData>
  <pageMargins left="0.7" right="0.7" top="0.75" bottom="0.75" header="0.3" footer="0.3"/>
  <pageSetup scale="72" orientation="landscape" r:id="rId1"/>
  <headerFooter>
    <oddFooter>&amp;R&amp;P/&amp;N</oddFooter>
  </headerFooter>
  <ignoredErrors>
    <ignoredError sqref="C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heetViews>
  <sheetFormatPr defaultRowHeight="15" x14ac:dyDescent="0.25"/>
  <cols>
    <col min="1" max="11" width="12.7109375" customWidth="1"/>
  </cols>
  <sheetData>
    <row r="1" spans="1:11" ht="18.75" x14ac:dyDescent="0.3">
      <c r="A1" s="172" t="s">
        <v>0</v>
      </c>
    </row>
    <row r="2" spans="1:11" ht="18.75" x14ac:dyDescent="0.3">
      <c r="A2" s="30" t="s">
        <v>294</v>
      </c>
    </row>
    <row r="3" spans="1:11" ht="19.5" thickBot="1" x14ac:dyDescent="0.35">
      <c r="A3" s="173" t="s">
        <v>369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t="18.75" x14ac:dyDescent="0.3">
      <c r="A6" s="113" t="s">
        <v>230</v>
      </c>
      <c r="B6" s="114"/>
      <c r="C6" s="114"/>
      <c r="D6" s="114"/>
      <c r="E6" s="114"/>
      <c r="F6" s="114"/>
      <c r="G6" s="114"/>
      <c r="H6" s="114"/>
      <c r="I6" s="114"/>
      <c r="J6" s="114"/>
      <c r="K6" s="115"/>
    </row>
    <row r="7" spans="1:11" x14ac:dyDescent="0.25">
      <c r="A7" s="40">
        <v>2011</v>
      </c>
      <c r="B7" s="5"/>
      <c r="C7" s="5"/>
      <c r="D7" s="5">
        <f>0</f>
        <v>0</v>
      </c>
      <c r="E7" s="5"/>
      <c r="F7" s="5"/>
      <c r="G7" s="5"/>
      <c r="H7" s="5"/>
      <c r="I7" s="5"/>
      <c r="J7" s="5"/>
      <c r="K7" s="18">
        <f>SUM(D7:J7)</f>
        <v>0</v>
      </c>
    </row>
    <row r="8" spans="1:11" x14ac:dyDescent="0.25">
      <c r="A8" s="40">
        <v>2012</v>
      </c>
      <c r="B8" s="5"/>
      <c r="C8" s="5"/>
      <c r="D8" s="5">
        <f>[11]ADJ06_MarketPart!$C$4</f>
        <v>1862328.28</v>
      </c>
      <c r="E8" s="5"/>
      <c r="F8" s="5"/>
      <c r="G8" s="5"/>
      <c r="H8" s="5"/>
      <c r="I8" s="5"/>
      <c r="J8" s="5"/>
      <c r="K8" s="18">
        <f>SUM(D8:J8)</f>
        <v>1862328.28</v>
      </c>
    </row>
    <row r="9" spans="1:11" x14ac:dyDescent="0.25">
      <c r="A9" s="40">
        <v>2013</v>
      </c>
      <c r="B9" s="5"/>
      <c r="C9" s="5"/>
      <c r="D9" s="5">
        <f>[11]ADJ06_MarketPart!$C$5</f>
        <v>4199611</v>
      </c>
      <c r="E9" s="5"/>
      <c r="F9" s="5"/>
      <c r="G9" s="5"/>
      <c r="H9" s="5"/>
      <c r="I9" s="5"/>
      <c r="J9" s="5"/>
      <c r="K9" s="18">
        <f>SUM(D9:J9)</f>
        <v>4199611</v>
      </c>
    </row>
    <row r="10" spans="1:11" x14ac:dyDescent="0.25">
      <c r="A10" s="40">
        <v>2014</v>
      </c>
      <c r="B10" s="5"/>
      <c r="C10" s="5"/>
      <c r="D10" s="5">
        <f>[11]ADJ06_MarketPart!$C$9+[11]ADJ06_MarketPart!$C$10</f>
        <v>6375131</v>
      </c>
      <c r="E10" s="5"/>
      <c r="F10" s="5"/>
      <c r="G10" s="5"/>
      <c r="H10" s="5"/>
      <c r="I10" s="5"/>
      <c r="J10" s="5"/>
      <c r="K10" s="18">
        <f>SUM(D10:J10)</f>
        <v>6375131</v>
      </c>
    </row>
    <row r="11" spans="1:11" ht="18.75" x14ac:dyDescent="0.3">
      <c r="A11" s="82" t="s">
        <v>229</v>
      </c>
      <c r="B11" s="74"/>
      <c r="C11" s="74"/>
      <c r="D11" s="74"/>
      <c r="E11" s="74"/>
      <c r="F11" s="74"/>
      <c r="G11" s="74"/>
      <c r="H11" s="74"/>
      <c r="I11" s="74"/>
      <c r="J11" s="74"/>
      <c r="K11" s="112"/>
    </row>
    <row r="12" spans="1:11" x14ac:dyDescent="0.25">
      <c r="A12" s="40"/>
      <c r="B12" s="3"/>
      <c r="C12" s="3"/>
      <c r="D12" s="111">
        <f>'Rate Class Energy Model'!D37</f>
        <v>1.0374597731052575</v>
      </c>
      <c r="E12" s="3"/>
      <c r="F12" s="3"/>
      <c r="G12" s="3"/>
      <c r="H12" s="3"/>
      <c r="I12" s="3"/>
      <c r="J12" s="3"/>
      <c r="K12" s="11"/>
    </row>
    <row r="13" spans="1:11" ht="18.75" x14ac:dyDescent="0.3">
      <c r="A13" s="82" t="s">
        <v>231</v>
      </c>
      <c r="B13" s="74"/>
      <c r="C13" s="74"/>
      <c r="D13" s="74"/>
      <c r="E13" s="74"/>
      <c r="F13" s="74"/>
      <c r="G13" s="74"/>
      <c r="H13" s="74"/>
      <c r="I13" s="74"/>
      <c r="J13" s="74"/>
      <c r="K13" s="112"/>
    </row>
    <row r="14" spans="1:11" x14ac:dyDescent="0.25">
      <c r="A14" s="40">
        <v>2015</v>
      </c>
      <c r="B14" s="5"/>
      <c r="C14" s="5"/>
      <c r="D14" s="5">
        <f>D10*D12</f>
        <v>6613941.9607762937</v>
      </c>
      <c r="E14" s="5"/>
      <c r="F14" s="5"/>
      <c r="G14" s="5"/>
      <c r="H14" s="5"/>
      <c r="I14" s="5"/>
      <c r="J14" s="5"/>
      <c r="K14" s="18">
        <f>SUM(B14:J14)</f>
        <v>6613941.9607762937</v>
      </c>
    </row>
    <row r="15" spans="1:11" x14ac:dyDescent="0.25">
      <c r="A15" s="44">
        <v>2016</v>
      </c>
      <c r="B15" s="19"/>
      <c r="C15" s="19"/>
      <c r="D15" s="19">
        <f>D14*D12</f>
        <v>6861698.7259583157</v>
      </c>
      <c r="E15" s="19"/>
      <c r="F15" s="19"/>
      <c r="G15" s="19"/>
      <c r="H15" s="19"/>
      <c r="I15" s="19"/>
      <c r="J15" s="19"/>
      <c r="K15" s="20">
        <f>SUM(B15:J15)</f>
        <v>6861698.7259583157</v>
      </c>
    </row>
    <row r="17" spans="1:11" ht="45" x14ac:dyDescent="0.25">
      <c r="A17" s="15" t="s">
        <v>20</v>
      </c>
      <c r="B17" s="16" t="s">
        <v>2</v>
      </c>
      <c r="C17" s="16" t="s">
        <v>3</v>
      </c>
      <c r="D17" s="16" t="s">
        <v>4</v>
      </c>
      <c r="E17" s="16" t="s">
        <v>5</v>
      </c>
      <c r="F17" s="16"/>
      <c r="G17" s="16" t="s">
        <v>6</v>
      </c>
      <c r="H17" s="16" t="s">
        <v>8</v>
      </c>
      <c r="I17" s="16" t="s">
        <v>7</v>
      </c>
      <c r="J17" s="16" t="s">
        <v>9</v>
      </c>
      <c r="K17" s="17" t="s">
        <v>18</v>
      </c>
    </row>
    <row r="18" spans="1:11" ht="18.75" x14ac:dyDescent="0.3">
      <c r="A18" s="113" t="s">
        <v>232</v>
      </c>
      <c r="B18" s="114"/>
      <c r="C18" s="114"/>
      <c r="D18" s="114"/>
      <c r="E18" s="114"/>
      <c r="F18" s="114"/>
      <c r="G18" s="114"/>
      <c r="H18" s="114"/>
      <c r="I18" s="114"/>
      <c r="J18" s="114"/>
      <c r="K18" s="115"/>
    </row>
    <row r="19" spans="1:11" x14ac:dyDescent="0.25">
      <c r="A19" s="40">
        <v>2011</v>
      </c>
      <c r="B19" s="5"/>
      <c r="C19" s="5"/>
      <c r="D19" s="5">
        <v>0</v>
      </c>
      <c r="E19" s="5"/>
      <c r="F19" s="5"/>
      <c r="G19" s="5"/>
      <c r="H19" s="5"/>
      <c r="I19" s="5"/>
      <c r="J19" s="5"/>
      <c r="K19" s="18">
        <f>SUM(B19:J19)</f>
        <v>0</v>
      </c>
    </row>
    <row r="20" spans="1:11" x14ac:dyDescent="0.25">
      <c r="A20" s="40">
        <v>2012</v>
      </c>
      <c r="B20" s="5"/>
      <c r="C20" s="5"/>
      <c r="D20" s="5">
        <f>[11]ADJ06_MarketPart!$D$4</f>
        <v>4197.63</v>
      </c>
      <c r="E20" s="5"/>
      <c r="F20" s="5"/>
      <c r="G20" s="5"/>
      <c r="H20" s="5"/>
      <c r="I20" s="5"/>
      <c r="J20" s="5"/>
      <c r="K20" s="18">
        <f>SUM(B20:J20)</f>
        <v>4197.63</v>
      </c>
    </row>
    <row r="21" spans="1:11" x14ac:dyDescent="0.25">
      <c r="A21" s="40">
        <v>2013</v>
      </c>
      <c r="B21" s="5"/>
      <c r="C21" s="5"/>
      <c r="D21" s="5">
        <f>[11]ADJ06_MarketPart!$D$5</f>
        <v>9630</v>
      </c>
      <c r="E21" s="5"/>
      <c r="F21" s="5"/>
      <c r="G21" s="5"/>
      <c r="H21" s="5"/>
      <c r="I21" s="5"/>
      <c r="J21" s="5"/>
      <c r="K21" s="18">
        <f>SUM(B21:J21)</f>
        <v>9630</v>
      </c>
    </row>
    <row r="22" spans="1:11" x14ac:dyDescent="0.25">
      <c r="A22" s="40">
        <v>2014</v>
      </c>
      <c r="B22" s="5"/>
      <c r="C22" s="5"/>
      <c r="D22" s="5">
        <f>[11]ADJ06_MarketPart!$D$9+[11]ADJ06_MarketPart!$D$10</f>
        <v>17662</v>
      </c>
      <c r="E22" s="5"/>
      <c r="F22" s="5"/>
      <c r="G22" s="5"/>
      <c r="H22" s="5"/>
      <c r="I22" s="5"/>
      <c r="J22" s="5"/>
      <c r="K22" s="18">
        <f>SUM(B22:J22)</f>
        <v>17662</v>
      </c>
    </row>
    <row r="23" spans="1:11" ht="18.75" x14ac:dyDescent="0.3">
      <c r="A23" s="82" t="s">
        <v>233</v>
      </c>
      <c r="B23" s="74"/>
      <c r="C23" s="74"/>
      <c r="D23" s="74"/>
      <c r="E23" s="74"/>
      <c r="F23" s="74"/>
      <c r="G23" s="74"/>
      <c r="H23" s="74"/>
      <c r="I23" s="74"/>
      <c r="J23" s="74"/>
      <c r="K23" s="112"/>
    </row>
    <row r="24" spans="1:11" x14ac:dyDescent="0.25">
      <c r="A24" s="40">
        <v>2011</v>
      </c>
      <c r="B24" s="3"/>
      <c r="C24" s="3"/>
      <c r="D24" s="111"/>
      <c r="E24" s="3"/>
      <c r="F24" s="3"/>
      <c r="G24" s="3"/>
      <c r="H24" s="3"/>
      <c r="I24" s="3"/>
      <c r="J24" s="3"/>
      <c r="K24" s="11"/>
    </row>
    <row r="25" spans="1:11" x14ac:dyDescent="0.25">
      <c r="A25" s="40">
        <v>2012</v>
      </c>
      <c r="B25" s="3"/>
      <c r="C25" s="3"/>
      <c r="D25" s="111">
        <f>D20/D8</f>
        <v>2.2539688867313982E-3</v>
      </c>
      <c r="E25" s="3"/>
      <c r="F25" s="3"/>
      <c r="G25" s="3"/>
      <c r="H25" s="3"/>
      <c r="I25" s="3"/>
      <c r="J25" s="3"/>
      <c r="K25" s="11"/>
    </row>
    <row r="26" spans="1:11" x14ac:dyDescent="0.25">
      <c r="A26" s="40">
        <v>2013</v>
      </c>
      <c r="B26" s="3"/>
      <c r="C26" s="3"/>
      <c r="D26" s="111">
        <f>D21/D9</f>
        <v>2.2930695247726516E-3</v>
      </c>
      <c r="E26" s="3"/>
      <c r="F26" s="3"/>
      <c r="G26" s="3"/>
      <c r="H26" s="3"/>
      <c r="I26" s="3"/>
      <c r="J26" s="3"/>
      <c r="K26" s="11"/>
    </row>
    <row r="27" spans="1:11" x14ac:dyDescent="0.25">
      <c r="A27" s="40">
        <v>2014</v>
      </c>
      <c r="B27" s="3"/>
      <c r="C27" s="3"/>
      <c r="D27" s="111">
        <f>D22/D10</f>
        <v>2.7704528738311416E-3</v>
      </c>
      <c r="E27" s="3"/>
      <c r="F27" s="3"/>
      <c r="G27" s="3"/>
      <c r="H27" s="3"/>
      <c r="I27" s="3"/>
      <c r="J27" s="3"/>
      <c r="K27" s="11"/>
    </row>
    <row r="28" spans="1:11" x14ac:dyDescent="0.25">
      <c r="A28" s="40" t="s">
        <v>19</v>
      </c>
      <c r="B28" s="3"/>
      <c r="C28" s="3"/>
      <c r="D28" s="111">
        <f>AVERAGE(D25:D27)</f>
        <v>2.4391637617783971E-3</v>
      </c>
      <c r="E28" s="3"/>
      <c r="F28" s="3"/>
      <c r="G28" s="3"/>
      <c r="H28" s="3"/>
      <c r="I28" s="3"/>
      <c r="J28" s="3"/>
      <c r="K28" s="11"/>
    </row>
    <row r="29" spans="1:11" ht="18.75" x14ac:dyDescent="0.3">
      <c r="A29" s="82" t="s">
        <v>234</v>
      </c>
      <c r="B29" s="74"/>
      <c r="C29" s="74"/>
      <c r="D29" s="74"/>
      <c r="E29" s="74"/>
      <c r="F29" s="74"/>
      <c r="G29" s="74"/>
      <c r="H29" s="74"/>
      <c r="I29" s="74"/>
      <c r="J29" s="74"/>
      <c r="K29" s="112"/>
    </row>
    <row r="30" spans="1:11" x14ac:dyDescent="0.25">
      <c r="A30" s="40">
        <v>2015</v>
      </c>
      <c r="B30" s="5"/>
      <c r="C30" s="5"/>
      <c r="D30" s="5">
        <f>D14*D28</f>
        <v>16132.487553231093</v>
      </c>
      <c r="E30" s="5"/>
      <c r="F30" s="5"/>
      <c r="G30" s="5"/>
      <c r="H30" s="5"/>
      <c r="I30" s="5"/>
      <c r="J30" s="5"/>
      <c r="K30" s="18">
        <f>SUM(B30:J30)</f>
        <v>16132.487553231093</v>
      </c>
    </row>
    <row r="31" spans="1:11" x14ac:dyDescent="0.25">
      <c r="A31" s="44">
        <v>2016</v>
      </c>
      <c r="B31" s="19"/>
      <c r="C31" s="19"/>
      <c r="D31" s="19">
        <f>D15*D28</f>
        <v>16736.806876598519</v>
      </c>
      <c r="E31" s="19"/>
      <c r="F31" s="19"/>
      <c r="G31" s="19"/>
      <c r="H31" s="19"/>
      <c r="I31" s="19"/>
      <c r="J31" s="19"/>
      <c r="K31" s="20">
        <f>SUM(B31:J31)</f>
        <v>16736.806876598519</v>
      </c>
    </row>
  </sheetData>
  <pageMargins left="0.7" right="0.7" top="0.75" bottom="0.75" header="0.3" footer="0.3"/>
  <pageSetup scale="87" fitToHeight="2" orientation="landscape" r:id="rId1"/>
  <headerFooter>
    <oddFooter>&amp;R&amp;P/&amp;N</oddFooter>
  </headerFooter>
  <ignoredErrors>
    <ignoredError sqref="K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58"/>
  <sheetViews>
    <sheetView zoomScaleNormal="100" workbookViewId="0">
      <pane xSplit="1" ySplit="5" topLeftCell="B6" activePane="bottomRight" state="frozen"/>
      <selection activeCell="M135" sqref="M135"/>
      <selection pane="topRight" activeCell="M135" sqref="M135"/>
      <selection pane="bottomLeft" activeCell="M135" sqref="M135"/>
      <selection pane="bottomRight" activeCell="B6" sqref="B6"/>
    </sheetView>
  </sheetViews>
  <sheetFormatPr defaultRowHeight="15" x14ac:dyDescent="0.25"/>
  <cols>
    <col min="1" max="1" width="26.7109375" customWidth="1"/>
    <col min="2" max="3" width="14.7109375" customWidth="1"/>
    <col min="4" max="4" width="14.28515625" customWidth="1"/>
    <col min="5" max="12" width="13.7109375" customWidth="1"/>
  </cols>
  <sheetData>
    <row r="1" spans="1:12" ht="18.75" x14ac:dyDescent="0.3">
      <c r="A1" s="30" t="s">
        <v>34</v>
      </c>
      <c r="B1" s="31"/>
      <c r="C1" s="31"/>
      <c r="D1" s="31"/>
      <c r="E1" s="31"/>
      <c r="F1" s="31"/>
      <c r="G1" s="31"/>
      <c r="H1" s="31"/>
      <c r="I1" s="31"/>
      <c r="J1" s="31"/>
      <c r="K1" s="31"/>
      <c r="L1" s="31"/>
    </row>
    <row r="2" spans="1:12" ht="18.75" x14ac:dyDescent="0.3">
      <c r="A2" s="30" t="s">
        <v>294</v>
      </c>
      <c r="B2" s="31"/>
      <c r="C2" s="31"/>
      <c r="D2" s="31"/>
      <c r="E2" s="31"/>
      <c r="F2" s="31"/>
      <c r="G2" s="31"/>
      <c r="H2" s="31"/>
      <c r="I2" s="31"/>
      <c r="J2" s="31"/>
      <c r="K2" s="31"/>
      <c r="L2" s="31"/>
    </row>
    <row r="3" spans="1:12" ht="19.5" thickBot="1" x14ac:dyDescent="0.35">
      <c r="A3" s="32" t="s">
        <v>295</v>
      </c>
      <c r="B3" s="33"/>
      <c r="C3" s="33"/>
      <c r="D3" s="33"/>
      <c r="E3" s="33"/>
      <c r="F3" s="33"/>
      <c r="G3" s="33"/>
      <c r="H3" s="33"/>
      <c r="I3" s="33"/>
      <c r="J3" s="33"/>
      <c r="K3" s="33"/>
      <c r="L3" s="33"/>
    </row>
    <row r="5" spans="1:12" ht="30" x14ac:dyDescent="0.25">
      <c r="A5" s="15" t="s">
        <v>35</v>
      </c>
      <c r="B5" s="16" t="s">
        <v>41</v>
      </c>
      <c r="C5" s="16" t="s">
        <v>42</v>
      </c>
      <c r="D5" s="16" t="s">
        <v>43</v>
      </c>
      <c r="E5" s="16" t="s">
        <v>44</v>
      </c>
      <c r="F5" s="16" t="s">
        <v>45</v>
      </c>
      <c r="G5" s="16" t="s">
        <v>46</v>
      </c>
      <c r="H5" s="16" t="s">
        <v>47</v>
      </c>
      <c r="I5" s="16" t="s">
        <v>48</v>
      </c>
      <c r="J5" s="49" t="s">
        <v>49</v>
      </c>
      <c r="K5" s="58" t="s">
        <v>50</v>
      </c>
      <c r="L5" s="17" t="s">
        <v>51</v>
      </c>
    </row>
    <row r="6" spans="1:12" x14ac:dyDescent="0.25">
      <c r="A6" s="8" t="s">
        <v>58</v>
      </c>
      <c r="B6" s="4"/>
      <c r="C6" s="4"/>
      <c r="D6" s="4"/>
      <c r="E6" s="4"/>
      <c r="F6" s="4"/>
      <c r="G6" s="4"/>
      <c r="H6" s="4"/>
      <c r="I6" s="4"/>
      <c r="J6" s="55"/>
      <c r="K6" s="8"/>
      <c r="L6" s="41"/>
    </row>
    <row r="7" spans="1:12" x14ac:dyDescent="0.25">
      <c r="A7" s="12" t="s">
        <v>36</v>
      </c>
      <c r="B7" s="47">
        <f>'Forecast Accuracy'!$B$7</f>
        <v>1095393373.0999999</v>
      </c>
      <c r="C7" s="47">
        <f>'Forecast Accuracy'!$B$8</f>
        <v>1103377335.9000001</v>
      </c>
      <c r="D7" s="47">
        <f>'Forecast Accuracy'!$B$9</f>
        <v>1066571962.6</v>
      </c>
      <c r="E7" s="47">
        <f>'Forecast Accuracy'!$B$10</f>
        <v>925631872.89999986</v>
      </c>
      <c r="F7" s="47">
        <f>'Forecast Accuracy'!$B$11</f>
        <v>970978473.95000017</v>
      </c>
      <c r="G7" s="47">
        <f>'Forecast Accuracy'!$B$12</f>
        <v>968593687.67000008</v>
      </c>
      <c r="H7" s="47">
        <f>'Forecast Accuracy'!$B$13</f>
        <v>973607964.36021817</v>
      </c>
      <c r="I7" s="47">
        <f>'Forecast Accuracy'!$B$14</f>
        <v>970760691.54651523</v>
      </c>
      <c r="J7" s="50">
        <f>'Forecast Accuracy'!$B$15</f>
        <v>971112987.38102555</v>
      </c>
      <c r="K7" s="59"/>
      <c r="L7" s="48"/>
    </row>
    <row r="8" spans="1:12" x14ac:dyDescent="0.25">
      <c r="A8" s="40" t="s">
        <v>37</v>
      </c>
      <c r="B8" s="5">
        <f>'Forecast Accuracy'!$C$7</f>
        <v>1049193051.3158149</v>
      </c>
      <c r="C8" s="5">
        <f>'Forecast Accuracy'!$C$8</f>
        <v>1043199742.5321345</v>
      </c>
      <c r="D8" s="5">
        <f>'Forecast Accuracy'!$C$9</f>
        <v>1004606523.0564409</v>
      </c>
      <c r="E8" s="5">
        <f>'Forecast Accuracy'!$C$10</f>
        <v>914212544.52141738</v>
      </c>
      <c r="F8" s="5">
        <f>'Forecast Accuracy'!$C$11</f>
        <v>961947493.27961743</v>
      </c>
      <c r="G8" s="5">
        <f>'Forecast Accuracy'!$C$12</f>
        <v>972522943.43112957</v>
      </c>
      <c r="H8" s="5">
        <f>'Forecast Accuracy'!$C$13</f>
        <v>962982436.24449039</v>
      </c>
      <c r="I8" s="5">
        <f>'Forecast Accuracy'!$C$14</f>
        <v>973593881.73271227</v>
      </c>
      <c r="J8" s="51">
        <f>'Forecast Accuracy'!$C$15</f>
        <v>973414830.29313838</v>
      </c>
      <c r="K8" s="60">
        <f>'Forecast Accuracy'!C16</f>
        <v>972164493.0348599</v>
      </c>
      <c r="L8" s="18">
        <f>'Forecast Accuracy'!C17</f>
        <v>974498367.10392272</v>
      </c>
    </row>
    <row r="9" spans="1:12" x14ac:dyDescent="0.25">
      <c r="A9" s="64" t="s">
        <v>60</v>
      </c>
      <c r="B9" s="65"/>
      <c r="C9" s="65"/>
      <c r="D9" s="65"/>
      <c r="E9" s="65"/>
      <c r="F9" s="65"/>
      <c r="G9" s="65"/>
      <c r="H9" s="65"/>
      <c r="I9" s="65"/>
      <c r="J9" s="66"/>
      <c r="K9" s="67">
        <f>'Rate Class Energy Model'!K57</f>
        <v>-18357332.837311421</v>
      </c>
      <c r="L9" s="68">
        <f>'Rate Class Energy Model'!K58</f>
        <v>-34018544.177775152</v>
      </c>
    </row>
    <row r="10" spans="1:12" x14ac:dyDescent="0.25">
      <c r="A10" s="69" t="s">
        <v>38</v>
      </c>
      <c r="B10" s="70">
        <f>SUM(B8:B9)</f>
        <v>1049193051.3158149</v>
      </c>
      <c r="C10" s="70">
        <f t="shared" ref="C10:L10" si="0">SUM(C8:C9)</f>
        <v>1043199742.5321345</v>
      </c>
      <c r="D10" s="70">
        <f t="shared" si="0"/>
        <v>1004606523.0564409</v>
      </c>
      <c r="E10" s="70">
        <f t="shared" si="0"/>
        <v>914212544.52141738</v>
      </c>
      <c r="F10" s="70">
        <f t="shared" si="0"/>
        <v>961947493.27961743</v>
      </c>
      <c r="G10" s="70">
        <f t="shared" si="0"/>
        <v>972522943.43112957</v>
      </c>
      <c r="H10" s="70">
        <f t="shared" si="0"/>
        <v>962982436.24449039</v>
      </c>
      <c r="I10" s="70">
        <f t="shared" si="0"/>
        <v>973593881.73271227</v>
      </c>
      <c r="J10" s="71">
        <f t="shared" si="0"/>
        <v>973414830.29313838</v>
      </c>
      <c r="K10" s="72">
        <f>SUM(K8:K9)</f>
        <v>953807160.19754851</v>
      </c>
      <c r="L10" s="73">
        <f t="shared" si="0"/>
        <v>940479822.92614758</v>
      </c>
    </row>
    <row r="11" spans="1:12" x14ac:dyDescent="0.25">
      <c r="A11" s="40" t="s">
        <v>39</v>
      </c>
      <c r="B11" s="37">
        <f>(B7-B10)/B7</f>
        <v>4.2176922846845967E-2</v>
      </c>
      <c r="C11" s="37">
        <f t="shared" ref="C11:J11" si="1">(C7-C10)/C7</f>
        <v>5.453945029492567E-2</v>
      </c>
      <c r="D11" s="37">
        <f t="shared" si="1"/>
        <v>5.8097757785142694E-2</v>
      </c>
      <c r="E11" s="37">
        <f t="shared" si="1"/>
        <v>1.2336792533737826E-2</v>
      </c>
      <c r="F11" s="37">
        <f t="shared" si="1"/>
        <v>9.3009071907064565E-3</v>
      </c>
      <c r="G11" s="37">
        <f t="shared" si="1"/>
        <v>-4.0566605080624854E-3</v>
      </c>
      <c r="H11" s="37">
        <f t="shared" si="1"/>
        <v>1.0913559157982113E-2</v>
      </c>
      <c r="I11" s="37">
        <f t="shared" si="1"/>
        <v>-2.9185258641689516E-3</v>
      </c>
      <c r="J11" s="54">
        <f t="shared" si="1"/>
        <v>-2.3703142085666306E-3</v>
      </c>
      <c r="K11" s="40"/>
      <c r="L11" s="11"/>
    </row>
    <row r="12" spans="1:12" x14ac:dyDescent="0.25">
      <c r="A12" s="40"/>
      <c r="B12" s="3"/>
      <c r="C12" s="3"/>
      <c r="D12" s="3"/>
      <c r="E12" s="3"/>
      <c r="F12" s="3"/>
      <c r="G12" s="3"/>
      <c r="H12" s="3"/>
      <c r="I12" s="3"/>
      <c r="J12" s="52"/>
      <c r="K12" s="40"/>
      <c r="L12" s="11"/>
    </row>
    <row r="13" spans="1:12" x14ac:dyDescent="0.25">
      <c r="A13" s="40" t="s">
        <v>40</v>
      </c>
      <c r="B13" s="5">
        <f>'Forecast Accuracy'!$I$7</f>
        <v>1078222399</v>
      </c>
      <c r="C13" s="5">
        <f>'Forecast Accuracy'!$I$8</f>
        <v>1055654062</v>
      </c>
      <c r="D13" s="5">
        <f>'Forecast Accuracy'!$I$9</f>
        <v>1021199819</v>
      </c>
      <c r="E13" s="5">
        <f>'Forecast Accuracy'!$I$10</f>
        <v>886643741</v>
      </c>
      <c r="F13" s="5">
        <f>'Forecast Accuracy'!$I$11</f>
        <v>932206593</v>
      </c>
      <c r="G13" s="5">
        <f>'Forecast Accuracy'!$I$12</f>
        <v>938179332</v>
      </c>
      <c r="H13" s="5">
        <f>'Forecast Accuracy'!$I$13</f>
        <v>936088111</v>
      </c>
      <c r="I13" s="5">
        <f>'Forecast Accuracy'!$I$14</f>
        <v>928696615</v>
      </c>
      <c r="J13" s="51">
        <f>'Forecast Accuracy'!$I$15</f>
        <v>933911819</v>
      </c>
      <c r="K13" s="60">
        <f>'Rate Class Energy Model'!K63</f>
        <v>923095361.38791585</v>
      </c>
      <c r="L13" s="18">
        <f>'Rate Class Energy Model'!K64</f>
        <v>909926173.0230304</v>
      </c>
    </row>
    <row r="14" spans="1:12" x14ac:dyDescent="0.25">
      <c r="A14" s="40"/>
      <c r="B14" s="37"/>
      <c r="C14" s="3"/>
      <c r="D14" s="3"/>
      <c r="E14" s="3"/>
      <c r="F14" s="3"/>
      <c r="G14" s="3"/>
      <c r="H14" s="3"/>
      <c r="I14" s="3"/>
      <c r="J14" s="52"/>
      <c r="K14" s="61"/>
      <c r="L14" s="10"/>
    </row>
    <row r="15" spans="1:12" x14ac:dyDescent="0.25">
      <c r="A15" s="8" t="s">
        <v>52</v>
      </c>
      <c r="B15" s="4"/>
      <c r="C15" s="4"/>
      <c r="D15" s="4"/>
      <c r="E15" s="4"/>
      <c r="F15" s="4"/>
      <c r="G15" s="4"/>
      <c r="H15" s="4"/>
      <c r="I15" s="4"/>
      <c r="J15" s="55"/>
      <c r="K15" s="8"/>
      <c r="L15" s="41"/>
    </row>
    <row r="16" spans="1:12" x14ac:dyDescent="0.25">
      <c r="A16" s="42" t="s">
        <v>2</v>
      </c>
      <c r="B16" s="38"/>
      <c r="C16" s="39"/>
      <c r="D16" s="39"/>
      <c r="E16" s="39"/>
      <c r="F16" s="39"/>
      <c r="G16" s="39"/>
      <c r="H16" s="39"/>
      <c r="I16" s="39"/>
      <c r="J16" s="56"/>
      <c r="K16" s="62"/>
      <c r="L16" s="43"/>
    </row>
    <row r="17" spans="1:12" x14ac:dyDescent="0.25">
      <c r="A17" s="40" t="s">
        <v>53</v>
      </c>
      <c r="B17" s="5">
        <f>'Rate Class Customer Model'!$B$8</f>
        <v>35142</v>
      </c>
      <c r="C17" s="5">
        <f>'Rate Class Customer Model'!$B$9</f>
        <v>35190</v>
      </c>
      <c r="D17" s="5">
        <f>'Rate Class Customer Model'!$B$10</f>
        <v>35334</v>
      </c>
      <c r="E17" s="5">
        <f>'Rate Class Customer Model'!$B$11</f>
        <v>35438</v>
      </c>
      <c r="F17" s="5">
        <f>'Rate Class Customer Model'!$B$12</f>
        <v>35472</v>
      </c>
      <c r="G17" s="5">
        <f>'Rate Class Customer Model'!$B$13</f>
        <v>35628</v>
      </c>
      <c r="H17" s="5">
        <f>'Rate Class Customer Model'!$B$14</f>
        <v>35816</v>
      </c>
      <c r="I17" s="5">
        <f>'Rate Class Customer Model'!$B$15</f>
        <v>35944</v>
      </c>
      <c r="J17" s="51">
        <f>'Rate Class Customer Model'!$B$16</f>
        <v>36074</v>
      </c>
      <c r="K17" s="60">
        <f>'Rate Class Customer Model'!$B$36</f>
        <v>36203</v>
      </c>
      <c r="L17" s="18">
        <f>'Rate Class Customer Model'!$B$37</f>
        <v>36333</v>
      </c>
    </row>
    <row r="18" spans="1:12" x14ac:dyDescent="0.25">
      <c r="A18" s="40" t="s">
        <v>24</v>
      </c>
      <c r="B18" s="5">
        <f>'Rate Class Energy Model'!$B$8</f>
        <v>302355083</v>
      </c>
      <c r="C18" s="5">
        <f>'Rate Class Energy Model'!$B$9</f>
        <v>299638406</v>
      </c>
      <c r="D18" s="5">
        <f>'Rate Class Energy Model'!$B$10</f>
        <v>296054771</v>
      </c>
      <c r="E18" s="5">
        <f>'Rate Class Energy Model'!$B$11</f>
        <v>291091689</v>
      </c>
      <c r="F18" s="5">
        <f>'Rate Class Energy Model'!$B$12</f>
        <v>301267823</v>
      </c>
      <c r="G18" s="5">
        <f>'Rate Class Energy Model'!$B$13</f>
        <v>299495986</v>
      </c>
      <c r="H18" s="5">
        <f>'Rate Class Energy Model'!$B$14</f>
        <v>296656279</v>
      </c>
      <c r="I18" s="5">
        <f>'Rate Class Energy Model'!$B$15</f>
        <v>281071800</v>
      </c>
      <c r="J18" s="51">
        <f>'Rate Class Energy Model'!$B$16</f>
        <v>289455443</v>
      </c>
      <c r="K18" s="60">
        <f>'Rate Class Energy Model'!$B$63</f>
        <v>283016587.250485</v>
      </c>
      <c r="L18" s="18">
        <f>'Rate Class Energy Model'!$B$64</f>
        <v>277476009.23399138</v>
      </c>
    </row>
    <row r="19" spans="1:12" x14ac:dyDescent="0.25">
      <c r="A19" s="40" t="s">
        <v>54</v>
      </c>
      <c r="B19" s="5">
        <f>'Rate Class Demand Model'!$B$8</f>
        <v>0</v>
      </c>
      <c r="C19" s="5">
        <f>'Rate Class Demand Model'!$B$9</f>
        <v>0</v>
      </c>
      <c r="D19" s="5">
        <f>'Rate Class Demand Model'!$B$10</f>
        <v>0</v>
      </c>
      <c r="E19" s="5">
        <f>'Rate Class Demand Model'!$B$11</f>
        <v>0</v>
      </c>
      <c r="F19" s="5">
        <f>'Rate Class Demand Model'!$B$12</f>
        <v>0</v>
      </c>
      <c r="G19" s="5">
        <f>'Rate Class Demand Model'!$B$13</f>
        <v>0</v>
      </c>
      <c r="H19" s="5">
        <f>'Rate Class Demand Model'!$B$14</f>
        <v>0</v>
      </c>
      <c r="I19" s="5">
        <f>'Rate Class Demand Model'!$B$15</f>
        <v>0</v>
      </c>
      <c r="J19" s="51">
        <f>'Rate Class Demand Model'!$B$16</f>
        <v>0</v>
      </c>
      <c r="K19" s="60">
        <f>'Rate Class Demand Model'!$B$36</f>
        <v>0</v>
      </c>
      <c r="L19" s="18">
        <f>'Rate Class Demand Model'!$B$37</f>
        <v>0</v>
      </c>
    </row>
    <row r="20" spans="1:12" x14ac:dyDescent="0.25">
      <c r="A20" s="42" t="s">
        <v>3</v>
      </c>
      <c r="B20" s="38"/>
      <c r="C20" s="39"/>
      <c r="D20" s="39"/>
      <c r="E20" s="39"/>
      <c r="F20" s="39"/>
      <c r="G20" s="39"/>
      <c r="H20" s="39"/>
      <c r="I20" s="39"/>
      <c r="J20" s="56"/>
      <c r="K20" s="62"/>
      <c r="L20" s="43"/>
    </row>
    <row r="21" spans="1:12" x14ac:dyDescent="0.25">
      <c r="A21" s="40" t="s">
        <v>53</v>
      </c>
      <c r="B21" s="5">
        <f>'Rate Class Customer Model'!$C$8</f>
        <v>4009</v>
      </c>
      <c r="C21" s="5">
        <f>'Rate Class Customer Model'!$C$9</f>
        <v>4001</v>
      </c>
      <c r="D21" s="5">
        <f>'Rate Class Customer Model'!$C$10</f>
        <v>3976</v>
      </c>
      <c r="E21" s="5">
        <f>'Rate Class Customer Model'!$C$11</f>
        <v>3919</v>
      </c>
      <c r="F21" s="5">
        <f>'Rate Class Customer Model'!$C$12</f>
        <v>3916</v>
      </c>
      <c r="G21" s="5">
        <f>'Rate Class Customer Model'!$C$13</f>
        <v>3907</v>
      </c>
      <c r="H21" s="5">
        <f>'Rate Class Customer Model'!$C$14</f>
        <v>3859</v>
      </c>
      <c r="I21" s="5">
        <f>'Rate Class Customer Model'!$C$15</f>
        <v>3862</v>
      </c>
      <c r="J21" s="51">
        <f>'Rate Class Customer Model'!$C$16</f>
        <v>3870</v>
      </c>
      <c r="K21" s="60">
        <f>'Rate Class Customer Model'!$C$36</f>
        <v>3860</v>
      </c>
      <c r="L21" s="18">
        <f>'Rate Class Customer Model'!$C$37</f>
        <v>3850</v>
      </c>
    </row>
    <row r="22" spans="1:12" x14ac:dyDescent="0.25">
      <c r="A22" s="40" t="s">
        <v>24</v>
      </c>
      <c r="B22" s="5">
        <f>'Rate Class Energy Model'!$C$8</f>
        <v>129600878</v>
      </c>
      <c r="C22" s="5">
        <f>'Rate Class Energy Model'!$C$9</f>
        <v>126763870</v>
      </c>
      <c r="D22" s="5">
        <f>'Rate Class Energy Model'!$C$10</f>
        <v>125816796</v>
      </c>
      <c r="E22" s="5">
        <f>'Rate Class Energy Model'!$C$11</f>
        <v>114518667</v>
      </c>
      <c r="F22" s="5">
        <f>'Rate Class Energy Model'!$C$12</f>
        <v>116294933</v>
      </c>
      <c r="G22" s="5">
        <f>'Rate Class Energy Model'!$C$13</f>
        <v>116705566</v>
      </c>
      <c r="H22" s="5">
        <f>'Rate Class Energy Model'!$C$14</f>
        <v>109007040</v>
      </c>
      <c r="I22" s="5">
        <f>'Rate Class Energy Model'!$C$15</f>
        <v>105791729</v>
      </c>
      <c r="J22" s="51">
        <f>'Rate Class Energy Model'!$C$16</f>
        <v>108543510</v>
      </c>
      <c r="K22" s="60">
        <f>'Rate Class Energy Model'!$C$63</f>
        <v>104337671.80952397</v>
      </c>
      <c r="L22" s="18">
        <f>'Rate Class Energy Model'!$C$64</f>
        <v>99682763.93957378</v>
      </c>
    </row>
    <row r="23" spans="1:12" x14ac:dyDescent="0.25">
      <c r="A23" s="40" t="s">
        <v>54</v>
      </c>
      <c r="B23" s="5">
        <f>'Rate Class Demand Model'!$C$8</f>
        <v>0</v>
      </c>
      <c r="C23" s="5">
        <f>'Rate Class Demand Model'!$C$9</f>
        <v>0</v>
      </c>
      <c r="D23" s="5">
        <f>'Rate Class Demand Model'!$C$10</f>
        <v>0</v>
      </c>
      <c r="E23" s="5">
        <f>'Rate Class Demand Model'!$C$11</f>
        <v>0</v>
      </c>
      <c r="F23" s="5">
        <f>'Rate Class Demand Model'!$C$12</f>
        <v>0</v>
      </c>
      <c r="G23" s="5">
        <f>'Rate Class Demand Model'!$C$13</f>
        <v>0</v>
      </c>
      <c r="H23" s="5">
        <f>'Rate Class Demand Model'!$C$14</f>
        <v>0</v>
      </c>
      <c r="I23" s="5">
        <f>'Rate Class Demand Model'!$C$15</f>
        <v>0</v>
      </c>
      <c r="J23" s="51">
        <f>'Rate Class Demand Model'!$C$16</f>
        <v>0</v>
      </c>
      <c r="K23" s="60">
        <f>'Rate Class Demand Model'!$C$36</f>
        <v>0</v>
      </c>
      <c r="L23" s="18">
        <f>'Rate Class Demand Model'!$C$37</f>
        <v>0</v>
      </c>
    </row>
    <row r="24" spans="1:12" x14ac:dyDescent="0.25">
      <c r="A24" s="42" t="s">
        <v>4</v>
      </c>
      <c r="B24" s="38"/>
      <c r="C24" s="39"/>
      <c r="D24" s="39"/>
      <c r="E24" s="39"/>
      <c r="F24" s="39"/>
      <c r="G24" s="39"/>
      <c r="H24" s="39"/>
      <c r="I24" s="39"/>
      <c r="J24" s="56"/>
      <c r="K24" s="62"/>
      <c r="L24" s="43"/>
    </row>
    <row r="25" spans="1:12" x14ac:dyDescent="0.25">
      <c r="A25" s="40" t="s">
        <v>53</v>
      </c>
      <c r="B25" s="5">
        <f>'Rate Class Customer Model'!$D$8</f>
        <v>507</v>
      </c>
      <c r="C25" s="5">
        <f>'Rate Class Customer Model'!$D$9</f>
        <v>513</v>
      </c>
      <c r="D25" s="5">
        <f>'Rate Class Customer Model'!$D$10</f>
        <v>523</v>
      </c>
      <c r="E25" s="5">
        <f>'Rate Class Customer Model'!$D$11</f>
        <v>517</v>
      </c>
      <c r="F25" s="5">
        <f>'Rate Class Customer Model'!$D$12</f>
        <v>496</v>
      </c>
      <c r="G25" s="5">
        <f>'Rate Class Customer Model'!$D$13</f>
        <v>490</v>
      </c>
      <c r="H25" s="5">
        <f>'Rate Class Customer Model'!$D$14</f>
        <v>498</v>
      </c>
      <c r="I25" s="5">
        <f>'Rate Class Customer Model'!$D$15</f>
        <v>499</v>
      </c>
      <c r="J25" s="51">
        <f>'Rate Class Customer Model'!$D$16</f>
        <v>497</v>
      </c>
      <c r="K25" s="60">
        <f>'Rate Class Customer Model'!$D$36</f>
        <v>495</v>
      </c>
      <c r="L25" s="18">
        <f>'Rate Class Customer Model'!$D$37</f>
        <v>491</v>
      </c>
    </row>
    <row r="26" spans="1:12" x14ac:dyDescent="0.25">
      <c r="A26" s="40" t="s">
        <v>24</v>
      </c>
      <c r="B26" s="5">
        <f>'Rate Class Energy Model'!$D$8</f>
        <v>507947705</v>
      </c>
      <c r="C26" s="5">
        <f>'Rate Class Energy Model'!$D$9</f>
        <v>498423262</v>
      </c>
      <c r="D26" s="5">
        <f>'Rate Class Energy Model'!$D$10</f>
        <v>464092558</v>
      </c>
      <c r="E26" s="5">
        <f>'Rate Class Energy Model'!$D$11</f>
        <v>395794984</v>
      </c>
      <c r="F26" s="5">
        <f>'Rate Class Energy Model'!$D$12</f>
        <v>435880111</v>
      </c>
      <c r="G26" s="5">
        <f>'Rate Class Energy Model'!$D$13</f>
        <v>444705629</v>
      </c>
      <c r="H26" s="5">
        <f>'Rate Class Energy Model'!$D$14</f>
        <v>453565445</v>
      </c>
      <c r="I26" s="5">
        <f>'Rate Class Energy Model'!$D$15</f>
        <v>456115509</v>
      </c>
      <c r="J26" s="51">
        <f>'Rate Class Energy Model'!$D$16</f>
        <v>457346103</v>
      </c>
      <c r="K26" s="60">
        <f>'Rate Class Energy Model'!$D$63</f>
        <v>470506400.35245085</v>
      </c>
      <c r="L26" s="18">
        <f>'Rate Class Energy Model'!$D$64</f>
        <v>478846837.84755301</v>
      </c>
    </row>
    <row r="27" spans="1:12" x14ac:dyDescent="0.25">
      <c r="A27" s="40" t="s">
        <v>54</v>
      </c>
      <c r="B27" s="5">
        <f>'Rate Class Demand Model'!$D$8</f>
        <v>1526414</v>
      </c>
      <c r="C27" s="5">
        <f>'Rate Class Demand Model'!$D$9</f>
        <v>1319003</v>
      </c>
      <c r="D27" s="5">
        <f>'Rate Class Demand Model'!$D$10</f>
        <v>1276603</v>
      </c>
      <c r="E27" s="5">
        <f>'Rate Class Demand Model'!$D$11</f>
        <v>1131642</v>
      </c>
      <c r="F27" s="5">
        <f>'Rate Class Demand Model'!$D$12</f>
        <v>1183053</v>
      </c>
      <c r="G27" s="5">
        <f>'Rate Class Demand Model'!$D$13</f>
        <v>1189083</v>
      </c>
      <c r="H27" s="5">
        <f>'Rate Class Demand Model'!$D$14</f>
        <v>1188171</v>
      </c>
      <c r="I27" s="5">
        <f>'Rate Class Demand Model'!$D$15</f>
        <v>1223255</v>
      </c>
      <c r="J27" s="51">
        <f>'Rate Class Demand Model'!$D$16</f>
        <v>1181005</v>
      </c>
      <c r="K27" s="60">
        <f>'Rate Class Demand Model'!$D$36</f>
        <v>1250086.4875532312</v>
      </c>
      <c r="L27" s="18">
        <f>'Rate Class Demand Model'!$D$37</f>
        <v>1272216.8068765986</v>
      </c>
    </row>
    <row r="28" spans="1:12" x14ac:dyDescent="0.25">
      <c r="A28" s="42" t="s">
        <v>5</v>
      </c>
      <c r="B28" s="38"/>
      <c r="C28" s="39"/>
      <c r="D28" s="39"/>
      <c r="E28" s="39"/>
      <c r="F28" s="39"/>
      <c r="G28" s="39"/>
      <c r="H28" s="39"/>
      <c r="I28" s="39"/>
      <c r="J28" s="56"/>
      <c r="K28" s="62"/>
      <c r="L28" s="43"/>
    </row>
    <row r="29" spans="1:12" x14ac:dyDescent="0.25">
      <c r="A29" s="40" t="s">
        <v>53</v>
      </c>
      <c r="B29" s="5">
        <f>'Rate Class Customer Model'!$E$8+'Rate Class Customer Model'!$F$8</f>
        <v>3</v>
      </c>
      <c r="C29" s="5">
        <f>'Rate Class Customer Model'!$E$9+'Rate Class Customer Model'!$F$9</f>
        <v>4</v>
      </c>
      <c r="D29" s="5">
        <f>'Rate Class Customer Model'!$E$10+'Rate Class Customer Model'!$F$10</f>
        <v>4</v>
      </c>
      <c r="E29" s="5">
        <f>'Rate Class Customer Model'!$E$11+'Rate Class Customer Model'!$F$11</f>
        <v>4</v>
      </c>
      <c r="F29" s="5">
        <f>'Rate Class Customer Model'!$E$12+'Rate Class Customer Model'!$F$12</f>
        <v>3</v>
      </c>
      <c r="G29" s="5">
        <f>'Rate Class Customer Model'!$E$13+'Rate Class Customer Model'!$F$13</f>
        <v>2</v>
      </c>
      <c r="H29" s="5">
        <f>'Rate Class Customer Model'!$E$14+'Rate Class Customer Model'!$F$14</f>
        <v>2</v>
      </c>
      <c r="I29" s="5">
        <f>'Rate Class Customer Model'!$E$15+'Rate Class Customer Model'!$F$15</f>
        <v>2</v>
      </c>
      <c r="J29" s="51">
        <f>'Rate Class Customer Model'!$E$16+'Rate Class Customer Model'!$F$16</f>
        <v>2</v>
      </c>
      <c r="K29" s="60">
        <f>'Rate Class Customer Model'!$E$36+'Rate Class Customer Model'!F30</f>
        <v>2</v>
      </c>
      <c r="L29" s="18">
        <f>'Rate Class Customer Model'!$E$37+'Rate Class Customer Model'!F31</f>
        <v>2</v>
      </c>
    </row>
    <row r="30" spans="1:12" x14ac:dyDescent="0.25">
      <c r="A30" s="40" t="s">
        <v>24</v>
      </c>
      <c r="B30" s="5">
        <f>'Rate Class Energy Model'!$E$8+'Rate Class Energy Model'!$F$8</f>
        <v>129066875</v>
      </c>
      <c r="C30" s="5">
        <f>'Rate Class Energy Model'!$E$9+'Rate Class Energy Model'!$F$9</f>
        <v>116290944</v>
      </c>
      <c r="D30" s="5">
        <f>'Rate Class Energy Model'!$E$10+'Rate Class Energy Model'!$F$10</f>
        <v>121399083</v>
      </c>
      <c r="E30" s="5">
        <f>'Rate Class Energy Model'!$E$11+'Rate Class Energy Model'!$F$11</f>
        <v>70190881</v>
      </c>
      <c r="F30" s="5">
        <f>'Rate Class Energy Model'!$E$12+'Rate Class Energy Model'!$F$12</f>
        <v>64065282</v>
      </c>
      <c r="G30" s="5">
        <f>'Rate Class Energy Model'!$E$13+'Rate Class Energy Model'!$F$13</f>
        <v>63295873</v>
      </c>
      <c r="H30" s="5">
        <f>'Rate Class Energy Model'!$E$14+'Rate Class Energy Model'!$F$14</f>
        <v>62435388</v>
      </c>
      <c r="I30" s="5">
        <f>'Rate Class Energy Model'!$E$15+'Rate Class Energy Model'!$F$15</f>
        <v>71674481</v>
      </c>
      <c r="J30" s="51">
        <f>'Rate Class Energy Model'!$E$16+'Rate Class Energy Model'!$F$16</f>
        <v>64740617</v>
      </c>
      <c r="K30" s="60">
        <f>'Rate Class Energy Model'!$E$63+'Rate Class Energy Model'!F63</f>
        <v>51639984.475155152</v>
      </c>
      <c r="L30" s="18">
        <f>'Rate Class Energy Model'!$E$64+'Rate Class Energy Model'!F64</f>
        <v>40551282.501611322</v>
      </c>
    </row>
    <row r="31" spans="1:12" x14ac:dyDescent="0.25">
      <c r="A31" s="40" t="s">
        <v>54</v>
      </c>
      <c r="B31" s="5">
        <f>'Rate Class Demand Model'!$E$8+'Rate Class Demand Model'!$F$8</f>
        <v>301505</v>
      </c>
      <c r="C31" s="5">
        <f>'Rate Class Demand Model'!$E$9+'Rate Class Demand Model'!$F$9</f>
        <v>264468</v>
      </c>
      <c r="D31" s="5">
        <f>'Rate Class Demand Model'!$E$10+'Rate Class Demand Model'!$F$10</f>
        <v>262310</v>
      </c>
      <c r="E31" s="5">
        <f>'Rate Class Demand Model'!$E$11+'Rate Class Demand Model'!$F$11</f>
        <v>197012</v>
      </c>
      <c r="F31" s="5">
        <f>'Rate Class Demand Model'!$E$12+'Rate Class Demand Model'!$F$12</f>
        <v>158624</v>
      </c>
      <c r="G31" s="5">
        <f>'Rate Class Demand Model'!$E$13+'Rate Class Demand Model'!$F$13</f>
        <v>132465</v>
      </c>
      <c r="H31" s="5">
        <f>'Rate Class Demand Model'!$E$14+'Rate Class Demand Model'!$F$14</f>
        <v>134207</v>
      </c>
      <c r="I31" s="5">
        <f>'Rate Class Demand Model'!$E$15+'Rate Class Demand Model'!$F$15</f>
        <v>155785</v>
      </c>
      <c r="J31" s="51">
        <f>'Rate Class Demand Model'!$E$16+'Rate Class Demand Model'!$F$16</f>
        <v>147471</v>
      </c>
      <c r="K31" s="60">
        <f>'Rate Class Demand Model'!$E$36+'Rate Class Demand Model'!F30</f>
        <v>113324</v>
      </c>
      <c r="L31" s="18">
        <f>'Rate Class Demand Model'!$E$37+'Rate Class Demand Model'!F31</f>
        <v>86226</v>
      </c>
    </row>
    <row r="32" spans="1:12" x14ac:dyDescent="0.25">
      <c r="A32" s="42" t="s">
        <v>55</v>
      </c>
      <c r="B32" s="38"/>
      <c r="C32" s="39"/>
      <c r="D32" s="39"/>
      <c r="E32" s="39"/>
      <c r="F32" s="39"/>
      <c r="G32" s="39"/>
      <c r="H32" s="39"/>
      <c r="I32" s="39"/>
      <c r="J32" s="56"/>
      <c r="K32" s="62"/>
      <c r="L32" s="43"/>
    </row>
    <row r="33" spans="1:12" x14ac:dyDescent="0.25">
      <c r="A33" s="40" t="s">
        <v>57</v>
      </c>
      <c r="B33" s="5">
        <f>'Rate Class Customer Model'!$G$8</f>
        <v>0</v>
      </c>
      <c r="C33" s="5">
        <f>'Rate Class Customer Model'!$G$9</f>
        <v>0</v>
      </c>
      <c r="D33" s="5">
        <f>'Rate Class Customer Model'!$G$10</f>
        <v>0</v>
      </c>
      <c r="E33" s="5">
        <f>'Rate Class Customer Model'!$G$11</f>
        <v>122</v>
      </c>
      <c r="F33" s="5">
        <f>'Rate Class Customer Model'!$G$12</f>
        <v>244</v>
      </c>
      <c r="G33" s="5">
        <f>'Rate Class Customer Model'!$G$13</f>
        <v>245</v>
      </c>
      <c r="H33" s="5">
        <f>'Rate Class Customer Model'!$G$14</f>
        <v>245</v>
      </c>
      <c r="I33" s="5">
        <f>'Rate Class Customer Model'!$G$15</f>
        <v>248</v>
      </c>
      <c r="J33" s="51">
        <f>'Rate Class Customer Model'!$G$16</f>
        <v>251</v>
      </c>
      <c r="K33" s="60">
        <f>'Rate Class Customer Model'!$G$36</f>
        <v>290</v>
      </c>
      <c r="L33" s="18">
        <f>'Rate Class Customer Model'!$G$37</f>
        <v>335</v>
      </c>
    </row>
    <row r="34" spans="1:12" x14ac:dyDescent="0.25">
      <c r="A34" s="40" t="s">
        <v>24</v>
      </c>
      <c r="B34" s="5">
        <f>'Rate Class Energy Model'!$G$8</f>
        <v>0</v>
      </c>
      <c r="C34" s="5">
        <f>'Rate Class Energy Model'!$G$9</f>
        <v>0</v>
      </c>
      <c r="D34" s="5">
        <f>'Rate Class Energy Model'!$G$10</f>
        <v>0</v>
      </c>
      <c r="E34" s="5">
        <f>'Rate Class Energy Model'!$G$11</f>
        <v>1158647</v>
      </c>
      <c r="F34" s="5">
        <f>'Rate Class Energy Model'!$G$12</f>
        <v>1191306</v>
      </c>
      <c r="G34" s="5">
        <f>'Rate Class Energy Model'!$G$13</f>
        <v>1249000</v>
      </c>
      <c r="H34" s="5">
        <f>'Rate Class Energy Model'!$G$14</f>
        <v>1213037</v>
      </c>
      <c r="I34" s="5">
        <f>'Rate Class Energy Model'!$G$15</f>
        <v>1228666</v>
      </c>
      <c r="J34" s="51">
        <f>'Rate Class Energy Model'!$G$16</f>
        <v>1249444</v>
      </c>
      <c r="K34" s="60">
        <f>'Rate Class Energy Model'!$G$63</f>
        <v>1268750</v>
      </c>
      <c r="L34" s="18">
        <f>'Rate Class Energy Model'!$G$64</f>
        <v>1288075</v>
      </c>
    </row>
    <row r="35" spans="1:12" x14ac:dyDescent="0.25">
      <c r="A35" s="40" t="s">
        <v>54</v>
      </c>
      <c r="B35" s="5">
        <f>'Rate Class Demand Model'!$G$8</f>
        <v>0</v>
      </c>
      <c r="C35" s="5">
        <f>'Rate Class Demand Model'!$G$9</f>
        <v>0</v>
      </c>
      <c r="D35" s="5">
        <f>'Rate Class Demand Model'!$G$10</f>
        <v>0</v>
      </c>
      <c r="E35" s="5">
        <f>'Rate Class Demand Model'!$G$11</f>
        <v>0</v>
      </c>
      <c r="F35" s="5">
        <f>'Rate Class Demand Model'!$G$12</f>
        <v>0</v>
      </c>
      <c r="G35" s="5">
        <f>'Rate Class Demand Model'!$G$13</f>
        <v>0</v>
      </c>
      <c r="H35" s="5">
        <f>'Rate Class Demand Model'!$G$14</f>
        <v>0</v>
      </c>
      <c r="I35" s="5">
        <f>'Rate Class Demand Model'!$G$15</f>
        <v>0</v>
      </c>
      <c r="J35" s="51">
        <f>'Rate Class Demand Model'!$G$16</f>
        <v>0</v>
      </c>
      <c r="K35" s="60">
        <f>'Rate Class Demand Model'!$G$36</f>
        <v>0</v>
      </c>
      <c r="L35" s="18">
        <f>'Rate Class Demand Model'!$G$37</f>
        <v>0</v>
      </c>
    </row>
    <row r="36" spans="1:12" x14ac:dyDescent="0.25">
      <c r="A36" s="42" t="s">
        <v>8</v>
      </c>
      <c r="B36" s="38"/>
      <c r="C36" s="39"/>
      <c r="D36" s="39"/>
      <c r="E36" s="39"/>
      <c r="F36" s="39"/>
      <c r="G36" s="39"/>
      <c r="H36" s="39"/>
      <c r="I36" s="39"/>
      <c r="J36" s="56"/>
      <c r="K36" s="62"/>
      <c r="L36" s="43"/>
    </row>
    <row r="37" spans="1:12" x14ac:dyDescent="0.25">
      <c r="A37" s="40" t="s">
        <v>57</v>
      </c>
      <c r="B37" s="5">
        <f>'Rate Class Customer Model'!$H$8</f>
        <v>393</v>
      </c>
      <c r="C37" s="5">
        <f>'Rate Class Customer Model'!$H$9</f>
        <v>394</v>
      </c>
      <c r="D37" s="5">
        <f>'Rate Class Customer Model'!$H$10</f>
        <v>393</v>
      </c>
      <c r="E37" s="5">
        <f>'Rate Class Customer Model'!$H$11</f>
        <v>390</v>
      </c>
      <c r="F37" s="5">
        <f>'Rate Class Customer Model'!$H$12</f>
        <v>388</v>
      </c>
      <c r="G37" s="5">
        <f>'Rate Class Customer Model'!$H$13</f>
        <v>388</v>
      </c>
      <c r="H37" s="5">
        <f>'Rate Class Customer Model'!$H$14</f>
        <v>388</v>
      </c>
      <c r="I37" s="5">
        <f>'Rate Class Customer Model'!$H$15</f>
        <v>441</v>
      </c>
      <c r="J37" s="51">
        <f>'Rate Class Customer Model'!$H$16</f>
        <v>487</v>
      </c>
      <c r="K37" s="60">
        <f>'Rate Class Customer Model'!$H$36</f>
        <v>509</v>
      </c>
      <c r="L37" s="18">
        <f>'Rate Class Customer Model'!$H$37</f>
        <v>532</v>
      </c>
    </row>
    <row r="38" spans="1:12" x14ac:dyDescent="0.25">
      <c r="A38" s="40" t="s">
        <v>24</v>
      </c>
      <c r="B38" s="5">
        <f>'Rate Class Energy Model'!$H$8</f>
        <v>454662</v>
      </c>
      <c r="C38" s="5">
        <f>'Rate Class Energy Model'!$H$9</f>
        <v>445369</v>
      </c>
      <c r="D38" s="5">
        <f>'Rate Class Energy Model'!$H$10</f>
        <v>436740</v>
      </c>
      <c r="E38" s="5">
        <f>'Rate Class Energy Model'!$H$11</f>
        <v>440153</v>
      </c>
      <c r="F38" s="5">
        <f>'Rate Class Energy Model'!$H$12</f>
        <v>433931</v>
      </c>
      <c r="G38" s="5">
        <f>'Rate Class Energy Model'!$H$13</f>
        <v>353837</v>
      </c>
      <c r="H38" s="5">
        <f>'Rate Class Energy Model'!$H$14</f>
        <v>405259</v>
      </c>
      <c r="I38" s="5">
        <f>'Rate Class Energy Model'!$H$15</f>
        <v>410160</v>
      </c>
      <c r="J38" s="51">
        <f>'Rate Class Energy Model'!$H$16</f>
        <v>408652</v>
      </c>
      <c r="K38" s="60">
        <f>'Rate Class Energy Model'!$H$63</f>
        <v>402619</v>
      </c>
      <c r="L38" s="18">
        <f>'Rate Class Energy Model'!$H$64</f>
        <v>396340</v>
      </c>
    </row>
    <row r="39" spans="1:12" x14ac:dyDescent="0.25">
      <c r="A39" s="40" t="s">
        <v>54</v>
      </c>
      <c r="B39" s="5">
        <f>'Rate Class Demand Model'!$H$8</f>
        <v>1897</v>
      </c>
      <c r="C39" s="5">
        <f>'Rate Class Demand Model'!$H$9</f>
        <v>1234</v>
      </c>
      <c r="D39" s="5">
        <f>'Rate Class Demand Model'!$H$10</f>
        <v>1222</v>
      </c>
      <c r="E39" s="5">
        <f>'Rate Class Demand Model'!$H$11</f>
        <v>1217</v>
      </c>
      <c r="F39" s="5">
        <f>'Rate Class Demand Model'!$H$12</f>
        <v>1224</v>
      </c>
      <c r="G39" s="5">
        <f>'Rate Class Demand Model'!$H$13</f>
        <v>980</v>
      </c>
      <c r="H39" s="5">
        <f>'Rate Class Demand Model'!$H$14</f>
        <v>1138</v>
      </c>
      <c r="I39" s="5">
        <f>'Rate Class Demand Model'!$H$15</f>
        <v>1130</v>
      </c>
      <c r="J39" s="51">
        <f>'Rate Class Demand Model'!$H$16</f>
        <v>1144</v>
      </c>
      <c r="K39" s="60">
        <f>'Rate Class Demand Model'!$H$36</f>
        <v>1127</v>
      </c>
      <c r="L39" s="18">
        <f>'Rate Class Demand Model'!$H$37</f>
        <v>1110</v>
      </c>
    </row>
    <row r="40" spans="1:12" x14ac:dyDescent="0.25">
      <c r="A40" s="42" t="s">
        <v>7</v>
      </c>
      <c r="B40" s="38"/>
      <c r="C40" s="39"/>
      <c r="D40" s="39"/>
      <c r="E40" s="39"/>
      <c r="F40" s="39"/>
      <c r="G40" s="39"/>
      <c r="H40" s="39"/>
      <c r="I40" s="39"/>
      <c r="J40" s="56"/>
      <c r="K40" s="62"/>
      <c r="L40" s="43"/>
    </row>
    <row r="41" spans="1:12" x14ac:dyDescent="0.25">
      <c r="A41" s="40" t="s">
        <v>57</v>
      </c>
      <c r="B41" s="5">
        <f>'Rate Class Customer Model'!$I$8</f>
        <v>12468</v>
      </c>
      <c r="C41" s="5">
        <f>'Rate Class Customer Model'!$I$9</f>
        <v>12468</v>
      </c>
      <c r="D41" s="5">
        <f>'Rate Class Customer Model'!$I$10</f>
        <v>12553</v>
      </c>
      <c r="E41" s="5">
        <f>'Rate Class Customer Model'!$I$11</f>
        <v>12784</v>
      </c>
      <c r="F41" s="5">
        <f>'Rate Class Customer Model'!$I$12</f>
        <v>12931</v>
      </c>
      <c r="G41" s="5">
        <f>'Rate Class Customer Model'!$I$13</f>
        <v>12931</v>
      </c>
      <c r="H41" s="5">
        <f>'Rate Class Customer Model'!$I$14</f>
        <v>12931</v>
      </c>
      <c r="I41" s="5">
        <f>'Rate Class Customer Model'!$I$15</f>
        <v>13103</v>
      </c>
      <c r="J41" s="51">
        <f>'Rate Class Customer Model'!$I$16</f>
        <v>13270</v>
      </c>
      <c r="K41" s="60">
        <f>'Rate Class Customer Model'!$I$36</f>
        <v>13369</v>
      </c>
      <c r="L41" s="18">
        <f>'Rate Class Customer Model'!$I$37</f>
        <v>13469</v>
      </c>
    </row>
    <row r="42" spans="1:12" x14ac:dyDescent="0.25">
      <c r="A42" s="40" t="s">
        <v>24</v>
      </c>
      <c r="B42" s="5">
        <f>'Rate Class Energy Model'!$I$8</f>
        <v>8797196</v>
      </c>
      <c r="C42" s="5">
        <f>'Rate Class Energy Model'!$I$9</f>
        <v>8797782</v>
      </c>
      <c r="D42" s="5">
        <f>'Rate Class Energy Model'!$I$10</f>
        <v>8199730</v>
      </c>
      <c r="E42" s="5">
        <f>'Rate Class Energy Model'!$I$11</f>
        <v>8235437</v>
      </c>
      <c r="F42" s="5">
        <f>'Rate Class Energy Model'!$I$12</f>
        <v>8221743</v>
      </c>
      <c r="G42" s="5">
        <f>'Rate Class Energy Model'!$I$13</f>
        <v>8221874</v>
      </c>
      <c r="H42" s="5">
        <f>'Rate Class Energy Model'!$I$14</f>
        <v>8250167</v>
      </c>
      <c r="I42" s="5">
        <f>'Rate Class Energy Model'!$I$15</f>
        <v>7792246</v>
      </c>
      <c r="J42" s="51">
        <f>'Rate Class Energy Model'!$I$16</f>
        <v>7533249</v>
      </c>
      <c r="K42" s="60">
        <f>'Rate Class Energy Model'!$I$63</f>
        <v>7396373.5003008721</v>
      </c>
      <c r="L42" s="18">
        <f>'Rate Class Energy Model'!$I$64</f>
        <v>7263207.5003008721</v>
      </c>
    </row>
    <row r="43" spans="1:12" x14ac:dyDescent="0.25">
      <c r="A43" s="40" t="s">
        <v>54</v>
      </c>
      <c r="B43" s="5">
        <f>'Rate Class Demand Model'!$I$8</f>
        <v>24792</v>
      </c>
      <c r="C43" s="5">
        <f>'Rate Class Demand Model'!$I$9</f>
        <v>31812</v>
      </c>
      <c r="D43" s="5">
        <f>'Rate Class Demand Model'!$I$10</f>
        <v>24235</v>
      </c>
      <c r="E43" s="5">
        <f>'Rate Class Demand Model'!$I$11</f>
        <v>24546</v>
      </c>
      <c r="F43" s="5">
        <f>'Rate Class Demand Model'!$I$12</f>
        <v>24338</v>
      </c>
      <c r="G43" s="5">
        <f>'Rate Class Demand Model'!$I$13</f>
        <v>24338</v>
      </c>
      <c r="H43" s="5">
        <f>'Rate Class Demand Model'!$I$14</f>
        <v>24338</v>
      </c>
      <c r="I43" s="5">
        <f>'Rate Class Demand Model'!$I$15</f>
        <v>23008</v>
      </c>
      <c r="J43" s="51">
        <f>'Rate Class Demand Model'!$I$16</f>
        <v>22342</v>
      </c>
      <c r="K43" s="60">
        <f>'Rate Class Demand Model'!$I$36</f>
        <v>22189</v>
      </c>
      <c r="L43" s="18">
        <f>'Rate Class Demand Model'!$I$37</f>
        <v>21790</v>
      </c>
    </row>
    <row r="44" spans="1:12" x14ac:dyDescent="0.25">
      <c r="A44" s="42" t="s">
        <v>303</v>
      </c>
      <c r="B44" s="38"/>
      <c r="C44" s="39"/>
      <c r="D44" s="39"/>
      <c r="E44" s="39"/>
      <c r="F44" s="39"/>
      <c r="G44" s="39"/>
      <c r="H44" s="39"/>
      <c r="I44" s="39"/>
      <c r="J44" s="56"/>
      <c r="K44" s="62"/>
      <c r="L44" s="43"/>
    </row>
    <row r="45" spans="1:12" x14ac:dyDescent="0.25">
      <c r="A45" s="40" t="s">
        <v>53</v>
      </c>
      <c r="B45" s="5">
        <f>'Rate Class Customer Model'!$J$8</f>
        <v>0</v>
      </c>
      <c r="C45" s="5">
        <f>'Rate Class Customer Model'!$J$9</f>
        <v>1</v>
      </c>
      <c r="D45" s="5">
        <f>'Rate Class Customer Model'!$J$10</f>
        <v>1</v>
      </c>
      <c r="E45" s="5">
        <f>'Rate Class Customer Model'!$J$11</f>
        <v>1</v>
      </c>
      <c r="F45" s="5">
        <f>'Rate Class Customer Model'!$J$12</f>
        <v>1</v>
      </c>
      <c r="G45" s="5">
        <f>'Rate Class Customer Model'!$J$13</f>
        <v>1</v>
      </c>
      <c r="H45" s="5">
        <f>'Rate Class Customer Model'!$J$14</f>
        <v>1</v>
      </c>
      <c r="I45" s="5">
        <f>'Rate Class Customer Model'!$J$15</f>
        <v>1</v>
      </c>
      <c r="J45" s="51">
        <f>'Rate Class Customer Model'!$J$16</f>
        <v>1</v>
      </c>
      <c r="K45" s="60">
        <f>'Rate Class Customer Model'!$J$36</f>
        <v>1</v>
      </c>
      <c r="L45" s="18">
        <f>'Rate Class Customer Model'!$J$37</f>
        <v>1</v>
      </c>
    </row>
    <row r="46" spans="1:12" x14ac:dyDescent="0.25">
      <c r="A46" s="40" t="s">
        <v>24</v>
      </c>
      <c r="B46" s="5">
        <f>'Rate Class Energy Model'!$J$8</f>
        <v>0</v>
      </c>
      <c r="C46" s="5">
        <f>'Rate Class Energy Model'!$J$9</f>
        <v>5294429</v>
      </c>
      <c r="D46" s="5">
        <f>'Rate Class Energy Model'!$J$10</f>
        <v>5200141</v>
      </c>
      <c r="E46" s="5">
        <f>'Rate Class Energy Model'!$J$11</f>
        <v>5213283</v>
      </c>
      <c r="F46" s="5">
        <f>'Rate Class Energy Model'!$J$12</f>
        <v>4851464</v>
      </c>
      <c r="G46" s="5">
        <f>'Rate Class Energy Model'!$J$13</f>
        <v>4151567</v>
      </c>
      <c r="H46" s="5">
        <f>'Rate Class Energy Model'!$J$14</f>
        <v>4555496</v>
      </c>
      <c r="I46" s="5">
        <f>'Rate Class Energy Model'!$J$15</f>
        <v>4612024</v>
      </c>
      <c r="J46" s="51">
        <f>'Rate Class Energy Model'!$J$16</f>
        <v>4634801</v>
      </c>
      <c r="K46" s="60">
        <f>'Rate Class Energy Model'!$J$63</f>
        <v>4526975</v>
      </c>
      <c r="L46" s="18">
        <f>'Rate Class Energy Model'!$J$64</f>
        <v>4421657</v>
      </c>
    </row>
    <row r="47" spans="1:12" x14ac:dyDescent="0.25">
      <c r="A47" s="40" t="s">
        <v>54</v>
      </c>
      <c r="B47" s="5">
        <f>'Rate Class Demand Model'!$J$8</f>
        <v>0</v>
      </c>
      <c r="C47" s="5">
        <f>'Rate Class Demand Model'!$J$9</f>
        <v>10733</v>
      </c>
      <c r="D47" s="5">
        <f>'Rate Class Demand Model'!$J$10</f>
        <v>10432</v>
      </c>
      <c r="E47" s="5">
        <f>'Rate Class Demand Model'!$J$11</f>
        <v>10438</v>
      </c>
      <c r="F47" s="5">
        <f>'Rate Class Demand Model'!$J$12</f>
        <v>10285</v>
      </c>
      <c r="G47" s="5">
        <f>'Rate Class Demand Model'!$J$13</f>
        <v>11258</v>
      </c>
      <c r="H47" s="5">
        <f>'Rate Class Demand Model'!$J$14</f>
        <v>10054</v>
      </c>
      <c r="I47" s="5">
        <f>'Rate Class Demand Model'!$J$15</f>
        <v>9926</v>
      </c>
      <c r="J47" s="51">
        <f>'Rate Class Demand Model'!$J$16</f>
        <v>16051</v>
      </c>
      <c r="K47" s="60">
        <f>'Rate Class Demand Model'!$J$36</f>
        <v>11499</v>
      </c>
      <c r="L47" s="18">
        <f>'Rate Class Demand Model'!$J$37</f>
        <v>11231</v>
      </c>
    </row>
    <row r="48" spans="1:12" x14ac:dyDescent="0.25">
      <c r="A48" s="90" t="s">
        <v>56</v>
      </c>
      <c r="B48" s="91"/>
      <c r="C48" s="92"/>
      <c r="D48" s="92"/>
      <c r="E48" s="92"/>
      <c r="F48" s="92"/>
      <c r="G48" s="92"/>
      <c r="H48" s="92"/>
      <c r="I48" s="92"/>
      <c r="J48" s="93"/>
      <c r="K48" s="94"/>
      <c r="L48" s="95"/>
    </row>
    <row r="49" spans="1:12" x14ac:dyDescent="0.25">
      <c r="A49" s="40" t="s">
        <v>53</v>
      </c>
      <c r="B49" s="6">
        <f>B17+B21+B25+B29+B33+B37+B41+B45</f>
        <v>52522</v>
      </c>
      <c r="C49" s="6">
        <f t="shared" ref="C49:L49" si="2">C17+C21+C25+C29+C33+C37+C41+C45</f>
        <v>52571</v>
      </c>
      <c r="D49" s="6">
        <f t="shared" si="2"/>
        <v>52784</v>
      </c>
      <c r="E49" s="6">
        <f t="shared" si="2"/>
        <v>53175</v>
      </c>
      <c r="F49" s="6">
        <f t="shared" si="2"/>
        <v>53451</v>
      </c>
      <c r="G49" s="6">
        <f t="shared" si="2"/>
        <v>53592</v>
      </c>
      <c r="H49" s="6">
        <f t="shared" si="2"/>
        <v>53740</v>
      </c>
      <c r="I49" s="6">
        <f t="shared" si="2"/>
        <v>54100</v>
      </c>
      <c r="J49" s="53">
        <f t="shared" si="2"/>
        <v>54452</v>
      </c>
      <c r="K49" s="61">
        <f t="shared" si="2"/>
        <v>54729</v>
      </c>
      <c r="L49" s="10">
        <f t="shared" si="2"/>
        <v>55013</v>
      </c>
    </row>
    <row r="50" spans="1:12" x14ac:dyDescent="0.25">
      <c r="A50" s="40" t="s">
        <v>24</v>
      </c>
      <c r="B50" s="6">
        <f t="shared" ref="B50:L51" si="3">B18+B22+B26+B30+B34+B38+B42+B46</f>
        <v>1078222399</v>
      </c>
      <c r="C50" s="6">
        <f t="shared" si="3"/>
        <v>1055654062</v>
      </c>
      <c r="D50" s="6">
        <f t="shared" si="3"/>
        <v>1021199819</v>
      </c>
      <c r="E50" s="6">
        <f t="shared" si="3"/>
        <v>886643741</v>
      </c>
      <c r="F50" s="6">
        <f t="shared" si="3"/>
        <v>932206593</v>
      </c>
      <c r="G50" s="6">
        <f t="shared" si="3"/>
        <v>938179332</v>
      </c>
      <c r="H50" s="6">
        <f t="shared" si="3"/>
        <v>936088111</v>
      </c>
      <c r="I50" s="6">
        <f t="shared" si="3"/>
        <v>928696615</v>
      </c>
      <c r="J50" s="53">
        <f t="shared" si="3"/>
        <v>933911819</v>
      </c>
      <c r="K50" s="61">
        <f t="shared" si="3"/>
        <v>923095361.38791585</v>
      </c>
      <c r="L50" s="10">
        <f t="shared" si="3"/>
        <v>909926173.0230304</v>
      </c>
    </row>
    <row r="51" spans="1:12" x14ac:dyDescent="0.25">
      <c r="A51" s="44" t="s">
        <v>54</v>
      </c>
      <c r="B51" s="45">
        <f t="shared" si="3"/>
        <v>1854608</v>
      </c>
      <c r="C51" s="45">
        <f t="shared" si="3"/>
        <v>1627250</v>
      </c>
      <c r="D51" s="45">
        <f t="shared" si="3"/>
        <v>1574802</v>
      </c>
      <c r="E51" s="45">
        <f t="shared" si="3"/>
        <v>1364855</v>
      </c>
      <c r="F51" s="45">
        <f t="shared" si="3"/>
        <v>1377524</v>
      </c>
      <c r="G51" s="45">
        <f t="shared" si="3"/>
        <v>1358124</v>
      </c>
      <c r="H51" s="45">
        <f t="shared" si="3"/>
        <v>1357908</v>
      </c>
      <c r="I51" s="45">
        <f t="shared" si="3"/>
        <v>1413104</v>
      </c>
      <c r="J51" s="57">
        <f t="shared" si="3"/>
        <v>1368013</v>
      </c>
      <c r="K51" s="63">
        <f t="shared" si="3"/>
        <v>1398225.4875532312</v>
      </c>
      <c r="L51" s="46">
        <f t="shared" si="3"/>
        <v>1392573.8068765986</v>
      </c>
    </row>
    <row r="52" spans="1:12" x14ac:dyDescent="0.25">
      <c r="C52" s="1"/>
      <c r="D52" s="1"/>
      <c r="E52" s="1"/>
      <c r="F52" s="1"/>
      <c r="G52" s="1"/>
      <c r="H52" s="1"/>
      <c r="I52" s="1"/>
      <c r="J52" s="1"/>
      <c r="K52" s="1"/>
      <c r="L52" s="1"/>
    </row>
    <row r="53" spans="1:12" x14ac:dyDescent="0.25">
      <c r="A53" t="s">
        <v>59</v>
      </c>
      <c r="B53" s="2">
        <f t="shared" ref="B53:L53" si="4">B13-B50</f>
        <v>0</v>
      </c>
      <c r="C53" s="2">
        <f t="shared" si="4"/>
        <v>0</v>
      </c>
      <c r="D53" s="2">
        <f t="shared" si="4"/>
        <v>0</v>
      </c>
      <c r="E53" s="2">
        <f t="shared" si="4"/>
        <v>0</v>
      </c>
      <c r="F53" s="2">
        <f t="shared" si="4"/>
        <v>0</v>
      </c>
      <c r="G53" s="2">
        <f t="shared" si="4"/>
        <v>0</v>
      </c>
      <c r="H53" s="2">
        <f t="shared" si="4"/>
        <v>0</v>
      </c>
      <c r="I53" s="2">
        <f t="shared" si="4"/>
        <v>0</v>
      </c>
      <c r="J53" s="2">
        <f t="shared" si="4"/>
        <v>0</v>
      </c>
      <c r="K53" s="2">
        <f t="shared" si="4"/>
        <v>0</v>
      </c>
      <c r="L53" s="2">
        <f t="shared" si="4"/>
        <v>0</v>
      </c>
    </row>
    <row r="56" spans="1:12" x14ac:dyDescent="0.25">
      <c r="K56" s="2"/>
      <c r="L56" s="2"/>
    </row>
    <row r="57" spans="1:12" x14ac:dyDescent="0.25">
      <c r="K57" s="2"/>
      <c r="L57" s="2"/>
    </row>
    <row r="58" spans="1:12" x14ac:dyDescent="0.25">
      <c r="K58" s="2"/>
      <c r="L58" s="2"/>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Purchase Forecast</vt:lpstr>
      <vt:lpstr>Regression Analysis</vt:lpstr>
      <vt:lpstr>Forecast Accuracy</vt:lpstr>
      <vt:lpstr>Rate Class Customer Model</vt:lpstr>
      <vt:lpstr>Rate Class Energy Model</vt:lpstr>
      <vt:lpstr>Rate Class Demand Model</vt:lpstr>
      <vt:lpstr>CDM</vt:lpstr>
      <vt:lpstr>WMP</vt:lpstr>
      <vt:lpstr>Detailed Summary</vt:lpstr>
      <vt:lpstr>Summary</vt:lpstr>
      <vt:lpstr>COP Rates</vt:lpstr>
      <vt:lpstr>COP Forecast</vt:lpstr>
      <vt:lpstr>Allocation of LF</vt:lpstr>
      <vt:lpstr>2016 Revenue at Old Rates</vt:lpstr>
      <vt:lpstr>Market Participant</vt:lpstr>
      <vt:lpstr>'2016 Revenue at Old Rates'!Print_Area</vt:lpstr>
      <vt:lpstr>'Allocation of LF'!Print_Area</vt:lpstr>
      <vt:lpstr>CDM!Print_Area</vt:lpstr>
      <vt:lpstr>'COP Forecast'!Print_Area</vt:lpstr>
      <vt:lpstr>'COP Rates'!Print_Area</vt:lpstr>
      <vt:lpstr>'Detailed Summary'!Print_Area</vt:lpstr>
      <vt:lpstr>'Forecast Accuracy'!Print_Area</vt:lpstr>
      <vt:lpstr>'Market Participant'!Print_Area</vt:lpstr>
      <vt:lpstr>'Purchase Forecast'!Print_Area</vt:lpstr>
      <vt:lpstr>'Rate Class Customer Model'!Print_Area</vt:lpstr>
      <vt:lpstr>'Rate Class Demand Model'!Print_Area</vt:lpstr>
      <vt:lpstr>'Rate Class Energy Model'!Print_Area</vt:lpstr>
      <vt:lpstr>'Regression Analysis'!Print_Area</vt:lpstr>
      <vt:lpstr>Summary!Print_Area</vt:lpstr>
      <vt:lpstr>'Purchase Forecast'!Print_Titles</vt:lpstr>
      <vt:lpstr>'Rate Class Energy Model'!Print_Titles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andrya.eagen</cp:lastModifiedBy>
  <cp:lastPrinted>2015-08-22T01:21:25Z</cp:lastPrinted>
  <dcterms:created xsi:type="dcterms:W3CDTF">2015-05-05T17:44:18Z</dcterms:created>
  <dcterms:modified xsi:type="dcterms:W3CDTF">2015-08-28T17:55:10Z</dcterms:modified>
</cp:coreProperties>
</file>