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T:\5. TESI UTILITIES\ORPC\Models\"/>
    </mc:Choice>
  </mc:AlternateContent>
  <bookViews>
    <workbookView xWindow="0" yWindow="0" windowWidth="38400" windowHeight="17100" tabRatio="937" firstSheet="2" activeTab="8"/>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Data'!$A$1:$I$28</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Forecast'!$A$1:$J$52</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52511"/>
</workbook>
</file>

<file path=xl/calcChain.xml><?xml version="1.0" encoding="utf-8"?>
<calcChain xmlns="http://schemas.openxmlformats.org/spreadsheetml/2006/main">
  <c r="H49" i="14" l="1"/>
  <c r="G52" i="14"/>
  <c r="H52" i="14" s="1"/>
  <c r="G51" i="14"/>
  <c r="H51" i="14" s="1"/>
  <c r="G50" i="14"/>
  <c r="H50" i="14" s="1"/>
  <c r="G49" i="14"/>
  <c r="G48" i="14"/>
  <c r="H48" i="14" s="1"/>
  <c r="G47" i="14"/>
  <c r="H47" i="14" s="1"/>
  <c r="H39" i="14"/>
  <c r="G42" i="14"/>
  <c r="H42" i="14" s="1"/>
  <c r="G41" i="14"/>
  <c r="H41" i="14" s="1"/>
  <c r="G40" i="14"/>
  <c r="H40" i="14" s="1"/>
  <c r="G39" i="14"/>
  <c r="G38" i="14"/>
  <c r="H38" i="14" s="1"/>
  <c r="G37" i="14"/>
  <c r="H37" i="14" s="1"/>
  <c r="H30" i="14"/>
  <c r="H29" i="14"/>
  <c r="G32" i="14"/>
  <c r="H32" i="14" s="1"/>
  <c r="G31" i="14"/>
  <c r="H31" i="14" s="1"/>
  <c r="G30" i="14"/>
  <c r="G29" i="14"/>
  <c r="G28" i="14"/>
  <c r="H28" i="14" s="1"/>
  <c r="G27" i="14"/>
  <c r="H27" i="14" s="1"/>
  <c r="H20" i="14"/>
  <c r="H19" i="14"/>
  <c r="G22" i="14"/>
  <c r="H22" i="14" s="1"/>
  <c r="G21" i="14"/>
  <c r="H21" i="14" s="1"/>
  <c r="G20" i="14"/>
  <c r="G19" i="14"/>
  <c r="G18" i="14"/>
  <c r="H18" i="14" s="1"/>
  <c r="G17" i="14"/>
  <c r="H17" i="14" s="1"/>
  <c r="I28" i="4"/>
  <c r="I27" i="4"/>
  <c r="I20" i="4"/>
  <c r="I19" i="4"/>
  <c r="I18" i="4"/>
  <c r="I17" i="4"/>
  <c r="G41" i="6" l="1"/>
  <c r="E41" i="6"/>
  <c r="I71" i="6"/>
  <c r="G71" i="6"/>
  <c r="E71" i="6"/>
  <c r="G56" i="6"/>
  <c r="E56" i="6"/>
  <c r="I91" i="6" l="1"/>
  <c r="I56" i="6"/>
  <c r="I39" i="6"/>
  <c r="I37" i="6"/>
  <c r="I41" i="6" s="1"/>
  <c r="I35" i="6"/>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I94" i="9"/>
  <c r="H94" i="9"/>
  <c r="F94" i="9"/>
  <c r="D94" i="9"/>
  <c r="E94" i="9" s="1"/>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P94" i="9" s="1"/>
  <c r="M81" i="9"/>
  <c r="I81" i="9"/>
  <c r="E81" i="9"/>
  <c r="N75" i="9"/>
  <c r="L75" i="9"/>
  <c r="M75" i="9" s="1"/>
  <c r="J75" i="9"/>
  <c r="H75" i="9"/>
  <c r="I75" i="9" s="1"/>
  <c r="F75" i="9"/>
  <c r="D75" i="9"/>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D94" i="8" l="1"/>
  <c r="E94" i="8" s="1"/>
  <c r="L94" i="8"/>
  <c r="M94" i="8" s="1"/>
  <c r="E75" i="9"/>
  <c r="F81" i="12"/>
  <c r="J81" i="8"/>
  <c r="F62" i="12"/>
  <c r="N81" i="12"/>
  <c r="J81" i="12"/>
  <c r="J82" i="12"/>
  <c r="H75" i="12"/>
  <c r="I75" i="12" s="1"/>
  <c r="F82" i="8"/>
  <c r="D94" i="12"/>
  <c r="E94" i="12" s="1"/>
  <c r="F83" i="12"/>
  <c r="E84" i="12"/>
  <c r="E85" i="12" s="1"/>
  <c r="M83" i="12"/>
  <c r="M84" i="12" s="1"/>
  <c r="N82" i="12"/>
  <c r="J85" i="12"/>
  <c r="J86" i="12"/>
  <c r="F82" i="12"/>
  <c r="J84" i="12"/>
  <c r="J87" i="12"/>
  <c r="I88" i="12"/>
  <c r="I89" i="12" s="1"/>
  <c r="J83" i="12"/>
  <c r="F64" i="12"/>
  <c r="L94" i="12"/>
  <c r="M94" i="12" s="1"/>
  <c r="H94" i="12"/>
  <c r="I94" i="12" s="1"/>
  <c r="L75" i="12"/>
  <c r="M75" i="12" s="1"/>
  <c r="M65" i="12"/>
  <c r="M66" i="12" s="1"/>
  <c r="N64" i="12"/>
  <c r="N63" i="12"/>
  <c r="I64" i="12"/>
  <c r="I65" i="12" s="1"/>
  <c r="J63" i="12"/>
  <c r="F65" i="12"/>
  <c r="E66" i="12"/>
  <c r="E67" i="12" s="1"/>
  <c r="J64" i="12"/>
  <c r="N65" i="12"/>
  <c r="N62" i="12"/>
  <c r="F63" i="12"/>
  <c r="D75" i="12"/>
  <c r="J62" i="12"/>
  <c r="M84" i="8"/>
  <c r="M85" i="8" s="1"/>
  <c r="N83" i="8"/>
  <c r="N82" i="8"/>
  <c r="I83" i="8"/>
  <c r="I84" i="8" s="1"/>
  <c r="J82" i="8"/>
  <c r="N81" i="8"/>
  <c r="E83" i="8"/>
  <c r="E84" i="8" s="1"/>
  <c r="F81" i="8"/>
  <c r="H94" i="8"/>
  <c r="I94" i="8" s="1"/>
  <c r="N62" i="8"/>
  <c r="H75" i="8"/>
  <c r="I75" i="8" s="1"/>
  <c r="F64" i="8"/>
  <c r="D75" i="8"/>
  <c r="L75" i="8"/>
  <c r="M75" i="8" s="1"/>
  <c r="J63" i="8"/>
  <c r="I64" i="8"/>
  <c r="I65" i="8" s="1"/>
  <c r="F65" i="8"/>
  <c r="E66" i="8"/>
  <c r="E67" i="8" s="1"/>
  <c r="F63" i="8"/>
  <c r="J62" i="8"/>
  <c r="M63" i="8"/>
  <c r="M64" i="8" s="1"/>
  <c r="F62" i="8"/>
  <c r="I44" i="9"/>
  <c r="M44" i="9"/>
  <c r="I45" i="9"/>
  <c r="M45" i="9"/>
  <c r="I46" i="9"/>
  <c r="M46" i="9"/>
  <c r="I47" i="9"/>
  <c r="M47" i="9"/>
  <c r="I48" i="9"/>
  <c r="M48" i="9"/>
  <c r="I49" i="9"/>
  <c r="M49" i="9"/>
  <c r="I50" i="9"/>
  <c r="M50" i="9"/>
  <c r="I51" i="9"/>
  <c r="M51" i="9"/>
  <c r="I52" i="9"/>
  <c r="M52" i="9"/>
  <c r="I53" i="9"/>
  <c r="M53" i="9"/>
  <c r="I54" i="9"/>
  <c r="M54" i="9"/>
  <c r="M43" i="9"/>
  <c r="I43" i="9"/>
  <c r="I25" i="9"/>
  <c r="M25" i="9"/>
  <c r="I26" i="9"/>
  <c r="M26" i="9"/>
  <c r="I27" i="9"/>
  <c r="M27" i="9"/>
  <c r="I28" i="9"/>
  <c r="M28" i="9"/>
  <c r="I29" i="9"/>
  <c r="M29" i="9"/>
  <c r="I30" i="9"/>
  <c r="M30" i="9"/>
  <c r="I31" i="9"/>
  <c r="M31" i="9"/>
  <c r="I32" i="9"/>
  <c r="M32" i="9"/>
  <c r="I33" i="9"/>
  <c r="M33" i="9"/>
  <c r="I34" i="9"/>
  <c r="M34" i="9"/>
  <c r="I35" i="9"/>
  <c r="M35" i="9"/>
  <c r="M24" i="9"/>
  <c r="I24" i="9"/>
  <c r="P81" i="12" l="1"/>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E43" i="8"/>
  <c r="E44" i="8" s="1"/>
  <c r="D44" i="8"/>
  <c r="D45" i="8"/>
  <c r="D46" i="8"/>
  <c r="D47" i="8"/>
  <c r="D56" i="8" s="1"/>
  <c r="D48" i="8"/>
  <c r="D49" i="8"/>
  <c r="D50" i="8"/>
  <c r="D51" i="8"/>
  <c r="D52" i="8"/>
  <c r="D53" i="8"/>
  <c r="D54" i="8"/>
  <c r="E24" i="12"/>
  <c r="D43" i="12"/>
  <c r="E43" i="12"/>
  <c r="D44" i="12"/>
  <c r="D45" i="12"/>
  <c r="D46" i="12"/>
  <c r="D47" i="12"/>
  <c r="D48" i="12"/>
  <c r="D49" i="12"/>
  <c r="D50" i="12"/>
  <c r="D51" i="12"/>
  <c r="D52" i="12"/>
  <c r="D53" i="12"/>
  <c r="D54" i="12"/>
  <c r="H24" i="8"/>
  <c r="I24" i="8"/>
  <c r="H43" i="8"/>
  <c r="I43" i="8"/>
  <c r="L24" i="8"/>
  <c r="M24" i="8"/>
  <c r="L43" i="8"/>
  <c r="M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I43" i="12"/>
  <c r="L24" i="12"/>
  <c r="M24" i="12"/>
  <c r="L43" i="12"/>
  <c r="M43" i="12"/>
  <c r="H25" i="12"/>
  <c r="H44" i="12"/>
  <c r="L25" i="12"/>
  <c r="L101" i="12" s="1"/>
  <c r="L44" i="12"/>
  <c r="H26" i="12"/>
  <c r="H45" i="12"/>
  <c r="L26" i="12"/>
  <c r="L102" i="12" s="1"/>
  <c r="L45" i="12"/>
  <c r="H27" i="12"/>
  <c r="H46" i="12"/>
  <c r="L27" i="12"/>
  <c r="L103" i="12" s="1"/>
  <c r="L46" i="12"/>
  <c r="H28" i="12"/>
  <c r="H47" i="12"/>
  <c r="L28" i="12"/>
  <c r="L104" i="12" s="1"/>
  <c r="L47" i="12"/>
  <c r="H29" i="12"/>
  <c r="H48" i="12"/>
  <c r="L29" i="12"/>
  <c r="L105" i="12" s="1"/>
  <c r="L48" i="12"/>
  <c r="H30" i="12"/>
  <c r="H49" i="12"/>
  <c r="L30" i="12"/>
  <c r="L106" i="12" s="1"/>
  <c r="L49" i="12"/>
  <c r="H31" i="12"/>
  <c r="H50" i="12"/>
  <c r="L31" i="12"/>
  <c r="L107" i="12" s="1"/>
  <c r="L50" i="12"/>
  <c r="H32" i="12"/>
  <c r="H51" i="12"/>
  <c r="L32" i="12"/>
  <c r="L108" i="12" s="1"/>
  <c r="L51" i="12"/>
  <c r="H33" i="12"/>
  <c r="H52" i="12"/>
  <c r="L33" i="12"/>
  <c r="L109" i="12" s="1"/>
  <c r="L52" i="12"/>
  <c r="H34" i="12"/>
  <c r="H53" i="12"/>
  <c r="L34" i="12"/>
  <c r="L110" i="12" s="1"/>
  <c r="L53" i="12"/>
  <c r="H35" i="12"/>
  <c r="H54" i="12"/>
  <c r="L35" i="12"/>
  <c r="L111" i="12" s="1"/>
  <c r="L54" i="12"/>
  <c r="H37"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L100" i="12" l="1"/>
  <c r="H111" i="12"/>
  <c r="H108" i="12"/>
  <c r="H105" i="12"/>
  <c r="H103" i="12"/>
  <c r="H102" i="12"/>
  <c r="H100" i="12"/>
  <c r="H111" i="8"/>
  <c r="H110" i="8"/>
  <c r="H109" i="8"/>
  <c r="H107" i="8"/>
  <c r="H106" i="8"/>
  <c r="H105" i="8"/>
  <c r="H110" i="12"/>
  <c r="H109" i="12"/>
  <c r="H107" i="12"/>
  <c r="H106" i="12"/>
  <c r="H104" i="12"/>
  <c r="H101" i="12"/>
  <c r="H108" i="8"/>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I44" i="8"/>
  <c r="J44" i="8" s="1"/>
  <c r="E25" i="12"/>
  <c r="A22" i="5"/>
  <c r="A20" i="5"/>
  <c r="A18" i="5"/>
  <c r="A16" i="5"/>
  <c r="A14" i="5"/>
  <c r="A12" i="5"/>
  <c r="A10" i="5"/>
  <c r="A21" i="5"/>
  <c r="A19" i="5"/>
  <c r="A17" i="5"/>
  <c r="A15" i="5"/>
  <c r="A13" i="5"/>
  <c r="A11" i="5"/>
  <c r="M44" i="12"/>
  <c r="I25" i="12"/>
  <c r="N43" i="8"/>
  <c r="M44" i="8"/>
  <c r="M45" i="8" s="1"/>
  <c r="J24" i="8"/>
  <c r="J100" i="8" s="1"/>
  <c r="I25" i="8"/>
  <c r="E25" i="8"/>
  <c r="E26" i="8" s="1"/>
  <c r="E44" i="12"/>
  <c r="F44" i="8"/>
  <c r="E45" i="8"/>
  <c r="A8" i="5"/>
  <c r="A6" i="5"/>
  <c r="N100" i="12" l="1"/>
  <c r="M100" i="12" s="1"/>
  <c r="J100" i="12"/>
  <c r="P67" i="12"/>
  <c r="L113" i="8"/>
  <c r="N100" i="8"/>
  <c r="I100" i="12"/>
  <c r="H113" i="8"/>
  <c r="I100" i="8"/>
  <c r="M88" i="12"/>
  <c r="N87" i="12"/>
  <c r="P87" i="12" s="1"/>
  <c r="E89" i="12"/>
  <c r="F88" i="12"/>
  <c r="J94" i="12"/>
  <c r="M26" i="12"/>
  <c r="N26" i="12" s="1"/>
  <c r="E71" i="12"/>
  <c r="F70" i="12"/>
  <c r="I69" i="12"/>
  <c r="J68" i="12"/>
  <c r="M70" i="12"/>
  <c r="N69" i="12"/>
  <c r="M89" i="8"/>
  <c r="N88" i="8"/>
  <c r="I88" i="8"/>
  <c r="J87" i="8"/>
  <c r="P87" i="8" s="1"/>
  <c r="E88" i="8"/>
  <c r="F87" i="8"/>
  <c r="I45" i="8"/>
  <c r="J45" i="8" s="1"/>
  <c r="I69" i="8"/>
  <c r="J68" i="8"/>
  <c r="E71" i="8"/>
  <c r="F70" i="8"/>
  <c r="M68" i="8"/>
  <c r="N67" i="8"/>
  <c r="P67" i="8" s="1"/>
  <c r="P24" i="12"/>
  <c r="M113" i="9"/>
  <c r="H113" i="12"/>
  <c r="I113" i="9"/>
  <c r="P113" i="9"/>
  <c r="P117" i="9" s="1"/>
  <c r="L113" i="12"/>
  <c r="I45" i="12"/>
  <c r="I46" i="12" s="1"/>
  <c r="M26" i="8"/>
  <c r="N26" i="8" s="1"/>
  <c r="E26" i="12"/>
  <c r="E27" i="12" s="1"/>
  <c r="P43" i="12"/>
  <c r="N44" i="8"/>
  <c r="P44" i="8" s="1"/>
  <c r="E27" i="8"/>
  <c r="J25" i="8"/>
  <c r="J101" i="8" s="1"/>
  <c r="I101" i="8" s="1"/>
  <c r="I26" i="8"/>
  <c r="N45" i="8"/>
  <c r="M46" i="8"/>
  <c r="M27" i="8"/>
  <c r="J25" i="12"/>
  <c r="J101" i="12" s="1"/>
  <c r="I26" i="12"/>
  <c r="F45" i="8"/>
  <c r="E46" i="8"/>
  <c r="F44" i="12"/>
  <c r="E45" i="12"/>
  <c r="P24" i="8"/>
  <c r="P43" i="8"/>
  <c r="N44" i="12"/>
  <c r="N101" i="12" s="1"/>
  <c r="M45" i="12"/>
  <c r="J45" i="12" l="1"/>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M28" i="12"/>
  <c r="N45" i="12"/>
  <c r="M46" i="12"/>
  <c r="F45" i="12"/>
  <c r="E46" i="12"/>
  <c r="F46" i="8"/>
  <c r="E47" i="8"/>
  <c r="I101" i="12"/>
  <c r="P25" i="12"/>
  <c r="P25" i="8"/>
  <c r="E28" i="8"/>
  <c r="P44" i="12"/>
  <c r="M101" i="12"/>
  <c r="J46" i="12"/>
  <c r="I47" i="12"/>
  <c r="J26" i="12"/>
  <c r="J102" i="12" s="1"/>
  <c r="I27" i="12"/>
  <c r="N27" i="8"/>
  <c r="M28" i="8"/>
  <c r="M47" i="8"/>
  <c r="N46" i="8"/>
  <c r="J26" i="8"/>
  <c r="J102" i="8" s="1"/>
  <c r="I102" i="8" s="1"/>
  <c r="I27" i="8"/>
  <c r="E28" i="12"/>
  <c r="N102" i="12" l="1"/>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E75" i="12" s="1"/>
  <c r="P70" i="12"/>
  <c r="J71" i="12"/>
  <c r="I72" i="12"/>
  <c r="M73" i="12"/>
  <c r="N73" i="12" s="1"/>
  <c r="N72" i="12"/>
  <c r="N91" i="8"/>
  <c r="M92" i="8"/>
  <c r="N92" i="8" s="1"/>
  <c r="F90" i="8"/>
  <c r="E91" i="8"/>
  <c r="I91" i="8"/>
  <c r="J90" i="8"/>
  <c r="P90" i="8" s="1"/>
  <c r="N70" i="8"/>
  <c r="P70" i="8" s="1"/>
  <c r="M71" i="8"/>
  <c r="F75" i="8"/>
  <c r="E75" i="8" s="1"/>
  <c r="I72" i="8"/>
  <c r="J71" i="8"/>
  <c r="P102" i="12"/>
  <c r="I102" i="12"/>
  <c r="P47" i="8"/>
  <c r="N47" i="12"/>
  <c r="M48" i="12"/>
  <c r="J48" i="8"/>
  <c r="I49" i="8"/>
  <c r="F48" i="8"/>
  <c r="E49" i="8"/>
  <c r="M103" i="12"/>
  <c r="J48" i="12"/>
  <c r="I49" i="12"/>
  <c r="J28" i="12"/>
  <c r="J104" i="12" s="1"/>
  <c r="I29" i="12"/>
  <c r="J28" i="8"/>
  <c r="J104" i="8" s="1"/>
  <c r="I104" i="8" s="1"/>
  <c r="I29" i="8"/>
  <c r="M49" i="8"/>
  <c r="N48" i="8"/>
  <c r="N29" i="12"/>
  <c r="M30" i="12"/>
  <c r="F47" i="12"/>
  <c r="E48" i="12"/>
  <c r="E30" i="8"/>
  <c r="I103" i="12"/>
  <c r="P27" i="12"/>
  <c r="N29" i="8"/>
  <c r="M30" i="8"/>
  <c r="P27" i="8"/>
  <c r="E30" i="12"/>
  <c r="P46" i="12"/>
  <c r="P103" i="8" l="1"/>
  <c r="N104" i="12"/>
  <c r="M104" i="12" s="1"/>
  <c r="P71" i="12"/>
  <c r="N94" i="8"/>
  <c r="N105" i="8"/>
  <c r="M105" i="8" s="1"/>
  <c r="P104" i="8"/>
  <c r="M92" i="12"/>
  <c r="N92" i="12" s="1"/>
  <c r="N91" i="12"/>
  <c r="P91" i="12" s="1"/>
  <c r="F94" i="12"/>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5" i="12" s="1"/>
  <c r="P73" i="12"/>
  <c r="P49" i="8"/>
  <c r="F94" i="8"/>
  <c r="P105" i="8"/>
  <c r="N106" i="8"/>
  <c r="M106" i="8" s="1"/>
  <c r="N94" i="12"/>
  <c r="P92" i="12"/>
  <c r="P94" i="12" s="1"/>
  <c r="J75" i="12"/>
  <c r="P92" i="8"/>
  <c r="P94" i="8" s="1"/>
  <c r="J94" i="8"/>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P110" i="8"/>
  <c r="N113" i="8"/>
  <c r="M113" i="8" s="1"/>
  <c r="P111" i="8"/>
  <c r="J113" i="8"/>
  <c r="I113" i="8" s="1"/>
  <c r="M111"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I28" i="14" l="1"/>
  <c r="J28" i="14" s="1"/>
  <c r="I32" i="14"/>
  <c r="J32" i="14" s="1"/>
  <c r="I29" i="14"/>
  <c r="J29" i="14" s="1"/>
  <c r="I30" i="14"/>
  <c r="J30" i="14" s="1"/>
  <c r="I27" i="14"/>
  <c r="J27" i="14" s="1"/>
  <c r="I31" i="14"/>
  <c r="J31" i="14" s="1"/>
  <c r="P113" i="12"/>
  <c r="P117" i="12" s="1"/>
  <c r="I50" i="14" l="1"/>
  <c r="J50" i="14" s="1"/>
  <c r="I47" i="14"/>
  <c r="J47" i="14" s="1"/>
  <c r="I51" i="14"/>
  <c r="J51" i="14" s="1"/>
  <c r="I49" i="14"/>
  <c r="J49" i="14" s="1"/>
  <c r="I48" i="14"/>
  <c r="J48" i="14" s="1"/>
  <c r="I52" i="14"/>
  <c r="J52" i="14" s="1"/>
  <c r="D102" i="9"/>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F30" i="12"/>
  <c r="F106" i="12" s="1"/>
  <c r="D31" i="12"/>
  <c r="D107" i="12" s="1"/>
  <c r="D32" i="12"/>
  <c r="D108" i="12" s="1"/>
  <c r="D33" i="12"/>
  <c r="D109" i="12" s="1"/>
  <c r="E35" i="9"/>
  <c r="D34" i="12"/>
  <c r="D110" i="12" s="1"/>
  <c r="D24" i="12"/>
  <c r="D100" i="12" s="1"/>
  <c r="D106" i="9"/>
  <c r="E106" i="9" s="1"/>
  <c r="D25" i="8"/>
  <c r="F25" i="8" s="1"/>
  <c r="F101" i="8" s="1"/>
  <c r="E25" i="9"/>
  <c r="D25" i="12"/>
  <c r="D101" i="12" s="1"/>
  <c r="E26" i="9"/>
  <c r="D27" i="8"/>
  <c r="D103" i="8" s="1"/>
  <c r="E27" i="9"/>
  <c r="D27" i="12"/>
  <c r="D103" i="12" s="1"/>
  <c r="E28" i="9"/>
  <c r="D28" i="12"/>
  <c r="D104" i="12" s="1"/>
  <c r="E29" i="9"/>
  <c r="D30" i="8"/>
  <c r="F30" i="8" s="1"/>
  <c r="F106" i="8" s="1"/>
  <c r="E30" i="9"/>
  <c r="D31" i="8"/>
  <c r="F31" i="8" s="1"/>
  <c r="F107" i="8" s="1"/>
  <c r="E31" i="9"/>
  <c r="D32" i="8"/>
  <c r="F32" i="8" s="1"/>
  <c r="F108" i="8" s="1"/>
  <c r="E32" i="9"/>
  <c r="D33" i="8"/>
  <c r="F33" i="8" s="1"/>
  <c r="F109" i="8" s="1"/>
  <c r="E33" i="9"/>
  <c r="E34" i="9"/>
  <c r="D34" i="8"/>
  <c r="D110" i="8" s="1"/>
  <c r="F34" i="8"/>
  <c r="F110" i="8" s="1"/>
  <c r="E24" i="9"/>
  <c r="D24" i="8"/>
  <c r="D100" i="8" s="1"/>
  <c r="F32" i="12" l="1"/>
  <c r="F108" i="12" s="1"/>
  <c r="E108" i="12" s="1"/>
  <c r="F35" i="12"/>
  <c r="F111" i="12" s="1"/>
  <c r="D111" i="12"/>
  <c r="D37" i="12"/>
  <c r="F24" i="12"/>
  <c r="D111" i="8"/>
  <c r="E111" i="8" s="1"/>
  <c r="E111" i="12"/>
  <c r="F24" i="8"/>
  <c r="F100" i="8" s="1"/>
  <c r="E100" i="8" s="1"/>
  <c r="F34" i="12"/>
  <c r="F33" i="12"/>
  <c r="F31" i="12"/>
  <c r="F29" i="12"/>
  <c r="D102" i="8"/>
  <c r="E102" i="8" s="1"/>
  <c r="E110" i="8"/>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I22" i="14" l="1"/>
  <c r="J22" i="14" s="1"/>
  <c r="I17" i="14"/>
  <c r="J17" i="14" s="1"/>
  <c r="I18" i="14"/>
  <c r="J18" i="14" s="1"/>
  <c r="I19" i="14"/>
  <c r="J19" i="14" s="1"/>
  <c r="I20" i="14"/>
  <c r="J20" i="14" s="1"/>
  <c r="I21" i="14"/>
  <c r="J21" i="14" s="1"/>
  <c r="F113" i="12"/>
  <c r="E113" i="8"/>
  <c r="E113" i="12" l="1"/>
  <c r="I39" i="14"/>
  <c r="J39" i="14" s="1"/>
  <c r="I40" i="14"/>
  <c r="J40" i="14" s="1"/>
  <c r="I38" i="14"/>
  <c r="J38" i="14" s="1"/>
  <c r="I42" i="14"/>
  <c r="J42" i="14" s="1"/>
  <c r="I37" i="14"/>
  <c r="J37" i="14" s="1"/>
  <c r="I41" i="14"/>
  <c r="J41" i="14" s="1"/>
</calcChain>
</file>

<file path=xl/sharedStrings.xml><?xml version="1.0" encoding="utf-8"?>
<sst xmlns="http://schemas.openxmlformats.org/spreadsheetml/2006/main" count="911" uniqueCount="264">
  <si>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</si>
  <si>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</si>
  <si>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</si>
  <si>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</si>
  <si>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</si>
  <si>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</si>
  <si>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</si>
  <si>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</si>
  <si>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</si>
  <si>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</si>
  <si>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</si>
  <si>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</si>
  <si>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</si>
  <si>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</si>
  <si>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</si>
  <si>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</si>
  <si>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</si>
  <si>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</si>
  <si>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</si>
  <si>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</si>
  <si>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</si>
  <si>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</si>
  <si>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</si>
  <si>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</si>
  <si>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</si>
  <si>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</si>
  <si>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</si>
  <si>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</si>
  <si>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</si>
  <si>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</si>
  <si>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</si>
  <si>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</si>
  <si>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</si>
  <si>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</si>
  <si>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</si>
  <si>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</si>
  <si>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</si>
  <si>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</si>
  <si>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</si>
  <si>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</si>
  <si>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</si>
  <si>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</si>
  <si>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</si>
  <si>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</si>
  <si>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</si>
  <si>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</si>
  <si>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</si>
  <si>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</si>
  <si>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</si>
  <si>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</si>
  <si>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</si>
  <si>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</si>
  <si>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</si>
  <si>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</si>
  <si>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</si>
  <si>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</si>
  <si>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</si>
  <si>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</si>
  <si>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</si>
  <si>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</si>
  <si>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</si>
  <si>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</si>
  <si>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</si>
  <si>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</si>
  <si>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</si>
  <si>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</si>
  <si>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</si>
  <si>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</si>
  <si>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</si>
  <si>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</si>
  <si>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</si>
  <si>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</si>
  <si>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</si>
  <si>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</si>
  <si>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</si>
  <si>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</si>
  <si>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</si>
  <si>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</si>
  <si>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</si>
  <si>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</si>
  <si>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</si>
  <si>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</si>
  <si>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</si>
  <si>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</si>
  <si>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</si>
  <si>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</si>
  <si>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</si>
  <si>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</si>
  <si>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</si>
  <si>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</si>
  <si>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</si>
  <si>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</si>
  <si>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</si>
  <si>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</si>
  <si>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</si>
  <si>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</si>
  <si>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</si>
  <si>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</si>
  <si>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</si>
  <si>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</si>
  <si>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</si>
  <si>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</si>
  <si>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</si>
  <si>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</si>
  <si>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</si>
  <si>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</si>
  <si>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</si>
  <si>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</si>
  <si>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</si>
  <si>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</si>
  <si>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</si>
  <si>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</si>
  <si>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</si>
  <si>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</si>
  <si>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</si>
  <si>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</si>
  <si>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</si>
  <si>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</si>
  <si>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</si>
  <si>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RSVA Transmission network – 4714 – which affects 1584</t>
  </si>
  <si>
    <t>RSVA Transmission connection – 4716 – which affects 1586</t>
  </si>
  <si>
    <t>RSVA LV – 4750 – which affects 1550</t>
  </si>
  <si>
    <t xml:space="preserve">RARA 1 – 2252 – which affects 1590 </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</si>
  <si>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</si>
  <si>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</si>
  <si>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</si>
  <si>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</si>
  <si>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</si>
  <si>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</si>
  <si>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</si>
  <si>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</si>
  <si>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</si>
  <si>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</si>
  <si>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</si>
  <si>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</si>
  <si>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</si>
  <si>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</si>
  <si>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</si>
  <si>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</si>
  <si>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</si>
  <si>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</si>
  <si>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</si>
  <si>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</si>
  <si>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</si>
  <si>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</si>
  <si>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</si>
  <si>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</si>
  <si>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</si>
  <si>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</si>
  <si>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</si>
  <si>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</si>
  <si>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</si>
  <si>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</si>
  <si>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</si>
  <si>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</si>
  <si>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</si>
  <si>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</si>
  <si>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</si>
  <si>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</si>
  <si>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</si>
  <si>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</si>
  <si>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</si>
  <si>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</si>
  <si>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</si>
  <si>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</si>
  <si>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</si>
  <si>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</si>
  <si>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</si>
  <si>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</si>
  <si>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</si>
  <si>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</si>
  <si>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</si>
  <si>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</si>
  <si>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</si>
  <si>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</si>
  <si>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</si>
  <si>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</si>
  <si>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</si>
  <si>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</si>
  <si>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</si>
  <si>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</si>
  <si>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</si>
  <si>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</si>
  <si>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</si>
  <si>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</si>
  <si>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</si>
  <si>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</si>
  <si>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</si>
  <si>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</si>
  <si>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</si>
  <si>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</si>
  <si>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</si>
  <si>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</si>
  <si>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</si>
  <si>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</si>
  <si>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</si>
  <si>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</si>
  <si>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</si>
  <si>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</si>
  <si>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</si>
  <si>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</si>
  <si>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</si>
  <si>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</si>
  <si>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</si>
  <si>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</si>
  <si>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</si>
  <si>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</si>
  <si>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</si>
  <si>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Hydro One Sub-Transmission Rate Rider 9A</t>
  </si>
  <si>
    <t>RARA 1 – 2252 – which affects 1590 (2008)</t>
  </si>
  <si>
    <t>RARA 1 – 2252 – which affects 1590 (2009)</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</si>
  <si>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</si>
  <si>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</si>
  <si>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</si>
  <si>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</si>
  <si>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</si>
  <si>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</si>
  <si>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</si>
  <si>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</si>
  <si>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Brant County Power Inc.</t>
  </si>
  <si>
    <t>Cambridge and North Dumfries Hydro Inc.</t>
  </si>
  <si>
    <t>Canadian Niagara Power Inc.</t>
  </si>
  <si>
    <t>COLLUS PowerStream Corp.</t>
  </si>
  <si>
    <t>EnWin Utilities Ltd.</t>
  </si>
  <si>
    <t>Erie Thames Powerlines Corporation</t>
  </si>
  <si>
    <t>Hearst Power Distribution Company Limited</t>
  </si>
  <si>
    <t>Innpower Corporation</t>
  </si>
  <si>
    <t>Newmarket-Tay Power Distribution Ltd.</t>
  </si>
  <si>
    <t>Norfolk Power Distribution Inc.</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</si>
  <si>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</si>
  <si>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</si>
  <si>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</si>
  <si>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</si>
  <si>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</si>
  <si>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</si>
  <si>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</si>
  <si>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</si>
  <si>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</si>
  <si>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</si>
  <si>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(II)</t>
  </si>
  <si>
    <t>Historical 2014</t>
  </si>
  <si>
    <t>Current 2015</t>
  </si>
  <si>
    <t>Forecast 2016</t>
  </si>
  <si>
    <t>The purpose of this sheet is to calculate the expected billing when current 2015 Uniform Transmission Rates are applied against historical 2014 transmission units.</t>
  </si>
  <si>
    <t>The purpose of this sheet is to calculate the expected billing when forecasted 2016 Uniform Transmission Rates are applied against historical 2014 transmission units.</t>
  </si>
  <si>
    <t>Adjusted RTSR Network</t>
  </si>
  <si>
    <t>9. RTSR Rates to Forecast</t>
  </si>
  <si>
    <t>EB-2014-0195</t>
  </si>
  <si>
    <t>Jane Donnelly, Chief Financial Officer</t>
  </si>
  <si>
    <t>613-732-3687</t>
  </si>
  <si>
    <t>jdonnelly@orpowercorp.com</t>
  </si>
  <si>
    <t>kWh</t>
  </si>
  <si>
    <t>RTSR - Network</t>
  </si>
  <si>
    <t>RTSR - Connection</t>
  </si>
  <si>
    <t>Brookfield Energy</t>
  </si>
  <si>
    <t>Brookfield</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</si>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</sst>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quot;$&quot;#,##0.0000"/>
    <numFmt numFmtId="170" formatCode="0.0000"/>
    <numFmt numFmtId="171"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44" fontId="1" fillId="0" borderId="0" applyFont="0" applyFill="0" applyBorder="0" applyAlignment="0" applyProtection="0"/>
    <xf numFmtId="9" fontId="51" fillId="0" borderId="0" applyFont="0" applyFill="0" applyBorder="0" applyAlignment="0" applyProtection="0"/>
    <xf numFmtId="0" fontId="1" fillId="23" borderId="7" applyNumberFormat="0" applyFont="0" applyAlignment="0" applyProtection="0"/>
    <xf numFmtId="9" fontId="1" fillId="0" borderId="0" applyFont="0" applyFill="0" applyBorder="0" applyAlignment="0" applyProtection="0"/>
  </cellStyleXfs>
  <cellXfs count="183">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7"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7"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0" fontId="1" fillId="0" borderId="0" xfId="0" applyFont="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6" fontId="1" fillId="24" borderId="11" xfId="29" applyNumberFormat="1" applyFont="1" applyFill="1" applyBorder="1" applyProtection="1"/>
    <xf numFmtId="167"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8" fontId="24" fillId="0" borderId="0" xfId="0" applyNumberFormat="1" applyFont="1" applyFill="1" applyBorder="1" applyAlignment="1" applyProtection="1">
      <alignment horizontal="left"/>
    </xf>
    <xf numFmtId="0" fontId="0" fillId="0" borderId="0" xfId="0" applyAlignment="1" applyProtection="1"/>
    <xf numFmtId="168"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8"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8"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67"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166" fontId="23" fillId="26" borderId="0" xfId="29" applyNumberFormat="1" applyFont="1" applyFill="1"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0"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0"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44" fontId="27" fillId="24" borderId="0" xfId="46" applyFont="1" applyFill="1" applyProtection="1"/>
    <xf numFmtId="44"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left" vertical="center"/>
    </xf>
    <xf numFmtId="0" fontId="40" fillId="28" borderId="0" xfId="0" applyFont="1" applyFill="1" applyAlignment="1" applyProtection="1">
      <alignment horizontal="center" vertical="center" wrapText="1"/>
    </xf>
    <xf numFmtId="166" fontId="27" fillId="24" borderId="0" xfId="46" applyNumberFormat="1" applyFont="1" applyFill="1" applyProtection="1"/>
    <xf numFmtId="166" fontId="27" fillId="24" borderId="0" xfId="46" applyNumberFormat="1" applyFont="1" applyFill="1" applyProtection="1">
      <protection locked="0"/>
    </xf>
    <xf numFmtId="166" fontId="43" fillId="0" borderId="0" xfId="0" applyNumberFormat="1" applyFont="1" applyProtection="1">
      <protection locked="0"/>
    </xf>
    <xf numFmtId="166" fontId="27" fillId="26" borderId="0" xfId="46" applyNumberFormat="1" applyFont="1" applyFill="1" applyProtection="1">
      <protection locked="0"/>
    </xf>
    <xf numFmtId="166" fontId="43" fillId="24" borderId="0" xfId="0" applyNumberFormat="1" applyFont="1" applyFill="1" applyProtection="1"/>
    <xf numFmtId="169" fontId="27" fillId="24" borderId="0" xfId="46" applyNumberFormat="1" applyFont="1" applyFill="1" applyProtection="1">
      <protection locked="0"/>
    </xf>
    <xf numFmtId="166" fontId="37" fillId="24" borderId="0" xfId="0" applyNumberFormat="1" applyFont="1" applyFill="1" applyProtection="1"/>
    <xf numFmtId="166" fontId="37" fillId="24" borderId="0" xfId="0" applyNumberFormat="1" applyFont="1" applyFill="1" applyProtection="1">
      <protection locked="0"/>
    </xf>
    <xf numFmtId="166" fontId="43" fillId="24" borderId="0" xfId="0" applyNumberFormat="1" applyFont="1" applyFill="1" applyProtection="1">
      <protection locked="0"/>
    </xf>
    <xf numFmtId="166" fontId="27" fillId="24" borderId="10" xfId="46" applyNumberFormat="1" applyFont="1" applyFill="1" applyBorder="1" applyProtection="1"/>
    <xf numFmtId="166" fontId="43" fillId="0" borderId="0" xfId="0" applyNumberFormat="1" applyFont="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167" fontId="27" fillId="26" borderId="0" xfId="46" applyNumberFormat="1" applyFont="1" applyFill="1" applyProtection="1"/>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0" fontId="27" fillId="0" borderId="17" xfId="45" applyNumberFormat="1" applyFont="1" applyBorder="1" applyAlignment="1" applyProtection="1">
      <alignment horizontal="center" vertical="center" wrapText="1"/>
    </xf>
    <xf numFmtId="164" fontId="27" fillId="0" borderId="17" xfId="45" applyNumberFormat="1" applyFont="1" applyBorder="1" applyAlignment="1" applyProtection="1">
      <alignment horizontal="center" vertical="center" wrapText="1"/>
    </xf>
    <xf numFmtId="165"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0" fontId="23" fillId="0" borderId="0" xfId="29" applyNumberFormat="1" applyFont="1" applyAlignment="1" applyProtection="1">
      <alignment horizontal="center" vertical="center"/>
      <protection locked="0"/>
    </xf>
    <xf numFmtId="170" fontId="23" fillId="26" borderId="0" xfId="29" applyNumberFormat="1" applyFont="1" applyFill="1" applyAlignment="1" applyProtection="1">
      <alignment horizontal="center" vertical="center"/>
      <protection locked="0"/>
    </xf>
    <xf numFmtId="15" fontId="1" fillId="26" borderId="14" xfId="0" applyNumberFormat="1" applyFont="1" applyFill="1" applyBorder="1" applyAlignment="1" applyProtection="1">
      <alignment vertical="center"/>
      <protection locked="0"/>
    </xf>
    <xf numFmtId="171" fontId="0" fillId="0" borderId="0" xfId="0" applyNumberFormat="1" applyAlignment="1" applyProtection="1">
      <alignment horizontal="center" vertical="center"/>
    </xf>
    <xf numFmtId="170" fontId="0" fillId="31" borderId="18" xfId="0" applyNumberFormat="1" applyFill="1" applyBorder="1" applyAlignment="1" applyProtection="1">
      <alignment horizontal="center" vertical="center"/>
      <protection locked="0"/>
    </xf>
    <xf numFmtId="171" fontId="0" fillId="31" borderId="18" xfId="0" applyNumberFormat="1" applyFill="1" applyBorder="1" applyAlignment="1" applyProtection="1">
      <alignment horizontal="center" vertical="center"/>
      <protection locked="0"/>
    </xf>
    <xf numFmtId="171" fontId="0" fillId="31" borderId="19" xfId="0" applyNumberFormat="1" applyFill="1" applyBorder="1" applyAlignment="1" applyProtection="1">
      <alignment horizontal="center" vertical="center"/>
      <protection locked="0"/>
    </xf>
    <xf numFmtId="170" fontId="0" fillId="31" borderId="19" xfId="0" applyNumberFormat="1" applyFill="1" applyBorder="1" applyAlignment="1" applyProtection="1">
      <alignment horizontal="center" vertical="center"/>
      <protection locked="0"/>
    </xf>
    <xf numFmtId="170"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70"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0" fontId="23" fillId="32" borderId="0" xfId="0" applyNumberFormat="1" applyFont="1" applyFill="1" applyAlignment="1" applyProtection="1">
      <alignment horizontal="center" vertical="center"/>
    </xf>
    <xf numFmtId="165" fontId="0" fillId="0" borderId="0" xfId="47" applyNumberFormat="1" applyFont="1" applyAlignment="1" applyProtection="1">
      <alignment horizontal="center" vertical="center"/>
    </xf>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7" fontId="1" fillId="26" borderId="11" xfId="29" applyNumberFormat="1" applyFont="1" applyFill="1" applyBorder="1" applyProtection="1">
      <protection locked="0"/>
    </xf>
    <xf numFmtId="164" fontId="1" fillId="26" borderId="11" xfId="28" applyNumberFormat="1" applyFont="1" applyFill="1" applyBorder="1" applyProtection="1">
      <protection locked="0"/>
    </xf>
    <xf numFmtId="167" fontId="0" fillId="26" borderId="11" xfId="29" applyNumberFormat="1" applyFont="1" applyFill="1" applyBorder="1" applyProtection="1">
      <protection locked="0"/>
    </xf>
    <xf numFmtId="164" fontId="1" fillId="26" borderId="11" xfId="28" applyNumberFormat="1" applyFont="1" applyFill="1" applyBorder="1" applyProtection="1">
      <protection locked="0"/>
    </xf>
    <xf numFmtId="167" fontId="1" fillId="26" borderId="11" xfId="29" applyNumberFormat="1" applyFont="1" applyFill="1" applyBorder="1" applyProtection="1">
      <protection locked="0"/>
    </xf>
    <xf numFmtId="164" fontId="1" fillId="26" borderId="11" xfId="28" applyNumberFormat="1" applyFont="1" applyFill="1" applyBorder="1" applyProtection="1">
      <protection locked="0"/>
    </xf>
    <xf numFmtId="0" fontId="0" fillId="0" borderId="0" xfId="0" applyProtection="1"/>
    <xf numFmtId="0" fontId="0" fillId="0" borderId="0" xfId="0" applyAlignment="1" applyProtection="1">
      <alignment horizontal="center"/>
    </xf>
    <xf numFmtId="0" fontId="27" fillId="0" borderId="0" xfId="0" applyFont="1" applyProtection="1"/>
    <xf numFmtId="167" fontId="1" fillId="26" borderId="11" xfId="29" applyNumberFormat="1" applyFont="1" applyFill="1" applyBorder="1" applyProtection="1">
      <protection locked="0"/>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0" fontId="38"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9"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Note 2" xfId="48"/>
    <cellStyle name="Output" xfId="41" builtinId="21" customBuiltin="1"/>
    <cellStyle name="Percent" xfId="47" builtinId="5"/>
    <cellStyle name="Percent 2" xfId="49"/>
    <cellStyle name="Title" xfId="42" builtinId="15" customBuiltin="1"/>
    <cellStyle name="Total" xfId="43" builtinId="25" customBuiltin="1"/>
    <cellStyle name="Warning Text" xfId="44" builtinId="11" customBuiltin="1"/>
  </cellStyles>
  <dxfs count="12">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143875"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1506200" cy="1915766"/>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8</xdr:col>
      <xdr:colOff>444499</xdr:colOff>
      <xdr:row>12</xdr:row>
      <xdr:rowOff>42516</xdr:rowOff>
    </xdr:to>
    <xdr:grpSp>
      <xdr:nvGrpSpPr>
        <xdr:cNvPr id="6" name="Group 5"/>
        <xdr:cNvGrpSpPr/>
      </xdr:nvGrpSpPr>
      <xdr:grpSpPr>
        <a:xfrm>
          <a:off x="31749" y="31750"/>
          <a:ext cx="10138833" cy="1915766"/>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57150" y="2619375"/>
          <a:ext cx="10172700" cy="714375"/>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4.0</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2016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2"/>
  <sheetViews>
    <sheetView showGridLines="0" topLeftCell="A31" zoomScaleNormal="100" workbookViewId="0">
      <selection activeCell="D29" sqref="D29"/>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147</v>
      </c>
    </row>
    <row r="2" spans="1:34" ht="18" x14ac:dyDescent="0.25">
      <c r="C2" s="175"/>
      <c r="D2" s="175"/>
      <c r="E2" s="175"/>
      <c r="F2" s="175"/>
      <c r="G2" s="175"/>
      <c r="H2" s="175"/>
      <c r="I2" s="175"/>
      <c r="J2" s="175"/>
      <c r="AB2" s="92" t="s">
        <v>162</v>
      </c>
      <c r="AF2" s="41"/>
      <c r="AG2" s="41"/>
      <c r="AH2" s="41"/>
    </row>
    <row r="3" spans="1:34" ht="18" x14ac:dyDescent="0.25">
      <c r="C3" s="175"/>
      <c r="D3" s="175"/>
      <c r="E3" s="175"/>
      <c r="F3" s="175"/>
      <c r="G3" s="175"/>
      <c r="H3" s="175"/>
      <c r="I3" s="175"/>
      <c r="J3" s="175"/>
      <c r="AB3" s="92" t="s">
        <v>175</v>
      </c>
    </row>
    <row r="4" spans="1:34" ht="18" x14ac:dyDescent="0.25">
      <c r="C4" s="175"/>
      <c r="D4" s="175"/>
      <c r="E4" s="175"/>
      <c r="F4" s="175"/>
      <c r="G4" s="175"/>
      <c r="H4" s="175"/>
      <c r="I4" s="175"/>
      <c r="J4" s="175"/>
      <c r="AB4" s="92" t="s">
        <v>218</v>
      </c>
    </row>
    <row r="5" spans="1:34" ht="18" x14ac:dyDescent="0.25">
      <c r="C5" s="175"/>
      <c r="D5" s="175"/>
      <c r="E5" s="175"/>
      <c r="F5" s="175"/>
      <c r="G5" s="175"/>
      <c r="H5" s="175"/>
      <c r="I5" s="175"/>
      <c r="J5" s="175"/>
      <c r="AB5" s="92" t="s">
        <v>219</v>
      </c>
    </row>
    <row r="6" spans="1:34" ht="15.75" x14ac:dyDescent="0.25">
      <c r="AB6" s="92" t="s">
        <v>0</v>
      </c>
    </row>
    <row r="7" spans="1:34" ht="15.75" x14ac:dyDescent="0.25">
      <c r="AB7" s="92" t="s">
        <v>1</v>
      </c>
    </row>
    <row r="8" spans="1:34" ht="15.75" x14ac:dyDescent="0.25">
      <c r="AB8" s="92" t="s">
        <v>220</v>
      </c>
    </row>
    <row r="9" spans="1:34" ht="15.75" x14ac:dyDescent="0.25">
      <c r="AB9" s="92" t="s">
        <v>221</v>
      </c>
    </row>
    <row r="10" spans="1:34" ht="9" customHeight="1" x14ac:dyDescent="0.4">
      <c r="C10" s="43"/>
      <c r="AB10" s="92" t="s">
        <v>2</v>
      </c>
    </row>
    <row r="11" spans="1:34" ht="9" customHeight="1" x14ac:dyDescent="0.25">
      <c r="AB11" s="92" t="s">
        <v>163</v>
      </c>
    </row>
    <row r="12" spans="1:34" ht="9" customHeight="1" x14ac:dyDescent="0.25">
      <c r="AB12" s="92" t="s">
        <v>222</v>
      </c>
    </row>
    <row r="13" spans="1:34" ht="15.75" x14ac:dyDescent="0.25">
      <c r="A13" s="56" t="s">
        <v>234</v>
      </c>
      <c r="AB13" s="92" t="s">
        <v>3</v>
      </c>
    </row>
    <row r="14" spans="1:34" ht="16.5" thickBot="1" x14ac:dyDescent="0.3">
      <c r="F14" s="40"/>
      <c r="G14" s="40"/>
      <c r="H14" s="40"/>
      <c r="AB14" s="92" t="s">
        <v>4</v>
      </c>
    </row>
    <row r="15" spans="1:34" ht="17.25" thickTop="1" thickBot="1" x14ac:dyDescent="0.3">
      <c r="C15" s="44" t="s">
        <v>176</v>
      </c>
      <c r="D15" s="176" t="s">
        <v>20</v>
      </c>
      <c r="E15" s="177"/>
      <c r="F15" s="40"/>
      <c r="G15" s="40"/>
      <c r="H15" s="40"/>
      <c r="AB15" s="92" t="s">
        <v>5</v>
      </c>
    </row>
    <row r="16" spans="1:34" ht="16.5" thickBot="1" x14ac:dyDescent="0.3">
      <c r="AB16" s="92" t="s">
        <v>177</v>
      </c>
    </row>
    <row r="17" spans="3:33" ht="15.75" thickTop="1" x14ac:dyDescent="0.2">
      <c r="C17" s="45" t="s">
        <v>214</v>
      </c>
      <c r="D17" s="171"/>
      <c r="E17" s="172"/>
      <c r="AB17" s="92" t="s">
        <v>223</v>
      </c>
    </row>
    <row r="18" spans="3:33" ht="16.5" thickBot="1" x14ac:dyDescent="0.3">
      <c r="AB18" s="92" t="s">
        <v>224</v>
      </c>
    </row>
    <row r="19" spans="3:33" ht="16.5" thickTop="1" x14ac:dyDescent="0.25">
      <c r="C19" s="45" t="s">
        <v>178</v>
      </c>
      <c r="D19" s="83" t="s">
        <v>247</v>
      </c>
      <c r="AB19" s="92" t="s">
        <v>164</v>
      </c>
    </row>
    <row r="20" spans="3:33" ht="16.5" thickBot="1" x14ac:dyDescent="0.3">
      <c r="AB20" s="92" t="s">
        <v>6</v>
      </c>
    </row>
    <row r="21" spans="3:33" ht="16.5" thickTop="1" x14ac:dyDescent="0.2">
      <c r="C21" s="45" t="s">
        <v>179</v>
      </c>
      <c r="D21" s="173" t="s">
        <v>248</v>
      </c>
      <c r="E21" s="174"/>
      <c r="G21" s="47"/>
      <c r="H21" s="47"/>
      <c r="AB21" s="92" t="s">
        <v>7</v>
      </c>
    </row>
    <row r="22" spans="3:33" ht="16.5" thickBot="1" x14ac:dyDescent="0.3">
      <c r="AA22" s="48"/>
      <c r="AB22" s="92" t="s">
        <v>148</v>
      </c>
      <c r="AC22" s="48"/>
      <c r="AD22" s="48"/>
      <c r="AE22" s="48"/>
      <c r="AF22" s="38"/>
      <c r="AG22" s="38"/>
    </row>
    <row r="23" spans="3:33" ht="16.5" thickTop="1" x14ac:dyDescent="0.25">
      <c r="C23" s="45" t="s">
        <v>180</v>
      </c>
      <c r="D23" s="46" t="s">
        <v>249</v>
      </c>
      <c r="AB23" s="92" t="s">
        <v>8</v>
      </c>
      <c r="AC23" s="12"/>
      <c r="AE23" s="12"/>
      <c r="AF23" s="49"/>
      <c r="AG23" s="50"/>
    </row>
    <row r="24" spans="3:33" ht="16.5" thickBot="1" x14ac:dyDescent="0.25">
      <c r="E24" s="47"/>
      <c r="AB24" s="92" t="s">
        <v>149</v>
      </c>
      <c r="AC24" s="12"/>
      <c r="AE24" s="12"/>
      <c r="AF24" s="49"/>
      <c r="AG24" s="50"/>
    </row>
    <row r="25" spans="3:33" ht="15.75" thickTop="1" x14ac:dyDescent="0.2">
      <c r="C25" s="45" t="s">
        <v>181</v>
      </c>
      <c r="D25" s="171" t="s">
        <v>250</v>
      </c>
      <c r="E25" s="172"/>
      <c r="AB25" s="92" t="s">
        <v>165</v>
      </c>
      <c r="AC25" s="12"/>
      <c r="AE25" s="12"/>
      <c r="AF25" s="49"/>
      <c r="AG25" s="50"/>
    </row>
    <row r="26" spans="3:33" ht="16.5" thickBot="1" x14ac:dyDescent="0.3">
      <c r="AB26" s="92" t="s">
        <v>166</v>
      </c>
      <c r="AC26" s="12"/>
      <c r="AE26" s="12"/>
      <c r="AF26" s="49"/>
      <c r="AG26" s="50"/>
    </row>
    <row r="27" spans="3:33" ht="16.5" thickTop="1" x14ac:dyDescent="0.25">
      <c r="C27" s="45" t="s">
        <v>182</v>
      </c>
      <c r="D27" s="147">
        <v>42216</v>
      </c>
      <c r="G27" s="51"/>
      <c r="H27" s="51"/>
      <c r="AB27" s="92" t="s">
        <v>9</v>
      </c>
      <c r="AC27" s="12"/>
      <c r="AE27" s="12"/>
      <c r="AF27" s="49"/>
      <c r="AG27" s="50"/>
    </row>
    <row r="28" spans="3:33" ht="16.5" thickBot="1" x14ac:dyDescent="0.3">
      <c r="C28" s="52"/>
      <c r="D28" s="53"/>
      <c r="I28" s="54"/>
      <c r="AB28" s="92" t="s">
        <v>167</v>
      </c>
      <c r="AC28" s="12"/>
      <c r="AE28" s="12"/>
      <c r="AF28" s="49"/>
      <c r="AG28" s="50"/>
    </row>
    <row r="29" spans="3:33" ht="15.75" customHeight="1" thickTop="1" x14ac:dyDescent="0.3">
      <c r="C29" s="37" t="s">
        <v>183</v>
      </c>
      <c r="D29" s="55">
        <v>2010</v>
      </c>
      <c r="AB29" s="92" t="s">
        <v>225</v>
      </c>
      <c r="AC29" s="12"/>
      <c r="AE29" s="12"/>
      <c r="AF29" s="49"/>
      <c r="AG29" s="50"/>
    </row>
    <row r="30" spans="3:33" ht="15.75" customHeight="1" x14ac:dyDescent="0.25">
      <c r="AB30" s="92" t="s">
        <v>150</v>
      </c>
      <c r="AC30" s="12"/>
      <c r="AE30" s="12"/>
      <c r="AF30" s="49"/>
      <c r="AG30" s="50"/>
    </row>
    <row r="31" spans="3:33" ht="15.75" customHeight="1" x14ac:dyDescent="0.3">
      <c r="C31" s="37"/>
      <c r="AB31" s="92" t="s">
        <v>168</v>
      </c>
      <c r="AC31" s="12"/>
      <c r="AE31" s="12"/>
      <c r="AF31" s="49"/>
      <c r="AG31" s="50"/>
    </row>
    <row r="32" spans="3:33" ht="15.75" customHeight="1" x14ac:dyDescent="0.3">
      <c r="C32" s="37"/>
      <c r="AB32" s="92" t="s">
        <v>10</v>
      </c>
      <c r="AC32" s="12"/>
      <c r="AE32" s="12"/>
      <c r="AF32" s="49"/>
      <c r="AG32" s="50"/>
    </row>
    <row r="33" spans="3:33" ht="15.75" customHeight="1" x14ac:dyDescent="0.3">
      <c r="C33" s="37"/>
      <c r="AB33" s="92" t="s">
        <v>151</v>
      </c>
      <c r="AC33" s="12"/>
      <c r="AE33" s="12"/>
      <c r="AF33" s="49"/>
      <c r="AG33" s="50"/>
    </row>
    <row r="34" spans="3:33" ht="15.75" customHeight="1" x14ac:dyDescent="0.25">
      <c r="AB34" s="92" t="s">
        <v>161</v>
      </c>
      <c r="AC34" s="12"/>
      <c r="AE34" s="12"/>
      <c r="AF34" s="49"/>
      <c r="AG34" s="50"/>
    </row>
    <row r="35" spans="3:33" ht="15.75" x14ac:dyDescent="0.25">
      <c r="C35" s="36"/>
      <c r="AB35" s="92" t="s">
        <v>11</v>
      </c>
      <c r="AC35" s="12"/>
      <c r="AE35" s="12"/>
      <c r="AF35" s="49"/>
      <c r="AG35" s="50"/>
    </row>
    <row r="36" spans="3:33" ht="15.75" x14ac:dyDescent="0.25">
      <c r="F36" s="57"/>
      <c r="G36" s="57"/>
      <c r="H36" s="57"/>
      <c r="I36" s="57"/>
      <c r="J36" s="57"/>
      <c r="K36" s="57"/>
      <c r="AB36" s="92" t="s">
        <v>169</v>
      </c>
      <c r="AC36" s="12"/>
      <c r="AE36" s="12"/>
      <c r="AF36" s="49"/>
      <c r="AG36" s="50"/>
    </row>
    <row r="37" spans="3:33" ht="15.75" x14ac:dyDescent="0.25">
      <c r="F37" s="57"/>
      <c r="G37" s="57"/>
      <c r="H37" s="57"/>
      <c r="I37" s="57"/>
      <c r="J37" s="57"/>
      <c r="K37" s="57"/>
      <c r="AB37" s="92" t="s">
        <v>226</v>
      </c>
      <c r="AC37" s="12"/>
      <c r="AE37" s="12"/>
      <c r="AF37" s="49"/>
      <c r="AG37" s="50"/>
    </row>
    <row r="38" spans="3:33" ht="15.75" x14ac:dyDescent="0.25">
      <c r="F38" s="57"/>
      <c r="G38" s="57"/>
      <c r="H38" s="57"/>
      <c r="I38" s="57"/>
      <c r="J38" s="57"/>
      <c r="K38" s="57"/>
      <c r="AB38" s="92" t="s">
        <v>170</v>
      </c>
      <c r="AC38" s="12"/>
      <c r="AE38" s="12"/>
      <c r="AF38" s="49"/>
      <c r="AG38" s="50"/>
    </row>
    <row r="39" spans="3:33" ht="16.5" x14ac:dyDescent="0.3">
      <c r="D39" s="39"/>
      <c r="E39" s="12"/>
      <c r="F39" s="58"/>
      <c r="G39" s="58"/>
      <c r="H39" s="58"/>
      <c r="I39" s="58"/>
      <c r="J39" s="58"/>
      <c r="K39" s="58"/>
      <c r="AB39" s="92" t="s">
        <v>152</v>
      </c>
      <c r="AC39" s="12"/>
      <c r="AE39" s="12"/>
      <c r="AF39" s="49"/>
      <c r="AG39" s="50"/>
    </row>
    <row r="40" spans="3:33" ht="15.75" customHeight="1" x14ac:dyDescent="0.3">
      <c r="D40" s="1"/>
      <c r="E40" s="12"/>
      <c r="F40" s="59"/>
      <c r="G40" s="57"/>
      <c r="H40" s="57"/>
      <c r="I40" s="57"/>
      <c r="J40" s="57"/>
      <c r="K40" s="57"/>
      <c r="AB40" s="92" t="s">
        <v>153</v>
      </c>
      <c r="AC40" s="12"/>
      <c r="AE40" s="12"/>
      <c r="AF40" s="49"/>
      <c r="AG40" s="50"/>
    </row>
    <row r="41" spans="3:33" ht="15.75" customHeight="1" x14ac:dyDescent="0.3">
      <c r="D41" s="39"/>
      <c r="E41" s="12"/>
      <c r="F41" s="58"/>
      <c r="G41" s="58"/>
      <c r="H41" s="58"/>
      <c r="I41" s="58"/>
      <c r="J41" s="58"/>
      <c r="K41" s="58"/>
      <c r="AB41" s="92" t="s">
        <v>12</v>
      </c>
      <c r="AC41" s="12"/>
      <c r="AE41" s="12"/>
      <c r="AF41" s="49"/>
      <c r="AG41" s="50"/>
    </row>
    <row r="42" spans="3:33" ht="15.75" customHeight="1" x14ac:dyDescent="0.3">
      <c r="D42" s="1"/>
      <c r="E42" s="12"/>
      <c r="F42" s="59"/>
      <c r="G42" s="57"/>
      <c r="H42" s="57"/>
      <c r="I42" s="57"/>
      <c r="J42" s="57"/>
      <c r="K42" s="57"/>
      <c r="AB42" s="92" t="s">
        <v>171</v>
      </c>
      <c r="AC42" s="12"/>
      <c r="AE42" s="12"/>
      <c r="AF42" s="49"/>
      <c r="AG42" s="50"/>
    </row>
    <row r="43" spans="3:33" ht="15.75" customHeight="1" x14ac:dyDescent="0.3">
      <c r="D43" s="39"/>
      <c r="E43" s="60"/>
      <c r="F43" s="58"/>
      <c r="G43" s="58"/>
      <c r="H43" s="58"/>
      <c r="I43" s="58"/>
      <c r="J43" s="58"/>
      <c r="K43" s="58"/>
      <c r="AB43" s="92" t="s">
        <v>13</v>
      </c>
      <c r="AC43" s="12"/>
      <c r="AE43" s="12"/>
      <c r="AF43" s="49"/>
      <c r="AG43" s="50"/>
    </row>
    <row r="44" spans="3:33" ht="16.5" x14ac:dyDescent="0.3">
      <c r="D44" s="1"/>
      <c r="E44" s="12"/>
      <c r="F44" s="61"/>
      <c r="G44" s="57"/>
      <c r="H44" s="57"/>
      <c r="I44" s="57"/>
      <c r="J44" s="57"/>
      <c r="K44" s="57"/>
      <c r="AB44" s="92" t="s">
        <v>14</v>
      </c>
      <c r="AC44" s="12"/>
      <c r="AE44" s="12"/>
      <c r="AF44" s="49"/>
      <c r="AG44" s="50"/>
    </row>
    <row r="45" spans="3:33" ht="16.5" x14ac:dyDescent="0.3">
      <c r="D45" s="62"/>
      <c r="E45" s="63"/>
      <c r="F45" s="58"/>
      <c r="G45" s="58"/>
      <c r="H45" s="58"/>
      <c r="I45" s="58"/>
      <c r="J45" s="58"/>
      <c r="K45" s="58"/>
      <c r="AB45" s="92" t="s">
        <v>15</v>
      </c>
      <c r="AC45" s="12"/>
      <c r="AE45" s="12"/>
      <c r="AF45" s="49"/>
      <c r="AG45" s="50"/>
    </row>
    <row r="46" spans="3:33" ht="12.75" x14ac:dyDescent="0.2">
      <c r="E46" s="12"/>
      <c r="F46" s="57"/>
      <c r="G46" s="57"/>
      <c r="H46" s="57"/>
      <c r="I46" s="57"/>
      <c r="J46" s="57"/>
      <c r="K46" s="57"/>
      <c r="AB46" s="92" t="s">
        <v>184</v>
      </c>
      <c r="AC46" s="12"/>
      <c r="AE46" s="12"/>
      <c r="AF46" s="49"/>
      <c r="AG46" s="50"/>
    </row>
    <row r="47" spans="3:33" ht="16.5" x14ac:dyDescent="0.3">
      <c r="D47" s="62"/>
      <c r="E47" s="62"/>
      <c r="F47" s="64"/>
      <c r="G47" s="64"/>
      <c r="H47" s="65"/>
      <c r="I47" s="65"/>
      <c r="J47" s="65"/>
      <c r="K47" s="65"/>
      <c r="AB47" s="92" t="s">
        <v>227</v>
      </c>
      <c r="AC47" s="12"/>
      <c r="AE47" s="12"/>
      <c r="AF47" s="49"/>
      <c r="AG47" s="50"/>
    </row>
    <row r="48" spans="3:33" ht="12.75" x14ac:dyDescent="0.2">
      <c r="E48" s="12"/>
      <c r="F48" s="57"/>
      <c r="G48" s="57"/>
      <c r="H48" s="57"/>
      <c r="I48" s="57"/>
      <c r="J48" s="57"/>
      <c r="K48" s="57"/>
      <c r="AB48" s="92" t="s">
        <v>154</v>
      </c>
      <c r="AC48" s="12"/>
      <c r="AE48" s="12"/>
      <c r="AF48" s="49"/>
      <c r="AG48" s="50"/>
    </row>
    <row r="49" spans="3:33" ht="15" customHeight="1" x14ac:dyDescent="0.2">
      <c r="D49" s="66"/>
      <c r="E49" s="66"/>
      <c r="F49" s="67"/>
      <c r="G49" s="67"/>
      <c r="H49" s="67"/>
      <c r="I49" s="68"/>
      <c r="J49" s="68"/>
      <c r="K49" s="68"/>
      <c r="AB49" s="92" t="s">
        <v>16</v>
      </c>
      <c r="AC49" s="12"/>
      <c r="AE49" s="12"/>
      <c r="AF49" s="49"/>
      <c r="AG49" s="50"/>
    </row>
    <row r="50" spans="3:33" ht="15" customHeight="1" x14ac:dyDescent="0.2">
      <c r="C50" s="66"/>
      <c r="D50" s="66"/>
      <c r="E50" s="66"/>
      <c r="F50" s="67"/>
      <c r="G50" s="67"/>
      <c r="H50" s="67"/>
      <c r="I50" s="68"/>
      <c r="J50" s="68"/>
      <c r="K50" s="68"/>
      <c r="AB50" s="92" t="s">
        <v>228</v>
      </c>
      <c r="AC50" s="12"/>
      <c r="AE50" s="12"/>
      <c r="AF50" s="49"/>
      <c r="AG50" s="50"/>
    </row>
    <row r="51" spans="3:33" ht="15.75" x14ac:dyDescent="0.25">
      <c r="F51" s="57"/>
      <c r="G51" s="57"/>
      <c r="H51" s="57"/>
      <c r="I51" s="57"/>
      <c r="J51" s="57"/>
      <c r="K51" s="57"/>
      <c r="AB51" s="92" t="s">
        <v>17</v>
      </c>
      <c r="AC51" s="12"/>
      <c r="AE51" s="12"/>
      <c r="AF51" s="49"/>
      <c r="AG51" s="50"/>
    </row>
    <row r="52" spans="3:33" ht="15.75" x14ac:dyDescent="0.25">
      <c r="F52" s="57"/>
      <c r="G52" s="57"/>
      <c r="H52" s="57"/>
      <c r="I52" s="57"/>
      <c r="J52" s="57"/>
      <c r="K52" s="57"/>
      <c r="AB52" s="92" t="s">
        <v>18</v>
      </c>
      <c r="AC52" s="12"/>
      <c r="AE52" s="12"/>
      <c r="AF52" s="49"/>
      <c r="AG52" s="50"/>
    </row>
    <row r="53" spans="3:33" ht="15.75" x14ac:dyDescent="0.25">
      <c r="AB53" s="92" t="s">
        <v>229</v>
      </c>
      <c r="AC53" s="12"/>
      <c r="AE53" s="12"/>
      <c r="AF53" s="49"/>
      <c r="AG53" s="50"/>
    </row>
    <row r="54" spans="3:33" ht="15.75" x14ac:dyDescent="0.25">
      <c r="AB54" s="92" t="s">
        <v>19</v>
      </c>
      <c r="AC54" s="12"/>
      <c r="AE54" s="12"/>
      <c r="AF54" s="49"/>
      <c r="AG54" s="50"/>
    </row>
    <row r="55" spans="3:33" ht="15.75" x14ac:dyDescent="0.25">
      <c r="AB55" s="92" t="s">
        <v>230</v>
      </c>
      <c r="AC55" s="12"/>
      <c r="AE55" s="12"/>
      <c r="AF55" s="49"/>
      <c r="AG55" s="50"/>
    </row>
    <row r="56" spans="3:33" ht="15.75" x14ac:dyDescent="0.25">
      <c r="AB56" s="92" t="s">
        <v>172</v>
      </c>
      <c r="AC56" s="12"/>
      <c r="AE56" s="12"/>
      <c r="AF56" s="49"/>
      <c r="AG56" s="50"/>
    </row>
    <row r="57" spans="3:33" ht="15.75" x14ac:dyDescent="0.25">
      <c r="AB57" s="92" t="s">
        <v>20</v>
      </c>
      <c r="AC57" s="12"/>
      <c r="AE57" s="12"/>
      <c r="AF57" s="49"/>
      <c r="AG57" s="50"/>
    </row>
    <row r="58" spans="3:33" ht="15.75" x14ac:dyDescent="0.25">
      <c r="AB58" s="92" t="s">
        <v>231</v>
      </c>
      <c r="AC58" s="12"/>
      <c r="AE58" s="12"/>
      <c r="AF58" s="49"/>
      <c r="AG58" s="50"/>
    </row>
    <row r="59" spans="3:33" ht="15.75" x14ac:dyDescent="0.25">
      <c r="AB59" s="92" t="s">
        <v>185</v>
      </c>
      <c r="AC59" s="12"/>
      <c r="AE59" s="12"/>
      <c r="AF59" s="49"/>
      <c r="AG59" s="50"/>
    </row>
    <row r="60" spans="3:33" ht="15.75" x14ac:dyDescent="0.25">
      <c r="AB60" s="92" t="s">
        <v>21</v>
      </c>
      <c r="AC60" s="12"/>
      <c r="AE60" s="12"/>
      <c r="AF60" s="49"/>
      <c r="AG60" s="50"/>
    </row>
    <row r="61" spans="3:33" ht="15.75" x14ac:dyDescent="0.25">
      <c r="AB61" s="92" t="s">
        <v>22</v>
      </c>
      <c r="AC61" s="12"/>
      <c r="AE61" s="12"/>
      <c r="AF61" s="49"/>
      <c r="AG61" s="50"/>
    </row>
    <row r="62" spans="3:33" ht="15.75" x14ac:dyDescent="0.25">
      <c r="AB62" s="92" t="s">
        <v>173</v>
      </c>
      <c r="AC62" s="12"/>
      <c r="AE62" s="12"/>
      <c r="AF62" s="49"/>
      <c r="AG62" s="50"/>
    </row>
    <row r="63" spans="3:33" ht="15.75" x14ac:dyDescent="0.25">
      <c r="AB63" s="92" t="s">
        <v>23</v>
      </c>
      <c r="AC63" s="12"/>
      <c r="AE63" s="12"/>
      <c r="AF63" s="49"/>
      <c r="AG63" s="50"/>
    </row>
    <row r="64" spans="3:33" ht="15.75" x14ac:dyDescent="0.25">
      <c r="AB64" s="92" t="s">
        <v>155</v>
      </c>
      <c r="AC64" s="12"/>
      <c r="AE64" s="12"/>
      <c r="AF64" s="49"/>
      <c r="AG64" s="50"/>
    </row>
    <row r="65" spans="28:33" ht="15.75" x14ac:dyDescent="0.25">
      <c r="AB65" s="92" t="s">
        <v>232</v>
      </c>
      <c r="AC65" s="12"/>
      <c r="AE65" s="12"/>
      <c r="AF65" s="49"/>
      <c r="AG65" s="50"/>
    </row>
    <row r="66" spans="28:33" ht="15.75" x14ac:dyDescent="0.25">
      <c r="AB66" s="92" t="s">
        <v>24</v>
      </c>
      <c r="AC66" s="12"/>
      <c r="AE66" s="12"/>
      <c r="AF66" s="49"/>
      <c r="AG66" s="50"/>
    </row>
    <row r="67" spans="28:33" ht="15.75" x14ac:dyDescent="0.25">
      <c r="AB67" s="92" t="s">
        <v>160</v>
      </c>
      <c r="AC67" s="12"/>
      <c r="AE67" s="12"/>
      <c r="AF67" s="49"/>
      <c r="AG67" s="50"/>
    </row>
    <row r="68" spans="28:33" ht="15.75" x14ac:dyDescent="0.25">
      <c r="AB68" s="92" t="s">
        <v>156</v>
      </c>
      <c r="AC68" s="12"/>
      <c r="AE68" s="12"/>
      <c r="AF68" s="49"/>
      <c r="AG68" s="50"/>
    </row>
    <row r="69" spans="28:33" ht="15.75" x14ac:dyDescent="0.25">
      <c r="AB69" s="92" t="s">
        <v>157</v>
      </c>
      <c r="AC69" s="12"/>
      <c r="AE69" s="12"/>
      <c r="AF69" s="49"/>
      <c r="AG69" s="50"/>
    </row>
    <row r="70" spans="28:33" ht="15.75" x14ac:dyDescent="0.25">
      <c r="AB70" s="92" t="s">
        <v>158</v>
      </c>
      <c r="AC70" s="12"/>
      <c r="AE70" s="12"/>
      <c r="AF70" s="49"/>
      <c r="AG70" s="50"/>
    </row>
    <row r="71" spans="28:33" ht="15.75" x14ac:dyDescent="0.25">
      <c r="AB71" s="92" t="s">
        <v>233</v>
      </c>
      <c r="AC71" s="12"/>
      <c r="AE71" s="12"/>
      <c r="AF71" s="49"/>
      <c r="AG71" s="50"/>
    </row>
    <row r="72" spans="28:33" ht="15.75" x14ac:dyDescent="0.25">
      <c r="AB72" s="92" t="s">
        <v>174</v>
      </c>
      <c r="AC72" s="12"/>
      <c r="AE72" s="12"/>
      <c r="AF72" s="49"/>
      <c r="AG72" s="50"/>
    </row>
    <row r="73" spans="28:33" ht="15.75" x14ac:dyDescent="0.25">
      <c r="AB73" s="92" t="s">
        <v>25</v>
      </c>
      <c r="AC73" s="12"/>
      <c r="AE73" s="12"/>
      <c r="AF73" s="49"/>
      <c r="AG73" s="50"/>
    </row>
    <row r="74" spans="28:33" ht="15.75" x14ac:dyDescent="0.25">
      <c r="AB74" s="92" t="s">
        <v>26</v>
      </c>
      <c r="AC74" s="12"/>
      <c r="AE74" s="12"/>
      <c r="AF74" s="49"/>
      <c r="AG74" s="50"/>
    </row>
    <row r="75" spans="28:33" ht="15.75" x14ac:dyDescent="0.25">
      <c r="AB75" s="92" t="s">
        <v>27</v>
      </c>
      <c r="AC75" s="12"/>
      <c r="AE75" s="12"/>
      <c r="AF75" s="49"/>
      <c r="AG75" s="50"/>
    </row>
    <row r="76" spans="28:33" ht="15.75" x14ac:dyDescent="0.25">
      <c r="AB76" s="92" t="s">
        <v>159</v>
      </c>
      <c r="AC76" s="12"/>
      <c r="AE76" s="12"/>
      <c r="AF76" s="49"/>
      <c r="AG76" s="50"/>
    </row>
    <row r="77" spans="28:33" ht="15.75" x14ac:dyDescent="0.25">
      <c r="AB77" s="92"/>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sheetData>
  <sheetProtection password="F8BD"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$AB$1:$AB$77</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Sentinel Lighting</v>
      </c>
      <c r="B4" s="3">
        <v>4</v>
      </c>
    </row>
    <row r="5" spans="1:4" x14ac:dyDescent="0.2">
      <c r="A5" s="3" t="str">
        <f>IF('3. Rate Classes'!L21=1, '3. Rate Classes'!C21, "")</f>
        <v>Street Lighting</v>
      </c>
      <c r="B5" s="3">
        <v>5</v>
      </c>
    </row>
    <row r="6" spans="1:4" x14ac:dyDescent="0.2">
      <c r="A6" s="3" t="str">
        <f>IF('3. Rate Classes'!L22=1, '3. Rate Classes'!C22, "")</f>
        <v>Unmetered Scattered Load</v>
      </c>
      <c r="B6" s="3">
        <v>6</v>
      </c>
    </row>
    <row r="7" spans="1:4" x14ac:dyDescent="0.2">
      <c r="A7" s="3" t="str">
        <f>IF('3. Rate Classes'!L23=1, '3. Rate Classes'!C23, "")</f>
        <v/>
      </c>
      <c r="B7" s="3">
        <v>7</v>
      </c>
    </row>
    <row r="8" spans="1:4" x14ac:dyDescent="0.2">
      <c r="A8" s="3" t="str">
        <f>IF('3. Rate Classes'!L24=1, '3. Rate Classes'!C24, "")</f>
        <v/>
      </c>
      <c r="B8" s="3">
        <v>8</v>
      </c>
    </row>
    <row r="9" spans="1:4" x14ac:dyDescent="0.2">
      <c r="A9" s="3" t="str">
        <f>IF('3. Rate Classes'!L25=1, '3. Rate Classes'!C25, "")</f>
        <v/>
      </c>
      <c r="B9" s="3">
        <v>9</v>
      </c>
    </row>
    <row r="10" spans="1:4" x14ac:dyDescent="0.2">
      <c r="A10" s="3" t="str">
        <f>IF('3. Rate Classes'!L26=1, '3. Rate Classes'!C26, "")</f>
        <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D26" sqref="D26"/>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139</v>
      </c>
      <c r="E20" s="7"/>
      <c r="F20" s="7"/>
      <c r="G20" s="7"/>
      <c r="H20" s="7"/>
      <c r="I20" s="78" t="s">
        <v>144</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140</v>
      </c>
      <c r="E22" s="7"/>
      <c r="F22" s="7"/>
      <c r="G22" s="7"/>
      <c r="H22" s="7"/>
      <c r="I22" s="78" t="s">
        <v>145</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141</v>
      </c>
      <c r="E24" s="7"/>
      <c r="F24" s="7"/>
      <c r="G24" s="7"/>
      <c r="H24" s="7"/>
      <c r="I24" s="78" t="s">
        <v>146</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142</v>
      </c>
      <c r="E26" s="7"/>
      <c r="F26" s="7"/>
      <c r="G26" s="7"/>
      <c r="H26" s="7"/>
      <c r="I26" s="78" t="s">
        <v>246</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143</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1" zoomScaleNormal="100" workbookViewId="0">
      <selection activeCell="E22" sqref="E22"/>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78" t="s">
        <v>205</v>
      </c>
      <c r="D13" s="178"/>
      <c r="E13" s="178"/>
      <c r="F13" s="178"/>
      <c r="G13" s="178"/>
      <c r="H13" s="178"/>
      <c r="I13" s="178"/>
    </row>
    <row r="15" spans="3:9" ht="31.5" x14ac:dyDescent="0.25">
      <c r="C15" s="71" t="s">
        <v>186</v>
      </c>
      <c r="D15" s="71"/>
      <c r="E15" s="95" t="s">
        <v>187</v>
      </c>
      <c r="F15" s="71"/>
      <c r="G15" s="70" t="s">
        <v>206</v>
      </c>
      <c r="H15" s="71"/>
      <c r="I15" s="70" t="s">
        <v>207</v>
      </c>
    </row>
    <row r="17" spans="3:23" x14ac:dyDescent="0.2">
      <c r="C17" s="93" t="s">
        <v>28</v>
      </c>
      <c r="D17" s="8"/>
      <c r="E17" s="2" t="s">
        <v>251</v>
      </c>
      <c r="F17" s="9"/>
      <c r="G17" s="145">
        <v>6.3E-3</v>
      </c>
      <c r="H17" s="6"/>
      <c r="I17" s="145">
        <v>4.4999999999999997E-3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251</v>
      </c>
      <c r="F18" s="5"/>
      <c r="G18" s="146">
        <v>5.7999999999999996E-3</v>
      </c>
      <c r="H18" s="7"/>
      <c r="I18" s="146">
        <v>4.0000000000000001E-3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46">
        <v>2.3683000000000001</v>
      </c>
      <c r="H19" s="7"/>
      <c r="I19" s="146">
        <v>1.5959000000000001</v>
      </c>
      <c r="L19">
        <f t="shared" si="0"/>
        <v>1</v>
      </c>
      <c r="M19" t="str">
        <f t="shared" si="1"/>
        <v>C19</v>
      </c>
      <c r="N19" t="str">
        <f t="shared" si="2"/>
        <v/>
      </c>
      <c r="W19" t="s">
        <v>32</v>
      </c>
    </row>
    <row r="20" spans="3:23" x14ac:dyDescent="0.2">
      <c r="C20" s="93" t="s">
        <v>39</v>
      </c>
      <c r="D20" s="8"/>
      <c r="E20" s="76" t="s">
        <v>112</v>
      </c>
      <c r="F20" s="5"/>
      <c r="G20" s="146">
        <v>1.7950999999999999</v>
      </c>
      <c r="H20" s="7"/>
      <c r="I20" s="146">
        <v>1.2596000000000001</v>
      </c>
      <c r="L20">
        <f t="shared" si="0"/>
        <v>1</v>
      </c>
      <c r="M20" t="str">
        <f t="shared" si="1"/>
        <v>C20</v>
      </c>
      <c r="N20" t="str">
        <f t="shared" si="2"/>
        <v/>
      </c>
      <c r="W20" t="s">
        <v>34</v>
      </c>
    </row>
    <row r="21" spans="3:23" x14ac:dyDescent="0.2">
      <c r="C21" s="93" t="s">
        <v>41</v>
      </c>
      <c r="D21" s="8"/>
      <c r="E21" s="76" t="s">
        <v>112</v>
      </c>
      <c r="F21" s="5"/>
      <c r="G21" s="146">
        <v>1.786</v>
      </c>
      <c r="H21" s="7"/>
      <c r="I21" s="146">
        <v>1.2338</v>
      </c>
      <c r="L21">
        <f t="shared" si="0"/>
        <v>1</v>
      </c>
      <c r="M21" t="str">
        <f t="shared" si="1"/>
        <v>C21</v>
      </c>
      <c r="N21" t="str">
        <f t="shared" si="2"/>
        <v/>
      </c>
      <c r="W21" t="s">
        <v>36</v>
      </c>
    </row>
    <row r="22" spans="3:23" x14ac:dyDescent="0.2">
      <c r="C22" s="93" t="s">
        <v>37</v>
      </c>
      <c r="D22" s="8"/>
      <c r="E22" s="76" t="s">
        <v>251</v>
      </c>
      <c r="F22" s="5"/>
      <c r="G22" s="146">
        <v>5.7999999999999996E-3</v>
      </c>
      <c r="H22" s="7"/>
      <c r="I22" s="146">
        <v>4.0000000000000001E-3</v>
      </c>
      <c r="L22">
        <f t="shared" si="0"/>
        <v>1</v>
      </c>
      <c r="M22" t="str">
        <f t="shared" si="1"/>
        <v>C22</v>
      </c>
      <c r="N22" t="str">
        <f t="shared" si="2"/>
        <v/>
      </c>
      <c r="W22" t="s">
        <v>38</v>
      </c>
    </row>
    <row r="23" spans="3:23" x14ac:dyDescent="0.2">
      <c r="C23" s="93" t="s">
        <v>29</v>
      </c>
      <c r="D23" s="8"/>
      <c r="E23" s="76"/>
      <c r="F23" s="5"/>
      <c r="G23" s="94"/>
      <c r="H23" s="7"/>
      <c r="I23" s="94"/>
      <c r="L23">
        <f t="shared" si="0"/>
        <v>0</v>
      </c>
      <c r="M23" t="str">
        <f t="shared" si="1"/>
        <v>C23</v>
      </c>
      <c r="N23" t="str">
        <f t="shared" si="2"/>
        <v/>
      </c>
      <c r="W23" t="s">
        <v>40</v>
      </c>
    </row>
    <row r="24" spans="3:23" x14ac:dyDescent="0.2">
      <c r="C24" s="93" t="s">
        <v>29</v>
      </c>
      <c r="D24" s="8"/>
      <c r="E24" s="76"/>
      <c r="F24" s="5"/>
      <c r="G24" s="94"/>
      <c r="H24" s="7"/>
      <c r="I24" s="94"/>
      <c r="L24">
        <f t="shared" si="0"/>
        <v>0</v>
      </c>
      <c r="M24" t="str">
        <f t="shared" si="1"/>
        <v>C24</v>
      </c>
      <c r="N24" t="str">
        <f t="shared" si="2"/>
        <v/>
      </c>
      <c r="W24" t="s">
        <v>42</v>
      </c>
    </row>
    <row r="25" spans="3:23" x14ac:dyDescent="0.2">
      <c r="C25" s="93" t="s">
        <v>29</v>
      </c>
      <c r="D25" s="8"/>
      <c r="E25" s="76"/>
      <c r="F25" s="5"/>
      <c r="G25" s="94"/>
      <c r="H25" s="7"/>
      <c r="I25" s="94"/>
      <c r="L25">
        <f t="shared" si="0"/>
        <v>0</v>
      </c>
      <c r="M25" t="str">
        <f t="shared" si="1"/>
        <v>C25</v>
      </c>
      <c r="N25" t="str">
        <f t="shared" si="2"/>
        <v/>
      </c>
      <c r="W25" t="s">
        <v>43</v>
      </c>
    </row>
    <row r="26" spans="3:23" x14ac:dyDescent="0.2">
      <c r="C26" s="93" t="s">
        <v>29</v>
      </c>
      <c r="D26" s="8"/>
      <c r="E26" s="77"/>
      <c r="F26" s="5"/>
      <c r="G26" s="94"/>
      <c r="H26" s="7"/>
      <c r="I26" s="94"/>
      <c r="L26">
        <f t="shared" si="0"/>
        <v>0</v>
      </c>
      <c r="M26" t="str">
        <f t="shared" si="1"/>
        <v>C26</v>
      </c>
      <c r="N26" t="str">
        <f t="shared" si="2"/>
        <v/>
      </c>
      <c r="W26" t="s">
        <v>44</v>
      </c>
    </row>
    <row r="27" spans="3:23" x14ac:dyDescent="0.2">
      <c r="C27" s="93" t="s">
        <v>29</v>
      </c>
      <c r="D27" s="8"/>
      <c r="E27" s="77"/>
      <c r="F27" s="5"/>
      <c r="G27" s="94"/>
      <c r="H27" s="7"/>
      <c r="I27" s="94"/>
      <c r="L27">
        <f t="shared" si="0"/>
        <v>0</v>
      </c>
      <c r="M27" t="str">
        <f t="shared" si="1"/>
        <v>C27</v>
      </c>
      <c r="N27" t="str">
        <f t="shared" si="2"/>
        <v/>
      </c>
      <c r="W27" t="s">
        <v>45</v>
      </c>
    </row>
    <row r="28" spans="3:23" x14ac:dyDescent="0.2">
      <c r="C28" s="93" t="s">
        <v>29</v>
      </c>
      <c r="D28" s="8"/>
      <c r="E28" s="77"/>
      <c r="F28" s="5"/>
      <c r="G28" s="94"/>
      <c r="H28" s="7"/>
      <c r="I28" s="94"/>
      <c r="L28">
        <f t="shared" si="0"/>
        <v>0</v>
      </c>
      <c r="M28" t="str">
        <f t="shared" si="1"/>
        <v>C28</v>
      </c>
      <c r="N28" t="str">
        <f t="shared" si="2"/>
        <v/>
      </c>
      <c r="W28" t="s">
        <v>46</v>
      </c>
    </row>
    <row r="29" spans="3:23" x14ac:dyDescent="0.2">
      <c r="C29" s="93" t="s">
        <v>29</v>
      </c>
      <c r="D29" s="8"/>
      <c r="E29" s="77"/>
      <c r="F29" s="5"/>
      <c r="G29" s="94"/>
      <c r="H29" s="7"/>
      <c r="I29" s="94"/>
      <c r="L29">
        <f t="shared" si="0"/>
        <v>0</v>
      </c>
      <c r="M29" t="str">
        <f t="shared" si="1"/>
        <v>C29</v>
      </c>
      <c r="N29" t="str">
        <f t="shared" si="2"/>
        <v/>
      </c>
      <c r="W29" t="s">
        <v>47</v>
      </c>
    </row>
    <row r="30" spans="3:23" x14ac:dyDescent="0.2">
      <c r="C30" s="93" t="s">
        <v>29</v>
      </c>
      <c r="D30" s="8"/>
      <c r="E30" s="77"/>
      <c r="F30" s="5"/>
      <c r="G30" s="94"/>
      <c r="H30" s="7"/>
      <c r="I30" s="94"/>
      <c r="L30">
        <f t="shared" si="0"/>
        <v>0</v>
      </c>
      <c r="M30" t="str">
        <f t="shared" si="1"/>
        <v>C30</v>
      </c>
      <c r="N30" t="str">
        <f t="shared" si="2"/>
        <v/>
      </c>
      <c r="W30" t="s">
        <v>48</v>
      </c>
    </row>
    <row r="31" spans="3:23" x14ac:dyDescent="0.2">
      <c r="C31" s="93" t="s">
        <v>29</v>
      </c>
      <c r="D31" s="8"/>
      <c r="E31" s="77"/>
      <c r="F31" s="5"/>
      <c r="G31" s="94"/>
      <c r="H31" s="7"/>
      <c r="I31" s="94"/>
      <c r="L31">
        <f t="shared" si="0"/>
        <v>0</v>
      </c>
      <c r="M31" t="str">
        <f t="shared" si="1"/>
        <v>C31</v>
      </c>
      <c r="N31" t="str">
        <f t="shared" si="2"/>
        <v/>
      </c>
      <c r="W31" t="s">
        <v>49</v>
      </c>
    </row>
    <row r="32" spans="3:23" x14ac:dyDescent="0.2">
      <c r="C32" s="93" t="s">
        <v>29</v>
      </c>
      <c r="D32" s="8"/>
      <c r="E32" s="77"/>
      <c r="F32" s="5"/>
      <c r="G32" s="94"/>
      <c r="H32" s="7"/>
      <c r="I32" s="94"/>
      <c r="L32">
        <f t="shared" si="0"/>
        <v>0</v>
      </c>
      <c r="M32" t="str">
        <f t="shared" si="1"/>
        <v>C32</v>
      </c>
      <c r="N32" t="str">
        <f t="shared" si="2"/>
        <v/>
      </c>
      <c r="W32" t="s">
        <v>30</v>
      </c>
    </row>
    <row r="33" spans="3:23" x14ac:dyDescent="0.2">
      <c r="C33" s="93" t="s">
        <v>29</v>
      </c>
      <c r="D33" s="8"/>
      <c r="E33" s="77"/>
      <c r="F33" s="5"/>
      <c r="G33" s="94"/>
      <c r="H33" s="7"/>
      <c r="I33" s="94"/>
      <c r="L33">
        <f t="shared" si="0"/>
        <v>0</v>
      </c>
      <c r="M33" t="str">
        <f t="shared" si="1"/>
        <v>C33</v>
      </c>
      <c r="N33" t="str">
        <f t="shared" si="2"/>
        <v/>
      </c>
      <c r="W33" t="s">
        <v>50</v>
      </c>
    </row>
    <row r="34" spans="3:23" x14ac:dyDescent="0.2">
      <c r="C34" s="93" t="s">
        <v>29</v>
      </c>
      <c r="D34" s="8"/>
      <c r="E34" s="77"/>
      <c r="F34" s="5"/>
      <c r="G34" s="94"/>
      <c r="H34" s="7"/>
      <c r="I34" s="94"/>
      <c r="L34">
        <f t="shared" si="0"/>
        <v>0</v>
      </c>
      <c r="M34" t="str">
        <f t="shared" si="1"/>
        <v>C34</v>
      </c>
      <c r="N34" t="str">
        <f t="shared" si="2"/>
        <v/>
      </c>
      <c r="W34" t="s">
        <v>51</v>
      </c>
    </row>
    <row r="35" spans="3:23" x14ac:dyDescent="0.2">
      <c r="C35" s="93" t="s">
        <v>29</v>
      </c>
      <c r="D35" s="8"/>
      <c r="E35" s="77"/>
      <c r="F35" s="5"/>
      <c r="G35" s="94"/>
      <c r="H35" s="7"/>
      <c r="I35" s="94"/>
      <c r="L35">
        <f t="shared" si="0"/>
        <v>0</v>
      </c>
      <c r="M35" t="str">
        <f t="shared" si="1"/>
        <v>C35</v>
      </c>
      <c r="N35" t="str">
        <f t="shared" si="2"/>
        <v/>
      </c>
      <c r="W35" t="s">
        <v>52</v>
      </c>
    </row>
    <row r="36" spans="3:23" x14ac:dyDescent="0.2">
      <c r="C36" s="93" t="s">
        <v>29</v>
      </c>
      <c r="D36" s="8"/>
      <c r="E36" s="77"/>
      <c r="F36" s="5"/>
      <c r="G36" s="94"/>
      <c r="H36" s="7"/>
      <c r="I36" s="94"/>
      <c r="L36">
        <f t="shared" si="0"/>
        <v>0</v>
      </c>
      <c r="M36" t="str">
        <f t="shared" si="1"/>
        <v>C36</v>
      </c>
      <c r="N36" t="str">
        <f t="shared" si="2"/>
        <v/>
      </c>
      <c r="W36" t="s">
        <v>53</v>
      </c>
    </row>
    <row r="37" spans="3:23" x14ac:dyDescent="0.2">
      <c r="C37" s="93" t="s">
        <v>29</v>
      </c>
      <c r="D37" s="8"/>
      <c r="E37" s="77"/>
      <c r="F37" s="5"/>
      <c r="G37" s="94"/>
      <c r="H37" s="7"/>
      <c r="I37" s="94"/>
      <c r="L37">
        <f t="shared" si="0"/>
        <v>0</v>
      </c>
      <c r="M37" t="str">
        <f t="shared" si="1"/>
        <v>C37</v>
      </c>
      <c r="N37" t="str">
        <f t="shared" si="2"/>
        <v/>
      </c>
      <c r="W37" t="s">
        <v>54</v>
      </c>
    </row>
    <row r="38" spans="3:23" x14ac:dyDescent="0.2">
      <c r="C38" s="93" t="s">
        <v>29</v>
      </c>
      <c r="D38" s="8"/>
      <c r="E38" s="77"/>
      <c r="F38" s="5"/>
      <c r="G38" s="94"/>
      <c r="H38" s="7"/>
      <c r="I38" s="94"/>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1" type="noConversion"/>
  <conditionalFormatting sqref="E17:E38">
    <cfRule type="expression" dxfId="11" priority="9" stopIfTrue="1">
      <formula>$L17&gt;0</formula>
    </cfRule>
    <cfRule type="expression" dxfId="10" priority="10" stopIfTrue="1">
      <formula>$L17=0</formula>
    </cfRule>
  </conditionalFormatting>
  <conditionalFormatting sqref="G23:G38">
    <cfRule type="expression" dxfId="9" priority="11" stopIfTrue="1">
      <formula>$L23&gt;0</formula>
    </cfRule>
    <cfRule type="expression" dxfId="8" priority="12" stopIfTrue="1">
      <formula>$L23=0</formula>
    </cfRule>
  </conditionalFormatting>
  <conditionalFormatting sqref="I23:I38">
    <cfRule type="expression" dxfId="7" priority="13" stopIfTrue="1">
      <formula>$L23&gt;0</formula>
    </cfRule>
    <cfRule type="expression" dxfId="6" priority="14" stopIfTrue="1">
      <formula>$L23=0</formula>
    </cfRule>
  </conditionalFormatting>
  <conditionalFormatting sqref="C17:C38">
    <cfRule type="expression" dxfId="5" priority="15" stopIfTrue="1">
      <formula>$L17&gt;0</formula>
    </cfRule>
    <cfRule type="expression" dxfId="4" priority="16" stopIfTrue="1">
      <formula>$L17=0</formula>
    </cfRule>
  </conditionalFormatting>
  <conditionalFormatting sqref="G17:G22">
    <cfRule type="expression" dxfId="3" priority="5" stopIfTrue="1">
      <formula>$L17&gt;0</formula>
    </cfRule>
    <cfRule type="expression" dxfId="2" priority="6" stopIfTrue="1">
      <formula>$L17=0</formula>
    </cfRule>
  </conditionalFormatting>
  <conditionalFormatting sqref="I17:I22">
    <cfRule type="expression" dxfId="1" priority="3" stopIfTrue="1">
      <formula>$L17&gt;0</formula>
    </cfRule>
    <cfRule type="expression" dxfId="0" priority="4" stopIfTrue="1">
      <formula>$L17=0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28"/>
  <sheetViews>
    <sheetView showGridLines="0" topLeftCell="A7" zoomScaleNormal="100" workbookViewId="0">
      <selection activeCell="G25" sqref="G25"/>
    </sheetView>
  </sheetViews>
  <sheetFormatPr defaultRowHeight="12.75" x14ac:dyDescent="0.2"/>
  <cols>
    <col min="1" max="1" width="2.28515625" style="12" customWidth="1"/>
    <col min="2" max="2" width="59.140625" style="12" bestFit="1" customWidth="1"/>
    <col min="3" max="3" width="18.28515625" style="12" bestFit="1" customWidth="1"/>
    <col min="4" max="4" width="17.85546875" style="96" customWidth="1"/>
    <col min="5" max="5" width="8.7109375" style="96" customWidth="1"/>
    <col min="6" max="8" width="16.140625" style="96" customWidth="1"/>
    <col min="9" max="9" width="17.85546875" style="96" customWidth="1"/>
    <col min="10" max="10" width="14.7109375" style="12" customWidth="1"/>
    <col min="11" max="16384" width="9.140625" style="12"/>
  </cols>
  <sheetData>
    <row r="13" spans="2:9" ht="42.75" customHeight="1" x14ac:dyDescent="0.2">
      <c r="B13" s="179"/>
      <c r="C13" s="179"/>
      <c r="D13" s="179"/>
      <c r="E13" s="179"/>
      <c r="F13" s="179"/>
      <c r="G13" s="179"/>
      <c r="H13" s="179"/>
      <c r="I13" s="179"/>
    </row>
    <row r="14" spans="2:9" x14ac:dyDescent="0.2">
      <c r="D14" s="12"/>
      <c r="E14" s="12"/>
      <c r="F14" s="12"/>
      <c r="G14" s="12"/>
      <c r="H14" s="12"/>
      <c r="I14" s="12"/>
    </row>
    <row r="15" spans="2:9" ht="45.75" thickBot="1" x14ac:dyDescent="0.3">
      <c r="B15" s="97" t="s">
        <v>186</v>
      </c>
      <c r="C15" s="97" t="s">
        <v>113</v>
      </c>
      <c r="D15" s="98" t="s">
        <v>187</v>
      </c>
      <c r="E15" s="99" t="s">
        <v>114</v>
      </c>
      <c r="F15" s="100" t="s">
        <v>202</v>
      </c>
      <c r="G15" s="100" t="s">
        <v>203</v>
      </c>
      <c r="H15" s="101" t="s">
        <v>235</v>
      </c>
      <c r="I15" s="102" t="s">
        <v>188</v>
      </c>
    </row>
    <row r="17" spans="2:9" x14ac:dyDescent="0.2">
      <c r="B17" s="12" t="s">
        <v>28</v>
      </c>
      <c r="C17" s="12" t="s">
        <v>252</v>
      </c>
      <c r="D17" s="96" t="s">
        <v>251</v>
      </c>
      <c r="E17" s="96">
        <v>6.3E-3</v>
      </c>
      <c r="F17" s="151">
        <v>79483998.230000004</v>
      </c>
      <c r="G17" s="151"/>
      <c r="H17" s="152">
        <v>1.0389999999999999</v>
      </c>
      <c r="I17" s="148">
        <f>F17*H17</f>
        <v>82583874.160970002</v>
      </c>
    </row>
    <row r="18" spans="2:9" x14ac:dyDescent="0.2">
      <c r="B18" s="12" t="s">
        <v>28</v>
      </c>
      <c r="C18" s="12" t="s">
        <v>253</v>
      </c>
      <c r="D18" s="96" t="s">
        <v>251</v>
      </c>
      <c r="E18" s="96">
        <v>4.4999999999999997E-3</v>
      </c>
      <c r="F18" s="151">
        <v>79483998.230000004</v>
      </c>
      <c r="G18" s="151"/>
      <c r="H18" s="152">
        <v>1.0389999999999999</v>
      </c>
      <c r="I18" s="148">
        <f>F18*H18</f>
        <v>82583874.160970002</v>
      </c>
    </row>
    <row r="19" spans="2:9" x14ac:dyDescent="0.2">
      <c r="B19" s="12" t="s">
        <v>30</v>
      </c>
      <c r="C19" s="12" t="s">
        <v>252</v>
      </c>
      <c r="D19" s="96" t="s">
        <v>251</v>
      </c>
      <c r="E19" s="96">
        <v>5.7999999999999996E-3</v>
      </c>
      <c r="F19" s="151">
        <v>31649726.120000001</v>
      </c>
      <c r="G19" s="151"/>
      <c r="H19" s="152">
        <v>1.0389999999999999</v>
      </c>
      <c r="I19" s="148">
        <f>F19*H19</f>
        <v>32884065.438679997</v>
      </c>
    </row>
    <row r="20" spans="2:9" x14ac:dyDescent="0.2">
      <c r="B20" s="12" t="s">
        <v>30</v>
      </c>
      <c r="C20" s="12" t="s">
        <v>253</v>
      </c>
      <c r="D20" s="96" t="s">
        <v>251</v>
      </c>
      <c r="E20" s="96">
        <v>4.0000000000000001E-3</v>
      </c>
      <c r="F20" s="151">
        <v>31649726.120000001</v>
      </c>
      <c r="G20" s="151"/>
      <c r="H20" s="149">
        <v>1.0389999999999999</v>
      </c>
      <c r="I20" s="148">
        <f>F20*H20</f>
        <v>32884065.438679997</v>
      </c>
    </row>
    <row r="21" spans="2:9" x14ac:dyDescent="0.2">
      <c r="B21" s="12" t="s">
        <v>69</v>
      </c>
      <c r="C21" s="12" t="s">
        <v>252</v>
      </c>
      <c r="D21" s="96" t="s">
        <v>112</v>
      </c>
      <c r="E21" s="96">
        <v>2.3683000000000001</v>
      </c>
      <c r="F21" s="151">
        <v>72512848.979999989</v>
      </c>
      <c r="G21" s="151">
        <v>206399</v>
      </c>
    </row>
    <row r="22" spans="2:9" x14ac:dyDescent="0.2">
      <c r="B22" s="12" t="s">
        <v>69</v>
      </c>
      <c r="C22" s="12" t="s">
        <v>253</v>
      </c>
      <c r="D22" s="96" t="s">
        <v>112</v>
      </c>
      <c r="E22" s="96">
        <v>1.5959000000000001</v>
      </c>
      <c r="F22" s="151">
        <v>72512849</v>
      </c>
      <c r="G22" s="151">
        <v>206399</v>
      </c>
    </row>
    <row r="23" spans="2:9" x14ac:dyDescent="0.2">
      <c r="B23" s="12" t="s">
        <v>39</v>
      </c>
      <c r="C23" s="12" t="s">
        <v>252</v>
      </c>
      <c r="D23" s="96" t="s">
        <v>112</v>
      </c>
      <c r="E23" s="96">
        <v>1.7950999999999999</v>
      </c>
      <c r="F23" s="151">
        <v>245570.47</v>
      </c>
      <c r="G23" s="151">
        <v>700</v>
      </c>
    </row>
    <row r="24" spans="2:9" x14ac:dyDescent="0.2">
      <c r="B24" s="12" t="s">
        <v>39</v>
      </c>
      <c r="C24" s="12" t="s">
        <v>253</v>
      </c>
      <c r="D24" s="96" t="s">
        <v>112</v>
      </c>
      <c r="E24" s="96">
        <v>1.2596000000000001</v>
      </c>
      <c r="F24" s="151">
        <v>245570.47</v>
      </c>
      <c r="G24" s="151">
        <v>700</v>
      </c>
    </row>
    <row r="25" spans="2:9" x14ac:dyDescent="0.2">
      <c r="B25" s="12" t="s">
        <v>41</v>
      </c>
      <c r="C25" s="12" t="s">
        <v>252</v>
      </c>
      <c r="D25" s="96" t="s">
        <v>112</v>
      </c>
      <c r="E25" s="96">
        <v>1.786</v>
      </c>
      <c r="F25" s="151">
        <v>2404816.87</v>
      </c>
      <c r="G25" s="151">
        <v>6866</v>
      </c>
    </row>
    <row r="26" spans="2:9" x14ac:dyDescent="0.2">
      <c r="B26" s="12" t="s">
        <v>41</v>
      </c>
      <c r="C26" s="12" t="s">
        <v>253</v>
      </c>
      <c r="D26" s="96" t="s">
        <v>112</v>
      </c>
      <c r="E26" s="96">
        <v>1.2338</v>
      </c>
      <c r="F26" s="151">
        <v>2404816.87</v>
      </c>
      <c r="G26" s="151">
        <v>6866</v>
      </c>
    </row>
    <row r="27" spans="2:9" x14ac:dyDescent="0.2">
      <c r="B27" s="12" t="s">
        <v>37</v>
      </c>
      <c r="C27" s="12" t="s">
        <v>252</v>
      </c>
      <c r="D27" s="96" t="s">
        <v>251</v>
      </c>
      <c r="E27" s="96">
        <v>5.7999999999999996E-3</v>
      </c>
      <c r="F27" s="151">
        <v>454406.25</v>
      </c>
      <c r="G27" s="151"/>
      <c r="H27" s="152">
        <v>1.0389999999999999</v>
      </c>
      <c r="I27" s="148">
        <f>F27*H27</f>
        <v>472128.09374999994</v>
      </c>
    </row>
    <row r="28" spans="2:9" x14ac:dyDescent="0.2">
      <c r="B28" s="12" t="s">
        <v>37</v>
      </c>
      <c r="C28" s="12" t="s">
        <v>253</v>
      </c>
      <c r="D28" s="96" t="s">
        <v>251</v>
      </c>
      <c r="E28" s="96">
        <v>4.0000000000000001E-3</v>
      </c>
      <c r="F28" s="150">
        <v>454406.25</v>
      </c>
      <c r="G28" s="150"/>
      <c r="H28" s="149">
        <v>1.0389999999999999</v>
      </c>
      <c r="I28" s="148">
        <f>F28*H28</f>
        <v>472128.09374999994</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I95"/>
  <sheetViews>
    <sheetView showGridLines="0" zoomScale="90" zoomScaleNormal="90" workbookViewId="0">
      <pane ySplit="16" topLeftCell="A47" activePane="bottomLeft" state="frozenSplit"/>
      <selection activeCell="I48" sqref="I48"/>
      <selection pane="bottomLeft" activeCell="G35" sqref="G35"/>
    </sheetView>
  </sheetViews>
  <sheetFormatPr defaultRowHeight="12.75" x14ac:dyDescent="0.2"/>
  <cols>
    <col min="1" max="1" width="1.140625" customWidth="1"/>
    <col min="2" max="2" width="69" customWidth="1"/>
    <col min="3" max="3" width="15.42578125" customWidth="1"/>
    <col min="5" max="5" width="19.7109375" customWidth="1"/>
    <col min="6" max="6" width="6.28515625" customWidth="1"/>
    <col min="7" max="7" width="19.7109375" customWidth="1"/>
    <col min="8" max="8" width="5.42578125" customWidth="1"/>
    <col min="9" max="9" width="19.7109375" customWidth="1"/>
  </cols>
  <sheetData>
    <row r="13" spans="2:9" ht="3.75" customHeight="1" x14ac:dyDescent="0.2"/>
    <row r="14" spans="2:9" ht="3.75" customHeight="1" x14ac:dyDescent="0.2"/>
    <row r="15" spans="2:9" ht="3.75" customHeight="1" x14ac:dyDescent="0.2">
      <c r="B15" s="74"/>
      <c r="C15" s="75"/>
      <c r="D15" s="4"/>
      <c r="E15" s="75"/>
      <c r="F15" s="4"/>
      <c r="G15" s="75"/>
      <c r="H15" s="4"/>
      <c r="I15" s="75"/>
    </row>
    <row r="16" spans="2:9" ht="3.75" customHeight="1" x14ac:dyDescent="0.2"/>
    <row r="17" spans="2:9" ht="15.75" x14ac:dyDescent="0.25">
      <c r="B17" s="10"/>
      <c r="C17" s="10"/>
      <c r="D17" s="11"/>
      <c r="E17" s="14"/>
      <c r="F17" s="10"/>
      <c r="G17" s="14"/>
      <c r="H17" s="10"/>
    </row>
    <row r="18" spans="2:9" ht="31.5" x14ac:dyDescent="0.2">
      <c r="B18" s="103" t="s">
        <v>200</v>
      </c>
      <c r="C18" s="104" t="s">
        <v>187</v>
      </c>
      <c r="D18" s="105"/>
      <c r="E18" s="104" t="s">
        <v>236</v>
      </c>
      <c r="F18" s="105"/>
      <c r="G18" s="104" t="s">
        <v>237</v>
      </c>
      <c r="H18" s="105"/>
      <c r="I18" s="104" t="s">
        <v>238</v>
      </c>
    </row>
    <row r="19" spans="2:9" ht="15" x14ac:dyDescent="0.2">
      <c r="B19" s="105"/>
      <c r="C19" s="105"/>
      <c r="D19" s="105"/>
      <c r="E19" s="105"/>
      <c r="F19" s="105"/>
      <c r="G19" s="105"/>
      <c r="H19" s="105"/>
      <c r="I19" s="105"/>
    </row>
    <row r="20" spans="2:9" ht="15.75" x14ac:dyDescent="0.25">
      <c r="B20" s="56" t="s">
        <v>113</v>
      </c>
      <c r="C20" s="56"/>
      <c r="D20" s="106"/>
      <c r="E20" s="40" t="s">
        <v>114</v>
      </c>
      <c r="F20" s="106"/>
      <c r="G20" s="40" t="s">
        <v>114</v>
      </c>
      <c r="H20" s="106"/>
      <c r="I20" s="40" t="s">
        <v>114</v>
      </c>
    </row>
    <row r="21" spans="2:9" ht="15" x14ac:dyDescent="0.2">
      <c r="B21" s="105"/>
      <c r="C21" s="105"/>
      <c r="D21" s="105"/>
      <c r="E21" s="105"/>
      <c r="F21" s="105"/>
      <c r="G21" s="105"/>
      <c r="H21" s="105"/>
      <c r="I21" s="105"/>
    </row>
    <row r="22" spans="2:9" ht="15.75" x14ac:dyDescent="0.25">
      <c r="B22" s="107" t="s">
        <v>115</v>
      </c>
      <c r="C22" s="108" t="s">
        <v>112</v>
      </c>
      <c r="D22" s="109"/>
      <c r="E22" s="110">
        <v>3.82</v>
      </c>
      <c r="F22" s="109"/>
      <c r="G22" s="110">
        <v>3.78</v>
      </c>
      <c r="H22" s="106"/>
      <c r="I22" s="111">
        <v>3.78</v>
      </c>
    </row>
    <row r="23" spans="2:9" ht="15.75" x14ac:dyDescent="0.25">
      <c r="B23" s="109"/>
      <c r="C23" s="109"/>
      <c r="D23" s="109"/>
      <c r="E23" s="110"/>
      <c r="F23" s="109"/>
      <c r="G23" s="110"/>
      <c r="H23" s="106"/>
      <c r="I23" s="110"/>
    </row>
    <row r="24" spans="2:9" ht="15.75" x14ac:dyDescent="0.25">
      <c r="B24" s="107" t="s">
        <v>116</v>
      </c>
      <c r="C24" s="108" t="s">
        <v>112</v>
      </c>
      <c r="D24" s="109"/>
      <c r="E24" s="110">
        <v>0.82</v>
      </c>
      <c r="F24" s="109"/>
      <c r="G24" s="110">
        <v>0.86</v>
      </c>
      <c r="H24" s="106"/>
      <c r="I24" s="111">
        <v>0.86</v>
      </c>
    </row>
    <row r="25" spans="2:9" ht="15.75" x14ac:dyDescent="0.25">
      <c r="B25" s="109"/>
      <c r="C25" s="109"/>
      <c r="D25" s="109"/>
      <c r="E25" s="110"/>
      <c r="F25" s="109"/>
      <c r="G25" s="110"/>
      <c r="H25" s="106"/>
      <c r="I25" s="110"/>
    </row>
    <row r="26" spans="2:9" ht="15.75" x14ac:dyDescent="0.25">
      <c r="B26" s="107" t="s">
        <v>117</v>
      </c>
      <c r="C26" s="108" t="s">
        <v>112</v>
      </c>
      <c r="D26" s="109"/>
      <c r="E26" s="110">
        <v>1.98</v>
      </c>
      <c r="F26" s="109"/>
      <c r="G26" s="110">
        <v>2</v>
      </c>
      <c r="H26" s="106"/>
      <c r="I26" s="111">
        <v>2</v>
      </c>
    </row>
    <row r="27" spans="2:9" ht="15" x14ac:dyDescent="0.2">
      <c r="B27" s="105"/>
      <c r="C27" s="105"/>
      <c r="D27" s="105"/>
      <c r="E27" s="105"/>
      <c r="F27" s="105"/>
      <c r="G27" s="105"/>
      <c r="H27" s="105"/>
      <c r="I27" s="105"/>
    </row>
    <row r="28" spans="2:9" ht="15" x14ac:dyDescent="0.2">
      <c r="B28" s="105"/>
      <c r="C28" s="105"/>
      <c r="D28" s="105"/>
      <c r="E28" s="105"/>
      <c r="F28" s="105"/>
      <c r="G28" s="105"/>
      <c r="H28" s="105"/>
      <c r="I28" s="105"/>
    </row>
    <row r="29" spans="2:9" ht="31.5" x14ac:dyDescent="0.2">
      <c r="B29" s="103" t="s">
        <v>201</v>
      </c>
      <c r="C29" s="104" t="s">
        <v>187</v>
      </c>
      <c r="D29" s="105"/>
      <c r="E29" s="104" t="s">
        <v>236</v>
      </c>
      <c r="F29" s="105"/>
      <c r="G29" s="104" t="s">
        <v>237</v>
      </c>
      <c r="H29" s="105"/>
      <c r="I29" s="104" t="s">
        <v>238</v>
      </c>
    </row>
    <row r="30" spans="2:9" ht="15.75" x14ac:dyDescent="0.25">
      <c r="B30" s="13"/>
      <c r="C30" s="112"/>
      <c r="D30" s="105"/>
      <c r="E30" s="113"/>
      <c r="F30" s="113"/>
      <c r="G30" s="113"/>
      <c r="H30" s="113"/>
      <c r="I30" s="105"/>
    </row>
    <row r="31" spans="2:9" ht="3" customHeight="1" x14ac:dyDescent="0.25">
      <c r="B31" s="113"/>
      <c r="C31" s="112"/>
      <c r="D31" s="105"/>
      <c r="E31" s="14"/>
      <c r="F31" s="113"/>
      <c r="G31" s="14"/>
      <c r="H31" s="113"/>
      <c r="I31" s="105"/>
    </row>
    <row r="32" spans="2:9" ht="3" customHeight="1" x14ac:dyDescent="0.2">
      <c r="B32" s="105"/>
      <c r="C32" s="105"/>
      <c r="D32" s="105"/>
      <c r="E32" s="105"/>
      <c r="F32" s="105"/>
      <c r="G32" s="105"/>
      <c r="H32" s="105"/>
      <c r="I32" s="105"/>
    </row>
    <row r="33" spans="2:9" ht="15.75" x14ac:dyDescent="0.25">
      <c r="B33" s="56" t="s">
        <v>113</v>
      </c>
      <c r="C33" s="56"/>
      <c r="D33" s="106"/>
      <c r="E33" s="40" t="s">
        <v>114</v>
      </c>
      <c r="F33" s="106"/>
      <c r="G33" s="40" t="s">
        <v>114</v>
      </c>
      <c r="H33" s="105"/>
      <c r="I33" s="40" t="s">
        <v>114</v>
      </c>
    </row>
    <row r="34" spans="2:9" ht="15" x14ac:dyDescent="0.2">
      <c r="B34" s="105"/>
      <c r="C34" s="105"/>
      <c r="D34" s="105"/>
      <c r="E34" s="105"/>
      <c r="F34" s="105"/>
      <c r="G34" s="105"/>
      <c r="H34" s="105"/>
      <c r="I34" s="105"/>
    </row>
    <row r="35" spans="2:9" ht="15.75" x14ac:dyDescent="0.25">
      <c r="B35" s="107" t="s">
        <v>115</v>
      </c>
      <c r="C35" s="108" t="s">
        <v>112</v>
      </c>
      <c r="D35" s="109"/>
      <c r="E35" s="110">
        <v>3.23</v>
      </c>
      <c r="F35" s="109"/>
      <c r="G35" s="110">
        <v>3.41</v>
      </c>
      <c r="H35" s="113"/>
      <c r="I35" s="111">
        <f>+G35</f>
        <v>3.41</v>
      </c>
    </row>
    <row r="36" spans="2:9" ht="15.75" x14ac:dyDescent="0.25">
      <c r="B36" s="113"/>
      <c r="C36" s="113"/>
      <c r="D36" s="113"/>
      <c r="E36" s="110"/>
      <c r="F36" s="113"/>
      <c r="G36" s="110"/>
      <c r="H36" s="113"/>
      <c r="I36" s="110"/>
    </row>
    <row r="37" spans="2:9" ht="15.75" x14ac:dyDescent="0.25">
      <c r="B37" s="107" t="s">
        <v>116</v>
      </c>
      <c r="C37" s="108" t="s">
        <v>112</v>
      </c>
      <c r="D37" s="109"/>
      <c r="E37" s="110">
        <v>0.65</v>
      </c>
      <c r="F37" s="109"/>
      <c r="G37" s="110">
        <v>0.79</v>
      </c>
      <c r="H37" s="113"/>
      <c r="I37" s="111">
        <f>+G37</f>
        <v>0.79</v>
      </c>
    </row>
    <row r="38" spans="2:9" ht="15.75" x14ac:dyDescent="0.25">
      <c r="B38" s="113"/>
      <c r="C38" s="113"/>
      <c r="D38" s="113"/>
      <c r="E38" s="110"/>
      <c r="F38" s="113"/>
      <c r="G38" s="110"/>
      <c r="H38" s="113"/>
      <c r="I38" s="110"/>
    </row>
    <row r="39" spans="2:9" ht="15.75" x14ac:dyDescent="0.25">
      <c r="B39" s="107" t="s">
        <v>117</v>
      </c>
      <c r="C39" s="108" t="s">
        <v>112</v>
      </c>
      <c r="D39" s="109"/>
      <c r="E39" s="110">
        <v>1.62</v>
      </c>
      <c r="F39" s="109"/>
      <c r="G39" s="110">
        <v>1.8</v>
      </c>
      <c r="H39" s="113"/>
      <c r="I39" s="111">
        <f>+G39</f>
        <v>1.8</v>
      </c>
    </row>
    <row r="40" spans="2:9" ht="15.75" x14ac:dyDescent="0.25">
      <c r="B40" s="113"/>
      <c r="C40" s="113"/>
      <c r="D40" s="113"/>
      <c r="E40" s="110"/>
      <c r="F40" s="113"/>
      <c r="G40" s="110"/>
      <c r="H40" s="113"/>
      <c r="I40" s="110"/>
    </row>
    <row r="41" spans="2:9" ht="15.75" x14ac:dyDescent="0.25">
      <c r="B41" s="107" t="s">
        <v>118</v>
      </c>
      <c r="C41" s="108" t="s">
        <v>112</v>
      </c>
      <c r="D41" s="109"/>
      <c r="E41" s="110">
        <f>SUM(E37,E39)</f>
        <v>2.27</v>
      </c>
      <c r="F41" s="109"/>
      <c r="G41" s="110">
        <f>SUM(G37,G39)</f>
        <v>2.59</v>
      </c>
      <c r="H41" s="113"/>
      <c r="I41" s="110">
        <f>I39+I37</f>
        <v>2.59</v>
      </c>
    </row>
    <row r="42" spans="2:9" ht="15.75" x14ac:dyDescent="0.25">
      <c r="B42" s="10"/>
      <c r="C42" s="10"/>
      <c r="D42" s="12"/>
      <c r="E42" s="110"/>
      <c r="F42" s="12"/>
      <c r="G42" s="110"/>
      <c r="H42" s="12"/>
      <c r="I42" s="12"/>
    </row>
    <row r="43" spans="2:9" x14ac:dyDescent="0.2">
      <c r="B43" s="12"/>
      <c r="C43" s="12"/>
      <c r="D43" s="12"/>
      <c r="E43" s="12"/>
      <c r="F43" s="12"/>
      <c r="G43" s="12"/>
      <c r="H43" s="12"/>
      <c r="I43" s="12"/>
    </row>
    <row r="44" spans="2:9" ht="25.5" x14ac:dyDescent="0.2">
      <c r="B44" s="114" t="s">
        <v>254</v>
      </c>
      <c r="C44" s="115" t="s">
        <v>187</v>
      </c>
      <c r="D44" s="12"/>
      <c r="E44" s="115" t="s">
        <v>236</v>
      </c>
      <c r="F44" s="12"/>
      <c r="G44" s="115" t="s">
        <v>237</v>
      </c>
      <c r="H44" s="12"/>
      <c r="I44" s="115" t="s">
        <v>238</v>
      </c>
    </row>
    <row r="45" spans="2:9" ht="15.75" x14ac:dyDescent="0.25">
      <c r="B45" s="13"/>
      <c r="C45" s="11"/>
      <c r="D45" s="12"/>
      <c r="E45" s="10"/>
      <c r="F45" s="10"/>
      <c r="G45" s="10"/>
      <c r="H45" s="10"/>
      <c r="I45" s="12"/>
    </row>
    <row r="46" spans="2:9" ht="3" customHeight="1" x14ac:dyDescent="0.25">
      <c r="B46" s="10"/>
      <c r="C46" s="11"/>
      <c r="D46" s="12"/>
      <c r="E46" s="14"/>
      <c r="F46" s="10"/>
      <c r="G46" s="14"/>
      <c r="H46" s="10"/>
      <c r="I46" s="12"/>
    </row>
    <row r="47" spans="2:9" ht="3" customHeight="1" x14ac:dyDescent="0.2">
      <c r="B47" s="12"/>
      <c r="C47" s="12"/>
      <c r="D47" s="12"/>
      <c r="E47" s="12"/>
      <c r="F47" s="12"/>
      <c r="G47" s="12"/>
      <c r="H47" s="12"/>
      <c r="I47" s="12"/>
    </row>
    <row r="48" spans="2:9" ht="15.75" x14ac:dyDescent="0.25">
      <c r="B48" s="56" t="s">
        <v>113</v>
      </c>
      <c r="C48" s="56"/>
      <c r="D48" s="116"/>
      <c r="E48" s="40" t="s">
        <v>114</v>
      </c>
      <c r="F48" s="106"/>
      <c r="G48" s="40" t="s">
        <v>114</v>
      </c>
      <c r="H48" s="105"/>
      <c r="I48" s="40" t="s">
        <v>114</v>
      </c>
    </row>
    <row r="49" spans="2:9" ht="15" x14ac:dyDescent="0.2">
      <c r="B49" s="117"/>
      <c r="C49" s="117"/>
      <c r="D49" s="117"/>
      <c r="E49" s="105"/>
      <c r="F49" s="105"/>
      <c r="G49" s="105"/>
      <c r="H49" s="105"/>
      <c r="I49" s="105"/>
    </row>
    <row r="50" spans="2:9" ht="16.5" x14ac:dyDescent="0.25">
      <c r="B50" s="118" t="s">
        <v>115</v>
      </c>
      <c r="C50" s="119" t="s">
        <v>112</v>
      </c>
      <c r="D50" s="120"/>
      <c r="E50" s="111">
        <v>2.75</v>
      </c>
      <c r="F50" s="109"/>
      <c r="G50" s="111">
        <v>3</v>
      </c>
      <c r="H50" s="113"/>
      <c r="I50" s="111">
        <v>3</v>
      </c>
    </row>
    <row r="51" spans="2:9" ht="15.75" x14ac:dyDescent="0.25">
      <c r="B51" s="121"/>
      <c r="C51" s="121"/>
      <c r="D51" s="121"/>
      <c r="E51" s="110"/>
      <c r="F51" s="113"/>
      <c r="G51" s="110"/>
      <c r="H51" s="113"/>
      <c r="I51" s="110"/>
    </row>
    <row r="52" spans="2:9" ht="16.5" x14ac:dyDescent="0.25">
      <c r="B52" s="118" t="s">
        <v>116</v>
      </c>
      <c r="C52" s="119" t="s">
        <v>112</v>
      </c>
      <c r="D52" s="120"/>
      <c r="E52" s="111"/>
      <c r="F52" s="109"/>
      <c r="G52" s="111"/>
      <c r="H52" s="113"/>
      <c r="I52" s="111"/>
    </row>
    <row r="53" spans="2:9" ht="15.75" x14ac:dyDescent="0.25">
      <c r="B53" s="121"/>
      <c r="C53" s="121"/>
      <c r="D53" s="121"/>
      <c r="E53" s="110"/>
      <c r="F53" s="113"/>
      <c r="G53" s="110"/>
      <c r="H53" s="113"/>
      <c r="I53" s="110"/>
    </row>
    <row r="54" spans="2:9" ht="16.5" x14ac:dyDescent="0.25">
      <c r="B54" s="118" t="s">
        <v>117</v>
      </c>
      <c r="C54" s="119" t="s">
        <v>112</v>
      </c>
      <c r="D54" s="120"/>
      <c r="E54" s="111"/>
      <c r="F54" s="109"/>
      <c r="G54" s="111"/>
      <c r="H54" s="113"/>
      <c r="I54" s="111"/>
    </row>
    <row r="55" spans="2:9" ht="15.75" x14ac:dyDescent="0.25">
      <c r="B55" s="121"/>
      <c r="C55" s="121"/>
      <c r="D55" s="121"/>
      <c r="E55" s="110"/>
      <c r="F55" s="113"/>
      <c r="G55" s="110"/>
      <c r="H55" s="113"/>
      <c r="I55" s="110"/>
    </row>
    <row r="56" spans="2:9" ht="16.5" x14ac:dyDescent="0.25">
      <c r="B56" s="118" t="s">
        <v>118</v>
      </c>
      <c r="C56" s="119" t="s">
        <v>112</v>
      </c>
      <c r="D56" s="120"/>
      <c r="E56" s="110">
        <f>SUM(E52,E54)</f>
        <v>0</v>
      </c>
      <c r="F56" s="109"/>
      <c r="G56" s="110">
        <f>SUM(G52,G54)</f>
        <v>0</v>
      </c>
      <c r="H56" s="113"/>
      <c r="I56" s="110">
        <f>I54+I52</f>
        <v>0</v>
      </c>
    </row>
    <row r="57" spans="2:9" ht="15.75" x14ac:dyDescent="0.25">
      <c r="B57" s="10"/>
      <c r="C57" s="10"/>
      <c r="D57" s="12"/>
      <c r="E57" s="110"/>
      <c r="F57" s="12"/>
      <c r="G57" s="110"/>
      <c r="H57" s="12"/>
      <c r="I57" s="12"/>
    </row>
    <row r="58" spans="2:9" x14ac:dyDescent="0.2">
      <c r="B58" s="12"/>
      <c r="C58" s="12"/>
      <c r="D58" s="12"/>
      <c r="E58" s="12"/>
      <c r="F58" s="12"/>
      <c r="G58" s="12"/>
      <c r="H58" s="12"/>
      <c r="I58" s="12"/>
    </row>
    <row r="59" spans="2:9" ht="25.5" x14ac:dyDescent="0.2">
      <c r="B59" s="114" t="s">
        <v>239</v>
      </c>
      <c r="C59" s="115" t="s">
        <v>187</v>
      </c>
      <c r="D59" s="12"/>
      <c r="E59" s="115" t="s">
        <v>236</v>
      </c>
      <c r="F59" s="12"/>
      <c r="G59" s="115" t="s">
        <v>237</v>
      </c>
      <c r="H59" s="12"/>
      <c r="I59" s="115" t="s">
        <v>238</v>
      </c>
    </row>
    <row r="60" spans="2:9" ht="15.75" x14ac:dyDescent="0.25">
      <c r="B60" s="13"/>
      <c r="C60" s="11"/>
      <c r="D60" s="12"/>
      <c r="E60" s="10"/>
      <c r="F60" s="10"/>
      <c r="G60" s="10"/>
      <c r="H60" s="10"/>
      <c r="I60" s="12"/>
    </row>
    <row r="61" spans="2:9" ht="3" customHeight="1" x14ac:dyDescent="0.25">
      <c r="B61" s="10"/>
      <c r="C61" s="11"/>
      <c r="D61" s="12"/>
      <c r="E61" s="14"/>
      <c r="F61" s="10"/>
      <c r="G61" s="14"/>
      <c r="H61" s="10"/>
      <c r="I61" s="12"/>
    </row>
    <row r="62" spans="2:9" ht="3" customHeight="1" x14ac:dyDescent="0.2">
      <c r="B62" s="12"/>
      <c r="C62" s="12"/>
      <c r="D62" s="12"/>
      <c r="E62" s="12"/>
      <c r="F62" s="12"/>
      <c r="G62" s="12"/>
      <c r="H62" s="12"/>
      <c r="I62" s="12"/>
    </row>
    <row r="63" spans="2:9" ht="15.75" x14ac:dyDescent="0.25">
      <c r="B63" s="56" t="s">
        <v>113</v>
      </c>
      <c r="C63" s="56"/>
      <c r="D63" s="106"/>
      <c r="E63" s="40" t="s">
        <v>114</v>
      </c>
      <c r="F63" s="106"/>
      <c r="G63" s="40" t="s">
        <v>114</v>
      </c>
      <c r="H63" s="105"/>
      <c r="I63" s="40" t="s">
        <v>114</v>
      </c>
    </row>
    <row r="64" spans="2:9" ht="15" x14ac:dyDescent="0.2">
      <c r="B64" s="105"/>
      <c r="C64" s="105"/>
      <c r="D64" s="105"/>
      <c r="E64" s="105"/>
      <c r="F64" s="105"/>
      <c r="G64" s="105"/>
      <c r="H64" s="105"/>
      <c r="I64" s="105"/>
    </row>
    <row r="65" spans="2:9" ht="15.75" x14ac:dyDescent="0.25">
      <c r="B65" s="107" t="s">
        <v>115</v>
      </c>
      <c r="C65" s="108" t="s">
        <v>112</v>
      </c>
      <c r="D65" s="109"/>
      <c r="E65" s="111"/>
      <c r="F65" s="109"/>
      <c r="G65" s="111"/>
      <c r="H65" s="113"/>
      <c r="I65" s="111"/>
    </row>
    <row r="66" spans="2:9" ht="15.75" x14ac:dyDescent="0.25">
      <c r="B66" s="113"/>
      <c r="C66" s="113"/>
      <c r="D66" s="113"/>
      <c r="E66" s="110"/>
      <c r="F66" s="113"/>
      <c r="G66" s="110"/>
      <c r="H66" s="113"/>
      <c r="I66" s="110"/>
    </row>
    <row r="67" spans="2:9" ht="15.75" x14ac:dyDescent="0.25">
      <c r="B67" s="107" t="s">
        <v>116</v>
      </c>
      <c r="C67" s="108" t="s">
        <v>112</v>
      </c>
      <c r="D67" s="109"/>
      <c r="E67" s="111"/>
      <c r="F67" s="109"/>
      <c r="G67" s="111"/>
      <c r="H67" s="113"/>
      <c r="I67" s="111"/>
    </row>
    <row r="68" spans="2:9" ht="15.75" x14ac:dyDescent="0.25">
      <c r="B68" s="113"/>
      <c r="C68" s="113"/>
      <c r="D68" s="113"/>
      <c r="E68" s="110"/>
      <c r="F68" s="113"/>
      <c r="G68" s="110"/>
      <c r="H68" s="113"/>
      <c r="I68" s="110"/>
    </row>
    <row r="69" spans="2:9" ht="15.75" x14ac:dyDescent="0.25">
      <c r="B69" s="107" t="s">
        <v>117</v>
      </c>
      <c r="C69" s="108" t="s">
        <v>112</v>
      </c>
      <c r="D69" s="109"/>
      <c r="E69" s="111"/>
      <c r="F69" s="109"/>
      <c r="G69" s="111"/>
      <c r="H69" s="113"/>
      <c r="I69" s="111"/>
    </row>
    <row r="70" spans="2:9" ht="15.75" x14ac:dyDescent="0.25">
      <c r="B70" s="113"/>
      <c r="C70" s="113"/>
      <c r="D70" s="113"/>
      <c r="E70" s="110"/>
      <c r="F70" s="113"/>
      <c r="G70" s="110"/>
      <c r="H70" s="113"/>
      <c r="I70" s="110"/>
    </row>
    <row r="71" spans="2:9" ht="15.75" x14ac:dyDescent="0.25">
      <c r="B71" s="107" t="s">
        <v>118</v>
      </c>
      <c r="C71" s="108" t="s">
        <v>112</v>
      </c>
      <c r="D71" s="109"/>
      <c r="E71" s="110">
        <f>SUM(E67,E69)</f>
        <v>0</v>
      </c>
      <c r="F71" s="109"/>
      <c r="G71" s="110">
        <f>SUM(G67,G69)</f>
        <v>0</v>
      </c>
      <c r="H71" s="113"/>
      <c r="I71" s="110">
        <f>I69+I67</f>
        <v>0</v>
      </c>
    </row>
    <row r="72" spans="2:9" ht="15.75" x14ac:dyDescent="0.25">
      <c r="B72" s="10"/>
      <c r="C72" s="10"/>
      <c r="D72" s="12"/>
      <c r="E72" s="110"/>
      <c r="F72" s="12"/>
      <c r="G72" s="110"/>
      <c r="H72" s="12"/>
      <c r="I72" s="12"/>
    </row>
    <row r="73" spans="2:9" x14ac:dyDescent="0.2">
      <c r="B73" s="12"/>
      <c r="C73" s="12"/>
      <c r="D73" s="12"/>
      <c r="E73" s="12"/>
      <c r="F73" s="12"/>
      <c r="G73" s="12"/>
      <c r="H73" s="12"/>
      <c r="I73" s="12"/>
    </row>
    <row r="74" spans="2:9" ht="15.75" x14ac:dyDescent="0.25">
      <c r="B74" s="13"/>
      <c r="C74" s="12"/>
      <c r="D74" s="12"/>
      <c r="E74" s="12"/>
      <c r="F74" s="12"/>
      <c r="G74" s="12"/>
      <c r="H74" s="12"/>
      <c r="I74" s="12"/>
    </row>
    <row r="75" spans="2:9" ht="25.5" x14ac:dyDescent="0.2">
      <c r="B75" s="122" t="s">
        <v>208</v>
      </c>
      <c r="C75" s="123" t="s">
        <v>187</v>
      </c>
      <c r="D75" s="12"/>
      <c r="E75" s="123" t="s">
        <v>236</v>
      </c>
      <c r="F75" s="12"/>
      <c r="G75" s="123" t="s">
        <v>237</v>
      </c>
      <c r="H75" s="12"/>
      <c r="I75" s="123" t="s">
        <v>238</v>
      </c>
    </row>
    <row r="76" spans="2:9" x14ac:dyDescent="0.2">
      <c r="B76" s="12"/>
      <c r="C76" s="12"/>
      <c r="D76" s="12"/>
      <c r="E76" s="12"/>
      <c r="F76" s="12"/>
      <c r="G76" s="12"/>
      <c r="H76" s="12"/>
      <c r="I76" s="12"/>
    </row>
    <row r="77" spans="2:9" ht="15.75" x14ac:dyDescent="0.25">
      <c r="B77" s="56" t="s">
        <v>113</v>
      </c>
      <c r="C77" s="56"/>
      <c r="D77" s="106"/>
      <c r="E77" s="40" t="s">
        <v>114</v>
      </c>
      <c r="F77" s="106"/>
      <c r="G77" s="40" t="s">
        <v>114</v>
      </c>
      <c r="H77" s="105"/>
      <c r="I77" s="40" t="s">
        <v>114</v>
      </c>
    </row>
    <row r="78" spans="2:9" ht="15" x14ac:dyDescent="0.2">
      <c r="B78" s="105"/>
      <c r="C78" s="105"/>
      <c r="D78" s="105"/>
      <c r="E78" s="105"/>
      <c r="F78" s="105"/>
      <c r="G78" s="105"/>
      <c r="H78" s="105"/>
      <c r="I78" s="105"/>
    </row>
    <row r="79" spans="2:9" ht="15.75" x14ac:dyDescent="0.25">
      <c r="B79" s="107" t="s">
        <v>119</v>
      </c>
      <c r="C79" s="108" t="s">
        <v>112</v>
      </c>
      <c r="D79" s="109"/>
      <c r="E79" s="124">
        <v>0.14649999999999999</v>
      </c>
      <c r="F79" s="109"/>
      <c r="G79" s="125">
        <v>0</v>
      </c>
      <c r="H79" s="126"/>
      <c r="I79" s="127">
        <v>0</v>
      </c>
    </row>
    <row r="80" spans="2:9" ht="15.75" x14ac:dyDescent="0.25">
      <c r="B80" s="113"/>
      <c r="C80" s="113"/>
      <c r="D80" s="113"/>
      <c r="E80" s="124"/>
      <c r="F80" s="128"/>
      <c r="G80" s="125"/>
      <c r="H80" s="126"/>
      <c r="I80" s="129"/>
    </row>
    <row r="81" spans="2:9" ht="15.75" x14ac:dyDescent="0.25">
      <c r="B81" s="107" t="s">
        <v>120</v>
      </c>
      <c r="C81" s="108" t="s">
        <v>112</v>
      </c>
      <c r="D81" s="109"/>
      <c r="E81" s="124">
        <v>6.6699999999999995E-2</v>
      </c>
      <c r="F81" s="109"/>
      <c r="G81" s="125">
        <v>0</v>
      </c>
      <c r="H81" s="126"/>
      <c r="I81" s="127">
        <v>0</v>
      </c>
    </row>
    <row r="82" spans="2:9" ht="15.75" x14ac:dyDescent="0.25">
      <c r="B82" s="113"/>
      <c r="C82" s="113"/>
      <c r="D82" s="113"/>
      <c r="E82" s="124"/>
      <c r="F82" s="128"/>
      <c r="G82" s="125"/>
      <c r="H82" s="126"/>
      <c r="I82" s="125"/>
    </row>
    <row r="83" spans="2:9" ht="15.75" x14ac:dyDescent="0.25">
      <c r="B83" s="107" t="s">
        <v>121</v>
      </c>
      <c r="C83" s="108" t="s">
        <v>112</v>
      </c>
      <c r="D83" s="109"/>
      <c r="E83" s="124">
        <v>4.7500000000000001E-2</v>
      </c>
      <c r="F83" s="130"/>
      <c r="G83" s="125">
        <v>0</v>
      </c>
      <c r="H83" s="126"/>
      <c r="I83" s="127">
        <v>0</v>
      </c>
    </row>
    <row r="84" spans="2:9" ht="15.75" x14ac:dyDescent="0.25">
      <c r="B84" s="109"/>
      <c r="C84" s="109"/>
      <c r="D84" s="109"/>
      <c r="E84" s="130"/>
      <c r="F84" s="130"/>
      <c r="G84" s="131"/>
      <c r="H84" s="126"/>
      <c r="I84" s="125"/>
    </row>
    <row r="85" spans="2:9" ht="15.75" x14ac:dyDescent="0.25">
      <c r="B85" s="107" t="s">
        <v>122</v>
      </c>
      <c r="C85" s="108" t="s">
        <v>112</v>
      </c>
      <c r="D85" s="109"/>
      <c r="E85" s="124">
        <v>4.19E-2</v>
      </c>
      <c r="F85" s="130"/>
      <c r="G85" s="125">
        <v>0</v>
      </c>
      <c r="H85" s="126"/>
      <c r="I85" s="127">
        <v>0</v>
      </c>
    </row>
    <row r="86" spans="2:9" ht="15.75" x14ac:dyDescent="0.25">
      <c r="B86" s="109"/>
      <c r="C86" s="108"/>
      <c r="D86" s="109"/>
      <c r="E86" s="130"/>
      <c r="F86" s="130"/>
      <c r="G86" s="131"/>
      <c r="H86" s="132"/>
      <c r="I86" s="125"/>
    </row>
    <row r="87" spans="2:9" ht="15.75" x14ac:dyDescent="0.25">
      <c r="B87" s="107" t="s">
        <v>209</v>
      </c>
      <c r="C87" s="108" t="s">
        <v>112</v>
      </c>
      <c r="D87" s="109"/>
      <c r="E87" s="124">
        <v>-2.7E-2</v>
      </c>
      <c r="F87" s="130"/>
      <c r="G87" s="125">
        <v>0</v>
      </c>
      <c r="H87" s="126"/>
      <c r="I87" s="127">
        <v>0</v>
      </c>
    </row>
    <row r="88" spans="2:9" ht="15.75" x14ac:dyDescent="0.25">
      <c r="B88" s="109"/>
      <c r="C88" s="108"/>
      <c r="D88" s="109"/>
      <c r="E88" s="130"/>
      <c r="F88" s="130"/>
      <c r="G88" s="131"/>
      <c r="H88" s="132"/>
      <c r="I88" s="125"/>
    </row>
    <row r="89" spans="2:9" ht="15.75" x14ac:dyDescent="0.25">
      <c r="B89" s="107" t="s">
        <v>210</v>
      </c>
      <c r="C89" s="108" t="s">
        <v>112</v>
      </c>
      <c r="D89" s="109"/>
      <c r="E89" s="124">
        <v>-5.9999999999999995E-4</v>
      </c>
      <c r="F89" s="130"/>
      <c r="G89" s="125">
        <v>0</v>
      </c>
      <c r="H89" s="126"/>
      <c r="I89" s="127">
        <v>0</v>
      </c>
    </row>
    <row r="90" spans="2:9" ht="15" x14ac:dyDescent="0.2">
      <c r="B90" s="109"/>
      <c r="C90" s="108"/>
      <c r="D90" s="109"/>
      <c r="E90" s="130"/>
      <c r="F90" s="130"/>
      <c r="G90" s="130"/>
      <c r="H90" s="128"/>
      <c r="I90" s="130"/>
    </row>
    <row r="91" spans="2:9" ht="16.5" thickBot="1" x14ac:dyDescent="0.3">
      <c r="B91" s="107" t="s">
        <v>208</v>
      </c>
      <c r="C91" s="108" t="s">
        <v>112</v>
      </c>
      <c r="D91" s="109"/>
      <c r="E91" s="133">
        <v>0.27499999999999997</v>
      </c>
      <c r="F91" s="130"/>
      <c r="G91" s="133">
        <v>0</v>
      </c>
      <c r="H91" s="134"/>
      <c r="I91" s="133">
        <f>SUM(I79:I89)</f>
        <v>0</v>
      </c>
    </row>
    <row r="92" spans="2:9" ht="15" x14ac:dyDescent="0.2">
      <c r="B92" s="113"/>
      <c r="C92" s="113"/>
      <c r="D92" s="112"/>
      <c r="E92" s="113"/>
      <c r="F92" s="113"/>
      <c r="G92" s="113"/>
      <c r="H92" s="113"/>
      <c r="I92" s="105"/>
    </row>
    <row r="93" spans="2:9" ht="15.75" x14ac:dyDescent="0.25">
      <c r="B93" s="105"/>
      <c r="C93" s="105"/>
      <c r="D93" s="105"/>
      <c r="E93" s="135"/>
      <c r="F93" s="135"/>
      <c r="G93" s="135"/>
      <c r="H93" s="135"/>
      <c r="I93" s="135"/>
    </row>
    <row r="94" spans="2:9" ht="15.75" x14ac:dyDescent="0.2">
      <c r="B94" s="105"/>
      <c r="C94" s="105"/>
      <c r="D94" s="105"/>
      <c r="E94" s="136" t="s">
        <v>240</v>
      </c>
      <c r="F94" s="136"/>
      <c r="G94" s="136" t="s">
        <v>241</v>
      </c>
      <c r="H94" s="136"/>
      <c r="I94" s="136" t="s">
        <v>242</v>
      </c>
    </row>
    <row r="95" spans="2:9" ht="31.5" x14ac:dyDescent="0.25">
      <c r="B95" s="137" t="s">
        <v>215</v>
      </c>
      <c r="C95" s="108" t="s">
        <v>213</v>
      </c>
      <c r="D95" s="105"/>
      <c r="E95" s="138"/>
      <c r="F95" s="124"/>
      <c r="G95" s="138"/>
      <c r="H95" s="124"/>
      <c r="I95" s="138"/>
    </row>
  </sheetData>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Normal="100" workbookViewId="0">
      <pane ySplit="16" topLeftCell="A108" activePane="bottomLeft" state="frozenSplit"/>
      <selection activeCell="I48" sqref="I48"/>
      <selection pane="bottomLeft" activeCell="F62" sqref="F62:F73"/>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194</v>
      </c>
      <c r="C21" s="72"/>
      <c r="D21" s="180" t="s">
        <v>195</v>
      </c>
      <c r="E21" s="180"/>
      <c r="F21" s="180"/>
      <c r="G21" s="72"/>
      <c r="H21" s="180" t="s">
        <v>198</v>
      </c>
      <c r="I21" s="180"/>
      <c r="J21" s="180"/>
      <c r="K21" s="72"/>
      <c r="L21" s="180" t="s">
        <v>197</v>
      </c>
      <c r="M21" s="180"/>
      <c r="N21" s="180"/>
      <c r="O21" s="72"/>
      <c r="P21" s="73" t="s">
        <v>196</v>
      </c>
      <c r="Q21" s="17"/>
    </row>
    <row r="22" spans="2:17" ht="33"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79"/>
      <c r="E24" s="80">
        <f t="shared" ref="E24" si="0">IF(D24&lt;&gt;0,F24/D24,0)</f>
        <v>0</v>
      </c>
      <c r="F24" s="79"/>
      <c r="G24" s="10"/>
      <c r="H24" s="79"/>
      <c r="I24" s="80">
        <f t="shared" ref="I24" si="1">IF(H24&lt;&gt;0,J24/H24,0)</f>
        <v>0</v>
      </c>
      <c r="J24" s="79"/>
      <c r="K24" s="10"/>
      <c r="L24" s="79"/>
      <c r="M24" s="80">
        <f t="shared" ref="M24" si="2">IF(L24&lt;&gt;0,N24/L24,0)</f>
        <v>0</v>
      </c>
      <c r="N24" s="79"/>
      <c r="O24" s="10"/>
      <c r="P24" s="23">
        <f t="shared" ref="P24:P35" si="3">J24+N24</f>
        <v>0</v>
      </c>
      <c r="Q24" s="10"/>
    </row>
    <row r="25" spans="2:17" ht="15.75" x14ac:dyDescent="0.25">
      <c r="B25" s="24" t="s">
        <v>127</v>
      </c>
      <c r="C25" s="10"/>
      <c r="D25" s="79"/>
      <c r="E25" s="80">
        <f t="shared" ref="E25:E35" si="4">IF(D25&lt;&gt;0,F25/D25,0)</f>
        <v>0</v>
      </c>
      <c r="F25" s="79"/>
      <c r="G25" s="10"/>
      <c r="H25" s="79"/>
      <c r="I25" s="80">
        <f t="shared" ref="I25:I35" si="5">IF(H25&lt;&gt;0,J25/H25,0)</f>
        <v>0</v>
      </c>
      <c r="J25" s="79"/>
      <c r="K25" s="10"/>
      <c r="L25" s="79"/>
      <c r="M25" s="80">
        <f t="shared" ref="M25:M35" si="6">IF(L25&lt;&gt;0,N25/L25,0)</f>
        <v>0</v>
      </c>
      <c r="N25" s="79"/>
      <c r="O25" s="10"/>
      <c r="P25" s="23">
        <f t="shared" si="3"/>
        <v>0</v>
      </c>
      <c r="Q25" s="10"/>
    </row>
    <row r="26" spans="2:17" ht="15.75" x14ac:dyDescent="0.25">
      <c r="B26" s="24" t="s">
        <v>128</v>
      </c>
      <c r="C26" s="10"/>
      <c r="D26" s="79"/>
      <c r="E26" s="80">
        <f t="shared" si="4"/>
        <v>0</v>
      </c>
      <c r="F26" s="79"/>
      <c r="G26" s="10"/>
      <c r="H26" s="79"/>
      <c r="I26" s="80">
        <f t="shared" si="5"/>
        <v>0</v>
      </c>
      <c r="J26" s="79"/>
      <c r="K26" s="10"/>
      <c r="L26" s="79"/>
      <c r="M26" s="80">
        <f t="shared" si="6"/>
        <v>0</v>
      </c>
      <c r="N26" s="79"/>
      <c r="O26" s="10"/>
      <c r="P26" s="23">
        <f t="shared" si="3"/>
        <v>0</v>
      </c>
      <c r="Q26" s="10"/>
    </row>
    <row r="27" spans="2:17" ht="15.75" x14ac:dyDescent="0.25">
      <c r="B27" s="24" t="s">
        <v>129</v>
      </c>
      <c r="C27" s="10"/>
      <c r="D27" s="79"/>
      <c r="E27" s="80">
        <f t="shared" si="4"/>
        <v>0</v>
      </c>
      <c r="F27" s="79"/>
      <c r="G27" s="10"/>
      <c r="H27" s="79"/>
      <c r="I27" s="80">
        <f t="shared" si="5"/>
        <v>0</v>
      </c>
      <c r="J27" s="79"/>
      <c r="K27" s="10"/>
      <c r="L27" s="79"/>
      <c r="M27" s="80">
        <f t="shared" si="6"/>
        <v>0</v>
      </c>
      <c r="N27" s="79"/>
      <c r="O27" s="10"/>
      <c r="P27" s="23">
        <f t="shared" si="3"/>
        <v>0</v>
      </c>
      <c r="Q27" s="10"/>
    </row>
    <row r="28" spans="2:17" ht="15.75" x14ac:dyDescent="0.25">
      <c r="B28" s="24" t="s">
        <v>130</v>
      </c>
      <c r="C28" s="10"/>
      <c r="D28" s="79"/>
      <c r="E28" s="80">
        <f t="shared" si="4"/>
        <v>0</v>
      </c>
      <c r="F28" s="79"/>
      <c r="G28" s="10"/>
      <c r="H28" s="79"/>
      <c r="I28" s="80">
        <f t="shared" si="5"/>
        <v>0</v>
      </c>
      <c r="J28" s="79"/>
      <c r="K28" s="10"/>
      <c r="L28" s="79"/>
      <c r="M28" s="80">
        <f t="shared" si="6"/>
        <v>0</v>
      </c>
      <c r="N28" s="79"/>
      <c r="O28" s="10"/>
      <c r="P28" s="23">
        <f t="shared" si="3"/>
        <v>0</v>
      </c>
      <c r="Q28" s="10"/>
    </row>
    <row r="29" spans="2:17" ht="15.75" x14ac:dyDescent="0.25">
      <c r="B29" s="24" t="s">
        <v>131</v>
      </c>
      <c r="C29" s="10"/>
      <c r="D29" s="79"/>
      <c r="E29" s="80">
        <f t="shared" si="4"/>
        <v>0</v>
      </c>
      <c r="F29" s="79"/>
      <c r="G29" s="10"/>
      <c r="H29" s="79"/>
      <c r="I29" s="80">
        <f t="shared" si="5"/>
        <v>0</v>
      </c>
      <c r="J29" s="79"/>
      <c r="K29" s="10"/>
      <c r="L29" s="79"/>
      <c r="M29" s="80">
        <f t="shared" si="6"/>
        <v>0</v>
      </c>
      <c r="N29" s="79"/>
      <c r="O29" s="10"/>
      <c r="P29" s="23">
        <f t="shared" si="3"/>
        <v>0</v>
      </c>
      <c r="Q29" s="10"/>
    </row>
    <row r="30" spans="2:17" ht="15.75" x14ac:dyDescent="0.25">
      <c r="B30" s="24" t="s">
        <v>132</v>
      </c>
      <c r="C30" s="10"/>
      <c r="D30" s="79"/>
      <c r="E30" s="80">
        <f t="shared" si="4"/>
        <v>0</v>
      </c>
      <c r="F30" s="79"/>
      <c r="G30" s="10"/>
      <c r="H30" s="79"/>
      <c r="I30" s="80">
        <f t="shared" si="5"/>
        <v>0</v>
      </c>
      <c r="J30" s="79"/>
      <c r="K30" s="10"/>
      <c r="L30" s="79"/>
      <c r="M30" s="80">
        <f t="shared" si="6"/>
        <v>0</v>
      </c>
      <c r="N30" s="79"/>
      <c r="O30" s="10"/>
      <c r="P30" s="23">
        <f t="shared" si="3"/>
        <v>0</v>
      </c>
      <c r="Q30" s="10"/>
    </row>
    <row r="31" spans="2:17" ht="15.75" x14ac:dyDescent="0.25">
      <c r="B31" s="24" t="s">
        <v>133</v>
      </c>
      <c r="C31" s="10"/>
      <c r="D31" s="79"/>
      <c r="E31" s="80">
        <f t="shared" si="4"/>
        <v>0</v>
      </c>
      <c r="F31" s="79"/>
      <c r="G31" s="10"/>
      <c r="H31" s="79"/>
      <c r="I31" s="80">
        <f t="shared" si="5"/>
        <v>0</v>
      </c>
      <c r="J31" s="79"/>
      <c r="K31" s="10"/>
      <c r="L31" s="79"/>
      <c r="M31" s="80">
        <f t="shared" si="6"/>
        <v>0</v>
      </c>
      <c r="N31" s="79"/>
      <c r="O31" s="10"/>
      <c r="P31" s="23">
        <f t="shared" si="3"/>
        <v>0</v>
      </c>
      <c r="Q31" s="10"/>
    </row>
    <row r="32" spans="2:17" ht="15.75" x14ac:dyDescent="0.25">
      <c r="B32" s="24" t="s">
        <v>134</v>
      </c>
      <c r="C32" s="10"/>
      <c r="D32" s="79"/>
      <c r="E32" s="80">
        <f t="shared" si="4"/>
        <v>0</v>
      </c>
      <c r="F32" s="79"/>
      <c r="G32" s="10"/>
      <c r="H32" s="79"/>
      <c r="I32" s="80">
        <f t="shared" si="5"/>
        <v>0</v>
      </c>
      <c r="J32" s="79"/>
      <c r="K32" s="10"/>
      <c r="L32" s="79"/>
      <c r="M32" s="80">
        <f t="shared" si="6"/>
        <v>0</v>
      </c>
      <c r="N32" s="79"/>
      <c r="O32" s="10"/>
      <c r="P32" s="23">
        <f t="shared" si="3"/>
        <v>0</v>
      </c>
      <c r="Q32" s="10"/>
    </row>
    <row r="33" spans="2:17" ht="15.75" x14ac:dyDescent="0.25">
      <c r="B33" s="24" t="s">
        <v>135</v>
      </c>
      <c r="C33" s="10"/>
      <c r="D33" s="79"/>
      <c r="E33" s="80">
        <f t="shared" si="4"/>
        <v>0</v>
      </c>
      <c r="F33" s="79"/>
      <c r="G33" s="10"/>
      <c r="H33" s="79"/>
      <c r="I33" s="80">
        <f t="shared" si="5"/>
        <v>0</v>
      </c>
      <c r="J33" s="79"/>
      <c r="K33" s="10"/>
      <c r="L33" s="79"/>
      <c r="M33" s="80">
        <f t="shared" si="6"/>
        <v>0</v>
      </c>
      <c r="N33" s="79"/>
      <c r="O33" s="10"/>
      <c r="P33" s="23">
        <f t="shared" si="3"/>
        <v>0</v>
      </c>
      <c r="Q33" s="10"/>
    </row>
    <row r="34" spans="2:17" ht="15.75" x14ac:dyDescent="0.25">
      <c r="B34" s="24" t="s">
        <v>136</v>
      </c>
      <c r="C34" s="10"/>
      <c r="D34" s="79"/>
      <c r="E34" s="80">
        <f t="shared" si="4"/>
        <v>0</v>
      </c>
      <c r="F34" s="79"/>
      <c r="G34" s="10"/>
      <c r="H34" s="79"/>
      <c r="I34" s="80">
        <f t="shared" si="5"/>
        <v>0</v>
      </c>
      <c r="J34" s="79"/>
      <c r="K34" s="10"/>
      <c r="L34" s="79"/>
      <c r="M34" s="80">
        <f t="shared" si="6"/>
        <v>0</v>
      </c>
      <c r="N34" s="79"/>
      <c r="O34" s="10"/>
      <c r="P34" s="23">
        <f t="shared" si="3"/>
        <v>0</v>
      </c>
      <c r="Q34" s="10"/>
    </row>
    <row r="35" spans="2:17" ht="15.75" x14ac:dyDescent="0.25">
      <c r="B35" s="24" t="s">
        <v>137</v>
      </c>
      <c r="C35" s="10"/>
      <c r="D35" s="79"/>
      <c r="E35" s="80">
        <f t="shared" si="4"/>
        <v>0</v>
      </c>
      <c r="F35" s="79"/>
      <c r="G35" s="10"/>
      <c r="H35" s="79"/>
      <c r="I35" s="80">
        <f t="shared" si="5"/>
        <v>0</v>
      </c>
      <c r="J35" s="79"/>
      <c r="K35" s="10"/>
      <c r="L35" s="79"/>
      <c r="M35" s="80">
        <f t="shared" si="6"/>
        <v>0</v>
      </c>
      <c r="N35" s="79"/>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199</v>
      </c>
      <c r="C39" s="72"/>
      <c r="D39" s="180" t="s">
        <v>195</v>
      </c>
      <c r="E39" s="180"/>
      <c r="F39" s="180"/>
      <c r="G39" s="72"/>
      <c r="H39" s="180" t="s">
        <v>198</v>
      </c>
      <c r="I39" s="180"/>
      <c r="J39" s="180"/>
      <c r="K39" s="72"/>
      <c r="L39" s="180" t="s">
        <v>197</v>
      </c>
      <c r="M39" s="180"/>
      <c r="N39" s="180"/>
      <c r="O39" s="72"/>
      <c r="P39" s="73" t="s">
        <v>196</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159">
        <v>46951.934984520121</v>
      </c>
      <c r="E43" s="80">
        <v>3.23</v>
      </c>
      <c r="F43" s="161">
        <v>151654.75</v>
      </c>
      <c r="G43" s="10"/>
      <c r="H43" s="162">
        <v>46951.953846153847</v>
      </c>
      <c r="I43" s="80">
        <f t="shared" ref="I43" si="7">IF(H43&lt;&gt;0,J43/H43,0)</f>
        <v>0.65</v>
      </c>
      <c r="J43" s="163">
        <v>30518.77</v>
      </c>
      <c r="K43" s="10"/>
      <c r="L43" s="164">
        <v>46951.938271604937</v>
      </c>
      <c r="M43" s="80">
        <f t="shared" ref="M43" si="8">IF(L43&lt;&gt;0,N43/L43,0)</f>
        <v>1.62</v>
      </c>
      <c r="N43" s="165">
        <v>76062.14</v>
      </c>
      <c r="O43" s="10"/>
      <c r="P43" s="23">
        <f t="shared" ref="P43:P54" si="9">J43+N43</f>
        <v>106580.91</v>
      </c>
      <c r="Q43" s="10"/>
    </row>
    <row r="44" spans="2:17" ht="15.75" x14ac:dyDescent="0.25">
      <c r="B44" s="24" t="s">
        <v>127</v>
      </c>
      <c r="C44" s="10"/>
      <c r="D44" s="159">
        <v>31523.427244582042</v>
      </c>
      <c r="E44" s="160">
        <v>3.23</v>
      </c>
      <c r="F44" s="161">
        <v>101820.67</v>
      </c>
      <c r="G44" s="10"/>
      <c r="H44" s="162">
        <v>32751</v>
      </c>
      <c r="I44" s="80">
        <f t="shared" ref="I44:I54" si="10">IF(H44&lt;&gt;0,J44/H44,0)</f>
        <v>0.65</v>
      </c>
      <c r="J44" s="163">
        <v>21288.15</v>
      </c>
      <c r="K44" s="10"/>
      <c r="L44" s="164">
        <v>32751</v>
      </c>
      <c r="M44" s="80">
        <f t="shared" ref="M44:M54" si="11">IF(L44&lt;&gt;0,N44/L44,0)</f>
        <v>1.62</v>
      </c>
      <c r="N44" s="165">
        <v>53056.62</v>
      </c>
      <c r="O44" s="10"/>
      <c r="P44" s="23">
        <f t="shared" si="9"/>
        <v>74344.77</v>
      </c>
      <c r="Q44" s="10"/>
    </row>
    <row r="45" spans="2:17" ht="15.75" x14ac:dyDescent="0.25">
      <c r="B45" s="24" t="s">
        <v>128</v>
      </c>
      <c r="C45" s="10"/>
      <c r="D45" s="159">
        <v>29947.572755417958</v>
      </c>
      <c r="E45" s="160">
        <v>3.23</v>
      </c>
      <c r="F45" s="161">
        <v>96730.66</v>
      </c>
      <c r="G45" s="10"/>
      <c r="H45" s="162">
        <v>30188.19</v>
      </c>
      <c r="I45" s="80">
        <f t="shared" si="10"/>
        <v>0.65</v>
      </c>
      <c r="J45" s="163">
        <v>19622.323499999999</v>
      </c>
      <c r="K45" s="10"/>
      <c r="L45" s="164">
        <v>30188.19</v>
      </c>
      <c r="M45" s="80">
        <f t="shared" si="11"/>
        <v>1.62</v>
      </c>
      <c r="N45" s="165">
        <v>48904.8678</v>
      </c>
      <c r="O45" s="10"/>
      <c r="P45" s="23">
        <f t="shared" si="9"/>
        <v>68527.191300000006</v>
      </c>
      <c r="Q45" s="10"/>
    </row>
    <row r="46" spans="2:17" ht="15.75" x14ac:dyDescent="0.25">
      <c r="B46" s="24" t="s">
        <v>129</v>
      </c>
      <c r="C46" s="10"/>
      <c r="D46" s="159">
        <v>19641.978328173373</v>
      </c>
      <c r="E46" s="160">
        <v>3.23</v>
      </c>
      <c r="F46" s="161">
        <v>63443.59</v>
      </c>
      <c r="G46" s="10"/>
      <c r="H46" s="162">
        <v>21442.5</v>
      </c>
      <c r="I46" s="80">
        <f t="shared" si="10"/>
        <v>0.65</v>
      </c>
      <c r="J46" s="163">
        <v>13937.625</v>
      </c>
      <c r="K46" s="10"/>
      <c r="L46" s="164">
        <v>21442.5</v>
      </c>
      <c r="M46" s="80">
        <f t="shared" si="11"/>
        <v>1.6200000000000003</v>
      </c>
      <c r="N46" s="165">
        <v>34736.850000000006</v>
      </c>
      <c r="O46" s="10"/>
      <c r="P46" s="23">
        <f t="shared" si="9"/>
        <v>48674.475000000006</v>
      </c>
      <c r="Q46" s="10"/>
    </row>
    <row r="47" spans="2:17" ht="15.75" x14ac:dyDescent="0.25">
      <c r="B47" s="24" t="s">
        <v>130</v>
      </c>
      <c r="C47" s="10"/>
      <c r="D47" s="159">
        <v>16885.84520123839</v>
      </c>
      <c r="E47" s="160">
        <v>3.23</v>
      </c>
      <c r="F47" s="161">
        <v>54541.279999999999</v>
      </c>
      <c r="G47" s="10"/>
      <c r="H47" s="162">
        <v>18122.45</v>
      </c>
      <c r="I47" s="80">
        <f t="shared" si="10"/>
        <v>0.65</v>
      </c>
      <c r="J47" s="163">
        <v>11779.592500000001</v>
      </c>
      <c r="K47" s="10"/>
      <c r="L47" s="164">
        <v>18122.45</v>
      </c>
      <c r="M47" s="80">
        <f t="shared" si="11"/>
        <v>1.62</v>
      </c>
      <c r="N47" s="165">
        <v>29358.369000000002</v>
      </c>
      <c r="O47" s="10"/>
      <c r="P47" s="23">
        <f t="shared" si="9"/>
        <v>41137.961500000005</v>
      </c>
      <c r="Q47" s="10"/>
    </row>
    <row r="48" spans="2:17" ht="15.75" x14ac:dyDescent="0.25">
      <c r="B48" s="24" t="s">
        <v>131</v>
      </c>
      <c r="C48" s="10"/>
      <c r="D48" s="159">
        <v>25680.690402476783</v>
      </c>
      <c r="E48" s="160">
        <v>3.23</v>
      </c>
      <c r="F48" s="161">
        <v>82948.63</v>
      </c>
      <c r="G48" s="10"/>
      <c r="H48" s="162">
        <v>27093.55</v>
      </c>
      <c r="I48" s="80">
        <f t="shared" si="10"/>
        <v>0.65</v>
      </c>
      <c r="J48" s="163">
        <v>17610.807499999999</v>
      </c>
      <c r="K48" s="10"/>
      <c r="L48" s="164">
        <v>27093.55</v>
      </c>
      <c r="M48" s="80">
        <f t="shared" si="11"/>
        <v>1.62</v>
      </c>
      <c r="N48" s="165">
        <v>43891.550999999999</v>
      </c>
      <c r="O48" s="10"/>
      <c r="P48" s="23">
        <f t="shared" si="9"/>
        <v>61502.358500000002</v>
      </c>
      <c r="Q48" s="10"/>
    </row>
    <row r="49" spans="2:17" ht="15.75" x14ac:dyDescent="0.25">
      <c r="B49" s="24" t="s">
        <v>132</v>
      </c>
      <c r="C49" s="10"/>
      <c r="D49" s="159">
        <v>22833.102167182664</v>
      </c>
      <c r="E49" s="160">
        <v>3.23</v>
      </c>
      <c r="F49" s="161">
        <v>73750.92</v>
      </c>
      <c r="G49" s="10"/>
      <c r="H49" s="162">
        <v>22833.1</v>
      </c>
      <c r="I49" s="80">
        <f t="shared" si="10"/>
        <v>0.65</v>
      </c>
      <c r="J49" s="163">
        <v>14841.514999999999</v>
      </c>
      <c r="K49" s="10"/>
      <c r="L49" s="164">
        <v>22833.1</v>
      </c>
      <c r="M49" s="80">
        <f t="shared" si="11"/>
        <v>1.6200000000000003</v>
      </c>
      <c r="N49" s="165">
        <v>36989.622000000003</v>
      </c>
      <c r="O49" s="10"/>
      <c r="P49" s="23">
        <f t="shared" si="9"/>
        <v>51831.137000000002</v>
      </c>
      <c r="Q49" s="10"/>
    </row>
    <row r="50" spans="2:17" ht="15.75" x14ac:dyDescent="0.25">
      <c r="B50" s="24" t="s">
        <v>133</v>
      </c>
      <c r="C50" s="10"/>
      <c r="D50" s="159">
        <v>26864.343653250773</v>
      </c>
      <c r="E50" s="160">
        <v>3.23</v>
      </c>
      <c r="F50" s="161">
        <v>86771.83</v>
      </c>
      <c r="G50" s="10"/>
      <c r="H50" s="162">
        <v>27520.34</v>
      </c>
      <c r="I50" s="80">
        <f t="shared" si="10"/>
        <v>0.65</v>
      </c>
      <c r="J50" s="163">
        <v>17888.221000000001</v>
      </c>
      <c r="K50" s="10"/>
      <c r="L50" s="164">
        <v>27520.34</v>
      </c>
      <c r="M50" s="80">
        <f t="shared" si="11"/>
        <v>1.62</v>
      </c>
      <c r="N50" s="165">
        <v>44582.950800000006</v>
      </c>
      <c r="O50" s="10"/>
      <c r="P50" s="23">
        <f t="shared" si="9"/>
        <v>62471.171800000011</v>
      </c>
      <c r="Q50" s="10"/>
    </row>
    <row r="51" spans="2:17" ht="15.75" x14ac:dyDescent="0.25">
      <c r="B51" s="24" t="s">
        <v>134</v>
      </c>
      <c r="C51" s="10"/>
      <c r="D51" s="159">
        <v>20613.489164086688</v>
      </c>
      <c r="E51" s="160">
        <v>3.23</v>
      </c>
      <c r="F51" s="161">
        <v>66581.570000000007</v>
      </c>
      <c r="G51" s="10"/>
      <c r="H51" s="162">
        <v>21835.48</v>
      </c>
      <c r="I51" s="80">
        <f t="shared" si="10"/>
        <v>0.65</v>
      </c>
      <c r="J51" s="163">
        <v>14193.062</v>
      </c>
      <c r="K51" s="10"/>
      <c r="L51" s="164">
        <v>21835.48</v>
      </c>
      <c r="M51" s="80">
        <f t="shared" si="11"/>
        <v>1.6199999999999999</v>
      </c>
      <c r="N51" s="165">
        <v>35373.477599999998</v>
      </c>
      <c r="O51" s="10"/>
      <c r="P51" s="23">
        <f t="shared" si="9"/>
        <v>49566.539599999996</v>
      </c>
      <c r="Q51" s="10"/>
    </row>
    <row r="52" spans="2:17" ht="15.75" x14ac:dyDescent="0.25">
      <c r="B52" s="24" t="s">
        <v>135</v>
      </c>
      <c r="C52" s="10"/>
      <c r="D52" s="159">
        <v>22332.003095975229</v>
      </c>
      <c r="E52" s="160">
        <v>3.23</v>
      </c>
      <c r="F52" s="161">
        <v>72132.37</v>
      </c>
      <c r="G52" s="10"/>
      <c r="H52" s="162">
        <v>22945.599999999999</v>
      </c>
      <c r="I52" s="80">
        <f t="shared" si="10"/>
        <v>0.65</v>
      </c>
      <c r="J52" s="163">
        <v>14914.64</v>
      </c>
      <c r="K52" s="10"/>
      <c r="L52" s="164">
        <v>22945.599999999999</v>
      </c>
      <c r="M52" s="80">
        <f t="shared" si="11"/>
        <v>1.6200000000000003</v>
      </c>
      <c r="N52" s="165">
        <v>37171.872000000003</v>
      </c>
      <c r="O52" s="10"/>
      <c r="P52" s="23">
        <f t="shared" si="9"/>
        <v>52086.512000000002</v>
      </c>
      <c r="Q52" s="10"/>
    </row>
    <row r="53" spans="2:17" ht="15.75" x14ac:dyDescent="0.25">
      <c r="B53" s="24" t="s">
        <v>136</v>
      </c>
      <c r="C53" s="10"/>
      <c r="D53" s="159">
        <v>28753.947368421053</v>
      </c>
      <c r="E53" s="160">
        <v>3.23</v>
      </c>
      <c r="F53" s="161">
        <v>92875.25</v>
      </c>
      <c r="G53" s="10"/>
      <c r="H53" s="162">
        <v>30303.34</v>
      </c>
      <c r="I53" s="80">
        <f t="shared" si="10"/>
        <v>0.65</v>
      </c>
      <c r="J53" s="163">
        <v>19697.171000000002</v>
      </c>
      <c r="K53" s="10"/>
      <c r="L53" s="164">
        <v>30303.34</v>
      </c>
      <c r="M53" s="80">
        <f t="shared" si="11"/>
        <v>1.62</v>
      </c>
      <c r="N53" s="165">
        <v>49091.410800000005</v>
      </c>
      <c r="O53" s="10"/>
      <c r="P53" s="23">
        <f t="shared" si="9"/>
        <v>68788.581800000014</v>
      </c>
      <c r="Q53" s="10"/>
    </row>
    <row r="54" spans="2:17" ht="15.75" x14ac:dyDescent="0.25">
      <c r="B54" s="24" t="s">
        <v>137</v>
      </c>
      <c r="C54" s="10"/>
      <c r="D54" s="159">
        <v>30754.123839009291</v>
      </c>
      <c r="E54" s="160">
        <v>3.23</v>
      </c>
      <c r="F54" s="161">
        <v>99335.82</v>
      </c>
      <c r="G54" s="10"/>
      <c r="H54" s="162">
        <v>31007.18</v>
      </c>
      <c r="I54" s="80">
        <f t="shared" si="10"/>
        <v>0.65</v>
      </c>
      <c r="J54" s="163">
        <v>20154.667000000001</v>
      </c>
      <c r="K54" s="10"/>
      <c r="L54" s="164">
        <v>31007.18</v>
      </c>
      <c r="M54" s="80">
        <f t="shared" si="11"/>
        <v>1.62</v>
      </c>
      <c r="N54" s="165">
        <v>50231.631600000001</v>
      </c>
      <c r="O54" s="10"/>
      <c r="P54" s="23">
        <f t="shared" si="9"/>
        <v>70386.298600000009</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322782.45820433437</v>
      </c>
      <c r="E56" s="27">
        <f>IF(D56&lt;&gt;0,F56/D56,0)</f>
        <v>3.2299999999999995</v>
      </c>
      <c r="F56" s="28">
        <f>SUM(F43:F54)</f>
        <v>1042587.3399999999</v>
      </c>
      <c r="G56" s="10"/>
      <c r="H56" s="26">
        <f>SUM(H43:H54)</f>
        <v>332994.6838461539</v>
      </c>
      <c r="I56" s="27">
        <f>IF(H56&lt;&gt;0,J56/H56,0)</f>
        <v>0.6499999999999998</v>
      </c>
      <c r="J56" s="28">
        <f>SUM(J43:J54)</f>
        <v>216446.54449999996</v>
      </c>
      <c r="K56" s="10"/>
      <c r="L56" s="26">
        <f>SUM(L43:L54)</f>
        <v>332994.66827160498</v>
      </c>
      <c r="M56" s="27">
        <f>IF(L56&lt;&gt;0,N56/L56,0)</f>
        <v>1.6199999999999997</v>
      </c>
      <c r="N56" s="28">
        <f>SUM(N43:N54)</f>
        <v>539451.36259999999</v>
      </c>
      <c r="O56" s="10"/>
      <c r="P56" s="28">
        <f>SUM(P43:P54)</f>
        <v>755897.90709999995</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255</v>
      </c>
      <c r="C58" s="72"/>
      <c r="D58" s="180" t="s">
        <v>195</v>
      </c>
      <c r="E58" s="180"/>
      <c r="F58" s="180"/>
      <c r="G58" s="72"/>
      <c r="H58" s="180" t="s">
        <v>198</v>
      </c>
      <c r="I58" s="180"/>
      <c r="J58" s="180"/>
      <c r="K58" s="72"/>
      <c r="L58" s="180" t="s">
        <v>197</v>
      </c>
      <c r="M58" s="180"/>
      <c r="N58" s="180"/>
      <c r="O58" s="72"/>
      <c r="P58" s="84" t="s">
        <v>196</v>
      </c>
      <c r="Q58" s="10"/>
    </row>
    <row r="59" spans="2:17" ht="16.5" x14ac:dyDescent="0.3">
      <c r="B59" s="86" t="s">
        <v>212</v>
      </c>
      <c r="C59" s="15"/>
      <c r="D59" s="22"/>
      <c r="E59" s="22"/>
      <c r="F59" s="22"/>
      <c r="G59" s="15"/>
      <c r="H59" s="22"/>
      <c r="I59" s="22"/>
      <c r="J59" s="22"/>
      <c r="K59" s="15"/>
      <c r="L59" s="22"/>
      <c r="M59" s="22"/>
      <c r="N59" s="22"/>
      <c r="O59" s="15"/>
      <c r="P59" s="22"/>
      <c r="Q59" s="10"/>
    </row>
    <row r="60" spans="2:17" ht="33"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166">
        <v>846</v>
      </c>
      <c r="E62" s="80">
        <f t="shared" ref="E62:E73" si="12">IF(D62&lt;&gt;0,F62/D62,0)</f>
        <v>2.7549999999999999</v>
      </c>
      <c r="F62" s="170">
        <v>2330.73</v>
      </c>
      <c r="G62" s="10"/>
      <c r="H62" s="79"/>
      <c r="I62" s="80">
        <f t="shared" ref="I62:I73" si="13">IF(H62&lt;&gt;0,J62/H62,0)</f>
        <v>0</v>
      </c>
      <c r="J62" s="82"/>
      <c r="K62" s="10"/>
      <c r="L62" s="79"/>
      <c r="M62" s="80">
        <f t="shared" ref="M62:M73" si="14">IF(L62&lt;&gt;0,N62/L62,0)</f>
        <v>0</v>
      </c>
      <c r="N62" s="81"/>
      <c r="O62" s="10"/>
      <c r="P62" s="23">
        <f t="shared" ref="P62:P73" si="15">J62+N62</f>
        <v>0</v>
      </c>
      <c r="Q62" s="10"/>
    </row>
    <row r="63" spans="2:17" ht="15.75" x14ac:dyDescent="0.25">
      <c r="B63" s="24" t="s">
        <v>127</v>
      </c>
      <c r="C63" s="10"/>
      <c r="D63" s="166">
        <v>0</v>
      </c>
      <c r="E63" s="80">
        <f t="shared" si="12"/>
        <v>0</v>
      </c>
      <c r="F63" s="170">
        <v>0</v>
      </c>
      <c r="G63" s="10"/>
      <c r="H63" s="79"/>
      <c r="I63" s="80">
        <f t="shared" si="13"/>
        <v>0</v>
      </c>
      <c r="J63" s="82"/>
      <c r="K63" s="10"/>
      <c r="L63" s="79"/>
      <c r="M63" s="80">
        <f t="shared" si="14"/>
        <v>0</v>
      </c>
      <c r="N63" s="81"/>
      <c r="O63" s="10"/>
      <c r="P63" s="23">
        <f t="shared" si="15"/>
        <v>0</v>
      </c>
      <c r="Q63" s="10"/>
    </row>
    <row r="64" spans="2:17" ht="15.75" x14ac:dyDescent="0.25">
      <c r="B64" s="24" t="s">
        <v>128</v>
      </c>
      <c r="C64" s="10"/>
      <c r="D64" s="166">
        <v>576</v>
      </c>
      <c r="E64" s="80">
        <f t="shared" si="12"/>
        <v>2.7550000000000003</v>
      </c>
      <c r="F64" s="170">
        <v>1586.88</v>
      </c>
      <c r="G64" s="10"/>
      <c r="H64" s="79"/>
      <c r="I64" s="80">
        <f t="shared" si="13"/>
        <v>0</v>
      </c>
      <c r="J64" s="82"/>
      <c r="K64" s="10"/>
      <c r="L64" s="79"/>
      <c r="M64" s="80">
        <f t="shared" si="14"/>
        <v>0</v>
      </c>
      <c r="N64" s="81"/>
      <c r="O64" s="10"/>
      <c r="P64" s="23">
        <f t="shared" si="15"/>
        <v>0</v>
      </c>
      <c r="Q64" s="10"/>
    </row>
    <row r="65" spans="2:17" ht="15.75" x14ac:dyDescent="0.25">
      <c r="B65" s="24" t="s">
        <v>129</v>
      </c>
      <c r="C65" s="10"/>
      <c r="D65" s="166">
        <v>792</v>
      </c>
      <c r="E65" s="80">
        <f t="shared" si="12"/>
        <v>2.7549999999999999</v>
      </c>
      <c r="F65" s="170">
        <v>2181.96</v>
      </c>
      <c r="G65" s="10"/>
      <c r="H65" s="79"/>
      <c r="I65" s="80">
        <f t="shared" si="13"/>
        <v>0</v>
      </c>
      <c r="J65" s="82"/>
      <c r="K65" s="10"/>
      <c r="L65" s="79"/>
      <c r="M65" s="80">
        <f t="shared" si="14"/>
        <v>0</v>
      </c>
      <c r="N65" s="81"/>
      <c r="O65" s="10"/>
      <c r="P65" s="23">
        <f t="shared" si="15"/>
        <v>0</v>
      </c>
      <c r="Q65" s="10"/>
    </row>
    <row r="66" spans="2:17" ht="15.75" x14ac:dyDescent="0.25">
      <c r="B66" s="24" t="s">
        <v>130</v>
      </c>
      <c r="C66" s="10"/>
      <c r="D66" s="166">
        <v>816</v>
      </c>
      <c r="E66" s="80">
        <f t="shared" si="12"/>
        <v>2.75</v>
      </c>
      <c r="F66" s="170">
        <v>2244</v>
      </c>
      <c r="G66" s="10"/>
      <c r="H66" s="79"/>
      <c r="I66" s="80">
        <f t="shared" si="13"/>
        <v>0</v>
      </c>
      <c r="J66" s="82"/>
      <c r="K66" s="10"/>
      <c r="L66" s="79"/>
      <c r="M66" s="80">
        <f t="shared" si="14"/>
        <v>0</v>
      </c>
      <c r="N66" s="81"/>
      <c r="O66" s="10"/>
      <c r="P66" s="23">
        <f t="shared" si="15"/>
        <v>0</v>
      </c>
      <c r="Q66" s="10"/>
    </row>
    <row r="67" spans="2:17" ht="15.75" x14ac:dyDescent="0.25">
      <c r="B67" s="24" t="s">
        <v>131</v>
      </c>
      <c r="C67" s="10"/>
      <c r="D67" s="166">
        <v>6738</v>
      </c>
      <c r="E67" s="80">
        <f t="shared" si="12"/>
        <v>2.75</v>
      </c>
      <c r="F67" s="170">
        <v>18529.5</v>
      </c>
      <c r="G67" s="10"/>
      <c r="H67" s="79"/>
      <c r="I67" s="80">
        <f t="shared" si="13"/>
        <v>0</v>
      </c>
      <c r="J67" s="82"/>
      <c r="K67" s="10"/>
      <c r="L67" s="79"/>
      <c r="M67" s="80">
        <f t="shared" si="14"/>
        <v>0</v>
      </c>
      <c r="N67" s="81"/>
      <c r="O67" s="10"/>
      <c r="P67" s="23">
        <f t="shared" si="15"/>
        <v>0</v>
      </c>
      <c r="Q67" s="10"/>
    </row>
    <row r="68" spans="2:17" ht="15.75" x14ac:dyDescent="0.25">
      <c r="B68" s="24" t="s">
        <v>132</v>
      </c>
      <c r="C68" s="10"/>
      <c r="D68" s="166">
        <v>1800</v>
      </c>
      <c r="E68" s="80">
        <f t="shared" si="12"/>
        <v>2.75</v>
      </c>
      <c r="F68" s="170">
        <v>4950</v>
      </c>
      <c r="G68" s="10"/>
      <c r="H68" s="79"/>
      <c r="I68" s="80">
        <f t="shared" si="13"/>
        <v>0</v>
      </c>
      <c r="J68" s="82"/>
      <c r="K68" s="10"/>
      <c r="L68" s="79"/>
      <c r="M68" s="80">
        <f t="shared" si="14"/>
        <v>0</v>
      </c>
      <c r="N68" s="81"/>
      <c r="O68" s="10"/>
      <c r="P68" s="23">
        <f t="shared" si="15"/>
        <v>0</v>
      </c>
      <c r="Q68" s="10"/>
    </row>
    <row r="69" spans="2:17" ht="15.75" x14ac:dyDescent="0.25">
      <c r="B69" s="24" t="s">
        <v>133</v>
      </c>
      <c r="C69" s="10"/>
      <c r="D69" s="166">
        <v>2928</v>
      </c>
      <c r="E69" s="80">
        <f t="shared" si="12"/>
        <v>2.75</v>
      </c>
      <c r="F69" s="170">
        <v>8052</v>
      </c>
      <c r="G69" s="10"/>
      <c r="H69" s="79"/>
      <c r="I69" s="80">
        <f t="shared" si="13"/>
        <v>0</v>
      </c>
      <c r="J69" s="82"/>
      <c r="K69" s="10"/>
      <c r="L69" s="79"/>
      <c r="M69" s="80">
        <f t="shared" si="14"/>
        <v>0</v>
      </c>
      <c r="N69" s="81"/>
      <c r="O69" s="10"/>
      <c r="P69" s="23">
        <f t="shared" si="15"/>
        <v>0</v>
      </c>
      <c r="Q69" s="10"/>
    </row>
    <row r="70" spans="2:17" ht="15.75" x14ac:dyDescent="0.25">
      <c r="B70" s="24" t="s">
        <v>134</v>
      </c>
      <c r="C70" s="10"/>
      <c r="D70" s="166">
        <v>3324</v>
      </c>
      <c r="E70" s="80">
        <f t="shared" si="12"/>
        <v>2.75</v>
      </c>
      <c r="F70" s="170">
        <v>9141</v>
      </c>
      <c r="G70" s="10"/>
      <c r="H70" s="79"/>
      <c r="I70" s="80">
        <f t="shared" si="13"/>
        <v>0</v>
      </c>
      <c r="J70" s="82"/>
      <c r="K70" s="10"/>
      <c r="L70" s="79"/>
      <c r="M70" s="80">
        <f t="shared" si="14"/>
        <v>0</v>
      </c>
      <c r="N70" s="81"/>
      <c r="O70" s="10"/>
      <c r="P70" s="23">
        <f t="shared" si="15"/>
        <v>0</v>
      </c>
      <c r="Q70" s="10"/>
    </row>
    <row r="71" spans="2:17" ht="15.75" x14ac:dyDescent="0.25">
      <c r="B71" s="24" t="s">
        <v>135</v>
      </c>
      <c r="C71" s="10"/>
      <c r="D71" s="166">
        <v>3012</v>
      </c>
      <c r="E71" s="80">
        <f t="shared" si="12"/>
        <v>2.75</v>
      </c>
      <c r="F71" s="170">
        <v>8283</v>
      </c>
      <c r="G71" s="10"/>
      <c r="H71" s="79"/>
      <c r="I71" s="80">
        <f t="shared" si="13"/>
        <v>0</v>
      </c>
      <c r="J71" s="82"/>
      <c r="K71" s="10"/>
      <c r="L71" s="79"/>
      <c r="M71" s="80">
        <f t="shared" si="14"/>
        <v>0</v>
      </c>
      <c r="N71" s="81"/>
      <c r="O71" s="10"/>
      <c r="P71" s="23">
        <f t="shared" si="15"/>
        <v>0</v>
      </c>
      <c r="Q71" s="10"/>
    </row>
    <row r="72" spans="2:17" ht="15.75" x14ac:dyDescent="0.25">
      <c r="B72" s="24" t="s">
        <v>136</v>
      </c>
      <c r="C72" s="10"/>
      <c r="D72" s="166">
        <v>0</v>
      </c>
      <c r="E72" s="80">
        <f t="shared" si="12"/>
        <v>0</v>
      </c>
      <c r="F72" s="170">
        <v>0</v>
      </c>
      <c r="G72" s="10"/>
      <c r="H72" s="79"/>
      <c r="I72" s="80">
        <f t="shared" si="13"/>
        <v>0</v>
      </c>
      <c r="J72" s="82"/>
      <c r="K72" s="10"/>
      <c r="L72" s="79"/>
      <c r="M72" s="80">
        <f t="shared" si="14"/>
        <v>0</v>
      </c>
      <c r="N72" s="81"/>
      <c r="O72" s="10"/>
      <c r="P72" s="23">
        <f t="shared" si="15"/>
        <v>0</v>
      </c>
      <c r="Q72" s="10"/>
    </row>
    <row r="73" spans="2:17" ht="15.75" x14ac:dyDescent="0.25">
      <c r="B73" s="24" t="s">
        <v>137</v>
      </c>
      <c r="C73" s="10"/>
      <c r="D73" s="166">
        <v>396</v>
      </c>
      <c r="E73" s="80">
        <f t="shared" si="12"/>
        <v>2.75</v>
      </c>
      <c r="F73" s="170">
        <v>1089</v>
      </c>
      <c r="G73" s="10"/>
      <c r="H73" s="79"/>
      <c r="I73" s="80">
        <f t="shared" si="13"/>
        <v>0</v>
      </c>
      <c r="J73" s="82"/>
      <c r="K73" s="10"/>
      <c r="L73" s="79"/>
      <c r="M73" s="80">
        <f t="shared" si="14"/>
        <v>0</v>
      </c>
      <c r="N73" s="81"/>
      <c r="O73" s="10"/>
      <c r="P73" s="23">
        <f t="shared" si="15"/>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21228</v>
      </c>
      <c r="E75" s="27">
        <f>IF(D75&lt;&gt;0,F75/D75,0)</f>
        <v>2.7505214810627474</v>
      </c>
      <c r="F75" s="28">
        <f>SUM(F62:F73)</f>
        <v>58388.07</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211</v>
      </c>
      <c r="C77" s="72"/>
      <c r="D77" s="180" t="s">
        <v>195</v>
      </c>
      <c r="E77" s="180"/>
      <c r="F77" s="180"/>
      <c r="G77" s="72"/>
      <c r="H77" s="180" t="s">
        <v>198</v>
      </c>
      <c r="I77" s="180"/>
      <c r="J77" s="180"/>
      <c r="K77" s="72"/>
      <c r="L77" s="180" t="s">
        <v>197</v>
      </c>
      <c r="M77" s="180"/>
      <c r="N77" s="180"/>
      <c r="O77" s="72"/>
      <c r="P77" s="84" t="s">
        <v>196</v>
      </c>
      <c r="Q77" s="10"/>
    </row>
    <row r="78" spans="2:17" ht="16.5" x14ac:dyDescent="0.3">
      <c r="B78" s="86" t="s">
        <v>212</v>
      </c>
      <c r="C78" s="15"/>
      <c r="D78" s="22"/>
      <c r="E78" s="22"/>
      <c r="F78" s="22"/>
      <c r="G78" s="15"/>
      <c r="H78" s="22"/>
      <c r="I78" s="22"/>
      <c r="J78" s="22"/>
      <c r="K78" s="15"/>
      <c r="L78" s="22"/>
      <c r="M78" s="22"/>
      <c r="N78" s="22"/>
      <c r="O78" s="15"/>
      <c r="P78" s="22"/>
      <c r="Q78" s="10"/>
    </row>
    <row r="79" spans="2:17" ht="33"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79"/>
      <c r="E81" s="80">
        <f t="shared" ref="E81:E92" si="16">IF(D81&lt;&gt;0,F81/D81,0)</f>
        <v>0</v>
      </c>
      <c r="F81" s="81"/>
      <c r="G81" s="10"/>
      <c r="H81" s="79"/>
      <c r="I81" s="80">
        <f t="shared" ref="I81:I92" si="17">IF(H81&lt;&gt;0,J81/H81,0)</f>
        <v>0</v>
      </c>
      <c r="J81" s="82"/>
      <c r="K81" s="10"/>
      <c r="L81" s="79"/>
      <c r="M81" s="80">
        <f t="shared" ref="M81:M92" si="18">IF(L81&lt;&gt;0,N81/L81,0)</f>
        <v>0</v>
      </c>
      <c r="N81" s="81"/>
      <c r="O81" s="10"/>
      <c r="P81" s="23">
        <f t="shared" ref="P81:P92" si="19">J81+N81</f>
        <v>0</v>
      </c>
      <c r="Q81" s="10"/>
    </row>
    <row r="82" spans="2:17" ht="15.75" x14ac:dyDescent="0.25">
      <c r="B82" s="24" t="s">
        <v>127</v>
      </c>
      <c r="C82" s="10"/>
      <c r="D82" s="79"/>
      <c r="E82" s="80">
        <f t="shared" si="16"/>
        <v>0</v>
      </c>
      <c r="F82" s="81"/>
      <c r="G82" s="10"/>
      <c r="H82" s="79"/>
      <c r="I82" s="80">
        <f t="shared" si="17"/>
        <v>0</v>
      </c>
      <c r="J82" s="82"/>
      <c r="K82" s="10"/>
      <c r="L82" s="79"/>
      <c r="M82" s="80">
        <f t="shared" si="18"/>
        <v>0</v>
      </c>
      <c r="N82" s="81"/>
      <c r="O82" s="10"/>
      <c r="P82" s="23">
        <f t="shared" si="19"/>
        <v>0</v>
      </c>
      <c r="Q82" s="10"/>
    </row>
    <row r="83" spans="2:17" ht="15.75" x14ac:dyDescent="0.25">
      <c r="B83" s="24" t="s">
        <v>128</v>
      </c>
      <c r="C83" s="10"/>
      <c r="D83" s="79"/>
      <c r="E83" s="80">
        <f t="shared" si="16"/>
        <v>0</v>
      </c>
      <c r="F83" s="81"/>
      <c r="G83" s="10"/>
      <c r="H83" s="79"/>
      <c r="I83" s="80">
        <f t="shared" si="17"/>
        <v>0</v>
      </c>
      <c r="J83" s="82"/>
      <c r="K83" s="10"/>
      <c r="L83" s="79"/>
      <c r="M83" s="80">
        <f t="shared" si="18"/>
        <v>0</v>
      </c>
      <c r="N83" s="81"/>
      <c r="O83" s="10"/>
      <c r="P83" s="23">
        <f t="shared" si="19"/>
        <v>0</v>
      </c>
      <c r="Q83" s="10"/>
    </row>
    <row r="84" spans="2:17" ht="15.75" x14ac:dyDescent="0.25">
      <c r="B84" s="24" t="s">
        <v>129</v>
      </c>
      <c r="C84" s="10"/>
      <c r="D84" s="79"/>
      <c r="E84" s="80">
        <f t="shared" si="16"/>
        <v>0</v>
      </c>
      <c r="F84" s="81"/>
      <c r="G84" s="10"/>
      <c r="H84" s="79"/>
      <c r="I84" s="80">
        <f t="shared" si="17"/>
        <v>0</v>
      </c>
      <c r="J84" s="82"/>
      <c r="K84" s="10"/>
      <c r="L84" s="79"/>
      <c r="M84" s="80">
        <f t="shared" si="18"/>
        <v>0</v>
      </c>
      <c r="N84" s="81"/>
      <c r="O84" s="10"/>
      <c r="P84" s="23">
        <f t="shared" si="19"/>
        <v>0</v>
      </c>
      <c r="Q84" s="10"/>
    </row>
    <row r="85" spans="2:17" ht="15.75" x14ac:dyDescent="0.25">
      <c r="B85" s="24" t="s">
        <v>130</v>
      </c>
      <c r="C85" s="10"/>
      <c r="D85" s="79"/>
      <c r="E85" s="80">
        <f t="shared" si="16"/>
        <v>0</v>
      </c>
      <c r="F85" s="81"/>
      <c r="G85" s="10"/>
      <c r="H85" s="79"/>
      <c r="I85" s="80">
        <f t="shared" si="17"/>
        <v>0</v>
      </c>
      <c r="J85" s="82"/>
      <c r="K85" s="10"/>
      <c r="L85" s="79"/>
      <c r="M85" s="80">
        <f t="shared" si="18"/>
        <v>0</v>
      </c>
      <c r="N85" s="81"/>
      <c r="O85" s="10"/>
      <c r="P85" s="23">
        <f t="shared" si="19"/>
        <v>0</v>
      </c>
      <c r="Q85" s="10"/>
    </row>
    <row r="86" spans="2:17" ht="15.75" x14ac:dyDescent="0.25">
      <c r="B86" s="24" t="s">
        <v>131</v>
      </c>
      <c r="C86" s="10"/>
      <c r="D86" s="79"/>
      <c r="E86" s="80">
        <f t="shared" si="16"/>
        <v>0</v>
      </c>
      <c r="F86" s="81"/>
      <c r="G86" s="10"/>
      <c r="H86" s="79"/>
      <c r="I86" s="80">
        <f t="shared" si="17"/>
        <v>0</v>
      </c>
      <c r="J86" s="82"/>
      <c r="K86" s="10"/>
      <c r="L86" s="79"/>
      <c r="M86" s="80">
        <f t="shared" si="18"/>
        <v>0</v>
      </c>
      <c r="N86" s="81"/>
      <c r="O86" s="10"/>
      <c r="P86" s="23">
        <f t="shared" si="19"/>
        <v>0</v>
      </c>
      <c r="Q86" s="10"/>
    </row>
    <row r="87" spans="2:17" ht="15.75" x14ac:dyDescent="0.25">
      <c r="B87" s="24" t="s">
        <v>132</v>
      </c>
      <c r="C87" s="10"/>
      <c r="D87" s="79"/>
      <c r="E87" s="80">
        <f t="shared" si="16"/>
        <v>0</v>
      </c>
      <c r="F87" s="81"/>
      <c r="G87" s="10"/>
      <c r="H87" s="79"/>
      <c r="I87" s="80">
        <f t="shared" si="17"/>
        <v>0</v>
      </c>
      <c r="J87" s="82"/>
      <c r="K87" s="10"/>
      <c r="L87" s="79"/>
      <c r="M87" s="80">
        <f t="shared" si="18"/>
        <v>0</v>
      </c>
      <c r="N87" s="81"/>
      <c r="O87" s="10"/>
      <c r="P87" s="23">
        <f t="shared" si="19"/>
        <v>0</v>
      </c>
      <c r="Q87" s="10"/>
    </row>
    <row r="88" spans="2:17" ht="15.75" x14ac:dyDescent="0.25">
      <c r="B88" s="24" t="s">
        <v>133</v>
      </c>
      <c r="C88" s="10"/>
      <c r="D88" s="79"/>
      <c r="E88" s="80">
        <f t="shared" si="16"/>
        <v>0</v>
      </c>
      <c r="F88" s="81"/>
      <c r="G88" s="10"/>
      <c r="H88" s="79"/>
      <c r="I88" s="80">
        <f t="shared" si="17"/>
        <v>0</v>
      </c>
      <c r="J88" s="82"/>
      <c r="K88" s="10"/>
      <c r="L88" s="79"/>
      <c r="M88" s="80">
        <f t="shared" si="18"/>
        <v>0</v>
      </c>
      <c r="N88" s="81"/>
      <c r="O88" s="10"/>
      <c r="P88" s="23">
        <f t="shared" si="19"/>
        <v>0</v>
      </c>
      <c r="Q88" s="10"/>
    </row>
    <row r="89" spans="2:17" ht="15.75" x14ac:dyDescent="0.25">
      <c r="B89" s="24" t="s">
        <v>134</v>
      </c>
      <c r="C89" s="10"/>
      <c r="D89" s="79"/>
      <c r="E89" s="80">
        <f t="shared" si="16"/>
        <v>0</v>
      </c>
      <c r="F89" s="81"/>
      <c r="G89" s="10"/>
      <c r="H89" s="79"/>
      <c r="I89" s="80">
        <f t="shared" si="17"/>
        <v>0</v>
      </c>
      <c r="J89" s="82"/>
      <c r="K89" s="10"/>
      <c r="L89" s="79"/>
      <c r="M89" s="80">
        <f t="shared" si="18"/>
        <v>0</v>
      </c>
      <c r="N89" s="81"/>
      <c r="O89" s="10"/>
      <c r="P89" s="23">
        <f t="shared" si="19"/>
        <v>0</v>
      </c>
      <c r="Q89" s="10"/>
    </row>
    <row r="90" spans="2:17" ht="15.75" x14ac:dyDescent="0.25">
      <c r="B90" s="24" t="s">
        <v>135</v>
      </c>
      <c r="C90" s="10"/>
      <c r="D90" s="79"/>
      <c r="E90" s="80">
        <f t="shared" si="16"/>
        <v>0</v>
      </c>
      <c r="F90" s="81"/>
      <c r="G90" s="10"/>
      <c r="H90" s="79"/>
      <c r="I90" s="80">
        <f t="shared" si="17"/>
        <v>0</v>
      </c>
      <c r="J90" s="82"/>
      <c r="K90" s="10"/>
      <c r="L90" s="79"/>
      <c r="M90" s="80">
        <f t="shared" si="18"/>
        <v>0</v>
      </c>
      <c r="N90" s="81"/>
      <c r="O90" s="10"/>
      <c r="P90" s="23">
        <f t="shared" si="19"/>
        <v>0</v>
      </c>
      <c r="Q90" s="10"/>
    </row>
    <row r="91" spans="2:17" ht="15.75" x14ac:dyDescent="0.25">
      <c r="B91" s="24" t="s">
        <v>136</v>
      </c>
      <c r="C91" s="10"/>
      <c r="D91" s="79"/>
      <c r="E91" s="80">
        <f t="shared" si="16"/>
        <v>0</v>
      </c>
      <c r="F91" s="81"/>
      <c r="G91" s="10"/>
      <c r="H91" s="79"/>
      <c r="I91" s="80">
        <f t="shared" si="17"/>
        <v>0</v>
      </c>
      <c r="J91" s="82"/>
      <c r="K91" s="10"/>
      <c r="L91" s="79"/>
      <c r="M91" s="80">
        <f t="shared" si="18"/>
        <v>0</v>
      </c>
      <c r="N91" s="81"/>
      <c r="O91" s="10"/>
      <c r="P91" s="23">
        <f t="shared" si="19"/>
        <v>0</v>
      </c>
      <c r="Q91" s="10"/>
    </row>
    <row r="92" spans="2:17" ht="15.75" x14ac:dyDescent="0.25">
      <c r="B92" s="24" t="s">
        <v>137</v>
      </c>
      <c r="C92" s="10"/>
      <c r="D92" s="79"/>
      <c r="E92" s="80">
        <f t="shared" si="16"/>
        <v>0</v>
      </c>
      <c r="F92" s="81"/>
      <c r="G92" s="10"/>
      <c r="H92" s="79"/>
      <c r="I92" s="80">
        <f t="shared" si="17"/>
        <v>0</v>
      </c>
      <c r="J92" s="82"/>
      <c r="K92" s="10"/>
      <c r="L92" s="79"/>
      <c r="M92" s="80">
        <f t="shared" si="18"/>
        <v>0</v>
      </c>
      <c r="N92" s="81"/>
      <c r="O92" s="10"/>
      <c r="P92" s="23">
        <f t="shared" si="19"/>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138</v>
      </c>
      <c r="C96" s="72"/>
      <c r="D96" s="180" t="s">
        <v>195</v>
      </c>
      <c r="E96" s="180"/>
      <c r="F96" s="180"/>
      <c r="G96" s="72"/>
      <c r="H96" s="180" t="s">
        <v>198</v>
      </c>
      <c r="I96" s="180"/>
      <c r="J96" s="180"/>
      <c r="K96" s="72"/>
      <c r="L96" s="180" t="s">
        <v>197</v>
      </c>
      <c r="M96" s="180"/>
      <c r="N96" s="180"/>
      <c r="O96" s="72"/>
      <c r="P96" s="73" t="s">
        <v>196</v>
      </c>
      <c r="Q96" s="10"/>
    </row>
    <row r="97" spans="2:17" ht="15.75" x14ac:dyDescent="0.25">
      <c r="B97" s="10"/>
      <c r="C97" s="10"/>
      <c r="D97" s="181"/>
      <c r="E97" s="181"/>
      <c r="F97" s="181"/>
      <c r="G97" s="20"/>
      <c r="H97" s="181"/>
      <c r="I97" s="181"/>
      <c r="J97" s="181"/>
      <c r="K97" s="20"/>
      <c r="L97" s="181"/>
      <c r="M97" s="181"/>
      <c r="N97" s="181"/>
      <c r="O97" s="20"/>
      <c r="P97" s="19"/>
      <c r="Q97" s="10"/>
    </row>
    <row r="98" spans="2:17" ht="33"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47797.934984520121</v>
      </c>
      <c r="E100" s="32">
        <f t="shared" ref="E100:E111" si="20">IF(D100&lt;&gt;0,F100/D100,0)</f>
        <v>3.2215927330306191</v>
      </c>
      <c r="F100" s="23">
        <f>F24+F43+F62+F81</f>
        <v>153985.48000000001</v>
      </c>
      <c r="G100" s="10"/>
      <c r="H100" s="29">
        <f>H24+H43+H62+H81</f>
        <v>46951.953846153847</v>
      </c>
      <c r="I100" s="32">
        <f t="shared" ref="I100:I111" si="21">IF(H100&lt;&gt;0,J100/H100,0)</f>
        <v>0.65</v>
      </c>
      <c r="J100" s="23">
        <f>J24+J43+J62+J81</f>
        <v>30518.77</v>
      </c>
      <c r="K100" s="10"/>
      <c r="L100" s="29">
        <f>L24+L43+L62+L81</f>
        <v>46951.938271604937</v>
      </c>
      <c r="M100" s="32">
        <f t="shared" ref="M100:M111" si="22">IF(L100&lt;&gt;0,N100/L100,0)</f>
        <v>1.62</v>
      </c>
      <c r="N100" s="23">
        <f>N24+N43+N62+N81</f>
        <v>76062.14</v>
      </c>
      <c r="O100" s="10"/>
      <c r="P100" s="23">
        <f t="shared" ref="P100:P111" si="23">J100+N100</f>
        <v>106580.91</v>
      </c>
      <c r="Q100" s="10"/>
    </row>
    <row r="101" spans="2:17" ht="15.75" x14ac:dyDescent="0.25">
      <c r="B101" s="24" t="s">
        <v>127</v>
      </c>
      <c r="C101" s="10"/>
      <c r="D101" s="29">
        <f t="shared" ref="D101:D111" si="24">D25+D44+D63+D82</f>
        <v>31523.427244582042</v>
      </c>
      <c r="E101" s="32">
        <f t="shared" si="20"/>
        <v>3.23</v>
      </c>
      <c r="F101" s="23">
        <f t="shared" ref="F101:F111" si="25">F25+F44+F63+F82</f>
        <v>101820.67</v>
      </c>
      <c r="G101" s="10"/>
      <c r="H101" s="29">
        <f t="shared" ref="H101:H111" si="26">H25+H44+H63+H82</f>
        <v>32751</v>
      </c>
      <c r="I101" s="32">
        <f t="shared" si="21"/>
        <v>0.65</v>
      </c>
      <c r="J101" s="23">
        <f t="shared" ref="J101:J111" si="27">J25+J44+J63+J82</f>
        <v>21288.15</v>
      </c>
      <c r="K101" s="10"/>
      <c r="L101" s="29">
        <f t="shared" ref="L101:L111" si="28">L25+L44+L63+L82</f>
        <v>32751</v>
      </c>
      <c r="M101" s="32">
        <f t="shared" si="22"/>
        <v>1.62</v>
      </c>
      <c r="N101" s="23">
        <f t="shared" ref="N101:N111" si="29">N25+N44+N63+N82</f>
        <v>53056.62</v>
      </c>
      <c r="O101" s="10"/>
      <c r="P101" s="23">
        <f t="shared" si="23"/>
        <v>74344.77</v>
      </c>
      <c r="Q101" s="10"/>
    </row>
    <row r="102" spans="2:17" ht="15.75" x14ac:dyDescent="0.25">
      <c r="B102" s="24" t="s">
        <v>128</v>
      </c>
      <c r="C102" s="10"/>
      <c r="D102" s="29">
        <f t="shared" si="24"/>
        <v>30523.572755417958</v>
      </c>
      <c r="E102" s="32">
        <f t="shared" si="20"/>
        <v>3.2210364359312615</v>
      </c>
      <c r="F102" s="23">
        <f t="shared" si="25"/>
        <v>98317.540000000008</v>
      </c>
      <c r="G102" s="10"/>
      <c r="H102" s="29">
        <f t="shared" si="26"/>
        <v>30188.19</v>
      </c>
      <c r="I102" s="32">
        <f t="shared" si="21"/>
        <v>0.65</v>
      </c>
      <c r="J102" s="23">
        <f t="shared" si="27"/>
        <v>19622.323499999999</v>
      </c>
      <c r="K102" s="10"/>
      <c r="L102" s="29">
        <f t="shared" si="28"/>
        <v>30188.19</v>
      </c>
      <c r="M102" s="32">
        <f t="shared" si="22"/>
        <v>1.62</v>
      </c>
      <c r="N102" s="23">
        <f t="shared" si="29"/>
        <v>48904.8678</v>
      </c>
      <c r="O102" s="10"/>
      <c r="P102" s="23">
        <f t="shared" si="23"/>
        <v>68527.191300000006</v>
      </c>
      <c r="Q102" s="10"/>
    </row>
    <row r="103" spans="2:17" ht="15.75" x14ac:dyDescent="0.25">
      <c r="B103" s="24" t="s">
        <v>129</v>
      </c>
      <c r="C103" s="10"/>
      <c r="D103" s="29">
        <f t="shared" si="24"/>
        <v>20433.978328173373</v>
      </c>
      <c r="E103" s="32">
        <f t="shared" si="20"/>
        <v>3.2115894881575113</v>
      </c>
      <c r="F103" s="23">
        <f t="shared" si="25"/>
        <v>65625.55</v>
      </c>
      <c r="G103" s="10"/>
      <c r="H103" s="29">
        <f t="shared" si="26"/>
        <v>21442.5</v>
      </c>
      <c r="I103" s="32">
        <f t="shared" si="21"/>
        <v>0.65</v>
      </c>
      <c r="J103" s="23">
        <f t="shared" si="27"/>
        <v>13937.625</v>
      </c>
      <c r="K103" s="10"/>
      <c r="L103" s="29">
        <f t="shared" si="28"/>
        <v>21442.5</v>
      </c>
      <c r="M103" s="32">
        <f t="shared" si="22"/>
        <v>1.6200000000000003</v>
      </c>
      <c r="N103" s="23">
        <f t="shared" si="29"/>
        <v>34736.850000000006</v>
      </c>
      <c r="O103" s="10"/>
      <c r="P103" s="23">
        <f t="shared" si="23"/>
        <v>48674.475000000006</v>
      </c>
      <c r="Q103" s="10"/>
    </row>
    <row r="104" spans="2:17" ht="15.75" x14ac:dyDescent="0.25">
      <c r="B104" s="24" t="s">
        <v>130</v>
      </c>
      <c r="C104" s="10"/>
      <c r="D104" s="29">
        <f t="shared" si="24"/>
        <v>17701.84520123839</v>
      </c>
      <c r="E104" s="32">
        <f t="shared" si="20"/>
        <v>3.2078734930993185</v>
      </c>
      <c r="F104" s="23">
        <f t="shared" si="25"/>
        <v>56785.279999999999</v>
      </c>
      <c r="G104" s="10"/>
      <c r="H104" s="29">
        <f t="shared" si="26"/>
        <v>18122.45</v>
      </c>
      <c r="I104" s="32">
        <f t="shared" si="21"/>
        <v>0.65</v>
      </c>
      <c r="J104" s="23">
        <f t="shared" si="27"/>
        <v>11779.592500000001</v>
      </c>
      <c r="K104" s="10"/>
      <c r="L104" s="29">
        <f t="shared" si="28"/>
        <v>18122.45</v>
      </c>
      <c r="M104" s="32">
        <f t="shared" si="22"/>
        <v>1.62</v>
      </c>
      <c r="N104" s="23">
        <f t="shared" si="29"/>
        <v>29358.369000000002</v>
      </c>
      <c r="O104" s="10"/>
      <c r="P104" s="23">
        <f t="shared" si="23"/>
        <v>41137.961500000005</v>
      </c>
      <c r="Q104" s="10"/>
    </row>
    <row r="105" spans="2:17" ht="15.75" x14ac:dyDescent="0.25">
      <c r="B105" s="24" t="s">
        <v>131</v>
      </c>
      <c r="C105" s="10"/>
      <c r="D105" s="29">
        <f t="shared" si="24"/>
        <v>32418.690402476783</v>
      </c>
      <c r="E105" s="32">
        <f t="shared" si="20"/>
        <v>3.1302353284525983</v>
      </c>
      <c r="F105" s="23">
        <f t="shared" si="25"/>
        <v>101478.13</v>
      </c>
      <c r="G105" s="10"/>
      <c r="H105" s="29">
        <f t="shared" si="26"/>
        <v>27093.55</v>
      </c>
      <c r="I105" s="32">
        <f t="shared" si="21"/>
        <v>0.65</v>
      </c>
      <c r="J105" s="23">
        <f t="shared" si="27"/>
        <v>17610.807499999999</v>
      </c>
      <c r="K105" s="10"/>
      <c r="L105" s="29">
        <f t="shared" si="28"/>
        <v>27093.55</v>
      </c>
      <c r="M105" s="32">
        <f t="shared" si="22"/>
        <v>1.62</v>
      </c>
      <c r="N105" s="23">
        <f t="shared" si="29"/>
        <v>43891.550999999999</v>
      </c>
      <c r="O105" s="10"/>
      <c r="P105" s="23">
        <f t="shared" si="23"/>
        <v>61502.358500000002</v>
      </c>
      <c r="Q105" s="10"/>
    </row>
    <row r="106" spans="2:17" ht="15.75" x14ac:dyDescent="0.25">
      <c r="B106" s="24" t="s">
        <v>132</v>
      </c>
      <c r="C106" s="10"/>
      <c r="D106" s="29">
        <f t="shared" si="24"/>
        <v>24633.102167182664</v>
      </c>
      <c r="E106" s="32">
        <f t="shared" si="20"/>
        <v>3.1949252459500994</v>
      </c>
      <c r="F106" s="23">
        <f t="shared" si="25"/>
        <v>78700.92</v>
      </c>
      <c r="G106" s="10"/>
      <c r="H106" s="29">
        <f t="shared" si="26"/>
        <v>22833.1</v>
      </c>
      <c r="I106" s="32">
        <f t="shared" si="21"/>
        <v>0.65</v>
      </c>
      <c r="J106" s="23">
        <f t="shared" si="27"/>
        <v>14841.514999999999</v>
      </c>
      <c r="K106" s="10"/>
      <c r="L106" s="29">
        <f t="shared" si="28"/>
        <v>22833.1</v>
      </c>
      <c r="M106" s="32">
        <f t="shared" si="22"/>
        <v>1.6200000000000003</v>
      </c>
      <c r="N106" s="23">
        <f t="shared" si="29"/>
        <v>36989.622000000003</v>
      </c>
      <c r="O106" s="10"/>
      <c r="P106" s="23">
        <f t="shared" si="23"/>
        <v>51831.137000000002</v>
      </c>
      <c r="Q106" s="10"/>
    </row>
    <row r="107" spans="2:17" ht="15.75" x14ac:dyDescent="0.25">
      <c r="B107" s="24" t="s">
        <v>133</v>
      </c>
      <c r="C107" s="10"/>
      <c r="D107" s="29">
        <f t="shared" si="24"/>
        <v>29792.343653250773</v>
      </c>
      <c r="E107" s="32">
        <f t="shared" si="20"/>
        <v>3.1828254636037459</v>
      </c>
      <c r="F107" s="23">
        <f t="shared" si="25"/>
        <v>94823.83</v>
      </c>
      <c r="G107" s="10"/>
      <c r="H107" s="29">
        <f t="shared" si="26"/>
        <v>27520.34</v>
      </c>
      <c r="I107" s="32">
        <f t="shared" si="21"/>
        <v>0.65</v>
      </c>
      <c r="J107" s="23">
        <f t="shared" si="27"/>
        <v>17888.221000000001</v>
      </c>
      <c r="K107" s="10"/>
      <c r="L107" s="29">
        <f t="shared" si="28"/>
        <v>27520.34</v>
      </c>
      <c r="M107" s="32">
        <f t="shared" si="22"/>
        <v>1.62</v>
      </c>
      <c r="N107" s="23">
        <f t="shared" si="29"/>
        <v>44582.950800000006</v>
      </c>
      <c r="O107" s="10"/>
      <c r="P107" s="23">
        <f t="shared" si="23"/>
        <v>62471.171800000011</v>
      </c>
      <c r="Q107" s="10"/>
    </row>
    <row r="108" spans="2:17" ht="15.75" x14ac:dyDescent="0.25">
      <c r="B108" s="24" t="s">
        <v>134</v>
      </c>
      <c r="C108" s="10"/>
      <c r="D108" s="29">
        <f t="shared" si="24"/>
        <v>23937.489164086688</v>
      </c>
      <c r="E108" s="32">
        <f t="shared" si="20"/>
        <v>3.1633463928040646</v>
      </c>
      <c r="F108" s="23">
        <f t="shared" si="25"/>
        <v>75722.570000000007</v>
      </c>
      <c r="G108" s="10"/>
      <c r="H108" s="29">
        <f t="shared" si="26"/>
        <v>21835.48</v>
      </c>
      <c r="I108" s="32">
        <f t="shared" si="21"/>
        <v>0.65</v>
      </c>
      <c r="J108" s="23">
        <f t="shared" si="27"/>
        <v>14193.062</v>
      </c>
      <c r="K108" s="10"/>
      <c r="L108" s="29">
        <f t="shared" si="28"/>
        <v>21835.48</v>
      </c>
      <c r="M108" s="32">
        <f t="shared" si="22"/>
        <v>1.6199999999999999</v>
      </c>
      <c r="N108" s="23">
        <f t="shared" si="29"/>
        <v>35373.477599999998</v>
      </c>
      <c r="O108" s="10"/>
      <c r="P108" s="23">
        <f t="shared" si="23"/>
        <v>49566.539599999996</v>
      </c>
      <c r="Q108" s="10"/>
    </row>
    <row r="109" spans="2:17" ht="15.75" x14ac:dyDescent="0.25">
      <c r="B109" s="24" t="s">
        <v>135</v>
      </c>
      <c r="C109" s="10"/>
      <c r="D109" s="29">
        <f t="shared" si="24"/>
        <v>25344.003095975229</v>
      </c>
      <c r="E109" s="32">
        <f t="shared" si="20"/>
        <v>3.1729545524231098</v>
      </c>
      <c r="F109" s="23">
        <f t="shared" si="25"/>
        <v>80415.37</v>
      </c>
      <c r="G109" s="10"/>
      <c r="H109" s="29">
        <f t="shared" si="26"/>
        <v>22945.599999999999</v>
      </c>
      <c r="I109" s="32">
        <f t="shared" si="21"/>
        <v>0.65</v>
      </c>
      <c r="J109" s="23">
        <f t="shared" si="27"/>
        <v>14914.64</v>
      </c>
      <c r="K109" s="10"/>
      <c r="L109" s="29">
        <f t="shared" si="28"/>
        <v>22945.599999999999</v>
      </c>
      <c r="M109" s="32">
        <f t="shared" si="22"/>
        <v>1.6200000000000003</v>
      </c>
      <c r="N109" s="23">
        <f t="shared" si="29"/>
        <v>37171.872000000003</v>
      </c>
      <c r="O109" s="10"/>
      <c r="P109" s="23">
        <f t="shared" si="23"/>
        <v>52086.512000000002</v>
      </c>
      <c r="Q109" s="10"/>
    </row>
    <row r="110" spans="2:17" ht="15.75" x14ac:dyDescent="0.25">
      <c r="B110" s="24" t="s">
        <v>136</v>
      </c>
      <c r="C110" s="10"/>
      <c r="D110" s="29">
        <f t="shared" si="24"/>
        <v>28753.947368421053</v>
      </c>
      <c r="E110" s="32">
        <f t="shared" si="20"/>
        <v>3.23</v>
      </c>
      <c r="F110" s="23">
        <f t="shared" si="25"/>
        <v>92875.25</v>
      </c>
      <c r="G110" s="10"/>
      <c r="H110" s="29">
        <f t="shared" si="26"/>
        <v>30303.34</v>
      </c>
      <c r="I110" s="32">
        <f t="shared" si="21"/>
        <v>0.65</v>
      </c>
      <c r="J110" s="23">
        <f t="shared" si="27"/>
        <v>19697.171000000002</v>
      </c>
      <c r="K110" s="10"/>
      <c r="L110" s="29">
        <f t="shared" si="28"/>
        <v>30303.34</v>
      </c>
      <c r="M110" s="32">
        <f t="shared" si="22"/>
        <v>1.62</v>
      </c>
      <c r="N110" s="23">
        <f t="shared" si="29"/>
        <v>49091.410800000005</v>
      </c>
      <c r="O110" s="10"/>
      <c r="P110" s="23">
        <f t="shared" si="23"/>
        <v>68788.581800000014</v>
      </c>
      <c r="Q110" s="10"/>
    </row>
    <row r="111" spans="2:17" ht="15.75" x14ac:dyDescent="0.25">
      <c r="B111" s="24" t="s">
        <v>137</v>
      </c>
      <c r="C111" s="10"/>
      <c r="D111" s="29">
        <f t="shared" si="24"/>
        <v>31150.123839009291</v>
      </c>
      <c r="E111" s="32">
        <f t="shared" si="20"/>
        <v>3.2238979375818095</v>
      </c>
      <c r="F111" s="23">
        <f t="shared" si="25"/>
        <v>100424.82</v>
      </c>
      <c r="G111" s="10"/>
      <c r="H111" s="29">
        <f t="shared" si="26"/>
        <v>31007.18</v>
      </c>
      <c r="I111" s="32">
        <f t="shared" si="21"/>
        <v>0.65</v>
      </c>
      <c r="J111" s="23">
        <f t="shared" si="27"/>
        <v>20154.667000000001</v>
      </c>
      <c r="K111" s="10"/>
      <c r="L111" s="29">
        <f t="shared" si="28"/>
        <v>31007.18</v>
      </c>
      <c r="M111" s="32">
        <f t="shared" si="22"/>
        <v>1.62</v>
      </c>
      <c r="N111" s="23">
        <f t="shared" si="29"/>
        <v>50231.631600000001</v>
      </c>
      <c r="O111" s="10"/>
      <c r="P111" s="23">
        <f t="shared" si="23"/>
        <v>70386.298600000009</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344010.45820433437</v>
      </c>
      <c r="E113" s="27">
        <f>IF(D113&lt;&gt;0,F113/D113,0)</f>
        <v>3.2004126146247729</v>
      </c>
      <c r="F113" s="28">
        <f>SUM(F100:F111)</f>
        <v>1100975.4099999999</v>
      </c>
      <c r="G113" s="10"/>
      <c r="H113" s="26">
        <f>SUM(H100:H111)</f>
        <v>332994.6838461539</v>
      </c>
      <c r="I113" s="27">
        <f>IF(H113&lt;&gt;0,J113/H113,0)</f>
        <v>0.6499999999999998</v>
      </c>
      <c r="J113" s="28">
        <f>SUM(J100:J111)</f>
        <v>216446.54449999996</v>
      </c>
      <c r="K113" s="10"/>
      <c r="L113" s="26">
        <f>SUM(L100:L111)</f>
        <v>332994.66827160498</v>
      </c>
      <c r="M113" s="27">
        <f>IF(L113&lt;&gt;0,N113/L113,0)</f>
        <v>1.6199999999999997</v>
      </c>
      <c r="N113" s="28">
        <f>SUM(N100:N111)</f>
        <v>539451.36259999999</v>
      </c>
      <c r="O113" s="10"/>
      <c r="P113" s="28">
        <f>SUM(P100:P111)</f>
        <v>755897.90709999995</v>
      </c>
      <c r="Q113" s="10"/>
    </row>
    <row r="114" spans="2:17" x14ac:dyDescent="0.2">
      <c r="P114" s="23"/>
    </row>
    <row r="115" spans="2:17" x14ac:dyDescent="0.2">
      <c r="M115" s="87"/>
      <c r="N115" s="88" t="s">
        <v>216</v>
      </c>
      <c r="P115" s="90">
        <f>'5. UTRs and Sub-Transmission'!E95</f>
        <v>0</v>
      </c>
    </row>
    <row r="117" spans="2:17" ht="13.5" thickBot="1" x14ac:dyDescent="0.25">
      <c r="N117" s="89" t="s">
        <v>217</v>
      </c>
      <c r="P117" s="28">
        <f>P113+P115</f>
        <v>755897.90709999995</v>
      </c>
    </row>
  </sheetData>
  <sheetProtection password="F8BD"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35" activePane="bottomLeft" state="frozenSplit"/>
      <selection activeCell="I48" sqref="I48"/>
      <selection pane="bottomLeft" activeCell="E43" sqref="E43"/>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82" t="s">
        <v>243</v>
      </c>
      <c r="C13" s="182"/>
      <c r="D13" s="182"/>
      <c r="E13" s="182"/>
      <c r="F13" s="182"/>
      <c r="G13" s="182"/>
      <c r="H13" s="182"/>
      <c r="I13" s="182"/>
      <c r="J13" s="182"/>
      <c r="K13" s="182"/>
      <c r="L13" s="182"/>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194</v>
      </c>
      <c r="C20" s="72"/>
      <c r="D20" s="180" t="s">
        <v>195</v>
      </c>
      <c r="E20" s="180"/>
      <c r="F20" s="180"/>
      <c r="G20" s="72"/>
      <c r="H20" s="180" t="s">
        <v>198</v>
      </c>
      <c r="I20" s="180"/>
      <c r="J20" s="180"/>
      <c r="K20" s="72"/>
      <c r="L20" s="180" t="s">
        <v>197</v>
      </c>
      <c r="M20" s="180"/>
      <c r="N20" s="180"/>
      <c r="O20" s="72"/>
      <c r="P20" s="73" t="s">
        <v>196</v>
      </c>
      <c r="Q20" s="10"/>
    </row>
    <row r="21" spans="2:17" ht="15.75" x14ac:dyDescent="0.25">
      <c r="B21" s="10"/>
      <c r="C21" s="10"/>
      <c r="D21" s="181"/>
      <c r="E21" s="181"/>
      <c r="F21" s="181"/>
      <c r="G21" s="20"/>
      <c r="H21" s="181"/>
      <c r="I21" s="181"/>
      <c r="J21" s="181"/>
      <c r="K21" s="20"/>
      <c r="L21" s="181"/>
      <c r="M21" s="181"/>
      <c r="N21" s="181"/>
      <c r="O21" s="10"/>
      <c r="P21" s="19"/>
      <c r="Q21" s="17"/>
    </row>
    <row r="22" spans="2:17" ht="16.5"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33">
        <f>'6. Historical Wholesale'!D24</f>
        <v>0</v>
      </c>
      <c r="E24" s="34">
        <f>'5. UTRs and Sub-Transmission'!G22</f>
        <v>3.78</v>
      </c>
      <c r="F24" s="35">
        <f>D24*E24</f>
        <v>0</v>
      </c>
      <c r="G24" s="10"/>
      <c r="H24" s="33">
        <f>'6. Historical Wholesale'!H24</f>
        <v>0</v>
      </c>
      <c r="I24" s="34">
        <f>'5. UTRs and Sub-Transmission'!G24</f>
        <v>0.86</v>
      </c>
      <c r="J24" s="35">
        <f>H24*I24</f>
        <v>0</v>
      </c>
      <c r="K24" s="10"/>
      <c r="L24" s="33">
        <f>'6. Historical Wholesale'!L24</f>
        <v>0</v>
      </c>
      <c r="M24" s="34">
        <f>'5. UTRs and Sub-Transmission'!G26</f>
        <v>2</v>
      </c>
      <c r="N24" s="35">
        <f>L24*M24</f>
        <v>0</v>
      </c>
      <c r="O24" s="10"/>
      <c r="P24" s="23">
        <f t="shared" ref="P24:P35" si="0">J24+N24</f>
        <v>0</v>
      </c>
      <c r="Q24" s="10"/>
    </row>
    <row r="25" spans="2:17" ht="15.75" x14ac:dyDescent="0.25">
      <c r="B25" s="24" t="s">
        <v>127</v>
      </c>
      <c r="C25" s="10"/>
      <c r="D25" s="33">
        <f>'6. Historical Wholesale'!D25</f>
        <v>0</v>
      </c>
      <c r="E25" s="34">
        <f>E24</f>
        <v>3.78</v>
      </c>
      <c r="F25" s="35">
        <f t="shared" ref="F25:F35" si="1">D25*E25</f>
        <v>0</v>
      </c>
      <c r="G25" s="10"/>
      <c r="H25" s="33">
        <f>'6. Historical Wholesale'!H25</f>
        <v>0</v>
      </c>
      <c r="I25" s="34">
        <f>I24</f>
        <v>0.86</v>
      </c>
      <c r="J25" s="35">
        <f t="shared" ref="J25:J35" si="2">H25*I25</f>
        <v>0</v>
      </c>
      <c r="K25" s="10"/>
      <c r="L25" s="33">
        <f>'6. Historical Wholesale'!L25</f>
        <v>0</v>
      </c>
      <c r="M25" s="34">
        <f>M24</f>
        <v>2</v>
      </c>
      <c r="N25" s="35">
        <f t="shared" ref="N25:N35" si="3">L25*M25</f>
        <v>0</v>
      </c>
      <c r="O25" s="10"/>
      <c r="P25" s="23">
        <f t="shared" si="0"/>
        <v>0</v>
      </c>
      <c r="Q25" s="10"/>
    </row>
    <row r="26" spans="2:17" ht="15.75" x14ac:dyDescent="0.25">
      <c r="B26" s="24" t="s">
        <v>128</v>
      </c>
      <c r="C26" s="10"/>
      <c r="D26" s="33">
        <f>'6. Historical Wholesale'!D26</f>
        <v>0</v>
      </c>
      <c r="E26" s="34">
        <f t="shared" ref="E26:E35" si="4">E25</f>
        <v>3.78</v>
      </c>
      <c r="F26" s="35">
        <f t="shared" si="1"/>
        <v>0</v>
      </c>
      <c r="G26" s="10"/>
      <c r="H26" s="33">
        <f>'6. Historical Wholesale'!H26</f>
        <v>0</v>
      </c>
      <c r="I26" s="34">
        <f t="shared" ref="I26:I35" si="5">I25</f>
        <v>0.86</v>
      </c>
      <c r="J26" s="35">
        <f t="shared" si="2"/>
        <v>0</v>
      </c>
      <c r="K26" s="10"/>
      <c r="L26" s="33">
        <f>'6. Historical Wholesale'!L26</f>
        <v>0</v>
      </c>
      <c r="M26" s="34">
        <f t="shared" ref="M26:M35" si="6">M25</f>
        <v>2</v>
      </c>
      <c r="N26" s="35">
        <f t="shared" si="3"/>
        <v>0</v>
      </c>
      <c r="O26" s="10"/>
      <c r="P26" s="23">
        <f t="shared" si="0"/>
        <v>0</v>
      </c>
      <c r="Q26" s="10"/>
    </row>
    <row r="27" spans="2:17" ht="15.75" x14ac:dyDescent="0.25">
      <c r="B27" s="24" t="s">
        <v>129</v>
      </c>
      <c r="C27" s="10"/>
      <c r="D27" s="33">
        <f>'6. Historical Wholesale'!D27</f>
        <v>0</v>
      </c>
      <c r="E27" s="34">
        <f t="shared" si="4"/>
        <v>3.78</v>
      </c>
      <c r="F27" s="35">
        <f t="shared" si="1"/>
        <v>0</v>
      </c>
      <c r="G27" s="10"/>
      <c r="H27" s="33">
        <f>'6. Historical Wholesale'!H27</f>
        <v>0</v>
      </c>
      <c r="I27" s="34">
        <f t="shared" si="5"/>
        <v>0.86</v>
      </c>
      <c r="J27" s="35">
        <f t="shared" si="2"/>
        <v>0</v>
      </c>
      <c r="K27" s="10"/>
      <c r="L27" s="33">
        <f>'6. Historical Wholesale'!L27</f>
        <v>0</v>
      </c>
      <c r="M27" s="34">
        <f t="shared" si="6"/>
        <v>2</v>
      </c>
      <c r="N27" s="35">
        <f t="shared" si="3"/>
        <v>0</v>
      </c>
      <c r="O27" s="10"/>
      <c r="P27" s="23">
        <f t="shared" si="0"/>
        <v>0</v>
      </c>
      <c r="Q27" s="10"/>
    </row>
    <row r="28" spans="2:17" ht="15.75" x14ac:dyDescent="0.25">
      <c r="B28" s="24" t="s">
        <v>130</v>
      </c>
      <c r="C28" s="10"/>
      <c r="D28" s="33">
        <f>'6. Historical Wholesale'!D28</f>
        <v>0</v>
      </c>
      <c r="E28" s="34">
        <f t="shared" si="4"/>
        <v>3.78</v>
      </c>
      <c r="F28" s="35">
        <f t="shared" si="1"/>
        <v>0</v>
      </c>
      <c r="G28" s="10"/>
      <c r="H28" s="33">
        <f>'6. Historical Wholesale'!H28</f>
        <v>0</v>
      </c>
      <c r="I28" s="34">
        <f t="shared" si="5"/>
        <v>0.86</v>
      </c>
      <c r="J28" s="35">
        <f t="shared" si="2"/>
        <v>0</v>
      </c>
      <c r="K28" s="10"/>
      <c r="L28" s="33">
        <f>'6. Historical Wholesale'!L28</f>
        <v>0</v>
      </c>
      <c r="M28" s="34">
        <f t="shared" si="6"/>
        <v>2</v>
      </c>
      <c r="N28" s="35">
        <f t="shared" si="3"/>
        <v>0</v>
      </c>
      <c r="O28" s="10"/>
      <c r="P28" s="23">
        <f t="shared" si="0"/>
        <v>0</v>
      </c>
      <c r="Q28" s="10"/>
    </row>
    <row r="29" spans="2:17" ht="15.75" x14ac:dyDescent="0.25">
      <c r="B29" s="24" t="s">
        <v>131</v>
      </c>
      <c r="C29" s="10"/>
      <c r="D29" s="33">
        <f>'6. Historical Wholesale'!D29</f>
        <v>0</v>
      </c>
      <c r="E29" s="34">
        <f t="shared" si="4"/>
        <v>3.78</v>
      </c>
      <c r="F29" s="35">
        <f t="shared" si="1"/>
        <v>0</v>
      </c>
      <c r="G29" s="10"/>
      <c r="H29" s="33">
        <f>'6. Historical Wholesale'!H29</f>
        <v>0</v>
      </c>
      <c r="I29" s="34">
        <f t="shared" si="5"/>
        <v>0.86</v>
      </c>
      <c r="J29" s="35">
        <f t="shared" si="2"/>
        <v>0</v>
      </c>
      <c r="K29" s="10"/>
      <c r="L29" s="33">
        <f>'6. Historical Wholesale'!L29</f>
        <v>0</v>
      </c>
      <c r="M29" s="34">
        <f t="shared" si="6"/>
        <v>2</v>
      </c>
      <c r="N29" s="35">
        <f t="shared" si="3"/>
        <v>0</v>
      </c>
      <c r="O29" s="10"/>
      <c r="P29" s="23">
        <f t="shared" si="0"/>
        <v>0</v>
      </c>
      <c r="Q29" s="10"/>
    </row>
    <row r="30" spans="2:17" ht="15.75" x14ac:dyDescent="0.25">
      <c r="B30" s="24" t="s">
        <v>132</v>
      </c>
      <c r="C30" s="10"/>
      <c r="D30" s="33">
        <f>'6. Historical Wholesale'!D30</f>
        <v>0</v>
      </c>
      <c r="E30" s="34">
        <f t="shared" si="4"/>
        <v>3.78</v>
      </c>
      <c r="F30" s="35">
        <f t="shared" si="1"/>
        <v>0</v>
      </c>
      <c r="G30" s="10"/>
      <c r="H30" s="33">
        <f>'6. Historical Wholesale'!H30</f>
        <v>0</v>
      </c>
      <c r="I30" s="34">
        <f t="shared" si="5"/>
        <v>0.86</v>
      </c>
      <c r="J30" s="35">
        <f t="shared" si="2"/>
        <v>0</v>
      </c>
      <c r="K30" s="10"/>
      <c r="L30" s="33">
        <f>'6. Historical Wholesale'!L30</f>
        <v>0</v>
      </c>
      <c r="M30" s="34">
        <f t="shared" si="6"/>
        <v>2</v>
      </c>
      <c r="N30" s="35">
        <f t="shared" si="3"/>
        <v>0</v>
      </c>
      <c r="O30" s="10"/>
      <c r="P30" s="23">
        <f t="shared" si="0"/>
        <v>0</v>
      </c>
      <c r="Q30" s="10"/>
    </row>
    <row r="31" spans="2:17" ht="15.75" x14ac:dyDescent="0.25">
      <c r="B31" s="24" t="s">
        <v>133</v>
      </c>
      <c r="C31" s="10"/>
      <c r="D31" s="33">
        <f>'6. Historical Wholesale'!D31</f>
        <v>0</v>
      </c>
      <c r="E31" s="34">
        <f t="shared" si="4"/>
        <v>3.78</v>
      </c>
      <c r="F31" s="35">
        <f t="shared" si="1"/>
        <v>0</v>
      </c>
      <c r="G31" s="10"/>
      <c r="H31" s="33">
        <f>'6. Historical Wholesale'!H31</f>
        <v>0</v>
      </c>
      <c r="I31" s="34">
        <f t="shared" si="5"/>
        <v>0.86</v>
      </c>
      <c r="J31" s="35">
        <f t="shared" si="2"/>
        <v>0</v>
      </c>
      <c r="K31" s="10"/>
      <c r="L31" s="33">
        <f>'6. Historical Wholesale'!L31</f>
        <v>0</v>
      </c>
      <c r="M31" s="34">
        <f t="shared" si="6"/>
        <v>2</v>
      </c>
      <c r="N31" s="35">
        <f t="shared" si="3"/>
        <v>0</v>
      </c>
      <c r="O31" s="10"/>
      <c r="P31" s="23">
        <f t="shared" si="0"/>
        <v>0</v>
      </c>
      <c r="Q31" s="10"/>
    </row>
    <row r="32" spans="2:17" ht="15.75" x14ac:dyDescent="0.25">
      <c r="B32" s="24" t="s">
        <v>134</v>
      </c>
      <c r="C32" s="10"/>
      <c r="D32" s="33">
        <f>'6. Historical Wholesale'!D32</f>
        <v>0</v>
      </c>
      <c r="E32" s="34">
        <f t="shared" si="4"/>
        <v>3.78</v>
      </c>
      <c r="F32" s="35">
        <f t="shared" si="1"/>
        <v>0</v>
      </c>
      <c r="G32" s="10"/>
      <c r="H32" s="33">
        <f>'6. Historical Wholesale'!H32</f>
        <v>0</v>
      </c>
      <c r="I32" s="34">
        <f t="shared" si="5"/>
        <v>0.86</v>
      </c>
      <c r="J32" s="35">
        <f t="shared" si="2"/>
        <v>0</v>
      </c>
      <c r="K32" s="10"/>
      <c r="L32" s="33">
        <f>'6. Historical Wholesale'!L32</f>
        <v>0</v>
      </c>
      <c r="M32" s="34">
        <f t="shared" si="6"/>
        <v>2</v>
      </c>
      <c r="N32" s="35">
        <f t="shared" si="3"/>
        <v>0</v>
      </c>
      <c r="O32" s="10"/>
      <c r="P32" s="23">
        <f t="shared" si="0"/>
        <v>0</v>
      </c>
      <c r="Q32" s="10"/>
    </row>
    <row r="33" spans="2:17" ht="15.75" x14ac:dyDescent="0.25">
      <c r="B33" s="24" t="s">
        <v>135</v>
      </c>
      <c r="C33" s="10"/>
      <c r="D33" s="33">
        <f>'6. Historical Wholesale'!D33</f>
        <v>0</v>
      </c>
      <c r="E33" s="34">
        <f t="shared" si="4"/>
        <v>3.78</v>
      </c>
      <c r="F33" s="35">
        <f t="shared" si="1"/>
        <v>0</v>
      </c>
      <c r="G33" s="10"/>
      <c r="H33" s="33">
        <f>'6. Historical Wholesale'!H33</f>
        <v>0</v>
      </c>
      <c r="I33" s="34">
        <f t="shared" si="5"/>
        <v>0.86</v>
      </c>
      <c r="J33" s="35">
        <f t="shared" si="2"/>
        <v>0</v>
      </c>
      <c r="K33" s="10"/>
      <c r="L33" s="33">
        <f>'6. Historical Wholesale'!L33</f>
        <v>0</v>
      </c>
      <c r="M33" s="34">
        <f t="shared" si="6"/>
        <v>2</v>
      </c>
      <c r="N33" s="35">
        <f t="shared" si="3"/>
        <v>0</v>
      </c>
      <c r="O33" s="10"/>
      <c r="P33" s="23">
        <f t="shared" si="0"/>
        <v>0</v>
      </c>
      <c r="Q33" s="10"/>
    </row>
    <row r="34" spans="2:17" ht="15.75" x14ac:dyDescent="0.25">
      <c r="B34" s="24" t="s">
        <v>136</v>
      </c>
      <c r="C34" s="10"/>
      <c r="D34" s="33">
        <f>'6. Historical Wholesale'!D34</f>
        <v>0</v>
      </c>
      <c r="E34" s="34">
        <f t="shared" si="4"/>
        <v>3.78</v>
      </c>
      <c r="F34" s="35">
        <f t="shared" si="1"/>
        <v>0</v>
      </c>
      <c r="G34" s="10"/>
      <c r="H34" s="33">
        <f>'6. Historical Wholesale'!H34</f>
        <v>0</v>
      </c>
      <c r="I34" s="34">
        <f t="shared" si="5"/>
        <v>0.86</v>
      </c>
      <c r="J34" s="35">
        <f t="shared" si="2"/>
        <v>0</v>
      </c>
      <c r="K34" s="10"/>
      <c r="L34" s="33">
        <f>'6. Historical Wholesale'!L34</f>
        <v>0</v>
      </c>
      <c r="M34" s="34">
        <f t="shared" si="6"/>
        <v>2</v>
      </c>
      <c r="N34" s="35">
        <f t="shared" si="3"/>
        <v>0</v>
      </c>
      <c r="O34" s="10"/>
      <c r="P34" s="23">
        <f t="shared" si="0"/>
        <v>0</v>
      </c>
      <c r="Q34" s="10"/>
    </row>
    <row r="35" spans="2:17" ht="15.75" x14ac:dyDescent="0.25">
      <c r="B35" s="24" t="s">
        <v>137</v>
      </c>
      <c r="C35" s="10"/>
      <c r="D35" s="33">
        <f>'6. Historical Wholesale'!D35</f>
        <v>0</v>
      </c>
      <c r="E35" s="34">
        <f t="shared" si="4"/>
        <v>3.78</v>
      </c>
      <c r="F35" s="35">
        <f t="shared" si="1"/>
        <v>0</v>
      </c>
      <c r="G35" s="10"/>
      <c r="H35" s="33">
        <f>'6. Historical Wholesale'!H35</f>
        <v>0</v>
      </c>
      <c r="I35" s="34">
        <f t="shared" si="5"/>
        <v>0.86</v>
      </c>
      <c r="J35" s="35">
        <f t="shared" si="2"/>
        <v>0</v>
      </c>
      <c r="K35" s="10"/>
      <c r="L35" s="33">
        <f>'6. Historical Wholesale'!L35</f>
        <v>0</v>
      </c>
      <c r="M35" s="34">
        <f t="shared" si="6"/>
        <v>2</v>
      </c>
      <c r="N35" s="35">
        <f t="shared" si="3"/>
        <v>0</v>
      </c>
      <c r="O35" s="10"/>
      <c r="P35" s="23">
        <f t="shared" si="0"/>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199</v>
      </c>
      <c r="C39" s="72"/>
      <c r="D39" s="180" t="s">
        <v>195</v>
      </c>
      <c r="E39" s="180"/>
      <c r="F39" s="180"/>
      <c r="G39" s="72"/>
      <c r="H39" s="180" t="s">
        <v>198</v>
      </c>
      <c r="I39" s="180"/>
      <c r="J39" s="180"/>
      <c r="K39" s="72"/>
      <c r="L39" s="180" t="s">
        <v>197</v>
      </c>
      <c r="M39" s="180"/>
      <c r="N39" s="180"/>
      <c r="O39" s="72"/>
      <c r="P39" s="73" t="s">
        <v>196</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33">
        <f>'6. Historical Wholesale'!D43</f>
        <v>46951.934984520121</v>
      </c>
      <c r="E43" s="34">
        <f>'5. UTRs and Sub-Transmission'!G35+'5. UTRs and Sub-Transmission'!G79</f>
        <v>3.41</v>
      </c>
      <c r="F43" s="35">
        <f>D43*E43</f>
        <v>160106.09829721361</v>
      </c>
      <c r="G43" s="10"/>
      <c r="H43" s="33">
        <f>'6. Historical Wholesale'!H43</f>
        <v>46951.953846153847</v>
      </c>
      <c r="I43" s="34">
        <f>'5. UTRs and Sub-Transmission'!G37+'5. UTRs and Sub-Transmission'!G81</f>
        <v>0.79</v>
      </c>
      <c r="J43" s="35">
        <f>H43*I43</f>
        <v>37092.043538461541</v>
      </c>
      <c r="K43" s="10"/>
      <c r="L43" s="33">
        <f>'6. Historical Wholesale'!L43</f>
        <v>46951.938271604937</v>
      </c>
      <c r="M43" s="34">
        <f>'5. UTRs and Sub-Transmission'!G39</f>
        <v>1.8</v>
      </c>
      <c r="N43" s="35">
        <f>L43*M43</f>
        <v>84513.488888888882</v>
      </c>
      <c r="O43" s="10"/>
      <c r="P43" s="23">
        <f t="shared" ref="P43:P54" si="7">J43+N43</f>
        <v>121605.53242735042</v>
      </c>
      <c r="Q43" s="10"/>
    </row>
    <row r="44" spans="2:17" ht="15.75" x14ac:dyDescent="0.25">
      <c r="B44" s="24" t="s">
        <v>127</v>
      </c>
      <c r="C44" s="10"/>
      <c r="D44" s="33">
        <f>'6. Historical Wholesale'!D44</f>
        <v>31523.427244582042</v>
      </c>
      <c r="E44" s="34">
        <f>E43</f>
        <v>3.41</v>
      </c>
      <c r="F44" s="35">
        <f t="shared" ref="F44:F54" si="8">D44*E44</f>
        <v>107494.88690402477</v>
      </c>
      <c r="G44" s="10"/>
      <c r="H44" s="33">
        <f>'6. Historical Wholesale'!H44</f>
        <v>32751</v>
      </c>
      <c r="I44" s="34">
        <f>I43</f>
        <v>0.79</v>
      </c>
      <c r="J44" s="35">
        <f t="shared" ref="J44:J54" si="9">H44*I44</f>
        <v>25873.29</v>
      </c>
      <c r="K44" s="10"/>
      <c r="L44" s="33">
        <f>'6. Historical Wholesale'!L44</f>
        <v>32751</v>
      </c>
      <c r="M44" s="34">
        <f>M43</f>
        <v>1.8</v>
      </c>
      <c r="N44" s="35">
        <f t="shared" ref="N44:N54" si="10">L44*M44</f>
        <v>58951.8</v>
      </c>
      <c r="O44" s="10"/>
      <c r="P44" s="23">
        <f t="shared" si="7"/>
        <v>84825.09</v>
      </c>
      <c r="Q44" s="10"/>
    </row>
    <row r="45" spans="2:17" ht="15.75" x14ac:dyDescent="0.25">
      <c r="B45" s="24" t="s">
        <v>128</v>
      </c>
      <c r="C45" s="10"/>
      <c r="D45" s="33">
        <f>'6. Historical Wholesale'!D45</f>
        <v>29947.572755417958</v>
      </c>
      <c r="E45" s="34">
        <f t="shared" ref="E45:E54" si="11">E44</f>
        <v>3.41</v>
      </c>
      <c r="F45" s="35">
        <f t="shared" si="8"/>
        <v>102121.22309597523</v>
      </c>
      <c r="G45" s="10"/>
      <c r="H45" s="33">
        <f>'6. Historical Wholesale'!H45</f>
        <v>30188.19</v>
      </c>
      <c r="I45" s="34">
        <f t="shared" ref="I45:I54" si="12">I44</f>
        <v>0.79</v>
      </c>
      <c r="J45" s="35">
        <f t="shared" si="9"/>
        <v>23848.670099999999</v>
      </c>
      <c r="K45" s="10"/>
      <c r="L45" s="33">
        <f>'6. Historical Wholesale'!L45</f>
        <v>30188.19</v>
      </c>
      <c r="M45" s="34">
        <f>M44</f>
        <v>1.8</v>
      </c>
      <c r="N45" s="35">
        <f t="shared" si="10"/>
        <v>54338.741999999998</v>
      </c>
      <c r="O45" s="10"/>
      <c r="P45" s="23">
        <f t="shared" si="7"/>
        <v>78187.412100000001</v>
      </c>
      <c r="Q45" s="10"/>
    </row>
    <row r="46" spans="2:17" ht="15.75" x14ac:dyDescent="0.25">
      <c r="B46" s="24" t="s">
        <v>129</v>
      </c>
      <c r="C46" s="10"/>
      <c r="D46" s="33">
        <f>'6. Historical Wholesale'!D46</f>
        <v>19641.978328173373</v>
      </c>
      <c r="E46" s="34">
        <f t="shared" si="11"/>
        <v>3.41</v>
      </c>
      <c r="F46" s="35">
        <f t="shared" si="8"/>
        <v>66979.146099071208</v>
      </c>
      <c r="G46" s="10"/>
      <c r="H46" s="33">
        <f>'6. Historical Wholesale'!H46</f>
        <v>21442.5</v>
      </c>
      <c r="I46" s="34">
        <f t="shared" si="12"/>
        <v>0.79</v>
      </c>
      <c r="J46" s="35">
        <f t="shared" si="9"/>
        <v>16939.575000000001</v>
      </c>
      <c r="K46" s="10"/>
      <c r="L46" s="33">
        <f>'6. Historical Wholesale'!L46</f>
        <v>21442.5</v>
      </c>
      <c r="M46" s="34">
        <f t="shared" ref="M46:M54" si="13">M45</f>
        <v>1.8</v>
      </c>
      <c r="N46" s="35">
        <f t="shared" si="10"/>
        <v>38596.5</v>
      </c>
      <c r="O46" s="10"/>
      <c r="P46" s="23">
        <f t="shared" si="7"/>
        <v>55536.074999999997</v>
      </c>
      <c r="Q46" s="10"/>
    </row>
    <row r="47" spans="2:17" ht="15.75" x14ac:dyDescent="0.25">
      <c r="B47" s="24" t="s">
        <v>130</v>
      </c>
      <c r="C47" s="10"/>
      <c r="D47" s="33">
        <f>'6. Historical Wholesale'!D47</f>
        <v>16885.84520123839</v>
      </c>
      <c r="E47" s="34">
        <f t="shared" si="11"/>
        <v>3.41</v>
      </c>
      <c r="F47" s="35">
        <f t="shared" si="8"/>
        <v>57580.732136222912</v>
      </c>
      <c r="G47" s="10"/>
      <c r="H47" s="33">
        <f>'6. Historical Wholesale'!H47</f>
        <v>18122.45</v>
      </c>
      <c r="I47" s="34">
        <f t="shared" si="12"/>
        <v>0.79</v>
      </c>
      <c r="J47" s="35">
        <f t="shared" si="9"/>
        <v>14316.735500000001</v>
      </c>
      <c r="K47" s="10"/>
      <c r="L47" s="33">
        <f>'6. Historical Wholesale'!L47</f>
        <v>18122.45</v>
      </c>
      <c r="M47" s="34">
        <f t="shared" si="13"/>
        <v>1.8</v>
      </c>
      <c r="N47" s="35">
        <f t="shared" si="10"/>
        <v>32620.410000000003</v>
      </c>
      <c r="O47" s="10"/>
      <c r="P47" s="23">
        <f t="shared" si="7"/>
        <v>46937.145500000006</v>
      </c>
      <c r="Q47" s="10"/>
    </row>
    <row r="48" spans="2:17" ht="15.75" x14ac:dyDescent="0.25">
      <c r="B48" s="24" t="s">
        <v>131</v>
      </c>
      <c r="C48" s="10"/>
      <c r="D48" s="33">
        <f>'6. Historical Wholesale'!D48</f>
        <v>25680.690402476783</v>
      </c>
      <c r="E48" s="34">
        <f t="shared" si="11"/>
        <v>3.41</v>
      </c>
      <c r="F48" s="35">
        <f t="shared" si="8"/>
        <v>87571.154272445827</v>
      </c>
      <c r="G48" s="10"/>
      <c r="H48" s="33">
        <f>'6. Historical Wholesale'!H48</f>
        <v>27093.55</v>
      </c>
      <c r="I48" s="34">
        <f t="shared" si="12"/>
        <v>0.79</v>
      </c>
      <c r="J48" s="35">
        <f t="shared" si="9"/>
        <v>21403.904500000001</v>
      </c>
      <c r="K48" s="10"/>
      <c r="L48" s="33">
        <f>'6. Historical Wholesale'!L48</f>
        <v>27093.55</v>
      </c>
      <c r="M48" s="34">
        <f t="shared" si="13"/>
        <v>1.8</v>
      </c>
      <c r="N48" s="35">
        <f t="shared" si="10"/>
        <v>48768.39</v>
      </c>
      <c r="O48" s="10"/>
      <c r="P48" s="23">
        <f t="shared" si="7"/>
        <v>70172.294500000004</v>
      </c>
      <c r="Q48" s="10"/>
    </row>
    <row r="49" spans="2:17" ht="15.75" x14ac:dyDescent="0.25">
      <c r="B49" s="24" t="s">
        <v>132</v>
      </c>
      <c r="C49" s="10"/>
      <c r="D49" s="33">
        <f>'6. Historical Wholesale'!D49</f>
        <v>22833.102167182664</v>
      </c>
      <c r="E49" s="34">
        <f t="shared" si="11"/>
        <v>3.41</v>
      </c>
      <c r="F49" s="35">
        <f t="shared" si="8"/>
        <v>77860.878390092883</v>
      </c>
      <c r="G49" s="10"/>
      <c r="H49" s="33">
        <f>'6. Historical Wholesale'!H49</f>
        <v>22833.1</v>
      </c>
      <c r="I49" s="34">
        <f t="shared" si="12"/>
        <v>0.79</v>
      </c>
      <c r="J49" s="35">
        <f t="shared" si="9"/>
        <v>18038.149000000001</v>
      </c>
      <c r="K49" s="10"/>
      <c r="L49" s="33">
        <f>'6. Historical Wholesale'!L49</f>
        <v>22833.1</v>
      </c>
      <c r="M49" s="34">
        <f t="shared" si="13"/>
        <v>1.8</v>
      </c>
      <c r="N49" s="35">
        <f t="shared" si="10"/>
        <v>41099.58</v>
      </c>
      <c r="O49" s="10"/>
      <c r="P49" s="23">
        <f t="shared" si="7"/>
        <v>59137.729000000007</v>
      </c>
      <c r="Q49" s="10"/>
    </row>
    <row r="50" spans="2:17" ht="15.75" x14ac:dyDescent="0.25">
      <c r="B50" s="24" t="s">
        <v>133</v>
      </c>
      <c r="C50" s="10"/>
      <c r="D50" s="33">
        <f>'6. Historical Wholesale'!D50</f>
        <v>26864.343653250773</v>
      </c>
      <c r="E50" s="34">
        <f t="shared" si="11"/>
        <v>3.41</v>
      </c>
      <c r="F50" s="35">
        <f t="shared" si="8"/>
        <v>91607.411857585146</v>
      </c>
      <c r="G50" s="10"/>
      <c r="H50" s="33">
        <f>'6. Historical Wholesale'!H50</f>
        <v>27520.34</v>
      </c>
      <c r="I50" s="34">
        <f t="shared" si="12"/>
        <v>0.79</v>
      </c>
      <c r="J50" s="35">
        <f t="shared" si="9"/>
        <v>21741.068600000002</v>
      </c>
      <c r="K50" s="10"/>
      <c r="L50" s="33">
        <f>'6. Historical Wholesale'!L50</f>
        <v>27520.34</v>
      </c>
      <c r="M50" s="34">
        <f t="shared" si="13"/>
        <v>1.8</v>
      </c>
      <c r="N50" s="35">
        <f t="shared" si="10"/>
        <v>49536.612000000001</v>
      </c>
      <c r="O50" s="10"/>
      <c r="P50" s="23">
        <f t="shared" si="7"/>
        <v>71277.680600000007</v>
      </c>
      <c r="Q50" s="10"/>
    </row>
    <row r="51" spans="2:17" ht="15.75" x14ac:dyDescent="0.25">
      <c r="B51" s="24" t="s">
        <v>134</v>
      </c>
      <c r="C51" s="10"/>
      <c r="D51" s="33">
        <f>'6. Historical Wholesale'!D51</f>
        <v>20613.489164086688</v>
      </c>
      <c r="E51" s="34">
        <f t="shared" si="11"/>
        <v>3.41</v>
      </c>
      <c r="F51" s="35">
        <f t="shared" si="8"/>
        <v>70291.998049535614</v>
      </c>
      <c r="G51" s="10"/>
      <c r="H51" s="33">
        <f>'6. Historical Wholesale'!H51</f>
        <v>21835.48</v>
      </c>
      <c r="I51" s="34">
        <f t="shared" si="12"/>
        <v>0.79</v>
      </c>
      <c r="J51" s="35">
        <f t="shared" si="9"/>
        <v>17250.029200000001</v>
      </c>
      <c r="K51" s="10"/>
      <c r="L51" s="33">
        <f>'6. Historical Wholesale'!L51</f>
        <v>21835.48</v>
      </c>
      <c r="M51" s="34">
        <f t="shared" si="13"/>
        <v>1.8</v>
      </c>
      <c r="N51" s="35">
        <f t="shared" si="10"/>
        <v>39303.864000000001</v>
      </c>
      <c r="O51" s="10"/>
      <c r="P51" s="23">
        <f t="shared" si="7"/>
        <v>56553.893200000006</v>
      </c>
      <c r="Q51" s="10"/>
    </row>
    <row r="52" spans="2:17" ht="15.75" x14ac:dyDescent="0.25">
      <c r="B52" s="24" t="s">
        <v>135</v>
      </c>
      <c r="C52" s="10"/>
      <c r="D52" s="33">
        <f>'6. Historical Wholesale'!D52</f>
        <v>22332.003095975229</v>
      </c>
      <c r="E52" s="34">
        <f t="shared" si="11"/>
        <v>3.41</v>
      </c>
      <c r="F52" s="35">
        <f t="shared" si="8"/>
        <v>76152.130557275537</v>
      </c>
      <c r="G52" s="10"/>
      <c r="H52" s="33">
        <f>'6. Historical Wholesale'!H52</f>
        <v>22945.599999999999</v>
      </c>
      <c r="I52" s="34">
        <f t="shared" si="12"/>
        <v>0.79</v>
      </c>
      <c r="J52" s="35">
        <f t="shared" si="9"/>
        <v>18127.024000000001</v>
      </c>
      <c r="K52" s="10"/>
      <c r="L52" s="33">
        <f>'6. Historical Wholesale'!L52</f>
        <v>22945.599999999999</v>
      </c>
      <c r="M52" s="34">
        <f t="shared" si="13"/>
        <v>1.8</v>
      </c>
      <c r="N52" s="35">
        <f t="shared" si="10"/>
        <v>41302.080000000002</v>
      </c>
      <c r="O52" s="10"/>
      <c r="P52" s="23">
        <f t="shared" si="7"/>
        <v>59429.104000000007</v>
      </c>
      <c r="Q52" s="10"/>
    </row>
    <row r="53" spans="2:17" ht="15.75" x14ac:dyDescent="0.25">
      <c r="B53" s="24" t="s">
        <v>136</v>
      </c>
      <c r="C53" s="10"/>
      <c r="D53" s="33">
        <f>'6. Historical Wholesale'!D53</f>
        <v>28753.947368421053</v>
      </c>
      <c r="E53" s="34">
        <f t="shared" si="11"/>
        <v>3.41</v>
      </c>
      <c r="F53" s="35">
        <f t="shared" si="8"/>
        <v>98050.960526315801</v>
      </c>
      <c r="G53" s="10"/>
      <c r="H53" s="33">
        <f>'6. Historical Wholesale'!H53</f>
        <v>30303.34</v>
      </c>
      <c r="I53" s="34">
        <f t="shared" si="12"/>
        <v>0.79</v>
      </c>
      <c r="J53" s="35">
        <f t="shared" si="9"/>
        <v>23939.638600000002</v>
      </c>
      <c r="K53" s="10"/>
      <c r="L53" s="33">
        <f>'6. Historical Wholesale'!L53</f>
        <v>30303.34</v>
      </c>
      <c r="M53" s="34">
        <f t="shared" si="13"/>
        <v>1.8</v>
      </c>
      <c r="N53" s="35">
        <f t="shared" si="10"/>
        <v>54546.012000000002</v>
      </c>
      <c r="O53" s="10"/>
      <c r="P53" s="23">
        <f t="shared" si="7"/>
        <v>78485.650600000008</v>
      </c>
      <c r="Q53" s="10"/>
    </row>
    <row r="54" spans="2:17" ht="15.75" x14ac:dyDescent="0.25">
      <c r="B54" s="24" t="s">
        <v>137</v>
      </c>
      <c r="C54" s="10"/>
      <c r="D54" s="33">
        <f>'6. Historical Wholesale'!D54</f>
        <v>30754.123839009291</v>
      </c>
      <c r="E54" s="34">
        <f t="shared" si="11"/>
        <v>3.41</v>
      </c>
      <c r="F54" s="35">
        <f t="shared" si="8"/>
        <v>104871.56229102169</v>
      </c>
      <c r="G54" s="10"/>
      <c r="H54" s="33">
        <f>'6. Historical Wholesale'!H54</f>
        <v>31007.18</v>
      </c>
      <c r="I54" s="34">
        <f t="shared" si="12"/>
        <v>0.79</v>
      </c>
      <c r="J54" s="35">
        <f t="shared" si="9"/>
        <v>24495.672200000001</v>
      </c>
      <c r="K54" s="10"/>
      <c r="L54" s="33">
        <f>'6. Historical Wholesale'!L54</f>
        <v>31007.18</v>
      </c>
      <c r="M54" s="34">
        <f t="shared" si="13"/>
        <v>1.8</v>
      </c>
      <c r="N54" s="35">
        <f t="shared" si="10"/>
        <v>55812.923999999999</v>
      </c>
      <c r="O54" s="10"/>
      <c r="P54" s="23">
        <f t="shared" si="7"/>
        <v>80308.5962</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322782.45820433437</v>
      </c>
      <c r="E56" s="27">
        <f>IF(D56&lt;&gt;0,F56/D56,0)</f>
        <v>3.4099999999999997</v>
      </c>
      <c r="F56" s="28">
        <f>SUM(F43:F54)</f>
        <v>1100688.1824767801</v>
      </c>
      <c r="G56" s="10"/>
      <c r="H56" s="26">
        <f>SUM(H43:H54)</f>
        <v>332994.6838461539</v>
      </c>
      <c r="I56" s="27">
        <f>IF(H56&lt;&gt;0,J56/H56,0)</f>
        <v>0.78999999999999981</v>
      </c>
      <c r="J56" s="28">
        <f>SUM(J43:J54)</f>
        <v>263065.80023846152</v>
      </c>
      <c r="K56" s="10"/>
      <c r="L56" s="26">
        <f>SUM(L43:L54)</f>
        <v>332994.66827160498</v>
      </c>
      <c r="M56" s="27">
        <f>IF(L56&lt;&gt;0,N56/L56,0)</f>
        <v>1.8</v>
      </c>
      <c r="N56" s="28">
        <f>SUM(N43:N54)</f>
        <v>599390.40288888896</v>
      </c>
      <c r="O56" s="10"/>
      <c r="P56" s="28">
        <f>SUM(P43:P54)</f>
        <v>862456.20312735066</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Brookfield</v>
      </c>
      <c r="C58" s="72"/>
      <c r="D58" s="180" t="s">
        <v>195</v>
      </c>
      <c r="E58" s="180"/>
      <c r="F58" s="180"/>
      <c r="G58" s="72"/>
      <c r="H58" s="180" t="s">
        <v>198</v>
      </c>
      <c r="I58" s="180"/>
      <c r="J58" s="180"/>
      <c r="K58" s="72"/>
      <c r="L58" s="180" t="s">
        <v>197</v>
      </c>
      <c r="M58" s="180"/>
      <c r="N58" s="180"/>
      <c r="O58" s="72"/>
      <c r="P58" s="84" t="s">
        <v>196</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33">
        <f>'6. Historical Wholesale'!D62</f>
        <v>846</v>
      </c>
      <c r="E62" s="34">
        <f>'5. UTRs and Sub-Transmission'!G50</f>
        <v>3</v>
      </c>
      <c r="F62" s="35">
        <f>D62*E62</f>
        <v>2538</v>
      </c>
      <c r="G62" s="10"/>
      <c r="H62" s="33">
        <f>'6. Historical Wholesale'!H62</f>
        <v>0</v>
      </c>
      <c r="I62" s="34">
        <f>'5. UTRs and Sub-Transmission'!G52</f>
        <v>0</v>
      </c>
      <c r="J62" s="35">
        <f>H62*I62</f>
        <v>0</v>
      </c>
      <c r="K62" s="10"/>
      <c r="L62" s="33">
        <f>'6. Historical Wholesale'!L62</f>
        <v>0</v>
      </c>
      <c r="M62" s="34">
        <f>'5. UTRs and Sub-Transmission'!G54</f>
        <v>0</v>
      </c>
      <c r="N62" s="35">
        <f>L62*M62</f>
        <v>0</v>
      </c>
      <c r="O62" s="10"/>
      <c r="P62" s="23">
        <f t="shared" ref="P62:P73" si="14">J62+N62</f>
        <v>0</v>
      </c>
      <c r="Q62" s="10"/>
    </row>
    <row r="63" spans="2:17" ht="15.75" x14ac:dyDescent="0.25">
      <c r="B63" s="24" t="s">
        <v>127</v>
      </c>
      <c r="C63" s="10"/>
      <c r="D63" s="33">
        <f>'6. Historical Wholesale'!D63</f>
        <v>0</v>
      </c>
      <c r="E63" s="34">
        <f>E62</f>
        <v>3</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128</v>
      </c>
      <c r="C64" s="10"/>
      <c r="D64" s="33">
        <f>'6. Historical Wholesale'!D64</f>
        <v>576</v>
      </c>
      <c r="E64" s="34">
        <f t="shared" ref="E64:E73" si="18">E63</f>
        <v>3</v>
      </c>
      <c r="F64" s="35">
        <f t="shared" si="15"/>
        <v>1728</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129</v>
      </c>
      <c r="C65" s="10"/>
      <c r="D65" s="33">
        <f>'6. Historical Wholesale'!D65</f>
        <v>792</v>
      </c>
      <c r="E65" s="34">
        <f t="shared" si="18"/>
        <v>3</v>
      </c>
      <c r="F65" s="35">
        <f t="shared" si="15"/>
        <v>2376</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130</v>
      </c>
      <c r="C66" s="10"/>
      <c r="D66" s="33">
        <f>'6. Historical Wholesale'!D66</f>
        <v>816</v>
      </c>
      <c r="E66" s="34">
        <f t="shared" si="18"/>
        <v>3</v>
      </c>
      <c r="F66" s="35">
        <f t="shared" si="15"/>
        <v>2448</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131</v>
      </c>
      <c r="C67" s="10"/>
      <c r="D67" s="33">
        <f>'6. Historical Wholesale'!D67</f>
        <v>6738</v>
      </c>
      <c r="E67" s="34">
        <f t="shared" si="18"/>
        <v>3</v>
      </c>
      <c r="F67" s="35">
        <f t="shared" si="15"/>
        <v>20214</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132</v>
      </c>
      <c r="C68" s="10"/>
      <c r="D68" s="33">
        <f>'6. Historical Wholesale'!D68</f>
        <v>1800</v>
      </c>
      <c r="E68" s="34">
        <f t="shared" si="18"/>
        <v>3</v>
      </c>
      <c r="F68" s="35">
        <f t="shared" si="15"/>
        <v>5400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133</v>
      </c>
      <c r="C69" s="10"/>
      <c r="D69" s="33">
        <f>'6. Historical Wholesale'!D69</f>
        <v>2928</v>
      </c>
      <c r="E69" s="34">
        <f t="shared" si="18"/>
        <v>3</v>
      </c>
      <c r="F69" s="35">
        <f t="shared" si="15"/>
        <v>8784</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134</v>
      </c>
      <c r="C70" s="10"/>
      <c r="D70" s="33">
        <f>'6. Historical Wholesale'!D70</f>
        <v>3324</v>
      </c>
      <c r="E70" s="34">
        <f t="shared" si="18"/>
        <v>3</v>
      </c>
      <c r="F70" s="35">
        <f t="shared" si="15"/>
        <v>9972</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135</v>
      </c>
      <c r="C71" s="10"/>
      <c r="D71" s="33">
        <f>'6. Historical Wholesale'!D71</f>
        <v>3012</v>
      </c>
      <c r="E71" s="34">
        <f t="shared" si="18"/>
        <v>3</v>
      </c>
      <c r="F71" s="35">
        <f t="shared" si="15"/>
        <v>9036</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136</v>
      </c>
      <c r="C72" s="10"/>
      <c r="D72" s="33">
        <f>'6. Historical Wholesale'!D72</f>
        <v>0</v>
      </c>
      <c r="E72" s="34">
        <f t="shared" si="18"/>
        <v>3</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137</v>
      </c>
      <c r="C73" s="10"/>
      <c r="D73" s="33">
        <f>'6. Historical Wholesale'!D73</f>
        <v>396</v>
      </c>
      <c r="E73" s="34">
        <f t="shared" si="18"/>
        <v>3</v>
      </c>
      <c r="F73" s="35">
        <f t="shared" si="15"/>
        <v>1188</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21228</v>
      </c>
      <c r="E75" s="27">
        <f>IF(D75&lt;&gt;0,F75/D75,0)</f>
        <v>3</v>
      </c>
      <c r="F75" s="28">
        <f>SUM(F62:F73)</f>
        <v>63684</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80" t="s">
        <v>195</v>
      </c>
      <c r="E77" s="180"/>
      <c r="F77" s="180"/>
      <c r="G77" s="72"/>
      <c r="H77" s="180" t="s">
        <v>198</v>
      </c>
      <c r="I77" s="180"/>
      <c r="J77" s="180"/>
      <c r="K77" s="72"/>
      <c r="L77" s="180" t="s">
        <v>197</v>
      </c>
      <c r="M77" s="180"/>
      <c r="N77" s="180"/>
      <c r="O77" s="72"/>
      <c r="P77" s="84" t="s">
        <v>196</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33">
        <f>'6. Historical Wholesale'!D81</f>
        <v>0</v>
      </c>
      <c r="E81" s="34">
        <f>'5. UTRs and Sub-Transmission'!G65</f>
        <v>0</v>
      </c>
      <c r="F81" s="35">
        <f>D81*E81</f>
        <v>0</v>
      </c>
      <c r="G81" s="10"/>
      <c r="H81" s="33">
        <f>'6. Historical Wholesale'!H81</f>
        <v>0</v>
      </c>
      <c r="I81" s="34">
        <f>'5. UTRs and Sub-Transmission'!G67</f>
        <v>0</v>
      </c>
      <c r="J81" s="35">
        <f>H81*I81</f>
        <v>0</v>
      </c>
      <c r="K81" s="10"/>
      <c r="L81" s="33">
        <f>'6. Historical Wholesale'!L81</f>
        <v>0</v>
      </c>
      <c r="M81" s="34">
        <f>'5. UTRs and Sub-Transmission'!G69</f>
        <v>0</v>
      </c>
      <c r="N81" s="35">
        <f>L81*M81</f>
        <v>0</v>
      </c>
      <c r="O81" s="10"/>
      <c r="P81" s="23">
        <f t="shared" ref="P81:P92" si="21">J81+N81</f>
        <v>0</v>
      </c>
      <c r="Q81" s="10"/>
    </row>
    <row r="82" spans="2:17" ht="15.75" x14ac:dyDescent="0.25">
      <c r="B82" s="24" t="s">
        <v>127</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128</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129</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130</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131</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132</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133</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134</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135</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136</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137</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138</v>
      </c>
      <c r="C96" s="72"/>
      <c r="D96" s="180" t="s">
        <v>195</v>
      </c>
      <c r="E96" s="180"/>
      <c r="F96" s="180"/>
      <c r="G96" s="72"/>
      <c r="H96" s="180" t="s">
        <v>198</v>
      </c>
      <c r="I96" s="180"/>
      <c r="J96" s="180"/>
      <c r="K96" s="72"/>
      <c r="L96" s="180" t="s">
        <v>197</v>
      </c>
      <c r="M96" s="180"/>
      <c r="N96" s="180"/>
      <c r="O96" s="72"/>
      <c r="P96" s="73" t="s">
        <v>196</v>
      </c>
      <c r="Q96" s="10"/>
    </row>
    <row r="97" spans="2:17" ht="15.75" x14ac:dyDescent="0.25">
      <c r="B97" s="10"/>
      <c r="C97" s="10"/>
      <c r="D97" s="181"/>
      <c r="E97" s="181"/>
      <c r="F97" s="181"/>
      <c r="G97" s="20"/>
      <c r="H97" s="181"/>
      <c r="I97" s="181"/>
      <c r="J97" s="181"/>
      <c r="K97" s="20"/>
      <c r="L97" s="181"/>
      <c r="M97" s="181"/>
      <c r="N97" s="181"/>
      <c r="O97" s="20"/>
      <c r="P97" s="19"/>
      <c r="Q97" s="10"/>
    </row>
    <row r="98" spans="2:17" ht="16.5"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47797.934984520121</v>
      </c>
      <c r="E100" s="32">
        <f t="shared" ref="E100:E111" si="28">IF(D100&lt;&gt;0,F100/D100,0)</f>
        <v>3.4027432011422181</v>
      </c>
      <c r="F100" s="23">
        <f>F24+F43+F62+F81</f>
        <v>162644.09829721361</v>
      </c>
      <c r="G100" s="10"/>
      <c r="H100" s="29">
        <f>H24+H43+H62+H81</f>
        <v>46951.953846153847</v>
      </c>
      <c r="I100" s="32">
        <f t="shared" ref="I100:I111" si="29">IF(H100&lt;&gt;0,J100/H100,0)</f>
        <v>0.79</v>
      </c>
      <c r="J100" s="23">
        <f>J24+J43+J62+J81</f>
        <v>37092.043538461541</v>
      </c>
      <c r="K100" s="10"/>
      <c r="L100" s="29">
        <f>L24+L43+L62+L81</f>
        <v>46951.938271604937</v>
      </c>
      <c r="M100" s="32">
        <f t="shared" ref="M100:M111" si="30">IF(L100&lt;&gt;0,N100/L100,0)</f>
        <v>1.7999999999999998</v>
      </c>
      <c r="N100" s="23">
        <f>N24+N43+N62+N81</f>
        <v>84513.488888888882</v>
      </c>
      <c r="O100" s="10"/>
      <c r="P100" s="23">
        <f t="shared" ref="P100:P111" si="31">J100+N100</f>
        <v>121605.53242735042</v>
      </c>
      <c r="Q100" s="10"/>
    </row>
    <row r="101" spans="2:17" ht="15.75" x14ac:dyDescent="0.25">
      <c r="B101" s="24" t="s">
        <v>127</v>
      </c>
      <c r="C101" s="10"/>
      <c r="D101" s="29">
        <f t="shared" ref="D101:D111" si="32">D25+D44+D63+D82</f>
        <v>31523.427244582042</v>
      </c>
      <c r="E101" s="32">
        <f t="shared" si="28"/>
        <v>3.41</v>
      </c>
      <c r="F101" s="23">
        <f t="shared" ref="F101:F111" si="33">F25+F44+F63+F82</f>
        <v>107494.88690402477</v>
      </c>
      <c r="G101" s="10"/>
      <c r="H101" s="29">
        <f t="shared" ref="H101:H111" si="34">H25+H44+H63+H82</f>
        <v>32751</v>
      </c>
      <c r="I101" s="32">
        <f t="shared" si="29"/>
        <v>0.79</v>
      </c>
      <c r="J101" s="23">
        <f t="shared" ref="J101:J111" si="35">J25+J44+J63+J82</f>
        <v>25873.29</v>
      </c>
      <c r="K101" s="10"/>
      <c r="L101" s="29">
        <f t="shared" ref="L101:L111" si="36">L25+L44+L63+L82</f>
        <v>32751</v>
      </c>
      <c r="M101" s="32">
        <f t="shared" si="30"/>
        <v>1.8</v>
      </c>
      <c r="N101" s="23">
        <f t="shared" ref="N101:N111" si="37">N25+N44+N63+N82</f>
        <v>58951.8</v>
      </c>
      <c r="O101" s="10"/>
      <c r="P101" s="23">
        <f t="shared" si="31"/>
        <v>84825.09</v>
      </c>
      <c r="Q101" s="10"/>
    </row>
    <row r="102" spans="2:17" ht="15.75" x14ac:dyDescent="0.25">
      <c r="B102" s="24" t="s">
        <v>128</v>
      </c>
      <c r="C102" s="10"/>
      <c r="D102" s="29">
        <f t="shared" si="32"/>
        <v>30523.572755417958</v>
      </c>
      <c r="E102" s="32">
        <f t="shared" si="28"/>
        <v>3.4022630289090885</v>
      </c>
      <c r="F102" s="23">
        <f t="shared" si="33"/>
        <v>103849.22309597523</v>
      </c>
      <c r="G102" s="10"/>
      <c r="H102" s="29">
        <f t="shared" si="34"/>
        <v>30188.19</v>
      </c>
      <c r="I102" s="32">
        <f t="shared" si="29"/>
        <v>0.79</v>
      </c>
      <c r="J102" s="23">
        <f t="shared" si="35"/>
        <v>23848.670099999999</v>
      </c>
      <c r="K102" s="10"/>
      <c r="L102" s="29">
        <f t="shared" si="36"/>
        <v>30188.19</v>
      </c>
      <c r="M102" s="32">
        <f t="shared" si="30"/>
        <v>1.8</v>
      </c>
      <c r="N102" s="23">
        <f t="shared" si="37"/>
        <v>54338.741999999998</v>
      </c>
      <c r="O102" s="10"/>
      <c r="P102" s="23">
        <f t="shared" si="31"/>
        <v>78187.412100000001</v>
      </c>
      <c r="Q102" s="10"/>
    </row>
    <row r="103" spans="2:17" ht="15.75" x14ac:dyDescent="0.25">
      <c r="B103" s="24" t="s">
        <v>129</v>
      </c>
      <c r="C103" s="10"/>
      <c r="D103" s="29">
        <f t="shared" si="32"/>
        <v>20433.978328173373</v>
      </c>
      <c r="E103" s="32">
        <f t="shared" si="28"/>
        <v>3.3941088213570096</v>
      </c>
      <c r="F103" s="23">
        <f t="shared" si="33"/>
        <v>69355.146099071208</v>
      </c>
      <c r="G103" s="10"/>
      <c r="H103" s="29">
        <f t="shared" si="34"/>
        <v>21442.5</v>
      </c>
      <c r="I103" s="32">
        <f t="shared" si="29"/>
        <v>0.79</v>
      </c>
      <c r="J103" s="23">
        <f t="shared" si="35"/>
        <v>16939.575000000001</v>
      </c>
      <c r="K103" s="10"/>
      <c r="L103" s="29">
        <f t="shared" si="36"/>
        <v>21442.5</v>
      </c>
      <c r="M103" s="32">
        <f t="shared" si="30"/>
        <v>1.8</v>
      </c>
      <c r="N103" s="23">
        <f t="shared" si="37"/>
        <v>38596.5</v>
      </c>
      <c r="O103" s="10"/>
      <c r="P103" s="23">
        <f t="shared" si="31"/>
        <v>55536.074999999997</v>
      </c>
      <c r="Q103" s="10"/>
    </row>
    <row r="104" spans="2:17" ht="15.75" x14ac:dyDescent="0.25">
      <c r="B104" s="24" t="s">
        <v>130</v>
      </c>
      <c r="C104" s="10"/>
      <c r="D104" s="29">
        <f t="shared" si="32"/>
        <v>17701.84520123839</v>
      </c>
      <c r="E104" s="32">
        <f t="shared" si="28"/>
        <v>3.3911002753556678</v>
      </c>
      <c r="F104" s="23">
        <f t="shared" si="33"/>
        <v>60028.732136222912</v>
      </c>
      <c r="G104" s="10"/>
      <c r="H104" s="29">
        <f t="shared" si="34"/>
        <v>18122.45</v>
      </c>
      <c r="I104" s="32">
        <f t="shared" si="29"/>
        <v>0.79</v>
      </c>
      <c r="J104" s="23">
        <f t="shared" si="35"/>
        <v>14316.735500000001</v>
      </c>
      <c r="K104" s="10"/>
      <c r="L104" s="29">
        <f t="shared" si="36"/>
        <v>18122.45</v>
      </c>
      <c r="M104" s="32">
        <f t="shared" si="30"/>
        <v>1.8</v>
      </c>
      <c r="N104" s="23">
        <f t="shared" si="37"/>
        <v>32620.410000000003</v>
      </c>
      <c r="O104" s="10"/>
      <c r="P104" s="23">
        <f t="shared" si="31"/>
        <v>46937.145500000006</v>
      </c>
      <c r="Q104" s="10"/>
    </row>
    <row r="105" spans="2:17" ht="15.75" x14ac:dyDescent="0.25">
      <c r="B105" s="24" t="s">
        <v>131</v>
      </c>
      <c r="C105" s="10"/>
      <c r="D105" s="29">
        <f t="shared" si="32"/>
        <v>32418.690402476783</v>
      </c>
      <c r="E105" s="32">
        <f t="shared" si="28"/>
        <v>3.3247843430532611</v>
      </c>
      <c r="F105" s="23">
        <f t="shared" si="33"/>
        <v>107785.15427244583</v>
      </c>
      <c r="G105" s="10"/>
      <c r="H105" s="29">
        <f t="shared" si="34"/>
        <v>27093.55</v>
      </c>
      <c r="I105" s="32">
        <f t="shared" si="29"/>
        <v>0.79</v>
      </c>
      <c r="J105" s="23">
        <f t="shared" si="35"/>
        <v>21403.904500000001</v>
      </c>
      <c r="K105" s="10"/>
      <c r="L105" s="29">
        <f t="shared" si="36"/>
        <v>27093.55</v>
      </c>
      <c r="M105" s="32">
        <f t="shared" si="30"/>
        <v>1.8</v>
      </c>
      <c r="N105" s="23">
        <f t="shared" si="37"/>
        <v>48768.39</v>
      </c>
      <c r="O105" s="10"/>
      <c r="P105" s="23">
        <f t="shared" si="31"/>
        <v>70172.294500000004</v>
      </c>
      <c r="Q105" s="10"/>
    </row>
    <row r="106" spans="2:17" ht="15.75" x14ac:dyDescent="0.25">
      <c r="B106" s="24" t="s">
        <v>132</v>
      </c>
      <c r="C106" s="10"/>
      <c r="D106" s="29">
        <f t="shared" si="32"/>
        <v>24633.102167182664</v>
      </c>
      <c r="E106" s="32">
        <f t="shared" si="28"/>
        <v>3.3800403142490434</v>
      </c>
      <c r="F106" s="23">
        <f t="shared" si="33"/>
        <v>83260.878390092883</v>
      </c>
      <c r="G106" s="10"/>
      <c r="H106" s="29">
        <f t="shared" si="34"/>
        <v>22833.1</v>
      </c>
      <c r="I106" s="32">
        <f t="shared" si="29"/>
        <v>0.79000000000000015</v>
      </c>
      <c r="J106" s="23">
        <f t="shared" si="35"/>
        <v>18038.149000000001</v>
      </c>
      <c r="K106" s="10"/>
      <c r="L106" s="29">
        <f t="shared" si="36"/>
        <v>22833.1</v>
      </c>
      <c r="M106" s="32">
        <f t="shared" si="30"/>
        <v>1.8000000000000003</v>
      </c>
      <c r="N106" s="23">
        <f t="shared" si="37"/>
        <v>41099.58</v>
      </c>
      <c r="O106" s="10"/>
      <c r="P106" s="23">
        <f t="shared" si="31"/>
        <v>59137.729000000007</v>
      </c>
      <c r="Q106" s="10"/>
    </row>
    <row r="107" spans="2:17" ht="15.75" x14ac:dyDescent="0.25">
      <c r="B107" s="24" t="s">
        <v>133</v>
      </c>
      <c r="C107" s="10"/>
      <c r="D107" s="29">
        <f t="shared" si="32"/>
        <v>29792.343653250773</v>
      </c>
      <c r="E107" s="32">
        <f t="shared" si="28"/>
        <v>3.3697050834948663</v>
      </c>
      <c r="F107" s="23">
        <f t="shared" si="33"/>
        <v>100391.41185758515</v>
      </c>
      <c r="G107" s="10"/>
      <c r="H107" s="29">
        <f t="shared" si="34"/>
        <v>27520.34</v>
      </c>
      <c r="I107" s="32">
        <f t="shared" si="29"/>
        <v>0.79</v>
      </c>
      <c r="J107" s="23">
        <f t="shared" si="35"/>
        <v>21741.068600000002</v>
      </c>
      <c r="K107" s="10"/>
      <c r="L107" s="29">
        <f t="shared" si="36"/>
        <v>27520.34</v>
      </c>
      <c r="M107" s="32">
        <f t="shared" si="30"/>
        <v>1.8</v>
      </c>
      <c r="N107" s="23">
        <f t="shared" si="37"/>
        <v>49536.612000000001</v>
      </c>
      <c r="O107" s="10"/>
      <c r="P107" s="23">
        <f t="shared" si="31"/>
        <v>71277.680600000007</v>
      </c>
      <c r="Q107" s="10"/>
    </row>
    <row r="108" spans="2:17" ht="15.75" x14ac:dyDescent="0.25">
      <c r="B108" s="24" t="s">
        <v>134</v>
      </c>
      <c r="C108" s="10"/>
      <c r="D108" s="29">
        <f t="shared" si="32"/>
        <v>23937.489164086688</v>
      </c>
      <c r="E108" s="32">
        <f t="shared" si="28"/>
        <v>3.3530667105201388</v>
      </c>
      <c r="F108" s="23">
        <f t="shared" si="33"/>
        <v>80263.998049535614</v>
      </c>
      <c r="G108" s="10"/>
      <c r="H108" s="29">
        <f t="shared" si="34"/>
        <v>21835.48</v>
      </c>
      <c r="I108" s="32">
        <f t="shared" si="29"/>
        <v>0.79</v>
      </c>
      <c r="J108" s="23">
        <f t="shared" si="35"/>
        <v>17250.029200000001</v>
      </c>
      <c r="K108" s="10"/>
      <c r="L108" s="29">
        <f t="shared" si="36"/>
        <v>21835.48</v>
      </c>
      <c r="M108" s="32">
        <f t="shared" si="30"/>
        <v>1.8</v>
      </c>
      <c r="N108" s="23">
        <f t="shared" si="37"/>
        <v>39303.864000000001</v>
      </c>
      <c r="O108" s="10"/>
      <c r="P108" s="23">
        <f t="shared" si="31"/>
        <v>56553.893200000006</v>
      </c>
      <c r="Q108" s="10"/>
    </row>
    <row r="109" spans="2:17" ht="15.75" x14ac:dyDescent="0.25">
      <c r="B109" s="24" t="s">
        <v>135</v>
      </c>
      <c r="C109" s="10"/>
      <c r="D109" s="29">
        <f t="shared" si="32"/>
        <v>25344.003095975229</v>
      </c>
      <c r="E109" s="32">
        <f t="shared" si="28"/>
        <v>3.3612736801947398</v>
      </c>
      <c r="F109" s="23">
        <f t="shared" si="33"/>
        <v>85188.130557275537</v>
      </c>
      <c r="G109" s="10"/>
      <c r="H109" s="29">
        <f t="shared" si="34"/>
        <v>22945.599999999999</v>
      </c>
      <c r="I109" s="32">
        <f t="shared" si="29"/>
        <v>0.79000000000000015</v>
      </c>
      <c r="J109" s="23">
        <f t="shared" si="35"/>
        <v>18127.024000000001</v>
      </c>
      <c r="K109" s="10"/>
      <c r="L109" s="29">
        <f t="shared" si="36"/>
        <v>22945.599999999999</v>
      </c>
      <c r="M109" s="32">
        <f t="shared" si="30"/>
        <v>1.8000000000000003</v>
      </c>
      <c r="N109" s="23">
        <f t="shared" si="37"/>
        <v>41302.080000000002</v>
      </c>
      <c r="O109" s="10"/>
      <c r="P109" s="23">
        <f t="shared" si="31"/>
        <v>59429.104000000007</v>
      </c>
      <c r="Q109" s="10"/>
    </row>
    <row r="110" spans="2:17" ht="15.75" x14ac:dyDescent="0.25">
      <c r="B110" s="24" t="s">
        <v>136</v>
      </c>
      <c r="C110" s="10"/>
      <c r="D110" s="29">
        <f t="shared" si="32"/>
        <v>28753.947368421053</v>
      </c>
      <c r="E110" s="32">
        <f t="shared" si="28"/>
        <v>3.41</v>
      </c>
      <c r="F110" s="23">
        <f t="shared" si="33"/>
        <v>98050.960526315801</v>
      </c>
      <c r="G110" s="10"/>
      <c r="H110" s="29">
        <f t="shared" si="34"/>
        <v>30303.34</v>
      </c>
      <c r="I110" s="32">
        <f t="shared" si="29"/>
        <v>0.79</v>
      </c>
      <c r="J110" s="23">
        <f t="shared" si="35"/>
        <v>23939.638600000002</v>
      </c>
      <c r="K110" s="10"/>
      <c r="L110" s="29">
        <f t="shared" si="36"/>
        <v>30303.34</v>
      </c>
      <c r="M110" s="32">
        <f t="shared" si="30"/>
        <v>1.8</v>
      </c>
      <c r="N110" s="23">
        <f t="shared" si="37"/>
        <v>54546.012000000002</v>
      </c>
      <c r="O110" s="10"/>
      <c r="P110" s="23">
        <f t="shared" si="31"/>
        <v>78485.650600000008</v>
      </c>
      <c r="Q110" s="10"/>
    </row>
    <row r="111" spans="2:17" ht="15.75" x14ac:dyDescent="0.25">
      <c r="B111" s="24" t="s">
        <v>137</v>
      </c>
      <c r="C111" s="10"/>
      <c r="D111" s="29">
        <f t="shared" si="32"/>
        <v>31150.123839009291</v>
      </c>
      <c r="E111" s="32">
        <f t="shared" si="28"/>
        <v>3.4047878216844625</v>
      </c>
      <c r="F111" s="23">
        <f t="shared" si="33"/>
        <v>106059.56229102169</v>
      </c>
      <c r="G111" s="10"/>
      <c r="H111" s="29">
        <f t="shared" si="34"/>
        <v>31007.18</v>
      </c>
      <c r="I111" s="32">
        <f t="shared" si="29"/>
        <v>0.79</v>
      </c>
      <c r="J111" s="23">
        <f t="shared" si="35"/>
        <v>24495.672200000001</v>
      </c>
      <c r="K111" s="10"/>
      <c r="L111" s="29">
        <f t="shared" si="36"/>
        <v>31007.18</v>
      </c>
      <c r="M111" s="32">
        <f t="shared" si="30"/>
        <v>1.8</v>
      </c>
      <c r="N111" s="23">
        <f t="shared" si="37"/>
        <v>55812.923999999999</v>
      </c>
      <c r="O111" s="10"/>
      <c r="P111" s="23">
        <f t="shared" si="31"/>
        <v>80308.5962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344010.45820433437</v>
      </c>
      <c r="E113" s="27">
        <f>IF(D113&lt;&gt;0,F113/D113,0)</f>
        <v>3.3846999552123198</v>
      </c>
      <c r="F113" s="28">
        <f>SUM(F100:F111)</f>
        <v>1164372.1824767801</v>
      </c>
      <c r="G113" s="10"/>
      <c r="H113" s="26">
        <f>SUM(H100:H111)</f>
        <v>332994.6838461539</v>
      </c>
      <c r="I113" s="27">
        <f>IF(H113&lt;&gt;0,J113/H113,0)</f>
        <v>0.78999999999999981</v>
      </c>
      <c r="J113" s="28">
        <f>SUM(J100:J111)</f>
        <v>263065.80023846152</v>
      </c>
      <c r="K113" s="10"/>
      <c r="L113" s="26">
        <f>SUM(L100:L111)</f>
        <v>332994.66827160498</v>
      </c>
      <c r="M113" s="27">
        <f>IF(L113&lt;&gt;0,N113/L113,0)</f>
        <v>1.8</v>
      </c>
      <c r="N113" s="28">
        <f>SUM(N100:N111)</f>
        <v>599390.40288888896</v>
      </c>
      <c r="O113" s="10"/>
      <c r="P113" s="28">
        <f>SUM(P100:P111)</f>
        <v>862456.20312735066</v>
      </c>
      <c r="Q113" s="10"/>
    </row>
    <row r="115" spans="2:17" x14ac:dyDescent="0.2">
      <c r="N115" s="88" t="s">
        <v>216</v>
      </c>
      <c r="P115" s="90">
        <f>'5. UTRs and Sub-Transmission'!G95</f>
        <v>0</v>
      </c>
    </row>
    <row r="117" spans="2:17" ht="13.5" thickBot="1" x14ac:dyDescent="0.25">
      <c r="N117" s="89" t="s">
        <v>217</v>
      </c>
      <c r="P117" s="28">
        <f>P113+P115</f>
        <v>862456.20312735066</v>
      </c>
    </row>
  </sheetData>
  <sheetProtection password="F8BD"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128" activePane="bottomLeft" state="frozenSplit"/>
      <selection activeCell="I48" sqref="I48"/>
      <selection pane="bottomLeft" activeCell="P113" sqref="P113"/>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79" t="s">
        <v>244</v>
      </c>
      <c r="C13" s="179"/>
      <c r="D13" s="179"/>
      <c r="E13" s="179"/>
      <c r="F13" s="179"/>
      <c r="G13" s="179"/>
      <c r="H13" s="179"/>
      <c r="I13" s="179"/>
      <c r="J13" s="179"/>
      <c r="K13" s="179"/>
      <c r="L13" s="179"/>
      <c r="M13" s="179"/>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194</v>
      </c>
      <c r="C20" s="72"/>
      <c r="D20" s="180" t="s">
        <v>195</v>
      </c>
      <c r="E20" s="180"/>
      <c r="F20" s="180"/>
      <c r="G20" s="72"/>
      <c r="H20" s="180" t="s">
        <v>198</v>
      </c>
      <c r="I20" s="180"/>
      <c r="J20" s="180"/>
      <c r="K20" s="72"/>
      <c r="L20" s="180" t="s">
        <v>197</v>
      </c>
      <c r="M20" s="180"/>
      <c r="N20" s="180"/>
      <c r="O20" s="72"/>
      <c r="P20" s="73" t="s">
        <v>196</v>
      </c>
      <c r="Q20" s="10"/>
    </row>
    <row r="21" spans="2:17" ht="15.75" x14ac:dyDescent="0.25">
      <c r="B21" s="10"/>
      <c r="C21" s="10"/>
      <c r="D21" s="181"/>
      <c r="E21" s="181"/>
      <c r="F21" s="181"/>
      <c r="G21" s="20"/>
      <c r="H21" s="181"/>
      <c r="I21" s="181"/>
      <c r="J21" s="181"/>
      <c r="K21" s="20"/>
      <c r="L21" s="181"/>
      <c r="M21" s="181"/>
      <c r="N21" s="181"/>
      <c r="O21" s="10"/>
      <c r="P21" s="19"/>
      <c r="Q21" s="17"/>
    </row>
    <row r="22" spans="2:17" ht="16.5" x14ac:dyDescent="0.3">
      <c r="B22" s="21" t="s">
        <v>123</v>
      </c>
      <c r="C22" s="15"/>
      <c r="D22" s="22" t="s">
        <v>124</v>
      </c>
      <c r="E22" s="22" t="s">
        <v>114</v>
      </c>
      <c r="F22" s="22" t="s">
        <v>125</v>
      </c>
      <c r="G22" s="15"/>
      <c r="H22" s="22" t="s">
        <v>124</v>
      </c>
      <c r="I22" s="22" t="s">
        <v>114</v>
      </c>
      <c r="J22" s="22" t="s">
        <v>125</v>
      </c>
      <c r="K22" s="15"/>
      <c r="L22" s="22" t="s">
        <v>124</v>
      </c>
      <c r="M22" s="22" t="s">
        <v>114</v>
      </c>
      <c r="N22" s="22" t="s">
        <v>125</v>
      </c>
      <c r="O22" s="15"/>
      <c r="P22" s="22" t="s">
        <v>125</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126</v>
      </c>
      <c r="C24" s="10"/>
      <c r="D24" s="33">
        <f>'6. Historical Wholesale'!D24</f>
        <v>0</v>
      </c>
      <c r="E24" s="34">
        <f>'5. UTRs and Sub-Transmission'!I22</f>
        <v>3.78</v>
      </c>
      <c r="F24" s="35">
        <f t="shared" ref="F24:F35" si="0">D24*E24</f>
        <v>0</v>
      </c>
      <c r="G24" s="10"/>
      <c r="H24" s="33">
        <f>'6. Historical Wholesale'!H24</f>
        <v>0</v>
      </c>
      <c r="I24" s="34">
        <f>'5. UTRs and Sub-Transmission'!I24</f>
        <v>0.86</v>
      </c>
      <c r="J24" s="35">
        <f t="shared" ref="J24:J35" si="1">H24*I24</f>
        <v>0</v>
      </c>
      <c r="K24" s="10"/>
      <c r="L24" s="33">
        <f>'6. Historical Wholesale'!L24</f>
        <v>0</v>
      </c>
      <c r="M24" s="34">
        <f>'5. UTRs and Sub-Transmission'!I26</f>
        <v>2</v>
      </c>
      <c r="N24" s="35">
        <f t="shared" ref="N24:N35" si="2">L24*M24</f>
        <v>0</v>
      </c>
      <c r="O24" s="10"/>
      <c r="P24" s="23">
        <f t="shared" ref="P24:P35" si="3">J24+N24</f>
        <v>0</v>
      </c>
      <c r="Q24" s="10"/>
    </row>
    <row r="25" spans="2:17" ht="15.75" x14ac:dyDescent="0.25">
      <c r="B25" s="24" t="s">
        <v>127</v>
      </c>
      <c r="C25" s="10"/>
      <c r="D25" s="33">
        <f>'6. Historical Wholesale'!D25</f>
        <v>0</v>
      </c>
      <c r="E25" s="34">
        <f t="shared" ref="E25:E35" si="4">E24</f>
        <v>3.78</v>
      </c>
      <c r="F25" s="35">
        <f t="shared" si="0"/>
        <v>0</v>
      </c>
      <c r="G25" s="10"/>
      <c r="H25" s="33">
        <f>'6. Historical Wholesale'!H25</f>
        <v>0</v>
      </c>
      <c r="I25" s="34">
        <f t="shared" ref="I25:I35" si="5">I24</f>
        <v>0.86</v>
      </c>
      <c r="J25" s="35">
        <f t="shared" si="1"/>
        <v>0</v>
      </c>
      <c r="K25" s="10"/>
      <c r="L25" s="33">
        <f>'6. Historical Wholesale'!L25</f>
        <v>0</v>
      </c>
      <c r="M25" s="34">
        <f t="shared" ref="M25:M35" si="6">M24</f>
        <v>2</v>
      </c>
      <c r="N25" s="35">
        <f t="shared" si="2"/>
        <v>0</v>
      </c>
      <c r="O25" s="10"/>
      <c r="P25" s="23">
        <f t="shared" si="3"/>
        <v>0</v>
      </c>
      <c r="Q25" s="10"/>
    </row>
    <row r="26" spans="2:17" ht="15.75" x14ac:dyDescent="0.25">
      <c r="B26" s="24" t="s">
        <v>128</v>
      </c>
      <c r="C26" s="10"/>
      <c r="D26" s="33">
        <f>'6. Historical Wholesale'!D26</f>
        <v>0</v>
      </c>
      <c r="E26" s="34">
        <f t="shared" si="4"/>
        <v>3.78</v>
      </c>
      <c r="F26" s="35">
        <f t="shared" si="0"/>
        <v>0</v>
      </c>
      <c r="G26" s="10"/>
      <c r="H26" s="33">
        <f>'6. Historical Wholesale'!H26</f>
        <v>0</v>
      </c>
      <c r="I26" s="34">
        <f t="shared" si="5"/>
        <v>0.86</v>
      </c>
      <c r="J26" s="35">
        <f t="shared" si="1"/>
        <v>0</v>
      </c>
      <c r="K26" s="10"/>
      <c r="L26" s="33">
        <f>'6. Historical Wholesale'!L26</f>
        <v>0</v>
      </c>
      <c r="M26" s="34">
        <f t="shared" si="6"/>
        <v>2</v>
      </c>
      <c r="N26" s="35">
        <f t="shared" si="2"/>
        <v>0</v>
      </c>
      <c r="O26" s="10"/>
      <c r="P26" s="23">
        <f t="shared" si="3"/>
        <v>0</v>
      </c>
      <c r="Q26" s="10"/>
    </row>
    <row r="27" spans="2:17" ht="15.75" x14ac:dyDescent="0.25">
      <c r="B27" s="24" t="s">
        <v>129</v>
      </c>
      <c r="C27" s="10"/>
      <c r="D27" s="33">
        <f>'6. Historical Wholesale'!D27</f>
        <v>0</v>
      </c>
      <c r="E27" s="34">
        <f t="shared" si="4"/>
        <v>3.78</v>
      </c>
      <c r="F27" s="35">
        <f t="shared" si="0"/>
        <v>0</v>
      </c>
      <c r="G27" s="10"/>
      <c r="H27" s="33">
        <f>'6. Historical Wholesale'!H27</f>
        <v>0</v>
      </c>
      <c r="I27" s="34">
        <f t="shared" si="5"/>
        <v>0.86</v>
      </c>
      <c r="J27" s="35">
        <f t="shared" si="1"/>
        <v>0</v>
      </c>
      <c r="K27" s="10"/>
      <c r="L27" s="33">
        <f>'6. Historical Wholesale'!L27</f>
        <v>0</v>
      </c>
      <c r="M27" s="34">
        <f t="shared" si="6"/>
        <v>2</v>
      </c>
      <c r="N27" s="35">
        <f t="shared" si="2"/>
        <v>0</v>
      </c>
      <c r="O27" s="10"/>
      <c r="P27" s="23">
        <f t="shared" si="3"/>
        <v>0</v>
      </c>
      <c r="Q27" s="10"/>
    </row>
    <row r="28" spans="2:17" ht="15.75" x14ac:dyDescent="0.25">
      <c r="B28" s="24" t="s">
        <v>130</v>
      </c>
      <c r="C28" s="10"/>
      <c r="D28" s="33">
        <f>'6. Historical Wholesale'!D28</f>
        <v>0</v>
      </c>
      <c r="E28" s="34">
        <f t="shared" si="4"/>
        <v>3.78</v>
      </c>
      <c r="F28" s="35">
        <f t="shared" si="0"/>
        <v>0</v>
      </c>
      <c r="G28" s="10"/>
      <c r="H28" s="33">
        <f>'6. Historical Wholesale'!H28</f>
        <v>0</v>
      </c>
      <c r="I28" s="34">
        <f t="shared" si="5"/>
        <v>0.86</v>
      </c>
      <c r="J28" s="35">
        <f t="shared" si="1"/>
        <v>0</v>
      </c>
      <c r="K28" s="10"/>
      <c r="L28" s="33">
        <f>'6. Historical Wholesale'!L28</f>
        <v>0</v>
      </c>
      <c r="M28" s="34">
        <f t="shared" si="6"/>
        <v>2</v>
      </c>
      <c r="N28" s="35">
        <f t="shared" si="2"/>
        <v>0</v>
      </c>
      <c r="O28" s="10"/>
      <c r="P28" s="23">
        <f t="shared" si="3"/>
        <v>0</v>
      </c>
      <c r="Q28" s="10"/>
    </row>
    <row r="29" spans="2:17" ht="15.75" x14ac:dyDescent="0.25">
      <c r="B29" s="24" t="s">
        <v>131</v>
      </c>
      <c r="C29" s="10"/>
      <c r="D29" s="33">
        <f>'6. Historical Wholesale'!D29</f>
        <v>0</v>
      </c>
      <c r="E29" s="34">
        <f t="shared" si="4"/>
        <v>3.78</v>
      </c>
      <c r="F29" s="35">
        <f t="shared" si="0"/>
        <v>0</v>
      </c>
      <c r="G29" s="10"/>
      <c r="H29" s="33">
        <f>'6. Historical Wholesale'!H29</f>
        <v>0</v>
      </c>
      <c r="I29" s="34">
        <f t="shared" si="5"/>
        <v>0.86</v>
      </c>
      <c r="J29" s="35">
        <f t="shared" si="1"/>
        <v>0</v>
      </c>
      <c r="K29" s="10"/>
      <c r="L29" s="33">
        <f>'6. Historical Wholesale'!L29</f>
        <v>0</v>
      </c>
      <c r="M29" s="34">
        <f t="shared" si="6"/>
        <v>2</v>
      </c>
      <c r="N29" s="35">
        <f t="shared" si="2"/>
        <v>0</v>
      </c>
      <c r="O29" s="10"/>
      <c r="P29" s="23">
        <f t="shared" si="3"/>
        <v>0</v>
      </c>
      <c r="Q29" s="10"/>
    </row>
    <row r="30" spans="2:17" ht="15.75" x14ac:dyDescent="0.25">
      <c r="B30" s="24" t="s">
        <v>132</v>
      </c>
      <c r="C30" s="10"/>
      <c r="D30" s="33">
        <f>'6. Historical Wholesale'!D30</f>
        <v>0</v>
      </c>
      <c r="E30" s="34">
        <f t="shared" si="4"/>
        <v>3.78</v>
      </c>
      <c r="F30" s="35">
        <f t="shared" si="0"/>
        <v>0</v>
      </c>
      <c r="G30" s="10"/>
      <c r="H30" s="33">
        <f>'6. Historical Wholesale'!H30</f>
        <v>0</v>
      </c>
      <c r="I30" s="34">
        <f t="shared" si="5"/>
        <v>0.86</v>
      </c>
      <c r="J30" s="35">
        <f t="shared" si="1"/>
        <v>0</v>
      </c>
      <c r="K30" s="10"/>
      <c r="L30" s="33">
        <f>'6. Historical Wholesale'!L30</f>
        <v>0</v>
      </c>
      <c r="M30" s="34">
        <f t="shared" si="6"/>
        <v>2</v>
      </c>
      <c r="N30" s="35">
        <f t="shared" si="2"/>
        <v>0</v>
      </c>
      <c r="O30" s="10"/>
      <c r="P30" s="23">
        <f t="shared" si="3"/>
        <v>0</v>
      </c>
      <c r="Q30" s="10"/>
    </row>
    <row r="31" spans="2:17" ht="15.75" x14ac:dyDescent="0.25">
      <c r="B31" s="24" t="s">
        <v>133</v>
      </c>
      <c r="C31" s="10"/>
      <c r="D31" s="33">
        <f>'6. Historical Wholesale'!D31</f>
        <v>0</v>
      </c>
      <c r="E31" s="34">
        <f t="shared" si="4"/>
        <v>3.78</v>
      </c>
      <c r="F31" s="35">
        <f t="shared" si="0"/>
        <v>0</v>
      </c>
      <c r="G31" s="10"/>
      <c r="H31" s="33">
        <f>'6. Historical Wholesale'!H31</f>
        <v>0</v>
      </c>
      <c r="I31" s="34">
        <f t="shared" si="5"/>
        <v>0.86</v>
      </c>
      <c r="J31" s="35">
        <f t="shared" si="1"/>
        <v>0</v>
      </c>
      <c r="K31" s="10"/>
      <c r="L31" s="33">
        <f>'6. Historical Wholesale'!L31</f>
        <v>0</v>
      </c>
      <c r="M31" s="34">
        <f t="shared" si="6"/>
        <v>2</v>
      </c>
      <c r="N31" s="35">
        <f t="shared" si="2"/>
        <v>0</v>
      </c>
      <c r="O31" s="10"/>
      <c r="P31" s="23">
        <f t="shared" si="3"/>
        <v>0</v>
      </c>
      <c r="Q31" s="10"/>
    </row>
    <row r="32" spans="2:17" ht="15.75" x14ac:dyDescent="0.25">
      <c r="B32" s="24" t="s">
        <v>134</v>
      </c>
      <c r="C32" s="10"/>
      <c r="D32" s="33">
        <f>'6. Historical Wholesale'!D32</f>
        <v>0</v>
      </c>
      <c r="E32" s="34">
        <f t="shared" si="4"/>
        <v>3.78</v>
      </c>
      <c r="F32" s="35">
        <f t="shared" si="0"/>
        <v>0</v>
      </c>
      <c r="G32" s="10"/>
      <c r="H32" s="33">
        <f>'6. Historical Wholesale'!H32</f>
        <v>0</v>
      </c>
      <c r="I32" s="34">
        <f t="shared" si="5"/>
        <v>0.86</v>
      </c>
      <c r="J32" s="35">
        <f t="shared" si="1"/>
        <v>0</v>
      </c>
      <c r="K32" s="10"/>
      <c r="L32" s="33">
        <f>'6. Historical Wholesale'!L32</f>
        <v>0</v>
      </c>
      <c r="M32" s="34">
        <f t="shared" si="6"/>
        <v>2</v>
      </c>
      <c r="N32" s="35">
        <f t="shared" si="2"/>
        <v>0</v>
      </c>
      <c r="O32" s="10"/>
      <c r="P32" s="23">
        <f t="shared" si="3"/>
        <v>0</v>
      </c>
      <c r="Q32" s="10"/>
    </row>
    <row r="33" spans="2:17" ht="15.75" x14ac:dyDescent="0.25">
      <c r="B33" s="24" t="s">
        <v>135</v>
      </c>
      <c r="C33" s="10"/>
      <c r="D33" s="33">
        <f>'6. Historical Wholesale'!D33</f>
        <v>0</v>
      </c>
      <c r="E33" s="34">
        <f t="shared" si="4"/>
        <v>3.78</v>
      </c>
      <c r="F33" s="35">
        <f t="shared" si="0"/>
        <v>0</v>
      </c>
      <c r="G33" s="10"/>
      <c r="H33" s="33">
        <f>'6. Historical Wholesale'!H33</f>
        <v>0</v>
      </c>
      <c r="I33" s="34">
        <f t="shared" si="5"/>
        <v>0.86</v>
      </c>
      <c r="J33" s="35">
        <f t="shared" si="1"/>
        <v>0</v>
      </c>
      <c r="K33" s="10"/>
      <c r="L33" s="33">
        <f>'6. Historical Wholesale'!L33</f>
        <v>0</v>
      </c>
      <c r="M33" s="34">
        <f t="shared" si="6"/>
        <v>2</v>
      </c>
      <c r="N33" s="35">
        <f t="shared" si="2"/>
        <v>0</v>
      </c>
      <c r="O33" s="10"/>
      <c r="P33" s="23">
        <f t="shared" si="3"/>
        <v>0</v>
      </c>
      <c r="Q33" s="10"/>
    </row>
    <row r="34" spans="2:17" ht="15.75" x14ac:dyDescent="0.25">
      <c r="B34" s="24" t="s">
        <v>136</v>
      </c>
      <c r="C34" s="10"/>
      <c r="D34" s="33">
        <f>'6. Historical Wholesale'!D34</f>
        <v>0</v>
      </c>
      <c r="E34" s="34">
        <f t="shared" si="4"/>
        <v>3.78</v>
      </c>
      <c r="F34" s="35">
        <f t="shared" si="0"/>
        <v>0</v>
      </c>
      <c r="G34" s="10"/>
      <c r="H34" s="33">
        <f>'6. Historical Wholesale'!H34</f>
        <v>0</v>
      </c>
      <c r="I34" s="34">
        <f t="shared" si="5"/>
        <v>0.86</v>
      </c>
      <c r="J34" s="35">
        <f t="shared" si="1"/>
        <v>0</v>
      </c>
      <c r="K34" s="10"/>
      <c r="L34" s="33">
        <f>'6. Historical Wholesale'!L34</f>
        <v>0</v>
      </c>
      <c r="M34" s="34">
        <f t="shared" si="6"/>
        <v>2</v>
      </c>
      <c r="N34" s="35">
        <f t="shared" si="2"/>
        <v>0</v>
      </c>
      <c r="O34" s="10"/>
      <c r="P34" s="23">
        <f t="shared" si="3"/>
        <v>0</v>
      </c>
      <c r="Q34" s="10"/>
    </row>
    <row r="35" spans="2:17" ht="15.75" x14ac:dyDescent="0.25">
      <c r="B35" s="24" t="s">
        <v>137</v>
      </c>
      <c r="C35" s="10"/>
      <c r="D35" s="33">
        <f>'6. Historical Wholesale'!D35</f>
        <v>0</v>
      </c>
      <c r="E35" s="34">
        <f t="shared" si="4"/>
        <v>3.78</v>
      </c>
      <c r="F35" s="35">
        <f t="shared" si="0"/>
        <v>0</v>
      </c>
      <c r="G35" s="10"/>
      <c r="H35" s="33">
        <f>'6. Historical Wholesale'!H35</f>
        <v>0</v>
      </c>
      <c r="I35" s="34">
        <f t="shared" si="5"/>
        <v>0.86</v>
      </c>
      <c r="J35" s="35">
        <f t="shared" si="1"/>
        <v>0</v>
      </c>
      <c r="K35" s="10"/>
      <c r="L35" s="33">
        <f>'6. Historical Wholesale'!L35</f>
        <v>0</v>
      </c>
      <c r="M35" s="34">
        <f t="shared" si="6"/>
        <v>2</v>
      </c>
      <c r="N35" s="35">
        <f t="shared" si="2"/>
        <v>0</v>
      </c>
      <c r="O35" s="10"/>
      <c r="P35" s="23">
        <f t="shared" si="3"/>
        <v>0</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138</v>
      </c>
      <c r="C37" s="10"/>
      <c r="D37" s="26">
        <f>SUM(D24:D35)</f>
        <v>0</v>
      </c>
      <c r="E37" s="27">
        <f>IF(D37&lt;&gt;0,F37/D37,0)</f>
        <v>0</v>
      </c>
      <c r="F37" s="28">
        <f>SUM(F24:F35)</f>
        <v>0</v>
      </c>
      <c r="G37" s="10"/>
      <c r="H37" s="26">
        <f>SUM(H24:H35)</f>
        <v>0</v>
      </c>
      <c r="I37" s="27">
        <f>IF(H37&lt;&gt;0,J37/H37,0)</f>
        <v>0</v>
      </c>
      <c r="J37" s="28">
        <f>SUM(J24:J35)</f>
        <v>0</v>
      </c>
      <c r="K37" s="10"/>
      <c r="L37" s="26">
        <f>SUM(L24:L35)</f>
        <v>0</v>
      </c>
      <c r="M37" s="27">
        <f>IF(L37&lt;&gt;0,N37/L37,0)</f>
        <v>0</v>
      </c>
      <c r="N37" s="28">
        <f>SUM(N24:N35)</f>
        <v>0</v>
      </c>
      <c r="O37" s="10"/>
      <c r="P37" s="28">
        <f>SUM(P24:P35)</f>
        <v>0</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199</v>
      </c>
      <c r="C39" s="10"/>
      <c r="D39" s="180" t="s">
        <v>195</v>
      </c>
      <c r="E39" s="180"/>
      <c r="F39" s="180"/>
      <c r="G39" s="72"/>
      <c r="H39" s="180" t="s">
        <v>198</v>
      </c>
      <c r="I39" s="180"/>
      <c r="J39" s="180"/>
      <c r="K39" s="72"/>
      <c r="L39" s="180" t="s">
        <v>197</v>
      </c>
      <c r="M39" s="180"/>
      <c r="N39" s="180"/>
      <c r="O39" s="72"/>
      <c r="P39" s="73" t="s">
        <v>196</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123</v>
      </c>
      <c r="C41" s="15"/>
      <c r="D41" s="22" t="s">
        <v>124</v>
      </c>
      <c r="E41" s="22" t="s">
        <v>114</v>
      </c>
      <c r="F41" s="22" t="s">
        <v>125</v>
      </c>
      <c r="G41" s="15"/>
      <c r="H41" s="22" t="s">
        <v>124</v>
      </c>
      <c r="I41" s="22" t="s">
        <v>114</v>
      </c>
      <c r="J41" s="22" t="s">
        <v>125</v>
      </c>
      <c r="K41" s="15"/>
      <c r="L41" s="22" t="s">
        <v>124</v>
      </c>
      <c r="M41" s="22" t="s">
        <v>114</v>
      </c>
      <c r="N41" s="22" t="s">
        <v>125</v>
      </c>
      <c r="O41" s="15"/>
      <c r="P41" s="22" t="s">
        <v>125</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126</v>
      </c>
      <c r="C43" s="10"/>
      <c r="D43" s="33">
        <f>'6. Historical Wholesale'!D43</f>
        <v>46951.934984520121</v>
      </c>
      <c r="E43" s="34">
        <f>'5. UTRs and Sub-Transmission'!I35+'5. UTRs and Sub-Transmission'!I79</f>
        <v>3.41</v>
      </c>
      <c r="F43" s="35">
        <f t="shared" ref="F43:F54" si="7">D43*E43</f>
        <v>160106.09829721361</v>
      </c>
      <c r="G43" s="10"/>
      <c r="H43" s="33">
        <f>'6. Historical Wholesale'!H43</f>
        <v>46951.953846153847</v>
      </c>
      <c r="I43" s="34">
        <f>'5. UTRs and Sub-Transmission'!I37+'5. UTRs and Sub-Transmission'!I81</f>
        <v>0.79</v>
      </c>
      <c r="J43" s="35">
        <f t="shared" ref="J43:J54" si="8">H43*I43</f>
        <v>37092.043538461541</v>
      </c>
      <c r="K43" s="10"/>
      <c r="L43" s="33">
        <f>'6. Historical Wholesale'!L43</f>
        <v>46951.938271604937</v>
      </c>
      <c r="M43" s="34">
        <f>'5. UTRs and Sub-Transmission'!I39</f>
        <v>1.8</v>
      </c>
      <c r="N43" s="35">
        <f t="shared" ref="N43:N54" si="9">L43*M43</f>
        <v>84513.488888888882</v>
      </c>
      <c r="O43" s="10"/>
      <c r="P43" s="23">
        <f t="shared" ref="P43:P54" si="10">J43+N43</f>
        <v>121605.53242735042</v>
      </c>
      <c r="Q43" s="10"/>
    </row>
    <row r="44" spans="2:17" ht="15.75" x14ac:dyDescent="0.25">
      <c r="B44" s="24" t="s">
        <v>127</v>
      </c>
      <c r="C44" s="10"/>
      <c r="D44" s="33">
        <f>'6. Historical Wholesale'!D44</f>
        <v>31523.427244582042</v>
      </c>
      <c r="E44" s="34">
        <f t="shared" ref="E44:E54" si="11">E43</f>
        <v>3.41</v>
      </c>
      <c r="F44" s="35">
        <f t="shared" si="7"/>
        <v>107494.88690402477</v>
      </c>
      <c r="G44" s="10"/>
      <c r="H44" s="33">
        <f>'6. Historical Wholesale'!H44</f>
        <v>32751</v>
      </c>
      <c r="I44" s="34">
        <f t="shared" ref="I44:I54" si="12">I43</f>
        <v>0.79</v>
      </c>
      <c r="J44" s="35">
        <f t="shared" si="8"/>
        <v>25873.29</v>
      </c>
      <c r="K44" s="10"/>
      <c r="L44" s="33">
        <f>'6. Historical Wholesale'!L44</f>
        <v>32751</v>
      </c>
      <c r="M44" s="34">
        <f t="shared" ref="M44:M54" si="13">M43</f>
        <v>1.8</v>
      </c>
      <c r="N44" s="35">
        <f t="shared" si="9"/>
        <v>58951.8</v>
      </c>
      <c r="O44" s="10"/>
      <c r="P44" s="23">
        <f t="shared" si="10"/>
        <v>84825.09</v>
      </c>
      <c r="Q44" s="10"/>
    </row>
    <row r="45" spans="2:17" ht="15.75" x14ac:dyDescent="0.25">
      <c r="B45" s="24" t="s">
        <v>128</v>
      </c>
      <c r="C45" s="10"/>
      <c r="D45" s="33">
        <f>'6. Historical Wholesale'!D45</f>
        <v>29947.572755417958</v>
      </c>
      <c r="E45" s="34">
        <f t="shared" si="11"/>
        <v>3.41</v>
      </c>
      <c r="F45" s="35">
        <f t="shared" si="7"/>
        <v>102121.22309597523</v>
      </c>
      <c r="G45" s="10"/>
      <c r="H45" s="33">
        <f>'6. Historical Wholesale'!H45</f>
        <v>30188.19</v>
      </c>
      <c r="I45" s="34">
        <f t="shared" si="12"/>
        <v>0.79</v>
      </c>
      <c r="J45" s="35">
        <f t="shared" si="8"/>
        <v>23848.670099999999</v>
      </c>
      <c r="K45" s="10"/>
      <c r="L45" s="33">
        <f>'6. Historical Wholesale'!L45</f>
        <v>30188.19</v>
      </c>
      <c r="M45" s="34">
        <f t="shared" si="13"/>
        <v>1.8</v>
      </c>
      <c r="N45" s="35">
        <f t="shared" si="9"/>
        <v>54338.741999999998</v>
      </c>
      <c r="O45" s="10"/>
      <c r="P45" s="23">
        <f t="shared" si="10"/>
        <v>78187.412100000001</v>
      </c>
      <c r="Q45" s="10"/>
    </row>
    <row r="46" spans="2:17" ht="15.75" x14ac:dyDescent="0.25">
      <c r="B46" s="24" t="s">
        <v>129</v>
      </c>
      <c r="C46" s="10"/>
      <c r="D46" s="33">
        <f>'6. Historical Wholesale'!D46</f>
        <v>19641.978328173373</v>
      </c>
      <c r="E46" s="34">
        <f t="shared" si="11"/>
        <v>3.41</v>
      </c>
      <c r="F46" s="35">
        <f t="shared" si="7"/>
        <v>66979.146099071208</v>
      </c>
      <c r="G46" s="10"/>
      <c r="H46" s="33">
        <f>'6. Historical Wholesale'!H46</f>
        <v>21442.5</v>
      </c>
      <c r="I46" s="34">
        <f t="shared" si="12"/>
        <v>0.79</v>
      </c>
      <c r="J46" s="35">
        <f t="shared" si="8"/>
        <v>16939.575000000001</v>
      </c>
      <c r="K46" s="10"/>
      <c r="L46" s="33">
        <f>'6. Historical Wholesale'!L46</f>
        <v>21442.5</v>
      </c>
      <c r="M46" s="34">
        <f t="shared" si="13"/>
        <v>1.8</v>
      </c>
      <c r="N46" s="35">
        <f t="shared" si="9"/>
        <v>38596.5</v>
      </c>
      <c r="O46" s="10"/>
      <c r="P46" s="23">
        <f t="shared" si="10"/>
        <v>55536.074999999997</v>
      </c>
      <c r="Q46" s="10"/>
    </row>
    <row r="47" spans="2:17" ht="15.75" x14ac:dyDescent="0.25">
      <c r="B47" s="24" t="s">
        <v>130</v>
      </c>
      <c r="C47" s="10"/>
      <c r="D47" s="33">
        <f>'6. Historical Wholesale'!D47</f>
        <v>16885.84520123839</v>
      </c>
      <c r="E47" s="34">
        <f t="shared" si="11"/>
        <v>3.41</v>
      </c>
      <c r="F47" s="35">
        <f t="shared" si="7"/>
        <v>57580.732136222912</v>
      </c>
      <c r="G47" s="10"/>
      <c r="H47" s="33">
        <f>'6. Historical Wholesale'!H47</f>
        <v>18122.45</v>
      </c>
      <c r="I47" s="34">
        <f t="shared" si="12"/>
        <v>0.79</v>
      </c>
      <c r="J47" s="35">
        <f t="shared" si="8"/>
        <v>14316.735500000001</v>
      </c>
      <c r="K47" s="10"/>
      <c r="L47" s="33">
        <f>'6. Historical Wholesale'!L47</f>
        <v>18122.45</v>
      </c>
      <c r="M47" s="34">
        <f t="shared" si="13"/>
        <v>1.8</v>
      </c>
      <c r="N47" s="35">
        <f t="shared" si="9"/>
        <v>32620.410000000003</v>
      </c>
      <c r="O47" s="10"/>
      <c r="P47" s="23">
        <f t="shared" si="10"/>
        <v>46937.145500000006</v>
      </c>
      <c r="Q47" s="10"/>
    </row>
    <row r="48" spans="2:17" ht="15.75" x14ac:dyDescent="0.25">
      <c r="B48" s="24" t="s">
        <v>131</v>
      </c>
      <c r="C48" s="10"/>
      <c r="D48" s="33">
        <f>'6. Historical Wholesale'!D48</f>
        <v>25680.690402476783</v>
      </c>
      <c r="E48" s="34">
        <f t="shared" si="11"/>
        <v>3.41</v>
      </c>
      <c r="F48" s="35">
        <f t="shared" si="7"/>
        <v>87571.154272445827</v>
      </c>
      <c r="G48" s="10"/>
      <c r="H48" s="33">
        <f>'6. Historical Wholesale'!H48</f>
        <v>27093.55</v>
      </c>
      <c r="I48" s="34">
        <f t="shared" si="12"/>
        <v>0.79</v>
      </c>
      <c r="J48" s="35">
        <f t="shared" si="8"/>
        <v>21403.904500000001</v>
      </c>
      <c r="K48" s="10"/>
      <c r="L48" s="33">
        <f>'6. Historical Wholesale'!L48</f>
        <v>27093.55</v>
      </c>
      <c r="M48" s="34">
        <f t="shared" si="13"/>
        <v>1.8</v>
      </c>
      <c r="N48" s="35">
        <f t="shared" si="9"/>
        <v>48768.39</v>
      </c>
      <c r="O48" s="10"/>
      <c r="P48" s="23">
        <f t="shared" si="10"/>
        <v>70172.294500000004</v>
      </c>
      <c r="Q48" s="10"/>
    </row>
    <row r="49" spans="2:17" ht="15.75" x14ac:dyDescent="0.25">
      <c r="B49" s="24" t="s">
        <v>132</v>
      </c>
      <c r="C49" s="10"/>
      <c r="D49" s="33">
        <f>'6. Historical Wholesale'!D49</f>
        <v>22833.102167182664</v>
      </c>
      <c r="E49" s="34">
        <f t="shared" si="11"/>
        <v>3.41</v>
      </c>
      <c r="F49" s="35">
        <f t="shared" si="7"/>
        <v>77860.878390092883</v>
      </c>
      <c r="G49" s="10"/>
      <c r="H49" s="33">
        <f>'6. Historical Wholesale'!H49</f>
        <v>22833.1</v>
      </c>
      <c r="I49" s="34">
        <f t="shared" si="12"/>
        <v>0.79</v>
      </c>
      <c r="J49" s="35">
        <f t="shared" si="8"/>
        <v>18038.149000000001</v>
      </c>
      <c r="K49" s="10"/>
      <c r="L49" s="33">
        <f>'6. Historical Wholesale'!L49</f>
        <v>22833.1</v>
      </c>
      <c r="M49" s="34">
        <f t="shared" si="13"/>
        <v>1.8</v>
      </c>
      <c r="N49" s="35">
        <f t="shared" si="9"/>
        <v>41099.58</v>
      </c>
      <c r="O49" s="10"/>
      <c r="P49" s="23">
        <f t="shared" si="10"/>
        <v>59137.729000000007</v>
      </c>
      <c r="Q49" s="10"/>
    </row>
    <row r="50" spans="2:17" ht="15.75" x14ac:dyDescent="0.25">
      <c r="B50" s="24" t="s">
        <v>133</v>
      </c>
      <c r="C50" s="10"/>
      <c r="D50" s="33">
        <f>'6. Historical Wholesale'!D50</f>
        <v>26864.343653250773</v>
      </c>
      <c r="E50" s="34">
        <f t="shared" si="11"/>
        <v>3.41</v>
      </c>
      <c r="F50" s="35">
        <f t="shared" si="7"/>
        <v>91607.411857585146</v>
      </c>
      <c r="G50" s="10"/>
      <c r="H50" s="33">
        <f>'6. Historical Wholesale'!H50</f>
        <v>27520.34</v>
      </c>
      <c r="I50" s="34">
        <f t="shared" si="12"/>
        <v>0.79</v>
      </c>
      <c r="J50" s="35">
        <f t="shared" si="8"/>
        <v>21741.068600000002</v>
      </c>
      <c r="K50" s="10"/>
      <c r="L50" s="33">
        <f>'6. Historical Wholesale'!L50</f>
        <v>27520.34</v>
      </c>
      <c r="M50" s="34">
        <f t="shared" si="13"/>
        <v>1.8</v>
      </c>
      <c r="N50" s="35">
        <f t="shared" si="9"/>
        <v>49536.612000000001</v>
      </c>
      <c r="O50" s="10"/>
      <c r="P50" s="23">
        <f t="shared" si="10"/>
        <v>71277.680600000007</v>
      </c>
      <c r="Q50" s="10"/>
    </row>
    <row r="51" spans="2:17" ht="15.75" x14ac:dyDescent="0.25">
      <c r="B51" s="24" t="s">
        <v>134</v>
      </c>
      <c r="C51" s="10"/>
      <c r="D51" s="33">
        <f>'6. Historical Wholesale'!D51</f>
        <v>20613.489164086688</v>
      </c>
      <c r="E51" s="34">
        <f t="shared" si="11"/>
        <v>3.41</v>
      </c>
      <c r="F51" s="35">
        <f t="shared" si="7"/>
        <v>70291.998049535614</v>
      </c>
      <c r="G51" s="10"/>
      <c r="H51" s="33">
        <f>'6. Historical Wholesale'!H51</f>
        <v>21835.48</v>
      </c>
      <c r="I51" s="34">
        <f t="shared" si="12"/>
        <v>0.79</v>
      </c>
      <c r="J51" s="35">
        <f t="shared" si="8"/>
        <v>17250.029200000001</v>
      </c>
      <c r="K51" s="10"/>
      <c r="L51" s="33">
        <f>'6. Historical Wholesale'!L51</f>
        <v>21835.48</v>
      </c>
      <c r="M51" s="34">
        <f t="shared" si="13"/>
        <v>1.8</v>
      </c>
      <c r="N51" s="35">
        <f t="shared" si="9"/>
        <v>39303.864000000001</v>
      </c>
      <c r="O51" s="10"/>
      <c r="P51" s="23">
        <f t="shared" si="10"/>
        <v>56553.893200000006</v>
      </c>
      <c r="Q51" s="10"/>
    </row>
    <row r="52" spans="2:17" ht="15.75" x14ac:dyDescent="0.25">
      <c r="B52" s="24" t="s">
        <v>135</v>
      </c>
      <c r="C52" s="10"/>
      <c r="D52" s="33">
        <f>'6. Historical Wholesale'!D52</f>
        <v>22332.003095975229</v>
      </c>
      <c r="E52" s="34">
        <f t="shared" si="11"/>
        <v>3.41</v>
      </c>
      <c r="F52" s="35">
        <f t="shared" si="7"/>
        <v>76152.130557275537</v>
      </c>
      <c r="G52" s="10"/>
      <c r="H52" s="33">
        <f>'6. Historical Wholesale'!H52</f>
        <v>22945.599999999999</v>
      </c>
      <c r="I52" s="34">
        <f t="shared" si="12"/>
        <v>0.79</v>
      </c>
      <c r="J52" s="35">
        <f t="shared" si="8"/>
        <v>18127.024000000001</v>
      </c>
      <c r="K52" s="10"/>
      <c r="L52" s="33">
        <f>'6. Historical Wholesale'!L52</f>
        <v>22945.599999999999</v>
      </c>
      <c r="M52" s="34">
        <f t="shared" si="13"/>
        <v>1.8</v>
      </c>
      <c r="N52" s="35">
        <f t="shared" si="9"/>
        <v>41302.080000000002</v>
      </c>
      <c r="O52" s="10"/>
      <c r="P52" s="23">
        <f t="shared" si="10"/>
        <v>59429.104000000007</v>
      </c>
      <c r="Q52" s="10"/>
    </row>
    <row r="53" spans="2:17" ht="15.75" x14ac:dyDescent="0.25">
      <c r="B53" s="24" t="s">
        <v>136</v>
      </c>
      <c r="C53" s="10"/>
      <c r="D53" s="33">
        <f>'6. Historical Wholesale'!D53</f>
        <v>28753.947368421053</v>
      </c>
      <c r="E53" s="34">
        <f t="shared" si="11"/>
        <v>3.41</v>
      </c>
      <c r="F53" s="35">
        <f t="shared" si="7"/>
        <v>98050.960526315801</v>
      </c>
      <c r="G53" s="10"/>
      <c r="H53" s="33">
        <f>'6. Historical Wholesale'!H53</f>
        <v>30303.34</v>
      </c>
      <c r="I53" s="34">
        <f t="shared" si="12"/>
        <v>0.79</v>
      </c>
      <c r="J53" s="35">
        <f t="shared" si="8"/>
        <v>23939.638600000002</v>
      </c>
      <c r="K53" s="10"/>
      <c r="L53" s="33">
        <f>'6. Historical Wholesale'!L53</f>
        <v>30303.34</v>
      </c>
      <c r="M53" s="34">
        <f t="shared" si="13"/>
        <v>1.8</v>
      </c>
      <c r="N53" s="35">
        <f t="shared" si="9"/>
        <v>54546.012000000002</v>
      </c>
      <c r="O53" s="10"/>
      <c r="P53" s="23">
        <f t="shared" si="10"/>
        <v>78485.650600000008</v>
      </c>
      <c r="Q53" s="10"/>
    </row>
    <row r="54" spans="2:17" ht="15.75" x14ac:dyDescent="0.25">
      <c r="B54" s="24" t="s">
        <v>137</v>
      </c>
      <c r="C54" s="10"/>
      <c r="D54" s="33">
        <f>'6. Historical Wholesale'!D54</f>
        <v>30754.123839009291</v>
      </c>
      <c r="E54" s="34">
        <f t="shared" si="11"/>
        <v>3.41</v>
      </c>
      <c r="F54" s="35">
        <f t="shared" si="7"/>
        <v>104871.56229102169</v>
      </c>
      <c r="G54" s="10"/>
      <c r="H54" s="33">
        <f>'6. Historical Wholesale'!H54</f>
        <v>31007.18</v>
      </c>
      <c r="I54" s="34">
        <f t="shared" si="12"/>
        <v>0.79</v>
      </c>
      <c r="J54" s="35">
        <f t="shared" si="8"/>
        <v>24495.672200000001</v>
      </c>
      <c r="K54" s="10"/>
      <c r="L54" s="33">
        <f>'6. Historical Wholesale'!L54</f>
        <v>31007.18</v>
      </c>
      <c r="M54" s="34">
        <f t="shared" si="13"/>
        <v>1.8</v>
      </c>
      <c r="N54" s="35">
        <f t="shared" si="9"/>
        <v>55812.923999999999</v>
      </c>
      <c r="O54" s="10"/>
      <c r="P54" s="23">
        <f t="shared" si="10"/>
        <v>80308.5962</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138</v>
      </c>
      <c r="C56" s="10"/>
      <c r="D56" s="26">
        <f>SUM(D43:D54)</f>
        <v>322782.45820433437</v>
      </c>
      <c r="E56" s="27">
        <f>IF(D56&lt;&gt;0,F56/D56,0)</f>
        <v>3.4099999999999997</v>
      </c>
      <c r="F56" s="28">
        <f>SUM(F43:F54)</f>
        <v>1100688.1824767801</v>
      </c>
      <c r="G56" s="10"/>
      <c r="H56" s="26">
        <f>SUM(H43:H54)</f>
        <v>332994.6838461539</v>
      </c>
      <c r="I56" s="27">
        <f>IF(H56&lt;&gt;0,J56/H56,0)</f>
        <v>0.78999999999999981</v>
      </c>
      <c r="J56" s="28">
        <f>SUM(J43:J54)</f>
        <v>263065.80023846152</v>
      </c>
      <c r="K56" s="10"/>
      <c r="L56" s="26">
        <f>SUM(L43:L54)</f>
        <v>332994.66827160498</v>
      </c>
      <c r="M56" s="27">
        <f>IF(L56&lt;&gt;0,N56/L56,0)</f>
        <v>1.8</v>
      </c>
      <c r="N56" s="28">
        <f>SUM(N43:N54)</f>
        <v>599390.40288888896</v>
      </c>
      <c r="O56" s="10"/>
      <c r="P56" s="28">
        <f>SUM(P43:P54)</f>
        <v>862456.20312735066</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Brookfield</v>
      </c>
      <c r="C58" s="10"/>
      <c r="D58" s="180" t="s">
        <v>195</v>
      </c>
      <c r="E58" s="180"/>
      <c r="F58" s="180"/>
      <c r="G58" s="72"/>
      <c r="H58" s="180" t="s">
        <v>198</v>
      </c>
      <c r="I58" s="180"/>
      <c r="J58" s="180"/>
      <c r="K58" s="72"/>
      <c r="L58" s="180" t="s">
        <v>197</v>
      </c>
      <c r="M58" s="180"/>
      <c r="N58" s="180"/>
      <c r="O58" s="72"/>
      <c r="P58" s="84" t="s">
        <v>196</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123</v>
      </c>
      <c r="C60" s="15"/>
      <c r="D60" s="22" t="s">
        <v>124</v>
      </c>
      <c r="E60" s="22" t="s">
        <v>114</v>
      </c>
      <c r="F60" s="22" t="s">
        <v>125</v>
      </c>
      <c r="G60" s="15"/>
      <c r="H60" s="22" t="s">
        <v>124</v>
      </c>
      <c r="I60" s="22" t="s">
        <v>114</v>
      </c>
      <c r="J60" s="22" t="s">
        <v>125</v>
      </c>
      <c r="K60" s="15"/>
      <c r="L60" s="22" t="s">
        <v>124</v>
      </c>
      <c r="M60" s="22" t="s">
        <v>114</v>
      </c>
      <c r="N60" s="22" t="s">
        <v>125</v>
      </c>
      <c r="O60" s="15"/>
      <c r="P60" s="22" t="s">
        <v>125</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126</v>
      </c>
      <c r="C62" s="10"/>
      <c r="D62" s="33">
        <f>'6. Historical Wholesale'!D62</f>
        <v>846</v>
      </c>
      <c r="E62" s="34">
        <f>'5. UTRs and Sub-Transmission'!I50</f>
        <v>3</v>
      </c>
      <c r="F62" s="35">
        <f t="shared" ref="F62:F73" si="14">D62*E62</f>
        <v>2538</v>
      </c>
      <c r="G62" s="10"/>
      <c r="H62" s="33">
        <f>'6. Historical Wholesale'!H62</f>
        <v>0</v>
      </c>
      <c r="I62" s="34">
        <f>'5. UTRs and Sub-Transmission'!I52</f>
        <v>0</v>
      </c>
      <c r="J62" s="35">
        <f t="shared" ref="J62:J73" si="15">H62*I62</f>
        <v>0</v>
      </c>
      <c r="K62" s="10"/>
      <c r="L62" s="33">
        <f>'6. Historical Wholesale'!L62</f>
        <v>0</v>
      </c>
      <c r="M62" s="34">
        <f>'5. UTRs and Sub-Transmission'!I54</f>
        <v>0</v>
      </c>
      <c r="N62" s="35">
        <f t="shared" ref="N62:N73" si="16">L62*M62</f>
        <v>0</v>
      </c>
      <c r="O62" s="10"/>
      <c r="P62" s="23">
        <f t="shared" ref="P62:P73" si="17">J62+N62</f>
        <v>0</v>
      </c>
      <c r="Q62" s="10"/>
    </row>
    <row r="63" spans="2:17" ht="15.75" x14ac:dyDescent="0.25">
      <c r="B63" s="24" t="s">
        <v>127</v>
      </c>
      <c r="C63" s="10"/>
      <c r="D63" s="33">
        <f>'6. Historical Wholesale'!D63</f>
        <v>0</v>
      </c>
      <c r="E63" s="34">
        <f t="shared" ref="E63:E73" si="18">E62</f>
        <v>3</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128</v>
      </c>
      <c r="C64" s="10"/>
      <c r="D64" s="33">
        <f>'6. Historical Wholesale'!D64</f>
        <v>576</v>
      </c>
      <c r="E64" s="34">
        <f t="shared" si="18"/>
        <v>3</v>
      </c>
      <c r="F64" s="35">
        <f t="shared" si="14"/>
        <v>1728</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129</v>
      </c>
      <c r="C65" s="10"/>
      <c r="D65" s="33">
        <f>'6. Historical Wholesale'!D65</f>
        <v>792</v>
      </c>
      <c r="E65" s="34">
        <f t="shared" si="18"/>
        <v>3</v>
      </c>
      <c r="F65" s="35">
        <f t="shared" si="14"/>
        <v>2376</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130</v>
      </c>
      <c r="C66" s="10"/>
      <c r="D66" s="33">
        <f>'6. Historical Wholesale'!D66</f>
        <v>816</v>
      </c>
      <c r="E66" s="34">
        <f t="shared" si="18"/>
        <v>3</v>
      </c>
      <c r="F66" s="35">
        <f t="shared" si="14"/>
        <v>2448</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131</v>
      </c>
      <c r="C67" s="10"/>
      <c r="D67" s="33">
        <f>'6. Historical Wholesale'!D67</f>
        <v>6738</v>
      </c>
      <c r="E67" s="34">
        <f t="shared" si="18"/>
        <v>3</v>
      </c>
      <c r="F67" s="35">
        <f t="shared" si="14"/>
        <v>20214</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132</v>
      </c>
      <c r="C68" s="10"/>
      <c r="D68" s="33">
        <f>'6. Historical Wholesale'!D68</f>
        <v>1800</v>
      </c>
      <c r="E68" s="34">
        <f t="shared" si="18"/>
        <v>3</v>
      </c>
      <c r="F68" s="35">
        <f t="shared" si="14"/>
        <v>5400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133</v>
      </c>
      <c r="C69" s="10"/>
      <c r="D69" s="33">
        <f>'6. Historical Wholesale'!D69</f>
        <v>2928</v>
      </c>
      <c r="E69" s="34">
        <f t="shared" si="18"/>
        <v>3</v>
      </c>
      <c r="F69" s="35">
        <f t="shared" si="14"/>
        <v>8784</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134</v>
      </c>
      <c r="C70" s="10"/>
      <c r="D70" s="33">
        <f>'6. Historical Wholesale'!D70</f>
        <v>3324</v>
      </c>
      <c r="E70" s="34">
        <f t="shared" si="18"/>
        <v>3</v>
      </c>
      <c r="F70" s="35">
        <f t="shared" si="14"/>
        <v>9972</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135</v>
      </c>
      <c r="C71" s="10"/>
      <c r="D71" s="33">
        <f>'6. Historical Wholesale'!D71</f>
        <v>3012</v>
      </c>
      <c r="E71" s="34">
        <f t="shared" si="18"/>
        <v>3</v>
      </c>
      <c r="F71" s="35">
        <f t="shared" si="14"/>
        <v>9036</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136</v>
      </c>
      <c r="C72" s="10"/>
      <c r="D72" s="33">
        <f>'6. Historical Wholesale'!D72</f>
        <v>0</v>
      </c>
      <c r="E72" s="34">
        <f t="shared" si="18"/>
        <v>3</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137</v>
      </c>
      <c r="C73" s="10"/>
      <c r="D73" s="33">
        <f>'6. Historical Wholesale'!D73</f>
        <v>396</v>
      </c>
      <c r="E73" s="34">
        <f t="shared" si="18"/>
        <v>3</v>
      </c>
      <c r="F73" s="35">
        <f t="shared" si="14"/>
        <v>1188</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138</v>
      </c>
      <c r="C75" s="10"/>
      <c r="D75" s="26">
        <f>SUM(D62:D73)</f>
        <v>21228</v>
      </c>
      <c r="E75" s="27">
        <f>IF(D75&lt;&gt;0,F75/D75,0)</f>
        <v>3</v>
      </c>
      <c r="F75" s="28">
        <f>SUM(F62:F73)</f>
        <v>63684</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80" t="s">
        <v>195</v>
      </c>
      <c r="E77" s="180"/>
      <c r="F77" s="180"/>
      <c r="G77" s="72"/>
      <c r="H77" s="180" t="s">
        <v>198</v>
      </c>
      <c r="I77" s="180"/>
      <c r="J77" s="180"/>
      <c r="K77" s="72"/>
      <c r="L77" s="180" t="s">
        <v>197</v>
      </c>
      <c r="M77" s="180"/>
      <c r="N77" s="180"/>
      <c r="O77" s="72"/>
      <c r="P77" s="84" t="s">
        <v>196</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123</v>
      </c>
      <c r="C79" s="15"/>
      <c r="D79" s="22" t="s">
        <v>124</v>
      </c>
      <c r="E79" s="22" t="s">
        <v>114</v>
      </c>
      <c r="F79" s="22" t="s">
        <v>125</v>
      </c>
      <c r="G79" s="15"/>
      <c r="H79" s="22" t="s">
        <v>124</v>
      </c>
      <c r="I79" s="22" t="s">
        <v>114</v>
      </c>
      <c r="J79" s="22" t="s">
        <v>125</v>
      </c>
      <c r="K79" s="15"/>
      <c r="L79" s="22" t="s">
        <v>124</v>
      </c>
      <c r="M79" s="22" t="s">
        <v>114</v>
      </c>
      <c r="N79" s="22" t="s">
        <v>125</v>
      </c>
      <c r="O79" s="15"/>
      <c r="P79" s="22" t="s">
        <v>125</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126</v>
      </c>
      <c r="C81" s="10"/>
      <c r="D81" s="33">
        <f>'6. Historical Wholesale'!D81</f>
        <v>0</v>
      </c>
      <c r="E81" s="34">
        <f>'5. UTRs and Sub-Transmission'!I65</f>
        <v>0</v>
      </c>
      <c r="F81" s="35">
        <f t="shared" ref="F81:F92" si="21">D81*E81</f>
        <v>0</v>
      </c>
      <c r="G81" s="10"/>
      <c r="H81" s="33">
        <f>'6. Historical Wholesale'!H81</f>
        <v>0</v>
      </c>
      <c r="I81" s="34">
        <f>'5. UTRs and Sub-Transmission'!I67</f>
        <v>0</v>
      </c>
      <c r="J81" s="35">
        <f t="shared" ref="J81:J92" si="22">H81*I81</f>
        <v>0</v>
      </c>
      <c r="K81" s="10"/>
      <c r="L81" s="33">
        <f>'6. Historical Wholesale'!L81</f>
        <v>0</v>
      </c>
      <c r="M81" s="34">
        <f>'5. UTRs and Sub-Transmission'!I69</f>
        <v>0</v>
      </c>
      <c r="N81" s="35">
        <f t="shared" ref="N81:N92" si="23">L81*M81</f>
        <v>0</v>
      </c>
      <c r="O81" s="10"/>
      <c r="P81" s="23">
        <f t="shared" ref="P81:P92" si="24">J81+N81</f>
        <v>0</v>
      </c>
      <c r="Q81" s="10"/>
    </row>
    <row r="82" spans="2:17" ht="15.75" x14ac:dyDescent="0.25">
      <c r="B82" s="24" t="s">
        <v>127</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128</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129</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130</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131</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132</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133</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134</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135</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136</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137</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138</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138</v>
      </c>
      <c r="C96" s="10"/>
      <c r="D96" s="180" t="s">
        <v>195</v>
      </c>
      <c r="E96" s="180"/>
      <c r="F96" s="180"/>
      <c r="G96" s="72"/>
      <c r="H96" s="180" t="s">
        <v>198</v>
      </c>
      <c r="I96" s="180"/>
      <c r="J96" s="180"/>
      <c r="K96" s="72"/>
      <c r="L96" s="180" t="s">
        <v>197</v>
      </c>
      <c r="M96" s="180"/>
      <c r="N96" s="180"/>
      <c r="O96" s="72"/>
      <c r="P96" s="73" t="s">
        <v>196</v>
      </c>
      <c r="Q96" s="10"/>
    </row>
    <row r="97" spans="2:17" ht="15.75" x14ac:dyDescent="0.25">
      <c r="B97" s="10"/>
      <c r="C97" s="10"/>
      <c r="D97" s="181"/>
      <c r="E97" s="181"/>
      <c r="F97" s="181"/>
      <c r="G97" s="20"/>
      <c r="H97" s="181"/>
      <c r="I97" s="181"/>
      <c r="J97" s="181"/>
      <c r="K97" s="20"/>
      <c r="L97" s="181"/>
      <c r="M97" s="181"/>
      <c r="N97" s="181"/>
      <c r="O97" s="20"/>
      <c r="P97" s="19"/>
      <c r="Q97" s="10"/>
    </row>
    <row r="98" spans="2:17" ht="16.5" x14ac:dyDescent="0.3">
      <c r="B98" s="18" t="s">
        <v>123</v>
      </c>
      <c r="C98" s="10"/>
      <c r="D98" s="22" t="s">
        <v>124</v>
      </c>
      <c r="E98" s="22" t="s">
        <v>114</v>
      </c>
      <c r="F98" s="22" t="s">
        <v>125</v>
      </c>
      <c r="G98" s="15"/>
      <c r="H98" s="22" t="s">
        <v>124</v>
      </c>
      <c r="I98" s="22" t="s">
        <v>114</v>
      </c>
      <c r="J98" s="22" t="s">
        <v>125</v>
      </c>
      <c r="K98" s="15"/>
      <c r="L98" s="22" t="s">
        <v>124</v>
      </c>
      <c r="M98" s="22" t="s">
        <v>114</v>
      </c>
      <c r="N98" s="22" t="s">
        <v>125</v>
      </c>
      <c r="O98" s="15"/>
      <c r="P98" s="22" t="s">
        <v>125</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126</v>
      </c>
      <c r="C100" s="10"/>
      <c r="D100" s="29">
        <f>D24+D43+D62+D81</f>
        <v>47797.934984520121</v>
      </c>
      <c r="E100" s="30">
        <f t="shared" ref="E100:E111" si="28">IF(D100&lt;&gt;0,F100/D100,0)</f>
        <v>3.4027432011422181</v>
      </c>
      <c r="F100" s="29">
        <f>F24+F43+F62+F81</f>
        <v>162644.09829721361</v>
      </c>
      <c r="G100" s="10"/>
      <c r="H100" s="29">
        <f>H24+H43+H62+H81</f>
        <v>46951.953846153847</v>
      </c>
      <c r="I100" s="30">
        <f t="shared" ref="I100:I111" si="29">IF(H100&lt;&gt;0,J100/H100,0)</f>
        <v>0.79</v>
      </c>
      <c r="J100" s="29">
        <f>J24+J43+J62+J81</f>
        <v>37092.043538461541</v>
      </c>
      <c r="K100" s="10"/>
      <c r="L100" s="29">
        <f>L24+L43+L62+L81</f>
        <v>46951.938271604937</v>
      </c>
      <c r="M100" s="30">
        <f t="shared" ref="M100:M111" si="30">IF(L100&lt;&gt;0,N100/L100,0)</f>
        <v>1.7999999999999998</v>
      </c>
      <c r="N100" s="29">
        <f>N24+N43+N62+N81</f>
        <v>84513.488888888882</v>
      </c>
      <c r="O100" s="10"/>
      <c r="P100" s="23">
        <f t="shared" ref="P100:P111" si="31">J100+N100</f>
        <v>121605.53242735042</v>
      </c>
      <c r="Q100" s="10"/>
    </row>
    <row r="101" spans="2:17" ht="15.75" x14ac:dyDescent="0.25">
      <c r="B101" s="24" t="s">
        <v>127</v>
      </c>
      <c r="C101" s="10"/>
      <c r="D101" s="29">
        <f t="shared" ref="D101:F111" si="32">D25+D44+D63+D82</f>
        <v>31523.427244582042</v>
      </c>
      <c r="E101" s="30">
        <f t="shared" si="28"/>
        <v>3.41</v>
      </c>
      <c r="F101" s="29">
        <f t="shared" si="32"/>
        <v>107494.88690402477</v>
      </c>
      <c r="G101" s="10"/>
      <c r="H101" s="29">
        <f t="shared" ref="H101" si="33">H25+H44+H63+H82</f>
        <v>32751</v>
      </c>
      <c r="I101" s="30">
        <f t="shared" si="29"/>
        <v>0.79</v>
      </c>
      <c r="J101" s="29">
        <f t="shared" ref="J101" si="34">J25+J44+J63+J82</f>
        <v>25873.29</v>
      </c>
      <c r="K101" s="10"/>
      <c r="L101" s="29">
        <f t="shared" ref="L101" si="35">L25+L44+L63+L82</f>
        <v>32751</v>
      </c>
      <c r="M101" s="30">
        <f t="shared" si="30"/>
        <v>1.8</v>
      </c>
      <c r="N101" s="29">
        <f t="shared" ref="N101" si="36">N25+N44+N63+N82</f>
        <v>58951.8</v>
      </c>
      <c r="O101" s="10"/>
      <c r="P101" s="23">
        <f t="shared" si="31"/>
        <v>84825.09</v>
      </c>
      <c r="Q101" s="10"/>
    </row>
    <row r="102" spans="2:17" ht="15.75" x14ac:dyDescent="0.25">
      <c r="B102" s="24" t="s">
        <v>128</v>
      </c>
      <c r="C102" s="10"/>
      <c r="D102" s="29">
        <f t="shared" si="32"/>
        <v>30523.572755417958</v>
      </c>
      <c r="E102" s="30">
        <f t="shared" si="28"/>
        <v>3.4022630289090885</v>
      </c>
      <c r="F102" s="29">
        <f t="shared" si="32"/>
        <v>103849.22309597523</v>
      </c>
      <c r="G102" s="10"/>
      <c r="H102" s="29">
        <f t="shared" ref="H102" si="37">H26+H45+H64+H83</f>
        <v>30188.19</v>
      </c>
      <c r="I102" s="30">
        <f t="shared" si="29"/>
        <v>0.79</v>
      </c>
      <c r="J102" s="29">
        <f t="shared" ref="J102" si="38">J26+J45+J64+J83</f>
        <v>23848.670099999999</v>
      </c>
      <c r="K102" s="10"/>
      <c r="L102" s="29">
        <f t="shared" ref="L102" si="39">L26+L45+L64+L83</f>
        <v>30188.19</v>
      </c>
      <c r="M102" s="30">
        <f t="shared" si="30"/>
        <v>1.8</v>
      </c>
      <c r="N102" s="29">
        <f t="shared" ref="N102" si="40">N26+N45+N64+N83</f>
        <v>54338.741999999998</v>
      </c>
      <c r="O102" s="10"/>
      <c r="P102" s="23">
        <f t="shared" si="31"/>
        <v>78187.412100000001</v>
      </c>
      <c r="Q102" s="10"/>
    </row>
    <row r="103" spans="2:17" ht="15.75" x14ac:dyDescent="0.25">
      <c r="B103" s="24" t="s">
        <v>129</v>
      </c>
      <c r="C103" s="10"/>
      <c r="D103" s="29">
        <f t="shared" si="32"/>
        <v>20433.978328173373</v>
      </c>
      <c r="E103" s="30">
        <f t="shared" si="28"/>
        <v>3.3941088213570096</v>
      </c>
      <c r="F103" s="29">
        <f t="shared" si="32"/>
        <v>69355.146099071208</v>
      </c>
      <c r="G103" s="10"/>
      <c r="H103" s="29">
        <f t="shared" ref="H103" si="41">H27+H46+H65+H84</f>
        <v>21442.5</v>
      </c>
      <c r="I103" s="30">
        <f t="shared" si="29"/>
        <v>0.79</v>
      </c>
      <c r="J103" s="29">
        <f t="shared" ref="J103" si="42">J27+J46+J65+J84</f>
        <v>16939.575000000001</v>
      </c>
      <c r="K103" s="10"/>
      <c r="L103" s="29">
        <f t="shared" ref="L103" si="43">L27+L46+L65+L84</f>
        <v>21442.5</v>
      </c>
      <c r="M103" s="30">
        <f t="shared" si="30"/>
        <v>1.8</v>
      </c>
      <c r="N103" s="29">
        <f t="shared" ref="N103" si="44">N27+N46+N65+N84</f>
        <v>38596.5</v>
      </c>
      <c r="O103" s="10"/>
      <c r="P103" s="23">
        <f t="shared" si="31"/>
        <v>55536.074999999997</v>
      </c>
      <c r="Q103" s="10"/>
    </row>
    <row r="104" spans="2:17" ht="15.75" x14ac:dyDescent="0.25">
      <c r="B104" s="24" t="s">
        <v>130</v>
      </c>
      <c r="C104" s="10"/>
      <c r="D104" s="29">
        <f t="shared" si="32"/>
        <v>17701.84520123839</v>
      </c>
      <c r="E104" s="30">
        <f t="shared" si="28"/>
        <v>3.3911002753556678</v>
      </c>
      <c r="F104" s="29">
        <f t="shared" si="32"/>
        <v>60028.732136222912</v>
      </c>
      <c r="G104" s="10"/>
      <c r="H104" s="29">
        <f t="shared" ref="H104" si="45">H28+H47+H66+H85</f>
        <v>18122.45</v>
      </c>
      <c r="I104" s="30">
        <f t="shared" si="29"/>
        <v>0.79</v>
      </c>
      <c r="J104" s="29">
        <f t="shared" ref="J104" si="46">J28+J47+J66+J85</f>
        <v>14316.735500000001</v>
      </c>
      <c r="K104" s="10"/>
      <c r="L104" s="29">
        <f t="shared" ref="L104" si="47">L28+L47+L66+L85</f>
        <v>18122.45</v>
      </c>
      <c r="M104" s="30">
        <f t="shared" si="30"/>
        <v>1.8</v>
      </c>
      <c r="N104" s="29">
        <f t="shared" ref="N104" si="48">N28+N47+N66+N85</f>
        <v>32620.410000000003</v>
      </c>
      <c r="O104" s="10"/>
      <c r="P104" s="23">
        <f t="shared" si="31"/>
        <v>46937.145500000006</v>
      </c>
      <c r="Q104" s="10"/>
    </row>
    <row r="105" spans="2:17" ht="15.75" x14ac:dyDescent="0.25">
      <c r="B105" s="24" t="s">
        <v>131</v>
      </c>
      <c r="C105" s="10"/>
      <c r="D105" s="29">
        <f t="shared" si="32"/>
        <v>32418.690402476783</v>
      </c>
      <c r="E105" s="30">
        <f t="shared" si="28"/>
        <v>3.3247843430532611</v>
      </c>
      <c r="F105" s="29">
        <f t="shared" si="32"/>
        <v>107785.15427244583</v>
      </c>
      <c r="G105" s="10"/>
      <c r="H105" s="29">
        <f t="shared" ref="H105" si="49">H29+H48+H67+H86</f>
        <v>27093.55</v>
      </c>
      <c r="I105" s="30">
        <f t="shared" si="29"/>
        <v>0.79</v>
      </c>
      <c r="J105" s="29">
        <f t="shared" ref="J105" si="50">J29+J48+J67+J86</f>
        <v>21403.904500000001</v>
      </c>
      <c r="K105" s="10"/>
      <c r="L105" s="29">
        <f t="shared" ref="L105" si="51">L29+L48+L67+L86</f>
        <v>27093.55</v>
      </c>
      <c r="M105" s="30">
        <f t="shared" si="30"/>
        <v>1.8</v>
      </c>
      <c r="N105" s="29">
        <f t="shared" ref="N105" si="52">N29+N48+N67+N86</f>
        <v>48768.39</v>
      </c>
      <c r="O105" s="10"/>
      <c r="P105" s="23">
        <f t="shared" si="31"/>
        <v>70172.294500000004</v>
      </c>
      <c r="Q105" s="10"/>
    </row>
    <row r="106" spans="2:17" ht="15.75" x14ac:dyDescent="0.25">
      <c r="B106" s="24" t="s">
        <v>132</v>
      </c>
      <c r="C106" s="10"/>
      <c r="D106" s="29">
        <f t="shared" si="32"/>
        <v>24633.102167182664</v>
      </c>
      <c r="E106" s="30">
        <f t="shared" si="28"/>
        <v>3.3800403142490434</v>
      </c>
      <c r="F106" s="29">
        <f t="shared" si="32"/>
        <v>83260.878390092883</v>
      </c>
      <c r="G106" s="10"/>
      <c r="H106" s="29">
        <f t="shared" ref="H106" si="53">H30+H49+H68+H87</f>
        <v>22833.1</v>
      </c>
      <c r="I106" s="30">
        <f t="shared" si="29"/>
        <v>0.79000000000000015</v>
      </c>
      <c r="J106" s="29">
        <f t="shared" ref="J106" si="54">J30+J49+J68+J87</f>
        <v>18038.149000000001</v>
      </c>
      <c r="K106" s="10"/>
      <c r="L106" s="29">
        <f t="shared" ref="L106" si="55">L30+L49+L68+L87</f>
        <v>22833.1</v>
      </c>
      <c r="M106" s="30">
        <f t="shared" si="30"/>
        <v>1.8000000000000003</v>
      </c>
      <c r="N106" s="29">
        <f t="shared" ref="N106" si="56">N30+N49+N68+N87</f>
        <v>41099.58</v>
      </c>
      <c r="O106" s="10"/>
      <c r="P106" s="23">
        <f t="shared" si="31"/>
        <v>59137.729000000007</v>
      </c>
      <c r="Q106" s="10"/>
    </row>
    <row r="107" spans="2:17" ht="15.75" x14ac:dyDescent="0.25">
      <c r="B107" s="24" t="s">
        <v>133</v>
      </c>
      <c r="C107" s="10"/>
      <c r="D107" s="29">
        <f t="shared" si="32"/>
        <v>29792.343653250773</v>
      </c>
      <c r="E107" s="30">
        <f t="shared" si="28"/>
        <v>3.3697050834948663</v>
      </c>
      <c r="F107" s="29">
        <f t="shared" si="32"/>
        <v>100391.41185758515</v>
      </c>
      <c r="G107" s="10"/>
      <c r="H107" s="29">
        <f t="shared" ref="H107" si="57">H31+H50+H69+H88</f>
        <v>27520.34</v>
      </c>
      <c r="I107" s="30">
        <f t="shared" si="29"/>
        <v>0.79</v>
      </c>
      <c r="J107" s="29">
        <f t="shared" ref="J107" si="58">J31+J50+J69+J88</f>
        <v>21741.068600000002</v>
      </c>
      <c r="K107" s="10"/>
      <c r="L107" s="29">
        <f t="shared" ref="L107" si="59">L31+L50+L69+L88</f>
        <v>27520.34</v>
      </c>
      <c r="M107" s="30">
        <f t="shared" si="30"/>
        <v>1.8</v>
      </c>
      <c r="N107" s="29">
        <f t="shared" ref="N107" si="60">N31+N50+N69+N88</f>
        <v>49536.612000000001</v>
      </c>
      <c r="O107" s="10"/>
      <c r="P107" s="23">
        <f t="shared" si="31"/>
        <v>71277.680600000007</v>
      </c>
      <c r="Q107" s="10"/>
    </row>
    <row r="108" spans="2:17" ht="15.75" x14ac:dyDescent="0.25">
      <c r="B108" s="24" t="s">
        <v>134</v>
      </c>
      <c r="C108" s="10"/>
      <c r="D108" s="29">
        <f t="shared" si="32"/>
        <v>23937.489164086688</v>
      </c>
      <c r="E108" s="30">
        <f t="shared" si="28"/>
        <v>3.3530667105201388</v>
      </c>
      <c r="F108" s="29">
        <f t="shared" si="32"/>
        <v>80263.998049535614</v>
      </c>
      <c r="G108" s="10"/>
      <c r="H108" s="29">
        <f t="shared" ref="H108" si="61">H32+H51+H70+H89</f>
        <v>21835.48</v>
      </c>
      <c r="I108" s="30">
        <f t="shared" si="29"/>
        <v>0.79</v>
      </c>
      <c r="J108" s="29">
        <f t="shared" ref="J108" si="62">J32+J51+J70+J89</f>
        <v>17250.029200000001</v>
      </c>
      <c r="K108" s="10"/>
      <c r="L108" s="29">
        <f t="shared" ref="L108" si="63">L32+L51+L70+L89</f>
        <v>21835.48</v>
      </c>
      <c r="M108" s="30">
        <f t="shared" si="30"/>
        <v>1.8</v>
      </c>
      <c r="N108" s="29">
        <f t="shared" ref="N108" si="64">N32+N51+N70+N89</f>
        <v>39303.864000000001</v>
      </c>
      <c r="O108" s="10"/>
      <c r="P108" s="23">
        <f t="shared" si="31"/>
        <v>56553.893200000006</v>
      </c>
      <c r="Q108" s="10"/>
    </row>
    <row r="109" spans="2:17" ht="15.75" x14ac:dyDescent="0.25">
      <c r="B109" s="24" t="s">
        <v>135</v>
      </c>
      <c r="C109" s="10"/>
      <c r="D109" s="29">
        <f t="shared" si="32"/>
        <v>25344.003095975229</v>
      </c>
      <c r="E109" s="30">
        <f t="shared" si="28"/>
        <v>3.3612736801947398</v>
      </c>
      <c r="F109" s="29">
        <f t="shared" si="32"/>
        <v>85188.130557275537</v>
      </c>
      <c r="G109" s="10"/>
      <c r="H109" s="29">
        <f t="shared" ref="H109" si="65">H33+H52+H71+H90</f>
        <v>22945.599999999999</v>
      </c>
      <c r="I109" s="30">
        <f t="shared" si="29"/>
        <v>0.79000000000000015</v>
      </c>
      <c r="J109" s="29">
        <f t="shared" ref="J109" si="66">J33+J52+J71+J90</f>
        <v>18127.024000000001</v>
      </c>
      <c r="K109" s="10"/>
      <c r="L109" s="29">
        <f t="shared" ref="L109" si="67">L33+L52+L71+L90</f>
        <v>22945.599999999999</v>
      </c>
      <c r="M109" s="30">
        <f t="shared" si="30"/>
        <v>1.8000000000000003</v>
      </c>
      <c r="N109" s="29">
        <f t="shared" ref="N109" si="68">N33+N52+N71+N90</f>
        <v>41302.080000000002</v>
      </c>
      <c r="O109" s="10"/>
      <c r="P109" s="23">
        <f t="shared" si="31"/>
        <v>59429.104000000007</v>
      </c>
      <c r="Q109" s="10"/>
    </row>
    <row r="110" spans="2:17" ht="15.75" x14ac:dyDescent="0.25">
      <c r="B110" s="24" t="s">
        <v>136</v>
      </c>
      <c r="C110" s="10"/>
      <c r="D110" s="29">
        <f t="shared" si="32"/>
        <v>28753.947368421053</v>
      </c>
      <c r="E110" s="30">
        <f t="shared" si="28"/>
        <v>3.41</v>
      </c>
      <c r="F110" s="29">
        <f t="shared" si="32"/>
        <v>98050.960526315801</v>
      </c>
      <c r="G110" s="10"/>
      <c r="H110" s="29">
        <f t="shared" ref="H110" si="69">H34+H53+H72+H91</f>
        <v>30303.34</v>
      </c>
      <c r="I110" s="30">
        <f t="shared" si="29"/>
        <v>0.79</v>
      </c>
      <c r="J110" s="29">
        <f t="shared" ref="J110" si="70">J34+J53+J72+J91</f>
        <v>23939.638600000002</v>
      </c>
      <c r="K110" s="10"/>
      <c r="L110" s="29">
        <f t="shared" ref="L110" si="71">L34+L53+L72+L91</f>
        <v>30303.34</v>
      </c>
      <c r="M110" s="30">
        <f t="shared" si="30"/>
        <v>1.8</v>
      </c>
      <c r="N110" s="29">
        <f t="shared" ref="N110" si="72">N34+N53+N72+N91</f>
        <v>54546.012000000002</v>
      </c>
      <c r="O110" s="10"/>
      <c r="P110" s="23">
        <f t="shared" si="31"/>
        <v>78485.650600000008</v>
      </c>
      <c r="Q110" s="10"/>
    </row>
    <row r="111" spans="2:17" ht="15.75" x14ac:dyDescent="0.25">
      <c r="B111" s="24" t="s">
        <v>137</v>
      </c>
      <c r="C111" s="10"/>
      <c r="D111" s="29">
        <f t="shared" si="32"/>
        <v>31150.123839009291</v>
      </c>
      <c r="E111" s="30">
        <f t="shared" si="28"/>
        <v>3.4047878216844625</v>
      </c>
      <c r="F111" s="29">
        <f t="shared" si="32"/>
        <v>106059.56229102169</v>
      </c>
      <c r="G111" s="10"/>
      <c r="H111" s="29">
        <f t="shared" ref="H111" si="73">H35+H54+H73+H92</f>
        <v>31007.18</v>
      </c>
      <c r="I111" s="30">
        <f t="shared" si="29"/>
        <v>0.79</v>
      </c>
      <c r="J111" s="29">
        <f t="shared" ref="J111" si="74">J35+J54+J73+J92</f>
        <v>24495.672200000001</v>
      </c>
      <c r="K111" s="10"/>
      <c r="L111" s="29">
        <f t="shared" ref="L111" si="75">L35+L54+L73+L92</f>
        <v>31007.18</v>
      </c>
      <c r="M111" s="30">
        <f t="shared" si="30"/>
        <v>1.8</v>
      </c>
      <c r="N111" s="29">
        <f t="shared" ref="N111" si="76">N35+N54+N73+N92</f>
        <v>55812.923999999999</v>
      </c>
      <c r="O111" s="10"/>
      <c r="P111" s="23">
        <f t="shared" si="31"/>
        <v>80308.5962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138</v>
      </c>
      <c r="C113" s="10"/>
      <c r="D113" s="26">
        <f>SUM(D100:D111)</f>
        <v>344010.45820433437</v>
      </c>
      <c r="E113" s="27">
        <f>IF(D113&lt;&gt;0,F113/D113,0)</f>
        <v>3.3846999552123198</v>
      </c>
      <c r="F113" s="28">
        <f>SUM(F100:F111)</f>
        <v>1164372.1824767801</v>
      </c>
      <c r="G113" s="10"/>
      <c r="H113" s="26">
        <f>SUM(H100:H111)</f>
        <v>332994.6838461539</v>
      </c>
      <c r="I113" s="27">
        <f>IF(H113&lt;&gt;0,J113/H113,0)</f>
        <v>0.78999999999999981</v>
      </c>
      <c r="J113" s="28">
        <f>SUM(J100:J111)</f>
        <v>263065.80023846152</v>
      </c>
      <c r="K113" s="10"/>
      <c r="L113" s="26">
        <f>SUM(L100:L111)</f>
        <v>332994.66827160498</v>
      </c>
      <c r="M113" s="27">
        <f>IF(L113&lt;&gt;0,N113/L113,0)</f>
        <v>1.8</v>
      </c>
      <c r="N113" s="28">
        <f>SUM(N100:N111)</f>
        <v>599390.40288888896</v>
      </c>
      <c r="O113" s="10"/>
      <c r="P113" s="28">
        <f>SUM(P100:P111)</f>
        <v>862456.20312735066</v>
      </c>
      <c r="Q113" s="10"/>
    </row>
    <row r="115" spans="2:17" x14ac:dyDescent="0.2">
      <c r="N115" s="88" t="s">
        <v>216</v>
      </c>
      <c r="P115" s="90">
        <f>'5. UTRs and Sub-Transmission'!I95</f>
        <v>0</v>
      </c>
    </row>
    <row r="117" spans="2:17" ht="13.5" thickBot="1" x14ac:dyDescent="0.25">
      <c r="N117" s="89" t="s">
        <v>217</v>
      </c>
      <c r="P117" s="28">
        <f>P113+P115</f>
        <v>862456.20312735066</v>
      </c>
    </row>
  </sheetData>
  <sheetProtection password="F8BD"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tabSelected="1" workbookViewId="0">
      <pane ySplit="16" topLeftCell="A32" activePane="bottomLeft" state="frozenSplit"/>
      <selection pane="bottomLeft" activeCell="D61" sqref="D61"/>
    </sheetView>
  </sheetViews>
  <sheetFormatPr defaultRowHeight="12.75" x14ac:dyDescent="0.2"/>
  <cols>
    <col min="1" max="1" width="58.140625" style="167" customWidth="1"/>
    <col min="2" max="2" width="22" style="167" customWidth="1"/>
    <col min="3" max="3" width="8.7109375" style="96" customWidth="1"/>
    <col min="4" max="4" width="18.5703125" style="96" customWidth="1"/>
    <col min="5" max="5" width="17.85546875" style="96" bestFit="1" customWidth="1"/>
    <col min="6" max="6" width="16" style="96" customWidth="1"/>
    <col min="7" max="7" width="21.28515625" style="96" customWidth="1"/>
    <col min="8" max="8" width="10.140625" style="96" customWidth="1"/>
    <col min="9" max="10" width="21.28515625" style="96" customWidth="1"/>
    <col min="11" max="17" width="21.28515625" style="167" customWidth="1"/>
    <col min="18" max="16384" width="9.140625" style="167"/>
  </cols>
  <sheetData>
    <row r="13" spans="1:17" ht="15.75" x14ac:dyDescent="0.25">
      <c r="A13" s="169" t="s">
        <v>192</v>
      </c>
    </row>
    <row r="15" spans="1:17" ht="48" thickBot="1" x14ac:dyDescent="0.25">
      <c r="A15" s="139" t="s">
        <v>186</v>
      </c>
      <c r="B15" s="139" t="s">
        <v>113</v>
      </c>
      <c r="C15" s="140" t="s">
        <v>187</v>
      </c>
      <c r="D15" s="141" t="s">
        <v>193</v>
      </c>
      <c r="E15" s="142" t="s">
        <v>188</v>
      </c>
      <c r="F15" s="142" t="s">
        <v>204</v>
      </c>
      <c r="G15" s="142" t="s">
        <v>189</v>
      </c>
      <c r="H15" s="143" t="s">
        <v>190</v>
      </c>
      <c r="I15" s="142" t="s">
        <v>191</v>
      </c>
      <c r="J15" s="141" t="s">
        <v>245</v>
      </c>
      <c r="K15" s="144"/>
      <c r="L15" s="144"/>
      <c r="M15" s="144"/>
      <c r="N15" s="144"/>
      <c r="O15" s="144"/>
      <c r="P15" s="144"/>
      <c r="Q15" s="144"/>
    </row>
    <row r="17" spans="1:17" x14ac:dyDescent="0.2">
      <c r="A17" s="167" t="s">
        <v>28</v>
      </c>
      <c r="B17" s="168" t="s">
        <v>252</v>
      </c>
      <c r="C17" s="96" t="s">
        <v>251</v>
      </c>
      <c r="D17" s="153">
        <v>6.3E-3</v>
      </c>
      <c r="E17" s="154">
        <v>82583874.160970002</v>
      </c>
      <c r="F17" s="154"/>
      <c r="G17" s="154">
        <f>ROUND(D17*E17, 2)</f>
        <v>520278.41</v>
      </c>
      <c r="H17" s="158">
        <f t="shared" ref="H17:H22" si="0">G17/1216078.33</f>
        <v>0.42783297519987873</v>
      </c>
      <c r="I17" s="154">
        <f t="shared" ref="I17:I22" si="1">H17*total_current_wholesale_network</f>
        <v>498156.81506901694</v>
      </c>
      <c r="J17" s="153">
        <f>IF(ISERROR(I17/E17), 0, I17/E17)</f>
        <v>6.0321318190767444E-3</v>
      </c>
    </row>
    <row r="18" spans="1:17" x14ac:dyDescent="0.2">
      <c r="A18" s="167" t="s">
        <v>30</v>
      </c>
      <c r="B18" s="168" t="s">
        <v>252</v>
      </c>
      <c r="C18" s="96" t="s">
        <v>251</v>
      </c>
      <c r="D18" s="153">
        <v>5.7999999999999996E-3</v>
      </c>
      <c r="E18" s="154">
        <v>32884065.438679997</v>
      </c>
      <c r="F18" s="154"/>
      <c r="G18" s="154">
        <f>ROUND(D18*E18, 2)</f>
        <v>190727.58</v>
      </c>
      <c r="H18" s="158">
        <f t="shared" si="0"/>
        <v>0.15683823590541243</v>
      </c>
      <c r="I18" s="154">
        <f t="shared" si="1"/>
        <v>182618.07903699318</v>
      </c>
      <c r="J18" s="153">
        <f>IF(ISERROR(I18/E18), 0, I18/E18)</f>
        <v>5.5533911820461234E-3</v>
      </c>
    </row>
    <row r="19" spans="1:17" x14ac:dyDescent="0.2">
      <c r="A19" s="167" t="s">
        <v>69</v>
      </c>
      <c r="B19" s="168" t="s">
        <v>252</v>
      </c>
      <c r="C19" s="96" t="s">
        <v>112</v>
      </c>
      <c r="D19" s="153">
        <v>2.3683000000000001</v>
      </c>
      <c r="E19" s="154"/>
      <c r="F19" s="154">
        <v>206399</v>
      </c>
      <c r="G19" s="154">
        <f>ROUND(D19*F19, 2)</f>
        <v>488814.75</v>
      </c>
      <c r="H19" s="158">
        <f t="shared" si="0"/>
        <v>0.4019599214468364</v>
      </c>
      <c r="I19" s="154">
        <f t="shared" si="1"/>
        <v>468030.95100324799</v>
      </c>
      <c r="J19" s="153">
        <f>IF(ISERROR(I19/F19), 0, I19/F19)</f>
        <v>2.267602803323892</v>
      </c>
    </row>
    <row r="20" spans="1:17" x14ac:dyDescent="0.2">
      <c r="A20" s="167" t="s">
        <v>39</v>
      </c>
      <c r="B20" s="168" t="s">
        <v>252</v>
      </c>
      <c r="C20" s="96" t="s">
        <v>112</v>
      </c>
      <c r="D20" s="153">
        <v>1.7950999999999999</v>
      </c>
      <c r="E20" s="154"/>
      <c r="F20" s="154">
        <v>700</v>
      </c>
      <c r="G20" s="154">
        <f>ROUND(D20*F20, 2)</f>
        <v>1256.57</v>
      </c>
      <c r="H20" s="158">
        <f t="shared" si="0"/>
        <v>1.0332969258649645E-3</v>
      </c>
      <c r="I20" s="154">
        <f t="shared" si="1"/>
        <v>1203.1421967159365</v>
      </c>
      <c r="J20" s="153">
        <f>IF(ISERROR(I20/F20), 0, I20/F20)</f>
        <v>1.7187745667370522</v>
      </c>
    </row>
    <row r="21" spans="1:17" x14ac:dyDescent="0.2">
      <c r="A21" s="167" t="s">
        <v>41</v>
      </c>
      <c r="B21" s="168" t="s">
        <v>252</v>
      </c>
      <c r="C21" s="96" t="s">
        <v>112</v>
      </c>
      <c r="D21" s="153">
        <v>1.786</v>
      </c>
      <c r="E21" s="154"/>
      <c r="F21" s="154">
        <v>6866</v>
      </c>
      <c r="G21" s="154">
        <f>ROUND(D21*F21, 2)</f>
        <v>12262.68</v>
      </c>
      <c r="H21" s="158">
        <f t="shared" si="0"/>
        <v>1.0083791230783628E-2</v>
      </c>
      <c r="I21" s="154">
        <f t="shared" si="1"/>
        <v>11741.28600302775</v>
      </c>
      <c r="J21" s="153">
        <f>IF(ISERROR(I21/F21), 0, I21/F21)</f>
        <v>1.7100620452997013</v>
      </c>
    </row>
    <row r="22" spans="1:17" x14ac:dyDescent="0.2">
      <c r="A22" s="167" t="s">
        <v>37</v>
      </c>
      <c r="B22" s="168" t="s">
        <v>252</v>
      </c>
      <c r="C22" s="96" t="s">
        <v>251</v>
      </c>
      <c r="D22" s="153">
        <v>5.7999999999999996E-3</v>
      </c>
      <c r="E22" s="154">
        <v>472128.09374999994</v>
      </c>
      <c r="F22" s="154"/>
      <c r="G22" s="154">
        <f>ROUND(D22*E22, 2)</f>
        <v>2738.34</v>
      </c>
      <c r="H22" s="158">
        <f t="shared" si="0"/>
        <v>2.2517792912237814E-3</v>
      </c>
      <c r="I22" s="154">
        <f t="shared" si="1"/>
        <v>2621.9091677782512</v>
      </c>
      <c r="J22" s="153">
        <f>IF(ISERROR(I22/E22), 0, I22/E22)</f>
        <v>5.5533851988197888E-3</v>
      </c>
    </row>
    <row r="23" spans="1:17" x14ac:dyDescent="0.2">
      <c r="B23" s="168"/>
    </row>
    <row r="24" spans="1:17" ht="15.75" x14ac:dyDescent="0.25">
      <c r="A24" s="169" t="s">
        <v>258</v>
      </c>
      <c r="B24" s="168"/>
    </row>
    <row r="25" spans="1:17" ht="48" thickBot="1" x14ac:dyDescent="0.25">
      <c r="A25" s="139" t="s">
        <v>186</v>
      </c>
      <c r="B25" s="139" t="s">
        <v>113</v>
      </c>
      <c r="C25" s="140" t="s">
        <v>187</v>
      </c>
      <c r="D25" s="141" t="s">
        <v>256</v>
      </c>
      <c r="E25" s="142" t="s">
        <v>188</v>
      </c>
      <c r="F25" s="142" t="s">
        <v>204</v>
      </c>
      <c r="G25" s="142" t="s">
        <v>189</v>
      </c>
      <c r="H25" s="143" t="s">
        <v>190</v>
      </c>
      <c r="I25" s="142" t="s">
        <v>191</v>
      </c>
      <c r="J25" s="141" t="s">
        <v>257</v>
      </c>
      <c r="K25" s="144"/>
      <c r="L25" s="144"/>
      <c r="M25" s="144"/>
      <c r="N25" s="144"/>
      <c r="O25" s="144"/>
      <c r="P25" s="144"/>
      <c r="Q25" s="144"/>
    </row>
    <row r="26" spans="1:17" x14ac:dyDescent="0.2">
      <c r="B26" s="168"/>
    </row>
    <row r="27" spans="1:17" x14ac:dyDescent="0.2">
      <c r="A27" s="167" t="s">
        <v>28</v>
      </c>
      <c r="B27" s="168" t="s">
        <v>253</v>
      </c>
      <c r="C27" s="96" t="s">
        <v>251</v>
      </c>
      <c r="D27" s="153">
        <v>4.4999999999999997E-3</v>
      </c>
      <c r="E27" s="154">
        <v>82583874.160970002</v>
      </c>
      <c r="F27" s="154"/>
      <c r="G27" s="154">
        <f>ROUND(D27*E27, 2)</f>
        <v>371627.43</v>
      </c>
      <c r="H27" s="158">
        <f t="shared" ref="H27:H32" si="2">G27/843797.35</f>
        <v>0.44042260858012888</v>
      </c>
      <c r="I27" s="154">
        <f t="shared" ref="I27:I32" si="3">H27*Total_Current_Wholesale_Lineplus</f>
        <v>379845.21076746128</v>
      </c>
      <c r="J27" s="153">
        <f>IF(ISERROR(I27/E27), 0, I27/E27)</f>
        <v>4.5995082529923263E-3</v>
      </c>
    </row>
    <row r="28" spans="1:17" x14ac:dyDescent="0.2">
      <c r="A28" s="167" t="s">
        <v>30</v>
      </c>
      <c r="B28" s="168" t="s">
        <v>253</v>
      </c>
      <c r="C28" s="96" t="s">
        <v>251</v>
      </c>
      <c r="D28" s="153">
        <v>4.0000000000000001E-3</v>
      </c>
      <c r="E28" s="154">
        <v>32884065.438679997</v>
      </c>
      <c r="F28" s="154"/>
      <c r="G28" s="154">
        <f>ROUND(D28*E28, 2)</f>
        <v>131536.26</v>
      </c>
      <c r="H28" s="158">
        <f t="shared" si="2"/>
        <v>0.15588607857087963</v>
      </c>
      <c r="I28" s="154">
        <f t="shared" si="3"/>
        <v>134444.9154446527</v>
      </c>
      <c r="J28" s="153">
        <f>IF(ISERROR(I28/E28), 0, I28/E28)</f>
        <v>4.0884517668703883E-3</v>
      </c>
    </row>
    <row r="29" spans="1:17" x14ac:dyDescent="0.2">
      <c r="A29" s="167" t="s">
        <v>69</v>
      </c>
      <c r="B29" s="168" t="s">
        <v>253</v>
      </c>
      <c r="C29" s="96" t="s">
        <v>112</v>
      </c>
      <c r="D29" s="153">
        <v>1.5959000000000001</v>
      </c>
      <c r="E29" s="154"/>
      <c r="F29" s="154">
        <v>206399</v>
      </c>
      <c r="G29" s="154">
        <f>ROUND(D29*F29, 2)</f>
        <v>329392.15999999997</v>
      </c>
      <c r="H29" s="158">
        <f t="shared" si="2"/>
        <v>0.39036880122934731</v>
      </c>
      <c r="I29" s="154">
        <f t="shared" si="3"/>
        <v>336675.99412763835</v>
      </c>
      <c r="J29" s="153">
        <f>IF(ISERROR(I29/F29), 0, I29/F29)</f>
        <v>1.6311900451438153</v>
      </c>
    </row>
    <row r="30" spans="1:17" x14ac:dyDescent="0.2">
      <c r="A30" s="167" t="s">
        <v>39</v>
      </c>
      <c r="B30" s="168" t="s">
        <v>253</v>
      </c>
      <c r="C30" s="96" t="s">
        <v>112</v>
      </c>
      <c r="D30" s="153">
        <v>1.2596000000000001</v>
      </c>
      <c r="E30" s="154"/>
      <c r="F30" s="154">
        <v>700</v>
      </c>
      <c r="G30" s="154">
        <f>ROUND(D30*F30, 2)</f>
        <v>881.72</v>
      </c>
      <c r="H30" s="158">
        <f t="shared" si="2"/>
        <v>1.0449428408373172E-3</v>
      </c>
      <c r="I30" s="154">
        <f t="shared" si="3"/>
        <v>901.21743499366005</v>
      </c>
      <c r="J30" s="153">
        <f>IF(ISERROR(I30/F30), 0, I30/F30)</f>
        <v>1.2874534785623715</v>
      </c>
    </row>
    <row r="31" spans="1:17" x14ac:dyDescent="0.2">
      <c r="A31" s="167" t="s">
        <v>41</v>
      </c>
      <c r="B31" s="168" t="s">
        <v>253</v>
      </c>
      <c r="C31" s="96" t="s">
        <v>112</v>
      </c>
      <c r="D31" s="153">
        <v>1.2338</v>
      </c>
      <c r="E31" s="154"/>
      <c r="F31" s="154">
        <v>6866</v>
      </c>
      <c r="G31" s="154">
        <f>ROUND(D31*F31, 2)</f>
        <v>8471.27</v>
      </c>
      <c r="H31" s="158">
        <f t="shared" si="2"/>
        <v>1.0039460304064714E-2</v>
      </c>
      <c r="I31" s="154">
        <f t="shared" si="3"/>
        <v>8658.5948152914116</v>
      </c>
      <c r="J31" s="153">
        <f>IF(ISERROR(I31/F31), 0, I31/F31)</f>
        <v>1.2610828452215863</v>
      </c>
    </row>
    <row r="32" spans="1:17" x14ac:dyDescent="0.2">
      <c r="A32" s="167" t="s">
        <v>37</v>
      </c>
      <c r="B32" s="168" t="s">
        <v>253</v>
      </c>
      <c r="C32" s="96" t="s">
        <v>251</v>
      </c>
      <c r="D32" s="153">
        <v>4.0000000000000001E-3</v>
      </c>
      <c r="E32" s="154">
        <v>472128.09374999994</v>
      </c>
      <c r="F32" s="154"/>
      <c r="G32" s="154">
        <f>ROUND(D32*E32, 2)</f>
        <v>1888.51</v>
      </c>
      <c r="H32" s="158">
        <f t="shared" si="2"/>
        <v>2.2381084747421878E-3</v>
      </c>
      <c r="I32" s="154">
        <f t="shared" si="3"/>
        <v>1930.2705373132933</v>
      </c>
      <c r="J32" s="153">
        <f>IF(ISERROR(I32/E32), 0, I32/E32)</f>
        <v>4.088446679759339E-3</v>
      </c>
    </row>
    <row r="33" spans="1:17" x14ac:dyDescent="0.2">
      <c r="B33" s="168"/>
      <c r="D33" s="153"/>
    </row>
    <row r="34" spans="1:17" ht="15.75" x14ac:dyDescent="0.25">
      <c r="A34" s="169" t="s">
        <v>261</v>
      </c>
      <c r="B34" s="168"/>
      <c r="D34" s="153"/>
    </row>
    <row r="35" spans="1:17" ht="48" thickBot="1" x14ac:dyDescent="0.25">
      <c r="A35" s="139" t="s">
        <v>186</v>
      </c>
      <c r="B35" s="139" t="s">
        <v>113</v>
      </c>
      <c r="C35" s="140" t="s">
        <v>187</v>
      </c>
      <c r="D35" s="141" t="s">
        <v>259</v>
      </c>
      <c r="E35" s="142" t="s">
        <v>188</v>
      </c>
      <c r="F35" s="142" t="s">
        <v>204</v>
      </c>
      <c r="G35" s="142" t="s">
        <v>189</v>
      </c>
      <c r="H35" s="143" t="s">
        <v>190</v>
      </c>
      <c r="I35" s="142" t="s">
        <v>191</v>
      </c>
      <c r="J35" s="155" t="s">
        <v>260</v>
      </c>
      <c r="K35" s="144"/>
      <c r="L35" s="144"/>
      <c r="M35" s="144"/>
      <c r="N35" s="144"/>
      <c r="O35" s="144"/>
      <c r="P35" s="144"/>
      <c r="Q35" s="144"/>
    </row>
    <row r="36" spans="1:17" x14ac:dyDescent="0.2">
      <c r="B36" s="168"/>
      <c r="D36" s="153"/>
      <c r="J36" s="156"/>
    </row>
    <row r="37" spans="1:17" x14ac:dyDescent="0.2">
      <c r="A37" s="167" t="s">
        <v>28</v>
      </c>
      <c r="B37" s="168" t="s">
        <v>252</v>
      </c>
      <c r="C37" s="96" t="s">
        <v>251</v>
      </c>
      <c r="D37" s="153">
        <v>6.0321318190767444E-3</v>
      </c>
      <c r="E37" s="154">
        <v>82583874.160970002</v>
      </c>
      <c r="F37" s="154"/>
      <c r="G37" s="154">
        <f>IF(ISERROR(D37*E37), 0, ROUND(D37*E37, 2))</f>
        <v>498156.82</v>
      </c>
      <c r="H37" s="158">
        <f t="shared" ref="H37:H42" si="4">G37/1164372.19</f>
        <v>0.42783297667045794</v>
      </c>
      <c r="I37" s="154">
        <f t="shared" ref="I37:I42" si="5">H37*forecast_wholesale_network</f>
        <v>498156.81678131846</v>
      </c>
      <c r="J37" s="157">
        <f>IF(ISERROR(I37/E37), 0, I37/E37)</f>
        <v>6.0321318398108351E-3</v>
      </c>
    </row>
    <row r="38" spans="1:17" x14ac:dyDescent="0.2">
      <c r="A38" s="167" t="s">
        <v>30</v>
      </c>
      <c r="B38" s="168" t="s">
        <v>252</v>
      </c>
      <c r="C38" s="96" t="s">
        <v>251</v>
      </c>
      <c r="D38" s="153">
        <v>5.5533911820461234E-3</v>
      </c>
      <c r="E38" s="154">
        <v>32884065.438679997</v>
      </c>
      <c r="F38" s="154"/>
      <c r="G38" s="154">
        <f>IF(ISERROR(D38*E38), 0, ROUND(D38*E38, 2))</f>
        <v>182618.08</v>
      </c>
      <c r="H38" s="158">
        <f t="shared" si="4"/>
        <v>0.15683823571911315</v>
      </c>
      <c r="I38" s="154">
        <f t="shared" si="5"/>
        <v>182618.07882007147</v>
      </c>
      <c r="J38" s="157">
        <f>IF(ISERROR(I38/E38), 0, I38/E38)</f>
        <v>5.5533911754495633E-3</v>
      </c>
    </row>
    <row r="39" spans="1:17" x14ac:dyDescent="0.2">
      <c r="A39" s="167" t="s">
        <v>69</v>
      </c>
      <c r="B39" s="168" t="s">
        <v>252</v>
      </c>
      <c r="C39" s="96" t="s">
        <v>112</v>
      </c>
      <c r="D39" s="153">
        <v>2.267602803323892</v>
      </c>
      <c r="E39" s="154"/>
      <c r="F39" s="154">
        <v>206399</v>
      </c>
      <c r="G39" s="154">
        <f>ROUND(D39*F39, 2)</f>
        <v>468030.95</v>
      </c>
      <c r="H39" s="158">
        <f t="shared" si="4"/>
        <v>0.40195991798807906</v>
      </c>
      <c r="I39" s="154">
        <f t="shared" si="5"/>
        <v>468030.94697596715</v>
      </c>
      <c r="J39" s="157">
        <f>IF(ISERROR(I39/F39), 0, I39/F39)</f>
        <v>2.2676027838117778</v>
      </c>
    </row>
    <row r="40" spans="1:17" x14ac:dyDescent="0.2">
      <c r="A40" s="167" t="s">
        <v>39</v>
      </c>
      <c r="B40" s="168" t="s">
        <v>252</v>
      </c>
      <c r="C40" s="96" t="s">
        <v>112</v>
      </c>
      <c r="D40" s="153">
        <v>1.7187745667370522</v>
      </c>
      <c r="E40" s="154"/>
      <c r="F40" s="154">
        <v>700</v>
      </c>
      <c r="G40" s="154">
        <f>ROUND(D40*F40, 2)</f>
        <v>1203.1400000000001</v>
      </c>
      <c r="H40" s="158">
        <f t="shared" si="4"/>
        <v>1.0332950325788871E-3</v>
      </c>
      <c r="I40" s="154">
        <f t="shared" si="5"/>
        <v>1203.1399922262945</v>
      </c>
      <c r="J40" s="157">
        <f>IF(ISERROR(I40/F40), 0, I40/F40)</f>
        <v>1.718771417466135</v>
      </c>
    </row>
    <row r="41" spans="1:17" x14ac:dyDescent="0.2">
      <c r="A41" s="167" t="s">
        <v>41</v>
      </c>
      <c r="B41" s="168" t="s">
        <v>252</v>
      </c>
      <c r="C41" s="96" t="s">
        <v>112</v>
      </c>
      <c r="D41" s="153">
        <v>1.7100620452997013</v>
      </c>
      <c r="E41" s="154"/>
      <c r="F41" s="154">
        <v>6866</v>
      </c>
      <c r="G41" s="154">
        <f>ROUND(D41*F41, 2)</f>
        <v>11741.29</v>
      </c>
      <c r="H41" s="158">
        <f t="shared" si="4"/>
        <v>1.0083794598357764E-2</v>
      </c>
      <c r="I41" s="154">
        <f t="shared" si="5"/>
        <v>11741.289924137396</v>
      </c>
      <c r="J41" s="157">
        <f>IF(ISERROR(I41/F41), 0, I41/F41)</f>
        <v>1.7100626163905326</v>
      </c>
    </row>
    <row r="42" spans="1:17" x14ac:dyDescent="0.2">
      <c r="A42" s="167" t="s">
        <v>37</v>
      </c>
      <c r="B42" s="168" t="s">
        <v>252</v>
      </c>
      <c r="C42" s="96" t="s">
        <v>251</v>
      </c>
      <c r="D42" s="153">
        <v>5.5533851988197888E-3</v>
      </c>
      <c r="E42" s="154">
        <v>472128.09374999994</v>
      </c>
      <c r="F42" s="154"/>
      <c r="G42" s="154">
        <f>IF(ISERROR(D42*E42), 0, ROUND(D42*E42, 2))</f>
        <v>2621.91</v>
      </c>
      <c r="H42" s="158">
        <f t="shared" si="4"/>
        <v>2.2517799914132269E-3</v>
      </c>
      <c r="I42" s="154">
        <f t="shared" si="5"/>
        <v>2621.9099830593641</v>
      </c>
      <c r="J42" s="157">
        <f>IF(ISERROR(I42/E42), 0, I42/E42)</f>
        <v>5.553386925641648E-3</v>
      </c>
    </row>
    <row r="43" spans="1:17" x14ac:dyDescent="0.2">
      <c r="B43" s="168"/>
      <c r="D43" s="153"/>
    </row>
    <row r="44" spans="1:17" ht="15.75" x14ac:dyDescent="0.25">
      <c r="A44" s="169" t="s">
        <v>263</v>
      </c>
      <c r="B44" s="168"/>
      <c r="D44" s="153"/>
    </row>
    <row r="45" spans="1:17" ht="48" thickBot="1" x14ac:dyDescent="0.25">
      <c r="A45" s="139" t="s">
        <v>186</v>
      </c>
      <c r="B45" s="139" t="s">
        <v>113</v>
      </c>
      <c r="C45" s="140" t="s">
        <v>187</v>
      </c>
      <c r="D45" s="141" t="s">
        <v>257</v>
      </c>
      <c r="E45" s="142" t="s">
        <v>188</v>
      </c>
      <c r="F45" s="142" t="s">
        <v>204</v>
      </c>
      <c r="G45" s="142" t="s">
        <v>189</v>
      </c>
      <c r="H45" s="143" t="s">
        <v>190</v>
      </c>
      <c r="I45" s="142" t="s">
        <v>191</v>
      </c>
      <c r="J45" s="155" t="s">
        <v>262</v>
      </c>
      <c r="K45" s="144"/>
      <c r="L45" s="144"/>
      <c r="M45" s="144"/>
      <c r="N45" s="144"/>
      <c r="O45" s="144"/>
      <c r="P45" s="144"/>
      <c r="Q45" s="144"/>
    </row>
    <row r="46" spans="1:17" x14ac:dyDescent="0.2">
      <c r="B46" s="168"/>
      <c r="D46" s="153"/>
      <c r="J46" s="156"/>
    </row>
    <row r="47" spans="1:17" x14ac:dyDescent="0.2">
      <c r="A47" s="167" t="s">
        <v>28</v>
      </c>
      <c r="B47" s="168" t="s">
        <v>253</v>
      </c>
      <c r="C47" s="96" t="s">
        <v>251</v>
      </c>
      <c r="D47" s="153">
        <v>4.5995082529923263E-3</v>
      </c>
      <c r="E47" s="154">
        <v>82583874.160970002</v>
      </c>
      <c r="F47" s="154"/>
      <c r="G47" s="154">
        <f>ROUND(D47*E47, 2)</f>
        <v>379845.21</v>
      </c>
      <c r="H47" s="158">
        <f t="shared" ref="H47:H52" si="6">G47/862456.2</f>
        <v>0.44042260928728905</v>
      </c>
      <c r="I47" s="154">
        <f t="shared" ref="I47:I52" si="7">H47*forecast_wholesale_lineplus</f>
        <v>379845.21137735597</v>
      </c>
      <c r="J47" s="157">
        <f>IF(ISERROR(I47/E47), 0, I47/E47)</f>
        <v>4.5995082603774813E-3</v>
      </c>
    </row>
    <row r="48" spans="1:17" x14ac:dyDescent="0.2">
      <c r="A48" s="167" t="s">
        <v>30</v>
      </c>
      <c r="B48" s="168" t="s">
        <v>253</v>
      </c>
      <c r="C48" s="96" t="s">
        <v>251</v>
      </c>
      <c r="D48" s="153">
        <v>4.0884517668703883E-3</v>
      </c>
      <c r="E48" s="154">
        <v>32884065.438679997</v>
      </c>
      <c r="F48" s="154"/>
      <c r="G48" s="154">
        <f>ROUND(D48*E48, 2)</f>
        <v>134444.92000000001</v>
      </c>
      <c r="H48" s="158">
        <f t="shared" si="6"/>
        <v>0.15588608441796814</v>
      </c>
      <c r="I48" s="154">
        <f t="shared" si="7"/>
        <v>134444.92048751048</v>
      </c>
      <c r="J48" s="157">
        <f>IF(ISERROR(I48/E48), 0, I48/E48)</f>
        <v>4.088451920223014E-3</v>
      </c>
    </row>
    <row r="49" spans="1:10" x14ac:dyDescent="0.2">
      <c r="A49" s="167" t="s">
        <v>69</v>
      </c>
      <c r="B49" s="168" t="s">
        <v>253</v>
      </c>
      <c r="C49" s="96" t="s">
        <v>112</v>
      </c>
      <c r="D49" s="153">
        <v>1.6311900451438153</v>
      </c>
      <c r="E49" s="154"/>
      <c r="F49" s="154">
        <v>206399</v>
      </c>
      <c r="G49" s="154">
        <f>ROUND(D49*F49, 2)</f>
        <v>336675.99</v>
      </c>
      <c r="H49" s="158">
        <f t="shared" si="6"/>
        <v>0.39036879785895218</v>
      </c>
      <c r="I49" s="154">
        <f t="shared" si="7"/>
        <v>336675.99122082017</v>
      </c>
      <c r="J49" s="157">
        <f>IF(ISERROR(I49/F49), 0, I49/F49)</f>
        <v>1.6311900310603258</v>
      </c>
    </row>
    <row r="50" spans="1:10" x14ac:dyDescent="0.2">
      <c r="A50" s="167" t="s">
        <v>39</v>
      </c>
      <c r="B50" s="168" t="s">
        <v>253</v>
      </c>
      <c r="C50" s="96" t="s">
        <v>112</v>
      </c>
      <c r="D50" s="153">
        <v>1.2874534785623715</v>
      </c>
      <c r="E50" s="154"/>
      <c r="F50" s="154">
        <v>700</v>
      </c>
      <c r="G50" s="154">
        <f>ROUND(D50*F50, 2)</f>
        <v>901.22</v>
      </c>
      <c r="H50" s="158">
        <f t="shared" si="6"/>
        <v>1.0449458186978075E-3</v>
      </c>
      <c r="I50" s="154">
        <f t="shared" si="7"/>
        <v>901.22000326791203</v>
      </c>
      <c r="J50" s="157">
        <f>IF(ISERROR(I50/F50), 0, I50/F50)</f>
        <v>1.2874571475255887</v>
      </c>
    </row>
    <row r="51" spans="1:10" x14ac:dyDescent="0.2">
      <c r="A51" s="167" t="s">
        <v>41</v>
      </c>
      <c r="B51" s="168" t="s">
        <v>253</v>
      </c>
      <c r="C51" s="96" t="s">
        <v>112</v>
      </c>
      <c r="D51" s="153">
        <v>1.2610828452215863</v>
      </c>
      <c r="E51" s="154"/>
      <c r="F51" s="154">
        <v>6866</v>
      </c>
      <c r="G51" s="154">
        <f>ROUND(D51*F51, 2)</f>
        <v>8658.59</v>
      </c>
      <c r="H51" s="158">
        <f t="shared" si="6"/>
        <v>1.0039454757238686E-2</v>
      </c>
      <c r="I51" s="154">
        <f t="shared" si="7"/>
        <v>8658.5900313968959</v>
      </c>
      <c r="J51" s="157">
        <f>IF(ISERROR(I51/F51), 0, I51/F51)</f>
        <v>1.2610821484702732</v>
      </c>
    </row>
    <row r="52" spans="1:10" x14ac:dyDescent="0.2">
      <c r="A52" s="167" t="s">
        <v>37</v>
      </c>
      <c r="B52" s="168" t="s">
        <v>253</v>
      </c>
      <c r="C52" s="96" t="s">
        <v>251</v>
      </c>
      <c r="D52" s="153">
        <v>4.088446679759339E-3</v>
      </c>
      <c r="E52" s="154">
        <v>472128.09374999994</v>
      </c>
      <c r="F52" s="154"/>
      <c r="G52" s="154">
        <f>ROUND(D52*E52, 2)</f>
        <v>1930.27</v>
      </c>
      <c r="H52" s="158">
        <f t="shared" si="6"/>
        <v>2.2381078598542165E-3</v>
      </c>
      <c r="I52" s="154">
        <f t="shared" si="7"/>
        <v>1930.2700069993482</v>
      </c>
      <c r="J52" s="157">
        <f>IF(ISERROR(I52/E52), 0, I52/E52)</f>
        <v>4.0884455565176761E-3</v>
      </c>
    </row>
    <row r="53" spans="1:10" x14ac:dyDescent="0.2">
      <c r="D53" s="153"/>
    </row>
    <row r="54" spans="1:10" x14ac:dyDescent="0.2">
      <c r="D54" s="153"/>
    </row>
    <row r="55" spans="1:10" x14ac:dyDescent="0.2">
      <c r="D55" s="153"/>
    </row>
    <row r="56" spans="1:10" x14ac:dyDescent="0.2">
      <c r="D56" s="153"/>
    </row>
    <row r="57" spans="1:10" x14ac:dyDescent="0.2">
      <c r="D57" s="153"/>
    </row>
    <row r="58" spans="1:10" x14ac:dyDescent="0.2">
      <c r="D58" s="153"/>
    </row>
    <row r="59" spans="1:10" x14ac:dyDescent="0.2">
      <c r="D59" s="153"/>
    </row>
    <row r="60" spans="1:10" x14ac:dyDescent="0.2">
      <c r="D60" s="153"/>
    </row>
    <row r="61" spans="1:10" x14ac:dyDescent="0.2">
      <c r="D61" s="153"/>
    </row>
    <row r="62" spans="1:10" x14ac:dyDescent="0.2">
      <c r="D62" s="153"/>
    </row>
    <row r="63" spans="1:10" x14ac:dyDescent="0.2">
      <c r="D63" s="153"/>
    </row>
    <row r="64" spans="1:10" x14ac:dyDescent="0.2">
      <c r="D64" s="153"/>
    </row>
    <row r="65" spans="4:4" x14ac:dyDescent="0.2">
      <c r="D65" s="153"/>
    </row>
    <row r="66" spans="4:4" x14ac:dyDescent="0.2">
      <c r="D66" s="153"/>
    </row>
    <row r="67" spans="4:4" x14ac:dyDescent="0.2">
      <c r="D67" s="153"/>
    </row>
    <row r="68" spans="4:4" x14ac:dyDescent="0.2">
      <c r="D68" s="153"/>
    </row>
    <row r="69" spans="4:4" x14ac:dyDescent="0.2">
      <c r="D69" s="153"/>
    </row>
    <row r="70" spans="4:4" x14ac:dyDescent="0.2">
      <c r="D70" s="153"/>
    </row>
    <row r="71" spans="4:4" x14ac:dyDescent="0.2">
      <c r="D71" s="153"/>
    </row>
    <row r="72" spans="4:4" x14ac:dyDescent="0.2">
      <c r="D72" s="153"/>
    </row>
    <row r="73" spans="4:4" x14ac:dyDescent="0.2">
      <c r="D73" s="153"/>
    </row>
    <row r="74" spans="4:4" x14ac:dyDescent="0.2">
      <c r="D74" s="153"/>
    </row>
    <row r="75" spans="4:4" x14ac:dyDescent="0.2">
      <c r="D75" s="153"/>
    </row>
    <row r="76" spans="4:4" x14ac:dyDescent="0.2">
      <c r="D76" s="153"/>
    </row>
    <row r="77" spans="4:4" x14ac:dyDescent="0.2">
      <c r="D77" s="153"/>
    </row>
    <row r="78" spans="4:4" x14ac:dyDescent="0.2">
      <c r="D78" s="153"/>
    </row>
    <row r="79" spans="4:4" x14ac:dyDescent="0.2">
      <c r="D79" s="153"/>
    </row>
    <row r="80" spans="4:4" x14ac:dyDescent="0.2">
      <c r="D80" s="153"/>
    </row>
    <row r="81" spans="4:4" x14ac:dyDescent="0.2">
      <c r="D81" s="153"/>
    </row>
    <row r="82" spans="4:4" x14ac:dyDescent="0.2">
      <c r="D82" s="153"/>
    </row>
    <row r="83" spans="4:4" x14ac:dyDescent="0.2">
      <c r="D83" s="153"/>
    </row>
    <row r="84" spans="4:4" x14ac:dyDescent="0.2">
      <c r="D84" s="153"/>
    </row>
    <row r="85" spans="4:4" x14ac:dyDescent="0.2">
      <c r="D85" s="153"/>
    </row>
    <row r="86" spans="4:4" x14ac:dyDescent="0.2">
      <c r="D86" s="153"/>
    </row>
    <row r="87" spans="4:4" x14ac:dyDescent="0.2">
      <c r="D87" s="153"/>
    </row>
    <row r="88" spans="4:4" x14ac:dyDescent="0.2">
      <c r="D88" s="153"/>
    </row>
    <row r="89" spans="4:4" x14ac:dyDescent="0.2">
      <c r="D89" s="153"/>
    </row>
    <row r="90" spans="4:4" x14ac:dyDescent="0.2">
      <c r="D90" s="153"/>
    </row>
    <row r="91" spans="4:4" x14ac:dyDescent="0.2">
      <c r="D91" s="153"/>
    </row>
    <row r="92" spans="4:4" x14ac:dyDescent="0.2">
      <c r="D92" s="153"/>
    </row>
    <row r="93" spans="4:4" x14ac:dyDescent="0.2">
      <c r="D93" s="153"/>
    </row>
    <row r="94" spans="4:4" x14ac:dyDescent="0.2">
      <c r="D94" s="153"/>
    </row>
    <row r="95" spans="4:4" x14ac:dyDescent="0.2">
      <c r="D95" s="153"/>
    </row>
    <row r="96" spans="4:4" x14ac:dyDescent="0.2">
      <c r="D96" s="153"/>
    </row>
    <row r="97" spans="4:4" x14ac:dyDescent="0.2">
      <c r="D97" s="153"/>
    </row>
    <row r="98" spans="4:4" x14ac:dyDescent="0.2">
      <c r="D98" s="153"/>
    </row>
    <row r="99" spans="4:4" x14ac:dyDescent="0.2">
      <c r="D99" s="153"/>
    </row>
    <row r="100" spans="4:4" x14ac:dyDescent="0.2">
      <c r="D100" s="153"/>
    </row>
    <row r="101" spans="4:4" x14ac:dyDescent="0.2">
      <c r="D101" s="153"/>
    </row>
    <row r="102" spans="4:4" x14ac:dyDescent="0.2">
      <c r="D102" s="153"/>
    </row>
    <row r="103" spans="4:4" x14ac:dyDescent="0.2">
      <c r="D103" s="153"/>
    </row>
    <row r="104" spans="4:4" x14ac:dyDescent="0.2">
      <c r="D104" s="153"/>
    </row>
  </sheetData>
  <sheetProtection password="F8BD" sheet="1" objects="1" scenarios="1"/>
  <phoneticPr fontId="21" type="noConversion"/>
  <pageMargins left="0.39370078740157499" right="0.39370078740157499" top="0.39370078740157499" bottom="0.39370078740157499" header="0.196850393700787" footer="0.196850393700787"/>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abramoma</dc:creator>
  <cp:lastModifiedBy>Manuela Ris-Schofield</cp:lastModifiedBy>
  <cp:lastPrinted>2015-06-26T15:28:11Z</cp:lastPrinted>
  <dcterms:created xsi:type="dcterms:W3CDTF">2011-05-30T20:18:50Z</dcterms:created>
  <dcterms:modified xsi:type="dcterms:W3CDTF">2015-07-20T18:19:35Z</dcterms:modified>
</cp:coreProperties>
</file>