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9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10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11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12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5. TESI UTILITIES\ORPC\Models\"/>
    </mc:Choice>
  </mc:AlternateContent>
  <bookViews>
    <workbookView xWindow="0" yWindow="0" windowWidth="25500" windowHeight="10800" tabRatio="760"/>
  </bookViews>
  <sheets>
    <sheet name="Bill Impact - Res 800" sheetId="1" r:id="rId1"/>
    <sheet name="Bill Impact - 1000" sheetId="8" r:id="rId2"/>
    <sheet name="Bill Impact - 3000" sheetId="7" r:id="rId3"/>
    <sheet name="Bill Impact - GS&lt;50 2000" sheetId="10" r:id="rId4"/>
    <sheet name="Bill Impact - GS&lt;50 5000" sheetId="9" r:id="rId5"/>
    <sheet name="Bill Impact - GS&lt;50 10000" sheetId="2" r:id="rId6"/>
    <sheet name="Bill Impact - GS&gt;50 60KW" sheetId="12" r:id="rId7"/>
    <sheet name="Bill Impact - GS&gt;50 100KW" sheetId="11" r:id="rId8"/>
    <sheet name="Bill Impact - GS&gt;50 300KW" sheetId="3" r:id="rId9"/>
    <sheet name="Bill Impact - Sentinel" sheetId="4" r:id="rId10"/>
    <sheet name="Bill Impact - StreetLight" sheetId="5" r:id="rId11"/>
    <sheet name="Bill Impact - USL" sheetId="6" r:id="rId12"/>
  </sheets>
  <externalReferences>
    <externalReference r:id="rId13"/>
    <externalReference r:id="rId1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1" i="12" l="1"/>
  <c r="H61" i="12" s="1"/>
  <c r="O61" i="12" s="1"/>
  <c r="G60" i="12"/>
  <c r="H60" i="12" s="1"/>
  <c r="K59" i="12"/>
  <c r="L59" i="12" s="1"/>
  <c r="N59" i="12" s="1"/>
  <c r="G59" i="12"/>
  <c r="H59" i="12" s="1"/>
  <c r="G58" i="12"/>
  <c r="K58" i="12" s="1"/>
  <c r="L58" i="12" s="1"/>
  <c r="G57" i="12"/>
  <c r="H57" i="12" s="1"/>
  <c r="K56" i="12"/>
  <c r="L56" i="12" s="1"/>
  <c r="G56" i="12"/>
  <c r="H56" i="12" s="1"/>
  <c r="L55" i="12"/>
  <c r="N55" i="12" s="1"/>
  <c r="H55" i="12"/>
  <c r="O55" i="12" s="1"/>
  <c r="K51" i="12"/>
  <c r="J51" i="12"/>
  <c r="G51" i="12"/>
  <c r="G54" i="12" s="1"/>
  <c r="H54" i="12" s="1"/>
  <c r="K50" i="12"/>
  <c r="J50" i="12"/>
  <c r="G50" i="12"/>
  <c r="H50" i="12" s="1"/>
  <c r="L48" i="12"/>
  <c r="N48" i="12" s="1"/>
  <c r="H48" i="12"/>
  <c r="L47" i="12"/>
  <c r="K47" i="12"/>
  <c r="J47" i="12"/>
  <c r="G47" i="12"/>
  <c r="F47" i="12"/>
  <c r="K46" i="12"/>
  <c r="L46" i="12" s="1"/>
  <c r="N46" i="12" s="1"/>
  <c r="J46" i="12"/>
  <c r="G46" i="12"/>
  <c r="H46" i="12" s="1"/>
  <c r="K45" i="12"/>
  <c r="J45" i="12"/>
  <c r="G45" i="12"/>
  <c r="H45" i="12" s="1"/>
  <c r="O45" i="12" s="1"/>
  <c r="B45" i="12"/>
  <c r="K44" i="12"/>
  <c r="J44" i="12"/>
  <c r="G44" i="12"/>
  <c r="H44" i="12" s="1"/>
  <c r="O44" i="12" s="1"/>
  <c r="B44" i="12"/>
  <c r="O43" i="12"/>
  <c r="K43" i="12"/>
  <c r="L43" i="12" s="1"/>
  <c r="N43" i="12" s="1"/>
  <c r="J43" i="12"/>
  <c r="G43" i="12"/>
  <c r="B43" i="12"/>
  <c r="O42" i="12"/>
  <c r="K42" i="12"/>
  <c r="L42" i="12" s="1"/>
  <c r="N42" i="12" s="1"/>
  <c r="J42" i="12"/>
  <c r="G42" i="12"/>
  <c r="B42" i="12"/>
  <c r="K41" i="12"/>
  <c r="J41" i="12"/>
  <c r="L41" i="12" s="1"/>
  <c r="G41" i="12"/>
  <c r="H41" i="12" s="1"/>
  <c r="O41" i="12" s="1"/>
  <c r="B41" i="12"/>
  <c r="K40" i="12"/>
  <c r="J40" i="12"/>
  <c r="H40" i="12"/>
  <c r="O40" i="12" s="1"/>
  <c r="G40" i="12"/>
  <c r="B40" i="12"/>
  <c r="K38" i="12"/>
  <c r="L38" i="12" s="1"/>
  <c r="G38" i="12"/>
  <c r="H38" i="12" s="1"/>
  <c r="O38" i="12" s="1"/>
  <c r="K37" i="12"/>
  <c r="L37" i="12" s="1"/>
  <c r="G37" i="12"/>
  <c r="H37" i="12" s="1"/>
  <c r="O37" i="12" s="1"/>
  <c r="K36" i="12"/>
  <c r="L36" i="12" s="1"/>
  <c r="G36" i="12"/>
  <c r="H36" i="12" s="1"/>
  <c r="O36" i="12" s="1"/>
  <c r="K35" i="12"/>
  <c r="L35" i="12" s="1"/>
  <c r="H35" i="12"/>
  <c r="O35" i="12" s="1"/>
  <c r="G35" i="12"/>
  <c r="L34" i="12"/>
  <c r="K34" i="12"/>
  <c r="G34" i="12"/>
  <c r="H34" i="12" s="1"/>
  <c r="O34" i="12" s="1"/>
  <c r="K33" i="12"/>
  <c r="L33" i="12" s="1"/>
  <c r="H33" i="12"/>
  <c r="O33" i="12" s="1"/>
  <c r="G33" i="12"/>
  <c r="K32" i="12"/>
  <c r="L32" i="12" s="1"/>
  <c r="N32" i="12" s="1"/>
  <c r="G32" i="12"/>
  <c r="H32" i="12" s="1"/>
  <c r="O32" i="12" s="1"/>
  <c r="K31" i="12"/>
  <c r="L31" i="12" s="1"/>
  <c r="G31" i="12"/>
  <c r="H31" i="12" s="1"/>
  <c r="O31" i="12" s="1"/>
  <c r="L30" i="12"/>
  <c r="N30" i="12" s="1"/>
  <c r="K30" i="12"/>
  <c r="G30" i="12"/>
  <c r="H30" i="12" s="1"/>
  <c r="O30" i="12" s="1"/>
  <c r="K29" i="12"/>
  <c r="G29" i="12"/>
  <c r="H29" i="12" s="1"/>
  <c r="F29" i="12"/>
  <c r="L28" i="12"/>
  <c r="H28" i="12"/>
  <c r="O28" i="12" s="1"/>
  <c r="L27" i="12"/>
  <c r="N27" i="12" s="1"/>
  <c r="H27" i="12"/>
  <c r="O27" i="12" s="1"/>
  <c r="L26" i="12"/>
  <c r="H26" i="12"/>
  <c r="O26" i="12" s="1"/>
  <c r="H25" i="12"/>
  <c r="O25" i="12" s="1"/>
  <c r="L24" i="12"/>
  <c r="N24" i="12" s="1"/>
  <c r="H24" i="12"/>
  <c r="O24" i="12" s="1"/>
  <c r="L23" i="12"/>
  <c r="J23" i="12"/>
  <c r="F23" i="12"/>
  <c r="H23" i="12" s="1"/>
  <c r="K61" i="11"/>
  <c r="L61" i="11" s="1"/>
  <c r="G61" i="11"/>
  <c r="H61" i="11" s="1"/>
  <c r="O61" i="11" s="1"/>
  <c r="G60" i="11"/>
  <c r="K60" i="11" s="1"/>
  <c r="L60" i="11" s="1"/>
  <c r="K59" i="11"/>
  <c r="L59" i="11" s="1"/>
  <c r="N59" i="11" s="1"/>
  <c r="G59" i="11"/>
  <c r="H59" i="11" s="1"/>
  <c r="G58" i="11"/>
  <c r="K58" i="11" s="1"/>
  <c r="L58" i="11" s="1"/>
  <c r="K57" i="11"/>
  <c r="L57" i="11" s="1"/>
  <c r="G57" i="11"/>
  <c r="H57" i="11" s="1"/>
  <c r="K56" i="11"/>
  <c r="L56" i="11" s="1"/>
  <c r="G56" i="11"/>
  <c r="H56" i="11" s="1"/>
  <c r="L55" i="11"/>
  <c r="H55" i="11"/>
  <c r="K51" i="11"/>
  <c r="K53" i="11" s="1"/>
  <c r="L53" i="11" s="1"/>
  <c r="J51" i="11"/>
  <c r="K50" i="11"/>
  <c r="J50" i="11"/>
  <c r="L50" i="11" s="1"/>
  <c r="N50" i="11" s="1"/>
  <c r="G50" i="11"/>
  <c r="H50" i="11" s="1"/>
  <c r="L48" i="11"/>
  <c r="N48" i="11" s="1"/>
  <c r="H48" i="11"/>
  <c r="L47" i="11"/>
  <c r="N47" i="11" s="1"/>
  <c r="K47" i="11"/>
  <c r="J47" i="11"/>
  <c r="G47" i="11"/>
  <c r="H47" i="11" s="1"/>
  <c r="F47" i="11"/>
  <c r="K46" i="11"/>
  <c r="J46" i="11"/>
  <c r="L46" i="11" s="1"/>
  <c r="G46" i="11"/>
  <c r="H46" i="11" s="1"/>
  <c r="K45" i="11"/>
  <c r="J45" i="11"/>
  <c r="H45" i="11"/>
  <c r="O45" i="11" s="1"/>
  <c r="G45" i="11"/>
  <c r="B45" i="11"/>
  <c r="K44" i="11"/>
  <c r="J44" i="11"/>
  <c r="H44" i="11"/>
  <c r="O44" i="11" s="1"/>
  <c r="G44" i="11"/>
  <c r="B44" i="11"/>
  <c r="O43" i="11"/>
  <c r="K43" i="11"/>
  <c r="L43" i="11" s="1"/>
  <c r="N43" i="11" s="1"/>
  <c r="J43" i="11"/>
  <c r="G43" i="11"/>
  <c r="B43" i="11"/>
  <c r="O42" i="11"/>
  <c r="K42" i="11"/>
  <c r="J42" i="11"/>
  <c r="L42" i="11" s="1"/>
  <c r="N42" i="11" s="1"/>
  <c r="G42" i="11"/>
  <c r="B42" i="11"/>
  <c r="K41" i="11"/>
  <c r="J41" i="11"/>
  <c r="H41" i="11"/>
  <c r="O41" i="11" s="1"/>
  <c r="G41" i="11"/>
  <c r="B41" i="11"/>
  <c r="K40" i="11"/>
  <c r="J40" i="11"/>
  <c r="H40" i="11"/>
  <c r="O40" i="11" s="1"/>
  <c r="G40" i="11"/>
  <c r="B40" i="11"/>
  <c r="K38" i="11"/>
  <c r="L38" i="11" s="1"/>
  <c r="G38" i="11"/>
  <c r="H38" i="11" s="1"/>
  <c r="O38" i="11" s="1"/>
  <c r="K37" i="11"/>
  <c r="L37" i="11" s="1"/>
  <c r="G37" i="11"/>
  <c r="H37" i="11" s="1"/>
  <c r="O37" i="11" s="1"/>
  <c r="K36" i="11"/>
  <c r="L36" i="11" s="1"/>
  <c r="G36" i="11"/>
  <c r="H36" i="11" s="1"/>
  <c r="O36" i="11" s="1"/>
  <c r="K35" i="11"/>
  <c r="L35" i="11" s="1"/>
  <c r="G35" i="11"/>
  <c r="H35" i="11" s="1"/>
  <c r="O35" i="11" s="1"/>
  <c r="K34" i="11"/>
  <c r="L34" i="11" s="1"/>
  <c r="G34" i="11"/>
  <c r="H34" i="11" s="1"/>
  <c r="O34" i="11" s="1"/>
  <c r="K33" i="11"/>
  <c r="L33" i="11" s="1"/>
  <c r="G33" i="11"/>
  <c r="H33" i="11" s="1"/>
  <c r="O33" i="11" s="1"/>
  <c r="K32" i="11"/>
  <c r="L32" i="11" s="1"/>
  <c r="G32" i="11"/>
  <c r="H32" i="11" s="1"/>
  <c r="O32" i="11" s="1"/>
  <c r="K31" i="11"/>
  <c r="L31" i="11" s="1"/>
  <c r="G31" i="11"/>
  <c r="H31" i="11" s="1"/>
  <c r="O31" i="11" s="1"/>
  <c r="K30" i="11"/>
  <c r="L30" i="11" s="1"/>
  <c r="G30" i="11"/>
  <c r="H30" i="11" s="1"/>
  <c r="O30" i="11" s="1"/>
  <c r="K29" i="11"/>
  <c r="G29" i="11"/>
  <c r="F29" i="11"/>
  <c r="H29" i="11" s="1"/>
  <c r="L28" i="11"/>
  <c r="H28" i="11"/>
  <c r="O28" i="11" s="1"/>
  <c r="L27" i="11"/>
  <c r="H27" i="11"/>
  <c r="O27" i="11" s="1"/>
  <c r="L26" i="11"/>
  <c r="H26" i="11"/>
  <c r="O26" i="11" s="1"/>
  <c r="H25" i="11"/>
  <c r="O25" i="11" s="1"/>
  <c r="O24" i="11"/>
  <c r="L24" i="11"/>
  <c r="N24" i="11" s="1"/>
  <c r="H24" i="11"/>
  <c r="J23" i="11"/>
  <c r="L23" i="11" s="1"/>
  <c r="H23" i="11"/>
  <c r="F23" i="11"/>
  <c r="K61" i="10"/>
  <c r="L61" i="10" s="1"/>
  <c r="G61" i="10"/>
  <c r="H61" i="10" s="1"/>
  <c r="G60" i="10"/>
  <c r="K60" i="10" s="1"/>
  <c r="L60" i="10" s="1"/>
  <c r="K59" i="10"/>
  <c r="L59" i="10" s="1"/>
  <c r="N59" i="10" s="1"/>
  <c r="G59" i="10"/>
  <c r="H59" i="10" s="1"/>
  <c r="G58" i="10"/>
  <c r="K58" i="10" s="1"/>
  <c r="L58" i="10" s="1"/>
  <c r="K57" i="10"/>
  <c r="L57" i="10" s="1"/>
  <c r="G57" i="10"/>
  <c r="H57" i="10" s="1"/>
  <c r="K56" i="10"/>
  <c r="L56" i="10" s="1"/>
  <c r="G56" i="10"/>
  <c r="H56" i="10" s="1"/>
  <c r="L55" i="10"/>
  <c r="H55" i="10"/>
  <c r="K51" i="10"/>
  <c r="K53" i="10" s="1"/>
  <c r="L53" i="10" s="1"/>
  <c r="J51" i="10"/>
  <c r="K50" i="10"/>
  <c r="J50" i="10"/>
  <c r="L50" i="10" s="1"/>
  <c r="N50" i="10" s="1"/>
  <c r="G50" i="10"/>
  <c r="H50" i="10" s="1"/>
  <c r="L48" i="10"/>
  <c r="N48" i="10" s="1"/>
  <c r="H48" i="10"/>
  <c r="L47" i="10"/>
  <c r="N47" i="10" s="1"/>
  <c r="K47" i="10"/>
  <c r="J47" i="10"/>
  <c r="G47" i="10"/>
  <c r="H47" i="10" s="1"/>
  <c r="F47" i="10"/>
  <c r="L46" i="10"/>
  <c r="K46" i="10"/>
  <c r="J46" i="10"/>
  <c r="G46" i="10"/>
  <c r="H46" i="10" s="1"/>
  <c r="K45" i="10"/>
  <c r="J45" i="10"/>
  <c r="H45" i="10"/>
  <c r="O45" i="10" s="1"/>
  <c r="G45" i="10"/>
  <c r="B45" i="10"/>
  <c r="K44" i="10"/>
  <c r="L44" i="10" s="1"/>
  <c r="N44" i="10" s="1"/>
  <c r="J44" i="10"/>
  <c r="H44" i="10"/>
  <c r="O44" i="10" s="1"/>
  <c r="G44" i="10"/>
  <c r="B44" i="10"/>
  <c r="K43" i="10"/>
  <c r="J43" i="10"/>
  <c r="L43" i="10" s="1"/>
  <c r="N43" i="10" s="1"/>
  <c r="G43" i="10"/>
  <c r="B43" i="10"/>
  <c r="L42" i="10"/>
  <c r="N42" i="10" s="1"/>
  <c r="K42" i="10"/>
  <c r="G42" i="10"/>
  <c r="B42" i="10"/>
  <c r="K41" i="10"/>
  <c r="J41" i="10"/>
  <c r="L41" i="10" s="1"/>
  <c r="N41" i="10" s="1"/>
  <c r="G41" i="10"/>
  <c r="H41" i="10" s="1"/>
  <c r="O41" i="10" s="1"/>
  <c r="B41" i="10"/>
  <c r="K40" i="10"/>
  <c r="J40" i="10"/>
  <c r="L40" i="10" s="1"/>
  <c r="N40" i="10" s="1"/>
  <c r="G40" i="10"/>
  <c r="H40" i="10" s="1"/>
  <c r="O40" i="10" s="1"/>
  <c r="B40" i="10"/>
  <c r="L38" i="10"/>
  <c r="N38" i="10" s="1"/>
  <c r="K38" i="10"/>
  <c r="H38" i="10"/>
  <c r="O38" i="10" s="1"/>
  <c r="G38" i="10"/>
  <c r="L37" i="10"/>
  <c r="N37" i="10" s="1"/>
  <c r="K37" i="10"/>
  <c r="H37" i="10"/>
  <c r="O37" i="10" s="1"/>
  <c r="G37" i="10"/>
  <c r="L36" i="10"/>
  <c r="N36" i="10" s="1"/>
  <c r="K36" i="10"/>
  <c r="H36" i="10"/>
  <c r="O36" i="10" s="1"/>
  <c r="G36" i="10"/>
  <c r="L35" i="10"/>
  <c r="N35" i="10" s="1"/>
  <c r="K35" i="10"/>
  <c r="H35" i="10"/>
  <c r="O35" i="10" s="1"/>
  <c r="G35" i="10"/>
  <c r="L34" i="10"/>
  <c r="N34" i="10" s="1"/>
  <c r="K34" i="10"/>
  <c r="H34" i="10"/>
  <c r="O34" i="10" s="1"/>
  <c r="G34" i="10"/>
  <c r="L33" i="10"/>
  <c r="N33" i="10" s="1"/>
  <c r="K33" i="10"/>
  <c r="H33" i="10"/>
  <c r="O33" i="10" s="1"/>
  <c r="G33" i="10"/>
  <c r="L32" i="10"/>
  <c r="N32" i="10" s="1"/>
  <c r="K32" i="10"/>
  <c r="H32" i="10"/>
  <c r="O32" i="10" s="1"/>
  <c r="G32" i="10"/>
  <c r="L31" i="10"/>
  <c r="N31" i="10" s="1"/>
  <c r="K31" i="10"/>
  <c r="H31" i="10"/>
  <c r="O31" i="10" s="1"/>
  <c r="G31" i="10"/>
  <c r="L30" i="10"/>
  <c r="N30" i="10" s="1"/>
  <c r="K30" i="10"/>
  <c r="H30" i="10"/>
  <c r="O30" i="10" s="1"/>
  <c r="G30" i="10"/>
  <c r="K29" i="10"/>
  <c r="G29" i="10"/>
  <c r="F29" i="10"/>
  <c r="O28" i="10"/>
  <c r="L28" i="10"/>
  <c r="N28" i="10" s="1"/>
  <c r="H28" i="10"/>
  <c r="O27" i="10"/>
  <c r="L27" i="10"/>
  <c r="N27" i="10" s="1"/>
  <c r="H27" i="10"/>
  <c r="O26" i="10"/>
  <c r="L26" i="10"/>
  <c r="N26" i="10" s="1"/>
  <c r="H26" i="10"/>
  <c r="H25" i="10"/>
  <c r="O25" i="10" s="1"/>
  <c r="N24" i="10"/>
  <c r="L24" i="10"/>
  <c r="H24" i="10"/>
  <c r="O24" i="10" s="1"/>
  <c r="J23" i="10"/>
  <c r="L23" i="10" s="1"/>
  <c r="F23" i="10"/>
  <c r="H23" i="10" s="1"/>
  <c r="G61" i="9"/>
  <c r="H61" i="9" s="1"/>
  <c r="G60" i="9"/>
  <c r="K60" i="9" s="1"/>
  <c r="L60" i="9" s="1"/>
  <c r="K59" i="9"/>
  <c r="L59" i="9" s="1"/>
  <c r="N59" i="9" s="1"/>
  <c r="G59" i="9"/>
  <c r="H59" i="9" s="1"/>
  <c r="G58" i="9"/>
  <c r="K58" i="9" s="1"/>
  <c r="L58" i="9" s="1"/>
  <c r="G57" i="9"/>
  <c r="H57" i="9" s="1"/>
  <c r="K56" i="9"/>
  <c r="L56" i="9" s="1"/>
  <c r="G56" i="9"/>
  <c r="H56" i="9" s="1"/>
  <c r="L55" i="9"/>
  <c r="H55" i="9"/>
  <c r="K51" i="9"/>
  <c r="K54" i="9" s="1"/>
  <c r="L54" i="9" s="1"/>
  <c r="J51" i="9"/>
  <c r="K50" i="9"/>
  <c r="J50" i="9"/>
  <c r="G50" i="9"/>
  <c r="G51" i="9" s="1"/>
  <c r="L48" i="9"/>
  <c r="N48" i="9" s="1"/>
  <c r="H48" i="9"/>
  <c r="K47" i="9"/>
  <c r="L47" i="9" s="1"/>
  <c r="J47" i="9"/>
  <c r="G47" i="9"/>
  <c r="H47" i="9" s="1"/>
  <c r="F47" i="9"/>
  <c r="L46" i="9"/>
  <c r="K46" i="9"/>
  <c r="J46" i="9"/>
  <c r="G46" i="9"/>
  <c r="H46" i="9" s="1"/>
  <c r="K45" i="9"/>
  <c r="L45" i="9" s="1"/>
  <c r="J45" i="9"/>
  <c r="G45" i="9"/>
  <c r="H45" i="9" s="1"/>
  <c r="O45" i="9" s="1"/>
  <c r="B45" i="9"/>
  <c r="K44" i="9"/>
  <c r="L44" i="9" s="1"/>
  <c r="J44" i="9"/>
  <c r="G44" i="9"/>
  <c r="H44" i="9" s="1"/>
  <c r="O44" i="9" s="1"/>
  <c r="B44" i="9"/>
  <c r="K43" i="9"/>
  <c r="J43" i="9"/>
  <c r="G43" i="9"/>
  <c r="B43" i="9"/>
  <c r="L42" i="9"/>
  <c r="N42" i="9" s="1"/>
  <c r="K42" i="9"/>
  <c r="G42" i="9"/>
  <c r="B42" i="9"/>
  <c r="K41" i="9"/>
  <c r="J41" i="9"/>
  <c r="L41" i="9" s="1"/>
  <c r="G41" i="9"/>
  <c r="H41" i="9" s="1"/>
  <c r="O41" i="9" s="1"/>
  <c r="B41" i="9"/>
  <c r="K40" i="9"/>
  <c r="J40" i="9"/>
  <c r="L40" i="9" s="1"/>
  <c r="G40" i="9"/>
  <c r="H40" i="9" s="1"/>
  <c r="O40" i="9" s="1"/>
  <c r="B40" i="9"/>
  <c r="K38" i="9"/>
  <c r="L38" i="9" s="1"/>
  <c r="G38" i="9"/>
  <c r="H38" i="9" s="1"/>
  <c r="O38" i="9" s="1"/>
  <c r="K37" i="9"/>
  <c r="L37" i="9" s="1"/>
  <c r="N37" i="9" s="1"/>
  <c r="G37" i="9"/>
  <c r="H37" i="9" s="1"/>
  <c r="O37" i="9" s="1"/>
  <c r="K36" i="9"/>
  <c r="L36" i="9" s="1"/>
  <c r="G36" i="9"/>
  <c r="H36" i="9" s="1"/>
  <c r="K35" i="9"/>
  <c r="L35" i="9" s="1"/>
  <c r="N35" i="9" s="1"/>
  <c r="G35" i="9"/>
  <c r="H35" i="9" s="1"/>
  <c r="O35" i="9" s="1"/>
  <c r="K34" i="9"/>
  <c r="L34" i="9" s="1"/>
  <c r="G34" i="9"/>
  <c r="H34" i="9" s="1"/>
  <c r="K33" i="9"/>
  <c r="L33" i="9" s="1"/>
  <c r="N33" i="9" s="1"/>
  <c r="G33" i="9"/>
  <c r="H33" i="9" s="1"/>
  <c r="O33" i="9" s="1"/>
  <c r="K32" i="9"/>
  <c r="L32" i="9" s="1"/>
  <c r="G32" i="9"/>
  <c r="H32" i="9" s="1"/>
  <c r="K31" i="9"/>
  <c r="L31" i="9" s="1"/>
  <c r="N31" i="9" s="1"/>
  <c r="G31" i="9"/>
  <c r="H31" i="9" s="1"/>
  <c r="O31" i="9" s="1"/>
  <c r="K30" i="9"/>
  <c r="L30" i="9" s="1"/>
  <c r="G30" i="9"/>
  <c r="H30" i="9" s="1"/>
  <c r="K29" i="9"/>
  <c r="G29" i="9"/>
  <c r="F29" i="9"/>
  <c r="L28" i="9"/>
  <c r="N28" i="9" s="1"/>
  <c r="H28" i="9"/>
  <c r="O28" i="9" s="1"/>
  <c r="L27" i="9"/>
  <c r="N27" i="9" s="1"/>
  <c r="H27" i="9"/>
  <c r="O27" i="9" s="1"/>
  <c r="L26" i="9"/>
  <c r="N26" i="9" s="1"/>
  <c r="H26" i="9"/>
  <c r="O26" i="9" s="1"/>
  <c r="H25" i="9"/>
  <c r="O25" i="9" s="1"/>
  <c r="N24" i="9"/>
  <c r="L24" i="9"/>
  <c r="H24" i="9"/>
  <c r="O24" i="9" s="1"/>
  <c r="J23" i="9"/>
  <c r="L23" i="9" s="1"/>
  <c r="F23" i="9"/>
  <c r="H23" i="9" s="1"/>
  <c r="G61" i="8"/>
  <c r="H61" i="8" s="1"/>
  <c r="G60" i="8"/>
  <c r="K60" i="8" s="1"/>
  <c r="L60" i="8" s="1"/>
  <c r="K59" i="8"/>
  <c r="L59" i="8" s="1"/>
  <c r="N59" i="8" s="1"/>
  <c r="G59" i="8"/>
  <c r="H59" i="8" s="1"/>
  <c r="G58" i="8"/>
  <c r="K58" i="8" s="1"/>
  <c r="L58" i="8" s="1"/>
  <c r="G57" i="8"/>
  <c r="H57" i="8" s="1"/>
  <c r="K56" i="8"/>
  <c r="L56" i="8" s="1"/>
  <c r="G56" i="8"/>
  <c r="H56" i="8" s="1"/>
  <c r="L55" i="8"/>
  <c r="H55" i="8"/>
  <c r="J51" i="8"/>
  <c r="F51" i="8"/>
  <c r="K50" i="8"/>
  <c r="K51" i="8" s="1"/>
  <c r="J50" i="8"/>
  <c r="G50" i="8"/>
  <c r="G51" i="8" s="1"/>
  <c r="F50" i="8"/>
  <c r="H50" i="8" s="1"/>
  <c r="L48" i="8"/>
  <c r="N48" i="8" s="1"/>
  <c r="H48" i="8"/>
  <c r="K47" i="8"/>
  <c r="J47" i="8"/>
  <c r="L47" i="8" s="1"/>
  <c r="G47" i="8"/>
  <c r="F47" i="8"/>
  <c r="K46" i="8"/>
  <c r="J46" i="8"/>
  <c r="L46" i="8" s="1"/>
  <c r="G46" i="8"/>
  <c r="H46" i="8" s="1"/>
  <c r="K45" i="8"/>
  <c r="J45" i="8"/>
  <c r="G45" i="8"/>
  <c r="H45" i="8" s="1"/>
  <c r="O45" i="8" s="1"/>
  <c r="B45" i="8"/>
  <c r="K44" i="8"/>
  <c r="J44" i="8"/>
  <c r="G44" i="8"/>
  <c r="H44" i="8" s="1"/>
  <c r="O44" i="8" s="1"/>
  <c r="B44" i="8"/>
  <c r="O43" i="8"/>
  <c r="J43" i="8"/>
  <c r="L43" i="8" s="1"/>
  <c r="N43" i="8" s="1"/>
  <c r="G43" i="8"/>
  <c r="B43" i="8"/>
  <c r="O42" i="8"/>
  <c r="K42" i="8"/>
  <c r="L42" i="8" s="1"/>
  <c r="N42" i="8" s="1"/>
  <c r="G42" i="8"/>
  <c r="B42" i="8"/>
  <c r="K41" i="8"/>
  <c r="J41" i="8"/>
  <c r="H41" i="8"/>
  <c r="O41" i="8" s="1"/>
  <c r="G41" i="8"/>
  <c r="B41" i="8"/>
  <c r="K40" i="8"/>
  <c r="L40" i="8" s="1"/>
  <c r="J40" i="8"/>
  <c r="G40" i="8"/>
  <c r="H40" i="8" s="1"/>
  <c r="O40" i="8" s="1"/>
  <c r="B40" i="8"/>
  <c r="K38" i="8"/>
  <c r="L38" i="8" s="1"/>
  <c r="N38" i="8" s="1"/>
  <c r="G38" i="8"/>
  <c r="H38" i="8" s="1"/>
  <c r="O38" i="8" s="1"/>
  <c r="K37" i="8"/>
  <c r="L37" i="8" s="1"/>
  <c r="G37" i="8"/>
  <c r="H37" i="8" s="1"/>
  <c r="O37" i="8" s="1"/>
  <c r="K36" i="8"/>
  <c r="L36" i="8" s="1"/>
  <c r="N36" i="8" s="1"/>
  <c r="G36" i="8"/>
  <c r="H36" i="8" s="1"/>
  <c r="O36" i="8" s="1"/>
  <c r="K35" i="8"/>
  <c r="L35" i="8" s="1"/>
  <c r="G35" i="8"/>
  <c r="H35" i="8" s="1"/>
  <c r="O35" i="8" s="1"/>
  <c r="K34" i="8"/>
  <c r="L34" i="8" s="1"/>
  <c r="N34" i="8" s="1"/>
  <c r="G34" i="8"/>
  <c r="H34" i="8" s="1"/>
  <c r="O34" i="8" s="1"/>
  <c r="K33" i="8"/>
  <c r="L33" i="8" s="1"/>
  <c r="G33" i="8"/>
  <c r="H33" i="8" s="1"/>
  <c r="O33" i="8" s="1"/>
  <c r="K32" i="8"/>
  <c r="L32" i="8" s="1"/>
  <c r="N32" i="8" s="1"/>
  <c r="G32" i="8"/>
  <c r="H32" i="8" s="1"/>
  <c r="O32" i="8" s="1"/>
  <c r="K31" i="8"/>
  <c r="L31" i="8" s="1"/>
  <c r="G31" i="8"/>
  <c r="H31" i="8" s="1"/>
  <c r="O31" i="8" s="1"/>
  <c r="K30" i="8"/>
  <c r="L30" i="8" s="1"/>
  <c r="N30" i="8" s="1"/>
  <c r="G30" i="8"/>
  <c r="H30" i="8" s="1"/>
  <c r="O30" i="8" s="1"/>
  <c r="K29" i="8"/>
  <c r="G29" i="8"/>
  <c r="F29" i="8"/>
  <c r="L28" i="8"/>
  <c r="H28" i="8"/>
  <c r="O28" i="8" s="1"/>
  <c r="L27" i="8"/>
  <c r="H27" i="8"/>
  <c r="O27" i="8" s="1"/>
  <c r="L26" i="8"/>
  <c r="H26" i="8"/>
  <c r="O26" i="8" s="1"/>
  <c r="H25" i="8"/>
  <c r="O25" i="8" s="1"/>
  <c r="O24" i="8"/>
  <c r="L24" i="8"/>
  <c r="N24" i="8" s="1"/>
  <c r="H24" i="8"/>
  <c r="J23" i="8"/>
  <c r="L23" i="8" s="1"/>
  <c r="H23" i="8"/>
  <c r="F23" i="8"/>
  <c r="K61" i="7"/>
  <c r="L61" i="7" s="1"/>
  <c r="G61" i="7"/>
  <c r="H61" i="7" s="1"/>
  <c r="G60" i="7"/>
  <c r="K60" i="7" s="1"/>
  <c r="L60" i="7" s="1"/>
  <c r="G59" i="7"/>
  <c r="H59" i="7" s="1"/>
  <c r="G58" i="7"/>
  <c r="K58" i="7" s="1"/>
  <c r="L58" i="7" s="1"/>
  <c r="K57" i="7"/>
  <c r="L57" i="7" s="1"/>
  <c r="G57" i="7"/>
  <c r="H57" i="7" s="1"/>
  <c r="K56" i="7"/>
  <c r="L56" i="7" s="1"/>
  <c r="G56" i="7"/>
  <c r="H56" i="7" s="1"/>
  <c r="L55" i="7"/>
  <c r="H55" i="7"/>
  <c r="J51" i="7"/>
  <c r="F51" i="7"/>
  <c r="K50" i="7"/>
  <c r="K51" i="7" s="1"/>
  <c r="J50" i="7"/>
  <c r="G50" i="7"/>
  <c r="G51" i="7" s="1"/>
  <c r="F50" i="7"/>
  <c r="L48" i="7"/>
  <c r="N48" i="7" s="1"/>
  <c r="H48" i="7"/>
  <c r="K47" i="7"/>
  <c r="J47" i="7"/>
  <c r="G47" i="7"/>
  <c r="H47" i="7" s="1"/>
  <c r="F47" i="7"/>
  <c r="K46" i="7"/>
  <c r="J46" i="7"/>
  <c r="G46" i="7"/>
  <c r="H46" i="7" s="1"/>
  <c r="K45" i="7"/>
  <c r="J45" i="7"/>
  <c r="G45" i="7"/>
  <c r="H45" i="7" s="1"/>
  <c r="O45" i="7" s="1"/>
  <c r="B45" i="7"/>
  <c r="K44" i="7"/>
  <c r="L44" i="7" s="1"/>
  <c r="N44" i="7" s="1"/>
  <c r="J44" i="7"/>
  <c r="H44" i="7"/>
  <c r="O44" i="7" s="1"/>
  <c r="G44" i="7"/>
  <c r="B44" i="7"/>
  <c r="O43" i="7"/>
  <c r="J43" i="7"/>
  <c r="L43" i="7" s="1"/>
  <c r="N43" i="7" s="1"/>
  <c r="G43" i="7"/>
  <c r="B43" i="7"/>
  <c r="O42" i="7"/>
  <c r="K42" i="7"/>
  <c r="L42" i="7" s="1"/>
  <c r="N42" i="7" s="1"/>
  <c r="G42" i="7"/>
  <c r="B42" i="7"/>
  <c r="K41" i="7"/>
  <c r="J41" i="7"/>
  <c r="G41" i="7"/>
  <c r="H41" i="7" s="1"/>
  <c r="O41" i="7" s="1"/>
  <c r="B41" i="7"/>
  <c r="K40" i="7"/>
  <c r="J40" i="7"/>
  <c r="H40" i="7"/>
  <c r="O40" i="7" s="1"/>
  <c r="G40" i="7"/>
  <c r="B40" i="7"/>
  <c r="K38" i="7"/>
  <c r="L38" i="7" s="1"/>
  <c r="G38" i="7"/>
  <c r="H38" i="7" s="1"/>
  <c r="O38" i="7" s="1"/>
  <c r="K37" i="7"/>
  <c r="L37" i="7" s="1"/>
  <c r="G37" i="7"/>
  <c r="H37" i="7" s="1"/>
  <c r="O37" i="7" s="1"/>
  <c r="K36" i="7"/>
  <c r="L36" i="7" s="1"/>
  <c r="G36" i="7"/>
  <c r="H36" i="7" s="1"/>
  <c r="O36" i="7" s="1"/>
  <c r="K35" i="7"/>
  <c r="L35" i="7" s="1"/>
  <c r="G35" i="7"/>
  <c r="H35" i="7" s="1"/>
  <c r="O35" i="7" s="1"/>
  <c r="K34" i="7"/>
  <c r="L34" i="7" s="1"/>
  <c r="G34" i="7"/>
  <c r="H34" i="7" s="1"/>
  <c r="O34" i="7" s="1"/>
  <c r="K33" i="7"/>
  <c r="L33" i="7" s="1"/>
  <c r="G33" i="7"/>
  <c r="H33" i="7" s="1"/>
  <c r="O33" i="7" s="1"/>
  <c r="K32" i="7"/>
  <c r="L32" i="7" s="1"/>
  <c r="G32" i="7"/>
  <c r="H32" i="7" s="1"/>
  <c r="O32" i="7" s="1"/>
  <c r="K31" i="7"/>
  <c r="L31" i="7" s="1"/>
  <c r="G31" i="7"/>
  <c r="H31" i="7" s="1"/>
  <c r="O31" i="7" s="1"/>
  <c r="K30" i="7"/>
  <c r="L30" i="7" s="1"/>
  <c r="G30" i="7"/>
  <c r="H30" i="7" s="1"/>
  <c r="O30" i="7" s="1"/>
  <c r="K29" i="7"/>
  <c r="G29" i="7"/>
  <c r="F29" i="7"/>
  <c r="H29" i="7" s="1"/>
  <c r="L28" i="7"/>
  <c r="H28" i="7"/>
  <c r="O28" i="7" s="1"/>
  <c r="L27" i="7"/>
  <c r="H27" i="7"/>
  <c r="O27" i="7" s="1"/>
  <c r="L26" i="7"/>
  <c r="H26" i="7"/>
  <c r="O26" i="7" s="1"/>
  <c r="H25" i="7"/>
  <c r="O25" i="7" s="1"/>
  <c r="O24" i="7"/>
  <c r="L24" i="7"/>
  <c r="N24" i="7" s="1"/>
  <c r="H24" i="7"/>
  <c r="J23" i="7"/>
  <c r="L23" i="7" s="1"/>
  <c r="H23" i="7"/>
  <c r="F23" i="7"/>
  <c r="G61" i="6"/>
  <c r="H61" i="6" s="1"/>
  <c r="H60" i="6"/>
  <c r="G60" i="6"/>
  <c r="K60" i="6" s="1"/>
  <c r="L60" i="6" s="1"/>
  <c r="G59" i="6"/>
  <c r="H59" i="6" s="1"/>
  <c r="G58" i="6"/>
  <c r="K58" i="6" s="1"/>
  <c r="L58" i="6" s="1"/>
  <c r="G57" i="6"/>
  <c r="H57" i="6" s="1"/>
  <c r="K56" i="6"/>
  <c r="L56" i="6" s="1"/>
  <c r="G56" i="6"/>
  <c r="H56" i="6" s="1"/>
  <c r="L55" i="6"/>
  <c r="N55" i="6" s="1"/>
  <c r="H55" i="6"/>
  <c r="J51" i="6"/>
  <c r="K50" i="6"/>
  <c r="J50" i="6"/>
  <c r="G50" i="6"/>
  <c r="H50" i="6" s="1"/>
  <c r="N48" i="6"/>
  <c r="L48" i="6"/>
  <c r="H48" i="6"/>
  <c r="K47" i="6"/>
  <c r="L47" i="6" s="1"/>
  <c r="J47" i="6"/>
  <c r="G47" i="6"/>
  <c r="F47" i="6"/>
  <c r="K46" i="6"/>
  <c r="J46" i="6"/>
  <c r="G46" i="6"/>
  <c r="H46" i="6" s="1"/>
  <c r="K45" i="6"/>
  <c r="J45" i="6"/>
  <c r="G45" i="6"/>
  <c r="H45" i="6" s="1"/>
  <c r="O45" i="6" s="1"/>
  <c r="B45" i="6"/>
  <c r="K44" i="6"/>
  <c r="J44" i="6"/>
  <c r="G44" i="6"/>
  <c r="H44" i="6" s="1"/>
  <c r="O44" i="6" s="1"/>
  <c r="B44" i="6"/>
  <c r="O43" i="6"/>
  <c r="K43" i="6"/>
  <c r="J43" i="6"/>
  <c r="G43" i="6"/>
  <c r="B43" i="6"/>
  <c r="O42" i="6"/>
  <c r="K42" i="6"/>
  <c r="L42" i="6" s="1"/>
  <c r="N42" i="6" s="1"/>
  <c r="G42" i="6"/>
  <c r="B42" i="6"/>
  <c r="K41" i="6"/>
  <c r="J41" i="6"/>
  <c r="G41" i="6"/>
  <c r="H41" i="6" s="1"/>
  <c r="O41" i="6" s="1"/>
  <c r="B41" i="6"/>
  <c r="K40" i="6"/>
  <c r="J40" i="6"/>
  <c r="G40" i="6"/>
  <c r="H40" i="6" s="1"/>
  <c r="O40" i="6" s="1"/>
  <c r="B40" i="6"/>
  <c r="K38" i="6"/>
  <c r="L38" i="6" s="1"/>
  <c r="G38" i="6"/>
  <c r="H38" i="6" s="1"/>
  <c r="O38" i="6" s="1"/>
  <c r="K37" i="6"/>
  <c r="L37" i="6" s="1"/>
  <c r="G37" i="6"/>
  <c r="H37" i="6" s="1"/>
  <c r="O37" i="6" s="1"/>
  <c r="K36" i="6"/>
  <c r="L36" i="6" s="1"/>
  <c r="G36" i="6"/>
  <c r="H36" i="6" s="1"/>
  <c r="O36" i="6" s="1"/>
  <c r="K35" i="6"/>
  <c r="L35" i="6" s="1"/>
  <c r="G35" i="6"/>
  <c r="H35" i="6" s="1"/>
  <c r="O35" i="6" s="1"/>
  <c r="K34" i="6"/>
  <c r="L34" i="6" s="1"/>
  <c r="G34" i="6"/>
  <c r="H34" i="6" s="1"/>
  <c r="O34" i="6" s="1"/>
  <c r="K33" i="6"/>
  <c r="L33" i="6" s="1"/>
  <c r="G33" i="6"/>
  <c r="H33" i="6" s="1"/>
  <c r="O33" i="6" s="1"/>
  <c r="K32" i="6"/>
  <c r="L32" i="6" s="1"/>
  <c r="G32" i="6"/>
  <c r="H32" i="6" s="1"/>
  <c r="O32" i="6" s="1"/>
  <c r="K31" i="6"/>
  <c r="L31" i="6" s="1"/>
  <c r="G31" i="6"/>
  <c r="H31" i="6" s="1"/>
  <c r="O31" i="6" s="1"/>
  <c r="K30" i="6"/>
  <c r="L30" i="6" s="1"/>
  <c r="G30" i="6"/>
  <c r="H30" i="6" s="1"/>
  <c r="O30" i="6" s="1"/>
  <c r="K29" i="6"/>
  <c r="G29" i="6"/>
  <c r="F29" i="6"/>
  <c r="O28" i="6"/>
  <c r="N28" i="6"/>
  <c r="L28" i="6"/>
  <c r="H28" i="6"/>
  <c r="O27" i="6"/>
  <c r="N27" i="6"/>
  <c r="L27" i="6"/>
  <c r="H27" i="6"/>
  <c r="O26" i="6"/>
  <c r="N26" i="6"/>
  <c r="L26" i="6"/>
  <c r="H26" i="6"/>
  <c r="O25" i="6"/>
  <c r="N25" i="6"/>
  <c r="L25" i="6"/>
  <c r="H25" i="6"/>
  <c r="O24" i="6"/>
  <c r="N24" i="6"/>
  <c r="L24" i="6"/>
  <c r="H24" i="6"/>
  <c r="J23" i="6"/>
  <c r="L23" i="6" s="1"/>
  <c r="F23" i="6"/>
  <c r="H23" i="6" s="1"/>
  <c r="G61" i="5"/>
  <c r="H61" i="5" s="1"/>
  <c r="G60" i="5"/>
  <c r="K60" i="5" s="1"/>
  <c r="L60" i="5" s="1"/>
  <c r="K59" i="5"/>
  <c r="L59" i="5" s="1"/>
  <c r="G59" i="5"/>
  <c r="H59" i="5" s="1"/>
  <c r="G58" i="5"/>
  <c r="K58" i="5" s="1"/>
  <c r="L58" i="5" s="1"/>
  <c r="G57" i="5"/>
  <c r="H57" i="5" s="1"/>
  <c r="K56" i="5"/>
  <c r="L56" i="5" s="1"/>
  <c r="G56" i="5"/>
  <c r="H56" i="5" s="1"/>
  <c r="L55" i="5"/>
  <c r="N55" i="5" s="1"/>
  <c r="H55" i="5"/>
  <c r="J51" i="5"/>
  <c r="K50" i="5"/>
  <c r="K51" i="5" s="1"/>
  <c r="J50" i="5"/>
  <c r="G50" i="5"/>
  <c r="H50" i="5" s="1"/>
  <c r="L48" i="5"/>
  <c r="N48" i="5" s="1"/>
  <c r="H48" i="5"/>
  <c r="K47" i="5"/>
  <c r="L47" i="5" s="1"/>
  <c r="J47" i="5"/>
  <c r="G47" i="5"/>
  <c r="F47" i="5"/>
  <c r="K46" i="5"/>
  <c r="J46" i="5"/>
  <c r="G46" i="5"/>
  <c r="H46" i="5" s="1"/>
  <c r="K45" i="5"/>
  <c r="L45" i="5" s="1"/>
  <c r="J45" i="5"/>
  <c r="G45" i="5"/>
  <c r="H45" i="5" s="1"/>
  <c r="O45" i="5" s="1"/>
  <c r="B45" i="5"/>
  <c r="K44" i="5"/>
  <c r="L44" i="5" s="1"/>
  <c r="J44" i="5"/>
  <c r="H44" i="5"/>
  <c r="O44" i="5" s="1"/>
  <c r="G44" i="5"/>
  <c r="B44" i="5"/>
  <c r="O43" i="5"/>
  <c r="K43" i="5"/>
  <c r="J43" i="5"/>
  <c r="G43" i="5"/>
  <c r="B43" i="5"/>
  <c r="O42" i="5"/>
  <c r="K42" i="5"/>
  <c r="J42" i="5"/>
  <c r="L42" i="5" s="1"/>
  <c r="N42" i="5" s="1"/>
  <c r="G42" i="5"/>
  <c r="B42" i="5"/>
  <c r="K41" i="5"/>
  <c r="L41" i="5" s="1"/>
  <c r="J41" i="5"/>
  <c r="G41" i="5"/>
  <c r="H41" i="5" s="1"/>
  <c r="O41" i="5" s="1"/>
  <c r="B41" i="5"/>
  <c r="K40" i="5"/>
  <c r="L40" i="5" s="1"/>
  <c r="J40" i="5"/>
  <c r="H40" i="5"/>
  <c r="O40" i="5" s="1"/>
  <c r="G40" i="5"/>
  <c r="B40" i="5"/>
  <c r="K38" i="5"/>
  <c r="L38" i="5" s="1"/>
  <c r="G38" i="5"/>
  <c r="H38" i="5" s="1"/>
  <c r="O38" i="5" s="1"/>
  <c r="K37" i="5"/>
  <c r="L37" i="5" s="1"/>
  <c r="G37" i="5"/>
  <c r="H37" i="5" s="1"/>
  <c r="O37" i="5" s="1"/>
  <c r="K36" i="5"/>
  <c r="L36" i="5" s="1"/>
  <c r="G36" i="5"/>
  <c r="H36" i="5" s="1"/>
  <c r="O36" i="5" s="1"/>
  <c r="K35" i="5"/>
  <c r="L35" i="5" s="1"/>
  <c r="G35" i="5"/>
  <c r="H35" i="5" s="1"/>
  <c r="O35" i="5" s="1"/>
  <c r="K34" i="5"/>
  <c r="L34" i="5" s="1"/>
  <c r="G34" i="5"/>
  <c r="H34" i="5" s="1"/>
  <c r="O34" i="5" s="1"/>
  <c r="K33" i="5"/>
  <c r="L33" i="5" s="1"/>
  <c r="G33" i="5"/>
  <c r="H33" i="5" s="1"/>
  <c r="O33" i="5" s="1"/>
  <c r="K32" i="5"/>
  <c r="L32" i="5" s="1"/>
  <c r="G32" i="5"/>
  <c r="H32" i="5" s="1"/>
  <c r="O32" i="5" s="1"/>
  <c r="K31" i="5"/>
  <c r="L31" i="5" s="1"/>
  <c r="G31" i="5"/>
  <c r="H31" i="5" s="1"/>
  <c r="O31" i="5" s="1"/>
  <c r="K30" i="5"/>
  <c r="L30" i="5" s="1"/>
  <c r="G30" i="5"/>
  <c r="H30" i="5" s="1"/>
  <c r="O30" i="5" s="1"/>
  <c r="K29" i="5"/>
  <c r="G29" i="5"/>
  <c r="F29" i="5"/>
  <c r="L28" i="5"/>
  <c r="H28" i="5"/>
  <c r="N28" i="5" s="1"/>
  <c r="L27" i="5"/>
  <c r="H27" i="5"/>
  <c r="N27" i="5" s="1"/>
  <c r="L26" i="5"/>
  <c r="H26" i="5"/>
  <c r="N26" i="5" s="1"/>
  <c r="L25" i="5"/>
  <c r="H25" i="5"/>
  <c r="N25" i="5" s="1"/>
  <c r="N24" i="5"/>
  <c r="L24" i="5"/>
  <c r="H24" i="5"/>
  <c r="O24" i="5" s="1"/>
  <c r="J23" i="5"/>
  <c r="L23" i="5" s="1"/>
  <c r="F23" i="5"/>
  <c r="H23" i="5" s="1"/>
  <c r="G61" i="4"/>
  <c r="K61" i="4" s="1"/>
  <c r="L61" i="4" s="1"/>
  <c r="G60" i="4"/>
  <c r="K60" i="4" s="1"/>
  <c r="L60" i="4" s="1"/>
  <c r="G59" i="4"/>
  <c r="H59" i="4" s="1"/>
  <c r="G58" i="4"/>
  <c r="K58" i="4" s="1"/>
  <c r="L58" i="4" s="1"/>
  <c r="K57" i="4"/>
  <c r="L57" i="4" s="1"/>
  <c r="G57" i="4"/>
  <c r="H57" i="4" s="1"/>
  <c r="K56" i="4"/>
  <c r="L56" i="4" s="1"/>
  <c r="G56" i="4"/>
  <c r="H56" i="4" s="1"/>
  <c r="L55" i="4"/>
  <c r="H55" i="4"/>
  <c r="N53" i="4"/>
  <c r="L53" i="4"/>
  <c r="H53" i="4"/>
  <c r="J51" i="4"/>
  <c r="K50" i="4"/>
  <c r="K51" i="4" s="1"/>
  <c r="J50" i="4"/>
  <c r="G50" i="4"/>
  <c r="G51" i="4" s="1"/>
  <c r="L48" i="4"/>
  <c r="N48" i="4" s="1"/>
  <c r="H48" i="4"/>
  <c r="K47" i="4"/>
  <c r="J47" i="4"/>
  <c r="G47" i="4"/>
  <c r="F47" i="4"/>
  <c r="K46" i="4"/>
  <c r="J46" i="4"/>
  <c r="L46" i="4" s="1"/>
  <c r="N46" i="4" s="1"/>
  <c r="O46" i="4" s="1"/>
  <c r="G46" i="4"/>
  <c r="H46" i="4" s="1"/>
  <c r="K45" i="4"/>
  <c r="L45" i="4" s="1"/>
  <c r="J45" i="4"/>
  <c r="G45" i="4"/>
  <c r="H45" i="4" s="1"/>
  <c r="B45" i="4"/>
  <c r="K44" i="4"/>
  <c r="L44" i="4" s="1"/>
  <c r="J44" i="4"/>
  <c r="G44" i="4"/>
  <c r="H44" i="4" s="1"/>
  <c r="B44" i="4"/>
  <c r="K43" i="4"/>
  <c r="J43" i="4"/>
  <c r="L43" i="4" s="1"/>
  <c r="N43" i="4" s="1"/>
  <c r="G43" i="4"/>
  <c r="B43" i="4"/>
  <c r="K42" i="4"/>
  <c r="L42" i="4" s="1"/>
  <c r="N42" i="4" s="1"/>
  <c r="G42" i="4"/>
  <c r="B42" i="4"/>
  <c r="K41" i="4"/>
  <c r="J41" i="4"/>
  <c r="G41" i="4"/>
  <c r="H41" i="4" s="1"/>
  <c r="O41" i="4" s="1"/>
  <c r="B41" i="4"/>
  <c r="K40" i="4"/>
  <c r="L40" i="4" s="1"/>
  <c r="J40" i="4"/>
  <c r="G40" i="4"/>
  <c r="H40" i="4" s="1"/>
  <c r="O40" i="4" s="1"/>
  <c r="B40" i="4"/>
  <c r="L38" i="4"/>
  <c r="K38" i="4"/>
  <c r="H38" i="4"/>
  <c r="O38" i="4" s="1"/>
  <c r="G38" i="4"/>
  <c r="K37" i="4"/>
  <c r="L37" i="4" s="1"/>
  <c r="G37" i="4"/>
  <c r="H37" i="4" s="1"/>
  <c r="O37" i="4" s="1"/>
  <c r="K36" i="4"/>
  <c r="L36" i="4" s="1"/>
  <c r="G36" i="4"/>
  <c r="H36" i="4" s="1"/>
  <c r="O36" i="4" s="1"/>
  <c r="L35" i="4"/>
  <c r="K35" i="4"/>
  <c r="H35" i="4"/>
  <c r="O35" i="4" s="1"/>
  <c r="G35" i="4"/>
  <c r="L34" i="4"/>
  <c r="K34" i="4"/>
  <c r="H34" i="4"/>
  <c r="O34" i="4" s="1"/>
  <c r="G34" i="4"/>
  <c r="K33" i="4"/>
  <c r="L33" i="4" s="1"/>
  <c r="G33" i="4"/>
  <c r="H33" i="4" s="1"/>
  <c r="O33" i="4" s="1"/>
  <c r="K32" i="4"/>
  <c r="L32" i="4" s="1"/>
  <c r="G32" i="4"/>
  <c r="H32" i="4" s="1"/>
  <c r="O32" i="4" s="1"/>
  <c r="L31" i="4"/>
  <c r="K31" i="4"/>
  <c r="H31" i="4"/>
  <c r="O31" i="4" s="1"/>
  <c r="G31" i="4"/>
  <c r="L30" i="4"/>
  <c r="K30" i="4"/>
  <c r="H30" i="4"/>
  <c r="O30" i="4" s="1"/>
  <c r="G30" i="4"/>
  <c r="K29" i="4"/>
  <c r="G29" i="4"/>
  <c r="F29" i="4"/>
  <c r="O28" i="4"/>
  <c r="L28" i="4"/>
  <c r="N28" i="4" s="1"/>
  <c r="H28" i="4"/>
  <c r="O27" i="4"/>
  <c r="L27" i="4"/>
  <c r="N27" i="4" s="1"/>
  <c r="H27" i="4"/>
  <c r="O26" i="4"/>
  <c r="L26" i="4"/>
  <c r="N26" i="4" s="1"/>
  <c r="H26" i="4"/>
  <c r="O25" i="4"/>
  <c r="L25" i="4"/>
  <c r="N25" i="4" s="1"/>
  <c r="H25" i="4"/>
  <c r="O24" i="4"/>
  <c r="L24" i="4"/>
  <c r="N24" i="4" s="1"/>
  <c r="H24" i="4"/>
  <c r="J23" i="4"/>
  <c r="L23" i="4" s="1"/>
  <c r="F23" i="4"/>
  <c r="H23" i="4" s="1"/>
  <c r="G61" i="3"/>
  <c r="K61" i="3" s="1"/>
  <c r="L61" i="3" s="1"/>
  <c r="G60" i="3"/>
  <c r="K60" i="3" s="1"/>
  <c r="L60" i="3" s="1"/>
  <c r="G59" i="3"/>
  <c r="H59" i="3" s="1"/>
  <c r="G58" i="3"/>
  <c r="K58" i="3" s="1"/>
  <c r="L58" i="3" s="1"/>
  <c r="G57" i="3"/>
  <c r="K57" i="3" s="1"/>
  <c r="L57" i="3" s="1"/>
  <c r="K56" i="3"/>
  <c r="L56" i="3" s="1"/>
  <c r="G56" i="3"/>
  <c r="H56" i="3" s="1"/>
  <c r="O55" i="3"/>
  <c r="L55" i="3"/>
  <c r="N55" i="3" s="1"/>
  <c r="H55" i="3"/>
  <c r="J51" i="3"/>
  <c r="K50" i="3"/>
  <c r="K51" i="3" s="1"/>
  <c r="J50" i="3"/>
  <c r="G50" i="3"/>
  <c r="H50" i="3" s="1"/>
  <c r="L48" i="3"/>
  <c r="H48" i="3"/>
  <c r="N48" i="3" s="1"/>
  <c r="K47" i="3"/>
  <c r="L47" i="3" s="1"/>
  <c r="J47" i="3"/>
  <c r="G47" i="3"/>
  <c r="F47" i="3"/>
  <c r="K46" i="3"/>
  <c r="J46" i="3"/>
  <c r="G46" i="3"/>
  <c r="H46" i="3" s="1"/>
  <c r="K45" i="3"/>
  <c r="J45" i="3"/>
  <c r="G45" i="3"/>
  <c r="H45" i="3" s="1"/>
  <c r="O45" i="3" s="1"/>
  <c r="B45" i="3"/>
  <c r="K44" i="3"/>
  <c r="J44" i="3"/>
  <c r="G44" i="3"/>
  <c r="H44" i="3" s="1"/>
  <c r="O44" i="3" s="1"/>
  <c r="B44" i="3"/>
  <c r="O43" i="3"/>
  <c r="K43" i="3"/>
  <c r="J43" i="3"/>
  <c r="G43" i="3"/>
  <c r="B43" i="3"/>
  <c r="O42" i="3"/>
  <c r="K42" i="3"/>
  <c r="L42" i="3" s="1"/>
  <c r="N42" i="3" s="1"/>
  <c r="J42" i="3"/>
  <c r="G42" i="3"/>
  <c r="B42" i="3"/>
  <c r="K41" i="3"/>
  <c r="J41" i="3"/>
  <c r="G41" i="3"/>
  <c r="H41" i="3" s="1"/>
  <c r="O41" i="3" s="1"/>
  <c r="B41" i="3"/>
  <c r="K40" i="3"/>
  <c r="J40" i="3"/>
  <c r="G40" i="3"/>
  <c r="H40" i="3" s="1"/>
  <c r="O40" i="3" s="1"/>
  <c r="B40" i="3"/>
  <c r="K38" i="3"/>
  <c r="L38" i="3" s="1"/>
  <c r="G38" i="3"/>
  <c r="H38" i="3" s="1"/>
  <c r="O38" i="3" s="1"/>
  <c r="K37" i="3"/>
  <c r="L37" i="3" s="1"/>
  <c r="N37" i="3" s="1"/>
  <c r="G37" i="3"/>
  <c r="H37" i="3" s="1"/>
  <c r="O37" i="3" s="1"/>
  <c r="K36" i="3"/>
  <c r="L36" i="3" s="1"/>
  <c r="G36" i="3"/>
  <c r="H36" i="3" s="1"/>
  <c r="O36" i="3" s="1"/>
  <c r="K35" i="3"/>
  <c r="L35" i="3" s="1"/>
  <c r="N35" i="3" s="1"/>
  <c r="G35" i="3"/>
  <c r="H35" i="3" s="1"/>
  <c r="O35" i="3" s="1"/>
  <c r="K34" i="3"/>
  <c r="L34" i="3" s="1"/>
  <c r="G34" i="3"/>
  <c r="H34" i="3" s="1"/>
  <c r="O34" i="3" s="1"/>
  <c r="K33" i="3"/>
  <c r="L33" i="3" s="1"/>
  <c r="N33" i="3" s="1"/>
  <c r="G33" i="3"/>
  <c r="H33" i="3" s="1"/>
  <c r="O33" i="3" s="1"/>
  <c r="K32" i="3"/>
  <c r="L32" i="3" s="1"/>
  <c r="G32" i="3"/>
  <c r="H32" i="3" s="1"/>
  <c r="O32" i="3" s="1"/>
  <c r="K31" i="3"/>
  <c r="L31" i="3" s="1"/>
  <c r="G31" i="3"/>
  <c r="H31" i="3" s="1"/>
  <c r="O31" i="3" s="1"/>
  <c r="K30" i="3"/>
  <c r="L30" i="3" s="1"/>
  <c r="G30" i="3"/>
  <c r="H30" i="3" s="1"/>
  <c r="O30" i="3" s="1"/>
  <c r="K29" i="3"/>
  <c r="G29" i="3"/>
  <c r="F29" i="3"/>
  <c r="O28" i="3"/>
  <c r="L28" i="3"/>
  <c r="N28" i="3" s="1"/>
  <c r="H28" i="3"/>
  <c r="O27" i="3"/>
  <c r="L27" i="3"/>
  <c r="N27" i="3" s="1"/>
  <c r="H27" i="3"/>
  <c r="O26" i="3"/>
  <c r="L26" i="3"/>
  <c r="N26" i="3" s="1"/>
  <c r="H26" i="3"/>
  <c r="H25" i="3"/>
  <c r="O25" i="3" s="1"/>
  <c r="N24" i="3"/>
  <c r="L24" i="3"/>
  <c r="H24" i="3"/>
  <c r="O24" i="3" s="1"/>
  <c r="J23" i="3"/>
  <c r="L23" i="3" s="1"/>
  <c r="F23" i="3"/>
  <c r="H23" i="3" s="1"/>
  <c r="G61" i="2"/>
  <c r="H61" i="2" s="1"/>
  <c r="G60" i="2"/>
  <c r="K60" i="2" s="1"/>
  <c r="L60" i="2" s="1"/>
  <c r="G59" i="2"/>
  <c r="H59" i="2" s="1"/>
  <c r="G58" i="2"/>
  <c r="K58" i="2" s="1"/>
  <c r="L58" i="2" s="1"/>
  <c r="G57" i="2"/>
  <c r="H57" i="2" s="1"/>
  <c r="K56" i="2"/>
  <c r="L56" i="2" s="1"/>
  <c r="G56" i="2"/>
  <c r="H56" i="2" s="1"/>
  <c r="L55" i="2"/>
  <c r="H55" i="2"/>
  <c r="N55" i="2" s="1"/>
  <c r="J51" i="2"/>
  <c r="K50" i="2"/>
  <c r="K51" i="2" s="1"/>
  <c r="K53" i="2" s="1"/>
  <c r="L53" i="2" s="1"/>
  <c r="J50" i="2"/>
  <c r="G50" i="2"/>
  <c r="G51" i="2" s="1"/>
  <c r="L48" i="2"/>
  <c r="N48" i="2" s="1"/>
  <c r="H48" i="2"/>
  <c r="K47" i="2"/>
  <c r="L47" i="2" s="1"/>
  <c r="J47" i="2"/>
  <c r="G47" i="2"/>
  <c r="F47" i="2"/>
  <c r="K46" i="2"/>
  <c r="J46" i="2"/>
  <c r="G46" i="2"/>
  <c r="H46" i="2" s="1"/>
  <c r="K45" i="2"/>
  <c r="J45" i="2"/>
  <c r="G45" i="2"/>
  <c r="H45" i="2" s="1"/>
  <c r="O45" i="2" s="1"/>
  <c r="B45" i="2"/>
  <c r="K44" i="2"/>
  <c r="J44" i="2"/>
  <c r="G44" i="2"/>
  <c r="H44" i="2" s="1"/>
  <c r="O44" i="2" s="1"/>
  <c r="B44" i="2"/>
  <c r="K43" i="2"/>
  <c r="J43" i="2"/>
  <c r="G43" i="2"/>
  <c r="B43" i="2"/>
  <c r="K42" i="2"/>
  <c r="L42" i="2" s="1"/>
  <c r="N42" i="2" s="1"/>
  <c r="G42" i="2"/>
  <c r="B42" i="2"/>
  <c r="K41" i="2"/>
  <c r="J41" i="2"/>
  <c r="L41" i="2" s="1"/>
  <c r="G41" i="2"/>
  <c r="H41" i="2" s="1"/>
  <c r="O41" i="2" s="1"/>
  <c r="B41" i="2"/>
  <c r="K40" i="2"/>
  <c r="J40" i="2"/>
  <c r="L40" i="2" s="1"/>
  <c r="G40" i="2"/>
  <c r="H40" i="2" s="1"/>
  <c r="O40" i="2" s="1"/>
  <c r="B40" i="2"/>
  <c r="K38" i="2"/>
  <c r="L38" i="2" s="1"/>
  <c r="G38" i="2"/>
  <c r="H38" i="2" s="1"/>
  <c r="O38" i="2" s="1"/>
  <c r="K37" i="2"/>
  <c r="L37" i="2" s="1"/>
  <c r="G37" i="2"/>
  <c r="H37" i="2" s="1"/>
  <c r="O37" i="2" s="1"/>
  <c r="K36" i="2"/>
  <c r="L36" i="2" s="1"/>
  <c r="H36" i="2"/>
  <c r="O36" i="2" s="1"/>
  <c r="G36" i="2"/>
  <c r="K35" i="2"/>
  <c r="L35" i="2" s="1"/>
  <c r="G35" i="2"/>
  <c r="H35" i="2" s="1"/>
  <c r="O35" i="2" s="1"/>
  <c r="K34" i="2"/>
  <c r="L34" i="2" s="1"/>
  <c r="G34" i="2"/>
  <c r="H34" i="2" s="1"/>
  <c r="O34" i="2" s="1"/>
  <c r="K33" i="2"/>
  <c r="L33" i="2" s="1"/>
  <c r="G33" i="2"/>
  <c r="H33" i="2" s="1"/>
  <c r="O33" i="2" s="1"/>
  <c r="K32" i="2"/>
  <c r="L32" i="2" s="1"/>
  <c r="G32" i="2"/>
  <c r="H32" i="2" s="1"/>
  <c r="O32" i="2" s="1"/>
  <c r="K31" i="2"/>
  <c r="L31" i="2" s="1"/>
  <c r="G31" i="2"/>
  <c r="H31" i="2" s="1"/>
  <c r="O31" i="2" s="1"/>
  <c r="K30" i="2"/>
  <c r="L30" i="2" s="1"/>
  <c r="G30" i="2"/>
  <c r="H30" i="2" s="1"/>
  <c r="O30" i="2" s="1"/>
  <c r="K29" i="2"/>
  <c r="G29" i="2"/>
  <c r="H29" i="2" s="1"/>
  <c r="F29" i="2"/>
  <c r="O28" i="2"/>
  <c r="L28" i="2"/>
  <c r="N28" i="2" s="1"/>
  <c r="H28" i="2"/>
  <c r="O27" i="2"/>
  <c r="L27" i="2"/>
  <c r="N27" i="2" s="1"/>
  <c r="H27" i="2"/>
  <c r="O26" i="2"/>
  <c r="L26" i="2"/>
  <c r="N26" i="2" s="1"/>
  <c r="H26" i="2"/>
  <c r="H25" i="2"/>
  <c r="O25" i="2" s="1"/>
  <c r="N24" i="2"/>
  <c r="L24" i="2"/>
  <c r="H24" i="2"/>
  <c r="O24" i="2" s="1"/>
  <c r="J23" i="2"/>
  <c r="L23" i="2" s="1"/>
  <c r="F23" i="2"/>
  <c r="H23" i="2" s="1"/>
  <c r="K61" i="1"/>
  <c r="L61" i="1" s="1"/>
  <c r="N61" i="1" s="1"/>
  <c r="G61" i="1"/>
  <c r="H61" i="1" s="1"/>
  <c r="G60" i="1"/>
  <c r="H60" i="1" s="1"/>
  <c r="K59" i="1"/>
  <c r="L59" i="1" s="1"/>
  <c r="G59" i="1"/>
  <c r="H59" i="1" s="1"/>
  <c r="G58" i="1"/>
  <c r="H58" i="1" s="1"/>
  <c r="K57" i="1"/>
  <c r="L57" i="1" s="1"/>
  <c r="N57" i="1" s="1"/>
  <c r="G57" i="1"/>
  <c r="H57" i="1" s="1"/>
  <c r="K56" i="1"/>
  <c r="L56" i="1" s="1"/>
  <c r="N56" i="1" s="1"/>
  <c r="G56" i="1"/>
  <c r="H56" i="1" s="1"/>
  <c r="L55" i="1"/>
  <c r="H55" i="1"/>
  <c r="G53" i="1"/>
  <c r="H53" i="1" s="1"/>
  <c r="K51" i="1"/>
  <c r="J51" i="1"/>
  <c r="F51" i="1"/>
  <c r="K50" i="1"/>
  <c r="J50" i="1"/>
  <c r="G50" i="1"/>
  <c r="G51" i="1" s="1"/>
  <c r="F50" i="1"/>
  <c r="H50" i="1" s="1"/>
  <c r="L48" i="1"/>
  <c r="N48" i="1" s="1"/>
  <c r="H48" i="1"/>
  <c r="O47" i="1"/>
  <c r="K47" i="1"/>
  <c r="J47" i="1"/>
  <c r="L47" i="1" s="1"/>
  <c r="N47" i="1" s="1"/>
  <c r="G47" i="1"/>
  <c r="H47" i="1" s="1"/>
  <c r="F47" i="1"/>
  <c r="K46" i="1"/>
  <c r="J46" i="1"/>
  <c r="L46" i="1" s="1"/>
  <c r="G46" i="1"/>
  <c r="H46" i="1" s="1"/>
  <c r="K45" i="1"/>
  <c r="L45" i="1" s="1"/>
  <c r="N45" i="1" s="1"/>
  <c r="J45" i="1"/>
  <c r="H45" i="1"/>
  <c r="O45" i="1" s="1"/>
  <c r="G45" i="1"/>
  <c r="B45" i="1"/>
  <c r="K44" i="1"/>
  <c r="J44" i="1"/>
  <c r="H44" i="1"/>
  <c r="O44" i="1" s="1"/>
  <c r="G44" i="1"/>
  <c r="B44" i="1"/>
  <c r="O43" i="1"/>
  <c r="J43" i="1"/>
  <c r="L43" i="1" s="1"/>
  <c r="N43" i="1" s="1"/>
  <c r="G43" i="1"/>
  <c r="B43" i="1"/>
  <c r="O42" i="1"/>
  <c r="K42" i="1"/>
  <c r="L42" i="1" s="1"/>
  <c r="N42" i="1" s="1"/>
  <c r="G42" i="1"/>
  <c r="B42" i="1"/>
  <c r="K41" i="1"/>
  <c r="L41" i="1" s="1"/>
  <c r="N41" i="1" s="1"/>
  <c r="J41" i="1"/>
  <c r="H41" i="1"/>
  <c r="O41" i="1" s="1"/>
  <c r="G41" i="1"/>
  <c r="B41" i="1"/>
  <c r="K40" i="1"/>
  <c r="J40" i="1"/>
  <c r="H40" i="1"/>
  <c r="O40" i="1" s="1"/>
  <c r="G40" i="1"/>
  <c r="B40" i="1"/>
  <c r="K38" i="1"/>
  <c r="L38" i="1" s="1"/>
  <c r="N38" i="1" s="1"/>
  <c r="G38" i="1"/>
  <c r="H38" i="1" s="1"/>
  <c r="O38" i="1" s="1"/>
  <c r="K37" i="1"/>
  <c r="L37" i="1" s="1"/>
  <c r="N37" i="1" s="1"/>
  <c r="G37" i="1"/>
  <c r="H37" i="1" s="1"/>
  <c r="O37" i="1" s="1"/>
  <c r="N36" i="1"/>
  <c r="K36" i="1"/>
  <c r="L36" i="1" s="1"/>
  <c r="G36" i="1"/>
  <c r="H36" i="1" s="1"/>
  <c r="O36" i="1" s="1"/>
  <c r="K35" i="1"/>
  <c r="L35" i="1" s="1"/>
  <c r="G35" i="1"/>
  <c r="H35" i="1" s="1"/>
  <c r="O35" i="1" s="1"/>
  <c r="K34" i="1"/>
  <c r="L34" i="1" s="1"/>
  <c r="N34" i="1" s="1"/>
  <c r="G34" i="1"/>
  <c r="H34" i="1" s="1"/>
  <c r="O34" i="1" s="1"/>
  <c r="K33" i="1"/>
  <c r="L33" i="1" s="1"/>
  <c r="N33" i="1" s="1"/>
  <c r="G33" i="1"/>
  <c r="H33" i="1" s="1"/>
  <c r="O33" i="1" s="1"/>
  <c r="K32" i="1"/>
  <c r="L32" i="1" s="1"/>
  <c r="G32" i="1"/>
  <c r="H32" i="1" s="1"/>
  <c r="O32" i="1" s="1"/>
  <c r="K31" i="1"/>
  <c r="L31" i="1" s="1"/>
  <c r="G31" i="1"/>
  <c r="H31" i="1" s="1"/>
  <c r="O31" i="1" s="1"/>
  <c r="K30" i="1"/>
  <c r="L30" i="1" s="1"/>
  <c r="N30" i="1" s="1"/>
  <c r="G30" i="1"/>
  <c r="H30" i="1" s="1"/>
  <c r="O30" i="1" s="1"/>
  <c r="K29" i="1"/>
  <c r="G29" i="1"/>
  <c r="F29" i="1"/>
  <c r="H29" i="1" s="1"/>
  <c r="L28" i="1"/>
  <c r="H28" i="1"/>
  <c r="N27" i="1"/>
  <c r="L27" i="1"/>
  <c r="H27" i="1"/>
  <c r="O27" i="1" s="1"/>
  <c r="N26" i="1"/>
  <c r="L26" i="1"/>
  <c r="H26" i="1"/>
  <c r="O26" i="1" s="1"/>
  <c r="H25" i="1"/>
  <c r="O25" i="1" s="1"/>
  <c r="O24" i="1"/>
  <c r="L24" i="1"/>
  <c r="N24" i="1" s="1"/>
  <c r="H24" i="1"/>
  <c r="J23" i="1"/>
  <c r="L23" i="1" s="1"/>
  <c r="F23" i="1"/>
  <c r="H23" i="1" s="1"/>
  <c r="L41" i="6" l="1"/>
  <c r="L41" i="8"/>
  <c r="L44" i="8"/>
  <c r="L45" i="8"/>
  <c r="H29" i="9"/>
  <c r="L50" i="9"/>
  <c r="L45" i="10"/>
  <c r="N45" i="10" s="1"/>
  <c r="L40" i="11"/>
  <c r="N40" i="11" s="1"/>
  <c r="L44" i="11"/>
  <c r="N44" i="11" s="1"/>
  <c r="L44" i="12"/>
  <c r="L45" i="12"/>
  <c r="H29" i="3"/>
  <c r="H39" i="3" s="1"/>
  <c r="L43" i="3"/>
  <c r="N43" i="3" s="1"/>
  <c r="L46" i="3"/>
  <c r="L40" i="6"/>
  <c r="L40" i="1"/>
  <c r="N40" i="1" s="1"/>
  <c r="L44" i="2"/>
  <c r="L45" i="2"/>
  <c r="L44" i="3"/>
  <c r="L45" i="3"/>
  <c r="N45" i="3" s="1"/>
  <c r="H29" i="4"/>
  <c r="H29" i="6"/>
  <c r="L44" i="6"/>
  <c r="L45" i="6"/>
  <c r="L40" i="7"/>
  <c r="L41" i="7"/>
  <c r="L46" i="7"/>
  <c r="H29" i="10"/>
  <c r="H39" i="10" s="1"/>
  <c r="L41" i="11"/>
  <c r="N41" i="11" s="1"/>
  <c r="L45" i="11"/>
  <c r="N45" i="11" s="1"/>
  <c r="L46" i="2"/>
  <c r="L43" i="5"/>
  <c r="N43" i="5" s="1"/>
  <c r="L43" i="6"/>
  <c r="N43" i="6" s="1"/>
  <c r="L44" i="1"/>
  <c r="N44" i="1" s="1"/>
  <c r="L51" i="4"/>
  <c r="L50" i="6"/>
  <c r="L45" i="7"/>
  <c r="L50" i="1"/>
  <c r="L46" i="5"/>
  <c r="N46" i="5" s="1"/>
  <c r="L46" i="6"/>
  <c r="N46" i="6" s="1"/>
  <c r="O46" i="6" s="1"/>
  <c r="L51" i="12"/>
  <c r="L50" i="12"/>
  <c r="L51" i="3"/>
  <c r="N30" i="3"/>
  <c r="N32" i="3"/>
  <c r="N34" i="3"/>
  <c r="N36" i="3"/>
  <c r="N38" i="3"/>
  <c r="N33" i="12"/>
  <c r="N36" i="12"/>
  <c r="L40" i="12"/>
  <c r="N40" i="12" s="1"/>
  <c r="N44" i="12"/>
  <c r="N45" i="12"/>
  <c r="K57" i="12"/>
  <c r="L57" i="12" s="1"/>
  <c r="N31" i="12"/>
  <c r="N41" i="12"/>
  <c r="N47" i="12"/>
  <c r="N35" i="12"/>
  <c r="N37" i="12"/>
  <c r="H47" i="12"/>
  <c r="G53" i="12"/>
  <c r="H53" i="12" s="1"/>
  <c r="K61" i="12"/>
  <c r="L61" i="12" s="1"/>
  <c r="H39" i="12"/>
  <c r="O23" i="12"/>
  <c r="N26" i="12"/>
  <c r="N28" i="12"/>
  <c r="N38" i="12"/>
  <c r="N57" i="12"/>
  <c r="O57" i="12" s="1"/>
  <c r="O46" i="12"/>
  <c r="O56" i="12"/>
  <c r="N23" i="12"/>
  <c r="N34" i="12"/>
  <c r="O47" i="12"/>
  <c r="N50" i="12"/>
  <c r="O50" i="12" s="1"/>
  <c r="N56" i="12"/>
  <c r="O59" i="12"/>
  <c r="N61" i="12"/>
  <c r="H58" i="12"/>
  <c r="H51" i="12"/>
  <c r="K53" i="12"/>
  <c r="L53" i="12" s="1"/>
  <c r="K60" i="12"/>
  <c r="L60" i="12" s="1"/>
  <c r="K54" i="12"/>
  <c r="L54" i="12" s="1"/>
  <c r="N54" i="12" s="1"/>
  <c r="O54" i="12" s="1"/>
  <c r="O57" i="11"/>
  <c r="N30" i="11"/>
  <c r="N32" i="11"/>
  <c r="N34" i="11"/>
  <c r="N36" i="11"/>
  <c r="N38" i="11"/>
  <c r="O47" i="11"/>
  <c r="N57" i="11"/>
  <c r="H39" i="11"/>
  <c r="N58" i="11"/>
  <c r="N31" i="11"/>
  <c r="N33" i="11"/>
  <c r="N35" i="11"/>
  <c r="N37" i="11"/>
  <c r="N46" i="11"/>
  <c r="O46" i="11" s="1"/>
  <c r="O50" i="11"/>
  <c r="N56" i="11"/>
  <c r="O56" i="11" s="1"/>
  <c r="O59" i="11"/>
  <c r="N61" i="11"/>
  <c r="K54" i="11"/>
  <c r="L54" i="11" s="1"/>
  <c r="N23" i="11"/>
  <c r="O23" i="11" s="1"/>
  <c r="G51" i="11"/>
  <c r="L51" i="11"/>
  <c r="H58" i="11"/>
  <c r="H60" i="11"/>
  <c r="N26" i="11"/>
  <c r="N27" i="11"/>
  <c r="N28" i="11"/>
  <c r="N55" i="11"/>
  <c r="O55" i="11" s="1"/>
  <c r="L43" i="2"/>
  <c r="N43" i="2" s="1"/>
  <c r="L50" i="2"/>
  <c r="N30" i="9"/>
  <c r="N32" i="9"/>
  <c r="N34" i="9"/>
  <c r="N36" i="9"/>
  <c r="L43" i="9"/>
  <c r="N43" i="9" s="1"/>
  <c r="N45" i="9"/>
  <c r="K57" i="9"/>
  <c r="L57" i="9" s="1"/>
  <c r="N38" i="9"/>
  <c r="N40" i="9"/>
  <c r="N41" i="9"/>
  <c r="N44" i="9"/>
  <c r="H50" i="9"/>
  <c r="N50" i="9" s="1"/>
  <c r="O50" i="9" s="1"/>
  <c r="N56" i="9"/>
  <c r="K61" i="9"/>
  <c r="L61" i="9" s="1"/>
  <c r="N61" i="9" s="1"/>
  <c r="N30" i="7"/>
  <c r="N32" i="7"/>
  <c r="N34" i="7"/>
  <c r="N36" i="7"/>
  <c r="N38" i="7"/>
  <c r="N45" i="7"/>
  <c r="K59" i="7"/>
  <c r="L59" i="7" s="1"/>
  <c r="N59" i="7" s="1"/>
  <c r="H39" i="7"/>
  <c r="H49" i="7" s="1"/>
  <c r="N40" i="7"/>
  <c r="N41" i="7"/>
  <c r="L47" i="7"/>
  <c r="H50" i="7"/>
  <c r="N45" i="8"/>
  <c r="N40" i="8"/>
  <c r="H47" i="8"/>
  <c r="K57" i="8"/>
  <c r="L57" i="8" s="1"/>
  <c r="N31" i="8"/>
  <c r="N33" i="8"/>
  <c r="N35" i="8"/>
  <c r="N37" i="8"/>
  <c r="N41" i="8"/>
  <c r="N46" i="8"/>
  <c r="O46" i="8" s="1"/>
  <c r="N47" i="8"/>
  <c r="H29" i="8"/>
  <c r="N44" i="8"/>
  <c r="K61" i="8"/>
  <c r="L61" i="8" s="1"/>
  <c r="O55" i="10"/>
  <c r="N23" i="10"/>
  <c r="O23" i="10" s="1"/>
  <c r="O47" i="10"/>
  <c r="N57" i="10"/>
  <c r="O57" i="10" s="1"/>
  <c r="N60" i="10"/>
  <c r="O56" i="10"/>
  <c r="O61" i="10"/>
  <c r="N46" i="10"/>
  <c r="O46" i="10" s="1"/>
  <c r="O50" i="10"/>
  <c r="N56" i="10"/>
  <c r="O59" i="10"/>
  <c r="N61" i="10"/>
  <c r="G51" i="10"/>
  <c r="L51" i="10"/>
  <c r="H58" i="10"/>
  <c r="N58" i="10" s="1"/>
  <c r="H60" i="10"/>
  <c r="K54" i="10"/>
  <c r="L54" i="10" s="1"/>
  <c r="N55" i="10"/>
  <c r="N57" i="9"/>
  <c r="O57" i="9" s="1"/>
  <c r="H39" i="9"/>
  <c r="N23" i="9"/>
  <c r="O23" i="9" s="1"/>
  <c r="N46" i="9"/>
  <c r="O46" i="9" s="1"/>
  <c r="G53" i="9"/>
  <c r="H53" i="9" s="1"/>
  <c r="G54" i="9"/>
  <c r="H54" i="9" s="1"/>
  <c r="N54" i="9" s="1"/>
  <c r="H51" i="9"/>
  <c r="O56" i="9"/>
  <c r="O61" i="9"/>
  <c r="N47" i="9"/>
  <c r="O47" i="9" s="1"/>
  <c r="O59" i="9"/>
  <c r="O36" i="9"/>
  <c r="L51" i="9"/>
  <c r="H58" i="9"/>
  <c r="H60" i="9"/>
  <c r="K53" i="9"/>
  <c r="L53" i="9" s="1"/>
  <c r="N55" i="9"/>
  <c r="O55" i="9" s="1"/>
  <c r="O30" i="9"/>
  <c r="O32" i="9"/>
  <c r="O34" i="9"/>
  <c r="O57" i="8"/>
  <c r="O47" i="8"/>
  <c r="K53" i="8"/>
  <c r="L53" i="8" s="1"/>
  <c r="L51" i="8"/>
  <c r="K54" i="8"/>
  <c r="L54" i="8" s="1"/>
  <c r="N57" i="8"/>
  <c r="G53" i="8"/>
  <c r="H53" i="8" s="1"/>
  <c r="G54" i="8"/>
  <c r="H54" i="8" s="1"/>
  <c r="H51" i="8"/>
  <c r="N56" i="8"/>
  <c r="O56" i="8" s="1"/>
  <c r="O59" i="8"/>
  <c r="N61" i="8"/>
  <c r="O61" i="8" s="1"/>
  <c r="N23" i="8"/>
  <c r="L50" i="8"/>
  <c r="N50" i="8" s="1"/>
  <c r="O50" i="8" s="1"/>
  <c r="H58" i="8"/>
  <c r="H60" i="8"/>
  <c r="O23" i="8"/>
  <c r="N26" i="8"/>
  <c r="N27" i="8"/>
  <c r="N28" i="8"/>
  <c r="N55" i="8"/>
  <c r="O55" i="8" s="1"/>
  <c r="K53" i="7"/>
  <c r="L53" i="7" s="1"/>
  <c r="K54" i="7"/>
  <c r="L54" i="7" s="1"/>
  <c r="L51" i="7"/>
  <c r="N57" i="7"/>
  <c r="O57" i="7" s="1"/>
  <c r="N37" i="7"/>
  <c r="O55" i="7"/>
  <c r="N60" i="7"/>
  <c r="N31" i="7"/>
  <c r="N33" i="7"/>
  <c r="N35" i="7"/>
  <c r="N47" i="7"/>
  <c r="O47" i="7" s="1"/>
  <c r="N46" i="7"/>
  <c r="O46" i="7" s="1"/>
  <c r="G54" i="7"/>
  <c r="H54" i="7" s="1"/>
  <c r="H51" i="7"/>
  <c r="G53" i="7"/>
  <c r="H53" i="7" s="1"/>
  <c r="N56" i="7"/>
  <c r="O56" i="7" s="1"/>
  <c r="O59" i="7"/>
  <c r="N61" i="7"/>
  <c r="O61" i="7" s="1"/>
  <c r="N23" i="7"/>
  <c r="L50" i="7"/>
  <c r="N50" i="7" s="1"/>
  <c r="O50" i="7" s="1"/>
  <c r="H58" i="7"/>
  <c r="H60" i="7"/>
  <c r="O23" i="7"/>
  <c r="N26" i="7"/>
  <c r="N27" i="7"/>
  <c r="N28" i="7"/>
  <c r="N55" i="7"/>
  <c r="N31" i="2"/>
  <c r="N35" i="2"/>
  <c r="N44" i="3"/>
  <c r="N30" i="4"/>
  <c r="N31" i="4"/>
  <c r="N38" i="4"/>
  <c r="N40" i="4"/>
  <c r="N40" i="5"/>
  <c r="N44" i="5"/>
  <c r="G51" i="6"/>
  <c r="G54" i="6" s="1"/>
  <c r="H54" i="6" s="1"/>
  <c r="N33" i="2"/>
  <c r="N30" i="2"/>
  <c r="N34" i="2"/>
  <c r="N38" i="2"/>
  <c r="K59" i="2"/>
  <c r="L59" i="2" s="1"/>
  <c r="L40" i="3"/>
  <c r="L41" i="3"/>
  <c r="N41" i="3" s="1"/>
  <c r="K59" i="3"/>
  <c r="L59" i="3" s="1"/>
  <c r="H61" i="3"/>
  <c r="N61" i="3" s="1"/>
  <c r="H47" i="4"/>
  <c r="L50" i="4"/>
  <c r="N41" i="5"/>
  <c r="N37" i="2"/>
  <c r="N32" i="2"/>
  <c r="N36" i="2"/>
  <c r="H47" i="3"/>
  <c r="N47" i="3" s="1"/>
  <c r="O47" i="3" s="1"/>
  <c r="L41" i="4"/>
  <c r="N41" i="4" s="1"/>
  <c r="N36" i="5"/>
  <c r="H47" i="6"/>
  <c r="N31" i="3"/>
  <c r="N59" i="3"/>
  <c r="O59" i="3" s="1"/>
  <c r="O44" i="4"/>
  <c r="N44" i="4"/>
  <c r="O45" i="4"/>
  <c r="N45" i="4"/>
  <c r="H47" i="2"/>
  <c r="N47" i="2" s="1"/>
  <c r="K57" i="2"/>
  <c r="L57" i="2" s="1"/>
  <c r="N57" i="2" s="1"/>
  <c r="O57" i="2" s="1"/>
  <c r="H57" i="3"/>
  <c r="N57" i="3" s="1"/>
  <c r="O57" i="3" s="1"/>
  <c r="H58" i="3"/>
  <c r="L47" i="4"/>
  <c r="N47" i="4" s="1"/>
  <c r="O47" i="4" s="1"/>
  <c r="N38" i="5"/>
  <c r="N45" i="5"/>
  <c r="N56" i="5"/>
  <c r="K61" i="5"/>
  <c r="L61" i="5" s="1"/>
  <c r="N61" i="5" s="1"/>
  <c r="N50" i="6"/>
  <c r="O50" i="6" s="1"/>
  <c r="N56" i="6"/>
  <c r="O56" i="6" s="1"/>
  <c r="N44" i="2"/>
  <c r="N46" i="3"/>
  <c r="O46" i="3" s="1"/>
  <c r="G51" i="3"/>
  <c r="G54" i="3" s="1"/>
  <c r="H54" i="3" s="1"/>
  <c r="N34" i="4"/>
  <c r="N35" i="4"/>
  <c r="K54" i="4"/>
  <c r="L54" i="4" s="1"/>
  <c r="N40" i="6"/>
  <c r="N41" i="6"/>
  <c r="N58" i="6"/>
  <c r="N58" i="3"/>
  <c r="O58" i="3" s="1"/>
  <c r="O61" i="5"/>
  <c r="N45" i="2"/>
  <c r="N46" i="2"/>
  <c r="O46" i="2" s="1"/>
  <c r="N56" i="2"/>
  <c r="K61" i="2"/>
  <c r="L61" i="2" s="1"/>
  <c r="N61" i="2" s="1"/>
  <c r="H60" i="3"/>
  <c r="N60" i="3" s="1"/>
  <c r="O60" i="3" s="1"/>
  <c r="H39" i="4"/>
  <c r="H49" i="4" s="1"/>
  <c r="K59" i="4"/>
  <c r="L59" i="4" s="1"/>
  <c r="N59" i="4" s="1"/>
  <c r="O59" i="4" s="1"/>
  <c r="H29" i="5"/>
  <c r="H39" i="5" s="1"/>
  <c r="N37" i="5"/>
  <c r="H47" i="5"/>
  <c r="K57" i="5"/>
  <c r="L57" i="5" s="1"/>
  <c r="N57" i="5" s="1"/>
  <c r="O57" i="5" s="1"/>
  <c r="H58" i="6"/>
  <c r="N32" i="1"/>
  <c r="K53" i="1"/>
  <c r="L53" i="1" s="1"/>
  <c r="L51" i="1"/>
  <c r="K54" i="1"/>
  <c r="L54" i="1" s="1"/>
  <c r="N54" i="1" s="1"/>
  <c r="G54" i="2"/>
  <c r="H54" i="2" s="1"/>
  <c r="H51" i="2"/>
  <c r="G53" i="2"/>
  <c r="H53" i="2" s="1"/>
  <c r="N23" i="1"/>
  <c r="O23" i="1" s="1"/>
  <c r="N31" i="1"/>
  <c r="N50" i="1"/>
  <c r="O57" i="1"/>
  <c r="N59" i="1"/>
  <c r="O59" i="1" s="1"/>
  <c r="H39" i="2"/>
  <c r="N40" i="2"/>
  <c r="N41" i="2"/>
  <c r="N59" i="2"/>
  <c r="O59" i="2" s="1"/>
  <c r="N40" i="3"/>
  <c r="O50" i="1"/>
  <c r="N23" i="2"/>
  <c r="O23" i="2" s="1"/>
  <c r="N23" i="3"/>
  <c r="O23" i="3" s="1"/>
  <c r="H39" i="1"/>
  <c r="N28" i="1"/>
  <c r="O28" i="1"/>
  <c r="N35" i="1"/>
  <c r="N46" i="1"/>
  <c r="O46" i="1" s="1"/>
  <c r="H51" i="1"/>
  <c r="G54" i="1"/>
  <c r="H54" i="1" s="1"/>
  <c r="O56" i="1"/>
  <c r="O61" i="1"/>
  <c r="O56" i="2"/>
  <c r="O61" i="2"/>
  <c r="N55" i="1"/>
  <c r="O55" i="1" s="1"/>
  <c r="K58" i="1"/>
  <c r="L58" i="1" s="1"/>
  <c r="N58" i="1" s="1"/>
  <c r="O58" i="1" s="1"/>
  <c r="K60" i="1"/>
  <c r="L60" i="1" s="1"/>
  <c r="H50" i="2"/>
  <c r="O55" i="2"/>
  <c r="N33" i="4"/>
  <c r="N37" i="4"/>
  <c r="N57" i="4"/>
  <c r="O57" i="4" s="1"/>
  <c r="N30" i="5"/>
  <c r="N32" i="5"/>
  <c r="N34" i="5"/>
  <c r="H51" i="3"/>
  <c r="N51" i="3" s="1"/>
  <c r="H51" i="4"/>
  <c r="G54" i="4"/>
  <c r="H54" i="4" s="1"/>
  <c r="K54" i="2"/>
  <c r="L54" i="2" s="1"/>
  <c r="L51" i="2"/>
  <c r="H58" i="2"/>
  <c r="H60" i="2"/>
  <c r="N60" i="2" s="1"/>
  <c r="L50" i="3"/>
  <c r="N50" i="3" s="1"/>
  <c r="O50" i="3" s="1"/>
  <c r="N51" i="4"/>
  <c r="N56" i="4"/>
  <c r="O56" i="4" s="1"/>
  <c r="N31" i="5"/>
  <c r="N33" i="5"/>
  <c r="N35" i="5"/>
  <c r="K54" i="3"/>
  <c r="L54" i="3" s="1"/>
  <c r="K53" i="3"/>
  <c r="L53" i="3" s="1"/>
  <c r="N56" i="3"/>
  <c r="O56" i="3" s="1"/>
  <c r="N23" i="4"/>
  <c r="O23" i="4" s="1"/>
  <c r="N32" i="4"/>
  <c r="N36" i="4"/>
  <c r="O55" i="4"/>
  <c r="N23" i="5"/>
  <c r="O23" i="5" s="1"/>
  <c r="H50" i="4"/>
  <c r="H52" i="4" s="1"/>
  <c r="O53" i="4"/>
  <c r="H58" i="4"/>
  <c r="N58" i="4" s="1"/>
  <c r="H60" i="4"/>
  <c r="O25" i="5"/>
  <c r="O26" i="5"/>
  <c r="O27" i="5"/>
  <c r="O28" i="5"/>
  <c r="O46" i="5"/>
  <c r="N47" i="5"/>
  <c r="O47" i="5" s="1"/>
  <c r="O56" i="5"/>
  <c r="N31" i="6"/>
  <c r="N33" i="6"/>
  <c r="N35" i="6"/>
  <c r="N37" i="6"/>
  <c r="N47" i="6"/>
  <c r="O47" i="6" s="1"/>
  <c r="O55" i="6"/>
  <c r="N55" i="4"/>
  <c r="K54" i="5"/>
  <c r="L54" i="5" s="1"/>
  <c r="K53" i="5"/>
  <c r="L53" i="5" s="1"/>
  <c r="L51" i="5"/>
  <c r="N60" i="6"/>
  <c r="O60" i="6" s="1"/>
  <c r="H61" i="4"/>
  <c r="L50" i="5"/>
  <c r="N50" i="5" s="1"/>
  <c r="O50" i="5" s="1"/>
  <c r="O55" i="5"/>
  <c r="N59" i="5"/>
  <c r="O59" i="5" s="1"/>
  <c r="H39" i="6"/>
  <c r="N30" i="6"/>
  <c r="N32" i="6"/>
  <c r="N34" i="6"/>
  <c r="N36" i="6"/>
  <c r="N38" i="6"/>
  <c r="N23" i="6"/>
  <c r="O23" i="6" s="1"/>
  <c r="N44" i="6"/>
  <c r="N45" i="6"/>
  <c r="G51" i="5"/>
  <c r="H58" i="5"/>
  <c r="N58" i="5" s="1"/>
  <c r="H60" i="5"/>
  <c r="N60" i="5" s="1"/>
  <c r="K51" i="6"/>
  <c r="G53" i="6"/>
  <c r="H53" i="6" s="1"/>
  <c r="K57" i="6"/>
  <c r="L57" i="6" s="1"/>
  <c r="N57" i="6" s="1"/>
  <c r="O57" i="6" s="1"/>
  <c r="K59" i="6"/>
  <c r="L59" i="6" s="1"/>
  <c r="N59" i="6" s="1"/>
  <c r="O59" i="6" s="1"/>
  <c r="K61" i="6"/>
  <c r="L61" i="6" s="1"/>
  <c r="N61" i="6" s="1"/>
  <c r="O61" i="6" s="1"/>
  <c r="H51" i="6"/>
  <c r="N51" i="12" l="1"/>
  <c r="N50" i="2"/>
  <c r="O50" i="2" s="1"/>
  <c r="O61" i="3"/>
  <c r="N58" i="12"/>
  <c r="O58" i="12" s="1"/>
  <c r="N60" i="12"/>
  <c r="O60" i="12" s="1"/>
  <c r="H49" i="12"/>
  <c r="N53" i="12"/>
  <c r="O53" i="12" s="1"/>
  <c r="O51" i="12"/>
  <c r="H49" i="11"/>
  <c r="O58" i="11"/>
  <c r="N54" i="11"/>
  <c r="N60" i="11"/>
  <c r="O60" i="11" s="1"/>
  <c r="G53" i="11"/>
  <c r="H53" i="11" s="1"/>
  <c r="G54" i="11"/>
  <c r="H54" i="11" s="1"/>
  <c r="H51" i="11"/>
  <c r="N54" i="2"/>
  <c r="O54" i="2" s="1"/>
  <c r="N54" i="8"/>
  <c r="H39" i="8"/>
  <c r="G54" i="10"/>
  <c r="H54" i="10" s="1"/>
  <c r="H51" i="10"/>
  <c r="G53" i="10"/>
  <c r="H53" i="10" s="1"/>
  <c r="O60" i="10"/>
  <c r="O58" i="10"/>
  <c r="N51" i="10"/>
  <c r="H49" i="10"/>
  <c r="H49" i="9"/>
  <c r="N51" i="9"/>
  <c r="O51" i="9" s="1"/>
  <c r="N58" i="9"/>
  <c r="O58" i="9" s="1"/>
  <c r="N60" i="9"/>
  <c r="O60" i="9" s="1"/>
  <c r="O54" i="9"/>
  <c r="N53" i="9"/>
  <c r="O53" i="9" s="1"/>
  <c r="N58" i="8"/>
  <c r="O58" i="8" s="1"/>
  <c r="N53" i="8"/>
  <c r="O53" i="8" s="1"/>
  <c r="O54" i="8"/>
  <c r="N60" i="8"/>
  <c r="O60" i="8" s="1"/>
  <c r="N51" i="8"/>
  <c r="O51" i="8" s="1"/>
  <c r="N58" i="7"/>
  <c r="O58" i="7" s="1"/>
  <c r="N53" i="7"/>
  <c r="O53" i="7" s="1"/>
  <c r="O60" i="7"/>
  <c r="N51" i="7"/>
  <c r="O51" i="7" s="1"/>
  <c r="N54" i="7"/>
  <c r="O54" i="7" s="1"/>
  <c r="H52" i="7"/>
  <c r="G53" i="3"/>
  <c r="H53" i="3" s="1"/>
  <c r="O47" i="2"/>
  <c r="O58" i="6"/>
  <c r="N54" i="3"/>
  <c r="O54" i="3" s="1"/>
  <c r="N51" i="2"/>
  <c r="O51" i="2" s="1"/>
  <c r="H49" i="6"/>
  <c r="H49" i="5"/>
  <c r="G53" i="5"/>
  <c r="H53" i="5" s="1"/>
  <c r="N53" i="5" s="1"/>
  <c r="G54" i="5"/>
  <c r="H54" i="5" s="1"/>
  <c r="N54" i="5" s="1"/>
  <c r="H51" i="5"/>
  <c r="N51" i="5" s="1"/>
  <c r="N50" i="4"/>
  <c r="O50" i="4" s="1"/>
  <c r="N58" i="2"/>
  <c r="O58" i="2" s="1"/>
  <c r="H49" i="1"/>
  <c r="H49" i="3"/>
  <c r="N51" i="1"/>
  <c r="O51" i="1" s="1"/>
  <c r="N53" i="1"/>
  <c r="O53" i="1" s="1"/>
  <c r="H69" i="4"/>
  <c r="N60" i="4"/>
  <c r="O60" i="4" s="1"/>
  <c r="H49" i="2"/>
  <c r="O60" i="5"/>
  <c r="O58" i="4"/>
  <c r="H63" i="4"/>
  <c r="N54" i="4"/>
  <c r="O54" i="4" s="1"/>
  <c r="O60" i="2"/>
  <c r="N61" i="4"/>
  <c r="O61" i="4" s="1"/>
  <c r="O51" i="4"/>
  <c r="O51" i="3"/>
  <c r="N60" i="1"/>
  <c r="O60" i="1" s="1"/>
  <c r="N53" i="2"/>
  <c r="O53" i="2" s="1"/>
  <c r="O54" i="1"/>
  <c r="K53" i="6"/>
  <c r="L53" i="6" s="1"/>
  <c r="L51" i="6"/>
  <c r="N51" i="6" s="1"/>
  <c r="O51" i="6" s="1"/>
  <c r="K54" i="6"/>
  <c r="L54" i="6" s="1"/>
  <c r="N54" i="6" s="1"/>
  <c r="O54" i="6" s="1"/>
  <c r="O58" i="5"/>
  <c r="H52" i="12" l="1"/>
  <c r="N51" i="11"/>
  <c r="O51" i="11" s="1"/>
  <c r="O54" i="11"/>
  <c r="H52" i="11"/>
  <c r="H63" i="11"/>
  <c r="N53" i="11"/>
  <c r="O53" i="11" s="1"/>
  <c r="H49" i="8"/>
  <c r="O53" i="10"/>
  <c r="N53" i="10"/>
  <c r="O51" i="10"/>
  <c r="H52" i="10"/>
  <c r="N54" i="10"/>
  <c r="O54" i="10" s="1"/>
  <c r="H52" i="9"/>
  <c r="H52" i="8"/>
  <c r="H69" i="7"/>
  <c r="H63" i="7"/>
  <c r="N53" i="3"/>
  <c r="O53" i="3" s="1"/>
  <c r="H70" i="4"/>
  <c r="H71" i="4" s="1"/>
  <c r="H52" i="6"/>
  <c r="N53" i="6"/>
  <c r="O53" i="6" s="1"/>
  <c r="O51" i="5"/>
  <c r="H52" i="5"/>
  <c r="H52" i="2"/>
  <c r="H52" i="3"/>
  <c r="O54" i="5"/>
  <c r="H52" i="1"/>
  <c r="O53" i="5"/>
  <c r="H64" i="4"/>
  <c r="H69" i="12" l="1"/>
  <c r="H63" i="12"/>
  <c r="H64" i="11"/>
  <c r="H65" i="11" s="1"/>
  <c r="H69" i="11"/>
  <c r="H69" i="10"/>
  <c r="H63" i="10"/>
  <c r="H69" i="9"/>
  <c r="H63" i="9"/>
  <c r="H63" i="8"/>
  <c r="H69" i="8"/>
  <c r="H70" i="7"/>
  <c r="H64" i="7"/>
  <c r="H72" i="4"/>
  <c r="H69" i="5"/>
  <c r="H63" i="5"/>
  <c r="H69" i="1"/>
  <c r="H63" i="1"/>
  <c r="H69" i="3"/>
  <c r="H63" i="3"/>
  <c r="H69" i="6"/>
  <c r="H63" i="6"/>
  <c r="H65" i="4"/>
  <c r="H63" i="2"/>
  <c r="H69" i="2"/>
  <c r="H64" i="12" l="1"/>
  <c r="H70" i="12"/>
  <c r="H66" i="11"/>
  <c r="H67" i="11" s="1"/>
  <c r="H70" i="11"/>
  <c r="H70" i="10"/>
  <c r="H64" i="10"/>
  <c r="H65" i="10" s="1"/>
  <c r="H70" i="9"/>
  <c r="H64" i="9"/>
  <c r="H70" i="8"/>
  <c r="H71" i="8" s="1"/>
  <c r="H64" i="8"/>
  <c r="H65" i="7"/>
  <c r="H71" i="7"/>
  <c r="H70" i="6"/>
  <c r="H71" i="6" s="1"/>
  <c r="H66" i="4"/>
  <c r="H67" i="4" s="1"/>
  <c r="H64" i="1"/>
  <c r="H65" i="1" s="1"/>
  <c r="H64" i="6"/>
  <c r="H65" i="6" s="1"/>
  <c r="H70" i="1"/>
  <c r="H71" i="1"/>
  <c r="H64" i="2"/>
  <c r="H65" i="2" s="1"/>
  <c r="H70" i="3"/>
  <c r="H71" i="3" s="1"/>
  <c r="H64" i="5"/>
  <c r="H70" i="2"/>
  <c r="H64" i="3"/>
  <c r="H65" i="3" s="1"/>
  <c r="H70" i="5"/>
  <c r="H71" i="5" s="1"/>
  <c r="H73" i="4"/>
  <c r="H71" i="12" l="1"/>
  <c r="H65" i="12"/>
  <c r="H71" i="11"/>
  <c r="H66" i="10"/>
  <c r="H67" i="10" s="1"/>
  <c r="H71" i="10"/>
  <c r="H65" i="9"/>
  <c r="H71" i="9"/>
  <c r="H72" i="8"/>
  <c r="H73" i="8" s="1"/>
  <c r="H65" i="8"/>
  <c r="H72" i="7"/>
  <c r="H73" i="7" s="1"/>
  <c r="H66" i="7"/>
  <c r="H67" i="7" s="1"/>
  <c r="H66" i="3"/>
  <c r="H67" i="1"/>
  <c r="H66" i="1"/>
  <c r="H72" i="5"/>
  <c r="H73" i="5" s="1"/>
  <c r="H72" i="3"/>
  <c r="H73" i="3" s="1"/>
  <c r="H66" i="2"/>
  <c r="H67" i="2" s="1"/>
  <c r="H66" i="6"/>
  <c r="H67" i="6" s="1"/>
  <c r="H72" i="6"/>
  <c r="H73" i="6" s="1"/>
  <c r="H71" i="2"/>
  <c r="H65" i="5"/>
  <c r="H72" i="1"/>
  <c r="H73" i="1"/>
  <c r="H66" i="12" l="1"/>
  <c r="H72" i="12"/>
  <c r="H73" i="12" s="1"/>
  <c r="H72" i="11"/>
  <c r="H72" i="10"/>
  <c r="H73" i="10"/>
  <c r="H72" i="9"/>
  <c r="H73" i="9" s="1"/>
  <c r="H66" i="9"/>
  <c r="H66" i="8"/>
  <c r="H67" i="8"/>
  <c r="H66" i="5"/>
  <c r="H67" i="5" s="1"/>
  <c r="H72" i="2"/>
  <c r="H67" i="3"/>
  <c r="H67" i="12" l="1"/>
  <c r="H73" i="11"/>
  <c r="H67" i="9"/>
  <c r="H73" i="2"/>
  <c r="J25" i="10" l="1"/>
  <c r="L25" i="10" s="1"/>
  <c r="J25" i="9"/>
  <c r="L25" i="9" s="1"/>
  <c r="J25" i="2"/>
  <c r="L25" i="2" s="1"/>
  <c r="J25" i="7"/>
  <c r="L25" i="7" s="1"/>
  <c r="J25" i="1"/>
  <c r="L25" i="1" s="1"/>
  <c r="J25" i="8"/>
  <c r="L25" i="8" s="1"/>
  <c r="J25" i="12"/>
  <c r="L25" i="12" s="1"/>
  <c r="J25" i="11"/>
  <c r="L25" i="11" s="1"/>
  <c r="J25" i="3"/>
  <c r="L25" i="3" s="1"/>
  <c r="N25" i="3" l="1"/>
  <c r="N25" i="2"/>
  <c r="N25" i="11"/>
  <c r="N25" i="1"/>
  <c r="N25" i="9"/>
  <c r="N25" i="8"/>
  <c r="N25" i="12"/>
  <c r="N25" i="7"/>
  <c r="N25" i="10"/>
  <c r="J29" i="6" l="1"/>
  <c r="L29" i="6" s="1"/>
  <c r="J29" i="5"/>
  <c r="L29" i="5" s="1"/>
  <c r="J29" i="9"/>
  <c r="L29" i="9" s="1"/>
  <c r="J29" i="2"/>
  <c r="L29" i="2" s="1"/>
  <c r="J29" i="10"/>
  <c r="L29" i="10" s="1"/>
  <c r="J29" i="4"/>
  <c r="L29" i="4" s="1"/>
  <c r="J29" i="12"/>
  <c r="L29" i="12" s="1"/>
  <c r="J29" i="11"/>
  <c r="L29" i="11" s="1"/>
  <c r="J29" i="3"/>
  <c r="L29" i="3" s="1"/>
  <c r="N29" i="12" l="1"/>
  <c r="O29" i="12" s="1"/>
  <c r="L39" i="12"/>
  <c r="N29" i="10"/>
  <c r="O29" i="10" s="1"/>
  <c r="L39" i="10"/>
  <c r="N29" i="5"/>
  <c r="O29" i="5" s="1"/>
  <c r="L39" i="5"/>
  <c r="N29" i="3"/>
  <c r="O29" i="3" s="1"/>
  <c r="L39" i="3"/>
  <c r="N29" i="2"/>
  <c r="O29" i="2" s="1"/>
  <c r="L39" i="2"/>
  <c r="N29" i="11"/>
  <c r="O29" i="11" s="1"/>
  <c r="L39" i="11"/>
  <c r="N29" i="4"/>
  <c r="O29" i="4" s="1"/>
  <c r="L39" i="4"/>
  <c r="N29" i="9"/>
  <c r="O29" i="9" s="1"/>
  <c r="L39" i="9"/>
  <c r="N29" i="6"/>
  <c r="O29" i="6" s="1"/>
  <c r="L39" i="6"/>
  <c r="L49" i="11" l="1"/>
  <c r="N39" i="11"/>
  <c r="O39" i="11" s="1"/>
  <c r="L49" i="10"/>
  <c r="N39" i="10"/>
  <c r="O39" i="10" s="1"/>
  <c r="N39" i="6"/>
  <c r="O39" i="6" s="1"/>
  <c r="L49" i="6"/>
  <c r="L49" i="4"/>
  <c r="N39" i="4"/>
  <c r="O39" i="4" s="1"/>
  <c r="L49" i="2"/>
  <c r="N39" i="2"/>
  <c r="O39" i="2" s="1"/>
  <c r="L49" i="5"/>
  <c r="N39" i="5"/>
  <c r="O39" i="5" s="1"/>
  <c r="L49" i="12"/>
  <c r="N39" i="12"/>
  <c r="O39" i="12" s="1"/>
  <c r="N39" i="9"/>
  <c r="O39" i="9" s="1"/>
  <c r="L49" i="9"/>
  <c r="N39" i="3"/>
  <c r="O39" i="3" s="1"/>
  <c r="L49" i="3"/>
  <c r="L52" i="5" l="1"/>
  <c r="N49" i="5"/>
  <c r="O49" i="5" s="1"/>
  <c r="L52" i="4"/>
  <c r="N49" i="4"/>
  <c r="O49" i="4" s="1"/>
  <c r="L52" i="10"/>
  <c r="N49" i="10"/>
  <c r="O49" i="10" s="1"/>
  <c r="N49" i="3"/>
  <c r="O49" i="3" s="1"/>
  <c r="L52" i="3"/>
  <c r="L52" i="6"/>
  <c r="N49" i="6"/>
  <c r="O49" i="6" s="1"/>
  <c r="L52" i="9"/>
  <c r="N49" i="9"/>
  <c r="O49" i="9" s="1"/>
  <c r="L52" i="12"/>
  <c r="N49" i="12"/>
  <c r="O49" i="12" s="1"/>
  <c r="L52" i="2"/>
  <c r="N49" i="2"/>
  <c r="O49" i="2" s="1"/>
  <c r="N49" i="11"/>
  <c r="O49" i="11" s="1"/>
  <c r="L52" i="11"/>
  <c r="L69" i="3" l="1"/>
  <c r="L63" i="3"/>
  <c r="N52" i="3"/>
  <c r="O52" i="3" s="1"/>
  <c r="N52" i="2"/>
  <c r="O52" i="2" s="1"/>
  <c r="L69" i="2"/>
  <c r="L63" i="2"/>
  <c r="N52" i="4"/>
  <c r="O52" i="4" s="1"/>
  <c r="L69" i="4"/>
  <c r="L63" i="4"/>
  <c r="L63" i="11"/>
  <c r="L69" i="11"/>
  <c r="N52" i="11"/>
  <c r="O52" i="11" s="1"/>
  <c r="L63" i="9"/>
  <c r="L69" i="9"/>
  <c r="N52" i="9"/>
  <c r="O52" i="9" s="1"/>
  <c r="L69" i="12"/>
  <c r="N52" i="12"/>
  <c r="O52" i="12" s="1"/>
  <c r="L63" i="12"/>
  <c r="L63" i="6"/>
  <c r="L69" i="6"/>
  <c r="N52" i="6"/>
  <c r="O52" i="6" s="1"/>
  <c r="L69" i="10"/>
  <c r="N52" i="10"/>
  <c r="O52" i="10" s="1"/>
  <c r="L63" i="10"/>
  <c r="L69" i="5"/>
  <c r="L63" i="5"/>
  <c r="N52" i="5"/>
  <c r="O52" i="5" s="1"/>
  <c r="N63" i="10" l="1"/>
  <c r="O63" i="10" s="1"/>
  <c r="L64" i="10"/>
  <c r="N64" i="10" s="1"/>
  <c r="O64" i="10" s="1"/>
  <c r="N69" i="12"/>
  <c r="O69" i="12" s="1"/>
  <c r="L70" i="12"/>
  <c r="N70" i="12" s="1"/>
  <c r="O70" i="12" s="1"/>
  <c r="L64" i="6"/>
  <c r="N63" i="6"/>
  <c r="O63" i="6" s="1"/>
  <c r="L70" i="11"/>
  <c r="N70" i="11" s="1"/>
  <c r="O70" i="11" s="1"/>
  <c r="N69" i="11"/>
  <c r="O69" i="11" s="1"/>
  <c r="L64" i="5"/>
  <c r="N63" i="5"/>
  <c r="O63" i="5" s="1"/>
  <c r="L70" i="10"/>
  <c r="N70" i="10" s="1"/>
  <c r="O70" i="10" s="1"/>
  <c r="N69" i="10"/>
  <c r="O69" i="10" s="1"/>
  <c r="L64" i="12"/>
  <c r="N64" i="12" s="1"/>
  <c r="O64" i="12" s="1"/>
  <c r="N63" i="12"/>
  <c r="O63" i="12" s="1"/>
  <c r="L70" i="9"/>
  <c r="N70" i="9" s="1"/>
  <c r="O70" i="9" s="1"/>
  <c r="N69" i="9"/>
  <c r="O69" i="9" s="1"/>
  <c r="L64" i="11"/>
  <c r="N64" i="11" s="1"/>
  <c r="O64" i="11" s="1"/>
  <c r="N63" i="11"/>
  <c r="O63" i="11" s="1"/>
  <c r="L64" i="2"/>
  <c r="N63" i="2"/>
  <c r="O63" i="2" s="1"/>
  <c r="L64" i="3"/>
  <c r="N64" i="3" s="1"/>
  <c r="O64" i="3" s="1"/>
  <c r="N63" i="3"/>
  <c r="O63" i="3" s="1"/>
  <c r="N69" i="6"/>
  <c r="O69" i="6" s="1"/>
  <c r="L70" i="6"/>
  <c r="N69" i="4"/>
  <c r="O69" i="4" s="1"/>
  <c r="L70" i="4"/>
  <c r="N70" i="4" s="1"/>
  <c r="O70" i="4" s="1"/>
  <c r="L71" i="4"/>
  <c r="L70" i="5"/>
  <c r="N69" i="5"/>
  <c r="O69" i="5" s="1"/>
  <c r="L64" i="9"/>
  <c r="N64" i="9" s="1"/>
  <c r="O64" i="9" s="1"/>
  <c r="L65" i="9"/>
  <c r="N63" i="9"/>
  <c r="O63" i="9" s="1"/>
  <c r="N63" i="4"/>
  <c r="O63" i="4" s="1"/>
  <c r="L64" i="4"/>
  <c r="N64" i="4" s="1"/>
  <c r="O64" i="4" s="1"/>
  <c r="L65" i="4"/>
  <c r="N69" i="2"/>
  <c r="O69" i="2" s="1"/>
  <c r="L70" i="2"/>
  <c r="N70" i="2" s="1"/>
  <c r="O70" i="2" s="1"/>
  <c r="N69" i="3"/>
  <c r="O69" i="3" s="1"/>
  <c r="L70" i="3"/>
  <c r="L65" i="12" l="1"/>
  <c r="L71" i="11"/>
  <c r="L71" i="10"/>
  <c r="L73" i="10" s="1"/>
  <c r="N73" i="10" s="1"/>
  <c r="O73" i="10" s="1"/>
  <c r="L71" i="5"/>
  <c r="N70" i="5"/>
  <c r="O70" i="5" s="1"/>
  <c r="N71" i="10"/>
  <c r="O71" i="10" s="1"/>
  <c r="L72" i="10"/>
  <c r="N72" i="10" s="1"/>
  <c r="O72" i="10" s="1"/>
  <c r="L65" i="5"/>
  <c r="N64" i="5"/>
  <c r="O64" i="5" s="1"/>
  <c r="N65" i="4"/>
  <c r="O65" i="4" s="1"/>
  <c r="L66" i="4"/>
  <c r="N66" i="4" s="1"/>
  <c r="O66" i="4" s="1"/>
  <c r="L65" i="6"/>
  <c r="N64" i="6"/>
  <c r="O64" i="6" s="1"/>
  <c r="L71" i="2"/>
  <c r="L65" i="3"/>
  <c r="L65" i="2"/>
  <c r="N64" i="2"/>
  <c r="O64" i="2" s="1"/>
  <c r="L71" i="9"/>
  <c r="L71" i="12"/>
  <c r="L65" i="10"/>
  <c r="L71" i="3"/>
  <c r="N70" i="3"/>
  <c r="O70" i="3" s="1"/>
  <c r="L71" i="6"/>
  <c r="N70" i="6"/>
  <c r="O70" i="6" s="1"/>
  <c r="L66" i="9"/>
  <c r="N65" i="9"/>
  <c r="O65" i="9" s="1"/>
  <c r="L72" i="4"/>
  <c r="N72" i="4" s="1"/>
  <c r="O72" i="4" s="1"/>
  <c r="N71" i="4"/>
  <c r="O71" i="4" s="1"/>
  <c r="L65" i="11"/>
  <c r="L66" i="12"/>
  <c r="N65" i="12"/>
  <c r="O65" i="12" s="1"/>
  <c r="L72" i="11"/>
  <c r="N72" i="11" s="1"/>
  <c r="O72" i="11" s="1"/>
  <c r="N71" i="11"/>
  <c r="O71" i="11" s="1"/>
  <c r="L73" i="4" l="1"/>
  <c r="N73" i="4" s="1"/>
  <c r="O73" i="4" s="1"/>
  <c r="L67" i="9"/>
  <c r="N67" i="9" s="1"/>
  <c r="O67" i="9" s="1"/>
  <c r="N66" i="9"/>
  <c r="O66" i="9" s="1"/>
  <c r="L72" i="3"/>
  <c r="N72" i="3" s="1"/>
  <c r="O72" i="3" s="1"/>
  <c r="N71" i="3"/>
  <c r="O71" i="3" s="1"/>
  <c r="N65" i="10"/>
  <c r="O65" i="10" s="1"/>
  <c r="L66" i="10"/>
  <c r="N66" i="10" s="1"/>
  <c r="O66" i="10" s="1"/>
  <c r="L67" i="10"/>
  <c r="N67" i="10" s="1"/>
  <c r="O67" i="10" s="1"/>
  <c r="L66" i="6"/>
  <c r="N65" i="6"/>
  <c r="O65" i="6" s="1"/>
  <c r="L67" i="12"/>
  <c r="N67" i="12" s="1"/>
  <c r="O67" i="12" s="1"/>
  <c r="N66" i="12"/>
  <c r="O66" i="12" s="1"/>
  <c r="N71" i="6"/>
  <c r="O71" i="6" s="1"/>
  <c r="L72" i="6"/>
  <c r="N72" i="6" s="1"/>
  <c r="O72" i="6" s="1"/>
  <c r="L73" i="6"/>
  <c r="N73" i="6" s="1"/>
  <c r="O73" i="6" s="1"/>
  <c r="N71" i="12"/>
  <c r="O71" i="12" s="1"/>
  <c r="L72" i="12"/>
  <c r="N65" i="3"/>
  <c r="O65" i="3" s="1"/>
  <c r="L66" i="3"/>
  <c r="L67" i="4"/>
  <c r="N67" i="4" s="1"/>
  <c r="O67" i="4" s="1"/>
  <c r="L66" i="5"/>
  <c r="N66" i="5" s="1"/>
  <c r="O66" i="5" s="1"/>
  <c r="N65" i="5"/>
  <c r="O65" i="5" s="1"/>
  <c r="L66" i="2"/>
  <c r="N65" i="2"/>
  <c r="O65" i="2" s="1"/>
  <c r="L73" i="11"/>
  <c r="N73" i="11" s="1"/>
  <c r="O73" i="11" s="1"/>
  <c r="N65" i="11"/>
  <c r="O65" i="11" s="1"/>
  <c r="L66" i="11"/>
  <c r="N66" i="11" s="1"/>
  <c r="O66" i="11" s="1"/>
  <c r="L72" i="9"/>
  <c r="N72" i="9" s="1"/>
  <c r="O72" i="9" s="1"/>
  <c r="N71" i="9"/>
  <c r="O71" i="9" s="1"/>
  <c r="L72" i="2"/>
  <c r="N71" i="2"/>
  <c r="O71" i="2" s="1"/>
  <c r="N71" i="5"/>
  <c r="O71" i="5" s="1"/>
  <c r="L72" i="5"/>
  <c r="N72" i="5" s="1"/>
  <c r="O72" i="5" s="1"/>
  <c r="L67" i="5" l="1"/>
  <c r="N67" i="5" s="1"/>
  <c r="O67" i="5" s="1"/>
  <c r="L73" i="9"/>
  <c r="N73" i="9" s="1"/>
  <c r="O73" i="9" s="1"/>
  <c r="L67" i="2"/>
  <c r="N67" i="2" s="1"/>
  <c r="O67" i="2" s="1"/>
  <c r="N66" i="2"/>
  <c r="O66" i="2" s="1"/>
  <c r="L67" i="3"/>
  <c r="N67" i="3" s="1"/>
  <c r="O67" i="3" s="1"/>
  <c r="N66" i="3"/>
  <c r="O66" i="3" s="1"/>
  <c r="L73" i="5"/>
  <c r="N73" i="5" s="1"/>
  <c r="O73" i="5" s="1"/>
  <c r="L73" i="2"/>
  <c r="N73" i="2" s="1"/>
  <c r="O73" i="2" s="1"/>
  <c r="N72" i="2"/>
  <c r="O72" i="2" s="1"/>
  <c r="L67" i="11"/>
  <c r="N67" i="11" s="1"/>
  <c r="O67" i="11" s="1"/>
  <c r="L73" i="12"/>
  <c r="N73" i="12" s="1"/>
  <c r="O73" i="12" s="1"/>
  <c r="N72" i="12"/>
  <c r="O72" i="12" s="1"/>
  <c r="L67" i="6"/>
  <c r="N67" i="6" s="1"/>
  <c r="O67" i="6" s="1"/>
  <c r="N66" i="6"/>
  <c r="O66" i="6" s="1"/>
  <c r="L73" i="3"/>
  <c r="N73" i="3" s="1"/>
  <c r="O73" i="3" s="1"/>
  <c r="J29" i="7" l="1"/>
  <c r="L29" i="7" s="1"/>
  <c r="J29" i="8"/>
  <c r="L29" i="8" s="1"/>
  <c r="J29" i="1"/>
  <c r="L29" i="1" s="1"/>
  <c r="N29" i="1" l="1"/>
  <c r="O29" i="1" s="1"/>
  <c r="L39" i="1"/>
  <c r="N29" i="8"/>
  <c r="O29" i="8" s="1"/>
  <c r="L39" i="8"/>
  <c r="N29" i="7"/>
  <c r="O29" i="7" s="1"/>
  <c r="L39" i="7"/>
  <c r="L49" i="7" l="1"/>
  <c r="N39" i="7"/>
  <c r="O39" i="7" s="1"/>
  <c r="L49" i="1"/>
  <c r="N39" i="1"/>
  <c r="O39" i="1" s="1"/>
  <c r="L49" i="8"/>
  <c r="N39" i="8"/>
  <c r="O39" i="8" s="1"/>
  <c r="N49" i="1" l="1"/>
  <c r="O49" i="1" s="1"/>
  <c r="L52" i="1"/>
  <c r="L52" i="8"/>
  <c r="N49" i="8"/>
  <c r="O49" i="8" s="1"/>
  <c r="N49" i="7"/>
  <c r="O49" i="7" s="1"/>
  <c r="L52" i="7"/>
  <c r="L69" i="8" l="1"/>
  <c r="N52" i="8"/>
  <c r="O52" i="8" s="1"/>
  <c r="L63" i="8"/>
  <c r="N52" i="7"/>
  <c r="O52" i="7" s="1"/>
  <c r="L69" i="7"/>
  <c r="L63" i="7"/>
  <c r="N52" i="1"/>
  <c r="O52" i="1" s="1"/>
  <c r="L63" i="1"/>
  <c r="L69" i="1"/>
  <c r="N63" i="1" l="1"/>
  <c r="O63" i="1" s="1"/>
  <c r="L64" i="1"/>
  <c r="N64" i="1" s="1"/>
  <c r="O64" i="1" s="1"/>
  <c r="N63" i="8"/>
  <c r="O63" i="8" s="1"/>
  <c r="L64" i="8"/>
  <c r="N64" i="8" s="1"/>
  <c r="O64" i="8" s="1"/>
  <c r="L65" i="8"/>
  <c r="L64" i="7"/>
  <c r="N64" i="7" s="1"/>
  <c r="O64" i="7" s="1"/>
  <c r="N63" i="7"/>
  <c r="O63" i="7" s="1"/>
  <c r="N69" i="1"/>
  <c r="O69" i="1" s="1"/>
  <c r="L70" i="1"/>
  <c r="N70" i="1" s="1"/>
  <c r="O70" i="1" s="1"/>
  <c r="L70" i="7"/>
  <c r="N70" i="7" s="1"/>
  <c r="O70" i="7" s="1"/>
  <c r="N69" i="7"/>
  <c r="O69" i="7" s="1"/>
  <c r="L71" i="7"/>
  <c r="N69" i="8"/>
  <c r="O69" i="8" s="1"/>
  <c r="L70" i="8"/>
  <c r="N70" i="8" s="1"/>
  <c r="O70" i="8" s="1"/>
  <c r="L71" i="8"/>
  <c r="L71" i="1" l="1"/>
  <c r="L72" i="1" s="1"/>
  <c r="N71" i="1"/>
  <c r="O71" i="1" s="1"/>
  <c r="N71" i="7"/>
  <c r="O71" i="7" s="1"/>
  <c r="L72" i="7"/>
  <c r="N72" i="7" s="1"/>
  <c r="O72" i="7" s="1"/>
  <c r="L73" i="7"/>
  <c r="N73" i="7" s="1"/>
  <c r="O73" i="7" s="1"/>
  <c r="L72" i="8"/>
  <c r="N72" i="8" s="1"/>
  <c r="O72" i="8" s="1"/>
  <c r="N71" i="8"/>
  <c r="O71" i="8" s="1"/>
  <c r="L66" i="8"/>
  <c r="N66" i="8" s="1"/>
  <c r="O66" i="8" s="1"/>
  <c r="N65" i="8"/>
  <c r="O65" i="8" s="1"/>
  <c r="L65" i="1"/>
  <c r="L65" i="7"/>
  <c r="N72" i="1" l="1"/>
  <c r="O72" i="1" s="1"/>
  <c r="L73" i="1"/>
  <c r="N73" i="1" s="1"/>
  <c r="O73" i="1" s="1"/>
  <c r="L67" i="8"/>
  <c r="N67" i="8" s="1"/>
  <c r="O67" i="8" s="1"/>
  <c r="L73" i="8"/>
  <c r="N73" i="8" s="1"/>
  <c r="O73" i="8" s="1"/>
  <c r="L66" i="7"/>
  <c r="N66" i="7" s="1"/>
  <c r="O66" i="7" s="1"/>
  <c r="N65" i="7"/>
  <c r="O65" i="7" s="1"/>
  <c r="N65" i="1"/>
  <c r="O65" i="1" s="1"/>
  <c r="L66" i="1"/>
  <c r="N66" i="1" s="1"/>
  <c r="O66" i="1" s="1"/>
  <c r="L67" i="7" l="1"/>
  <c r="N67" i="7" s="1"/>
  <c r="O67" i="7" s="1"/>
  <c r="L67" i="1"/>
  <c r="N67" i="1" s="1"/>
  <c r="O67" i="1" s="1"/>
</calcChain>
</file>

<file path=xl/comments1.xml><?xml version="1.0" encoding="utf-8"?>
<comments xmlns="http://schemas.openxmlformats.org/spreadsheetml/2006/main">
  <authors>
    <author>Manuela Ris-Schofield</author>
  </authors>
  <commentList>
    <comment ref="J43" authorId="0" shapeId="0">
      <text>
        <r>
          <rPr>
            <b/>
            <sz val="9"/>
            <color indexed="81"/>
            <rFont val="Tahoma"/>
            <family val="2"/>
          </rPr>
          <t>Manuela Ris-Schofield:</t>
        </r>
        <r>
          <rPr>
            <sz val="9"/>
            <color indexed="81"/>
            <rFont val="Tahoma"/>
            <family val="2"/>
          </rPr>
          <t xml:space="preserve">
Missing Rate Rider - outstanding issue with EDDVAR. Waitning to hear from OEB</t>
        </r>
      </text>
    </comment>
  </commentList>
</comments>
</file>

<file path=xl/sharedStrings.xml><?xml version="1.0" encoding="utf-8"?>
<sst xmlns="http://schemas.openxmlformats.org/spreadsheetml/2006/main" count="1132" uniqueCount="71">
  <si>
    <t>Appendix 2-W</t>
  </si>
  <si>
    <t>Bill Impacts</t>
  </si>
  <si>
    <t>Customer Class:</t>
  </si>
  <si>
    <t>Residential</t>
  </si>
  <si>
    <t>TOU / non-TOU:</t>
  </si>
  <si>
    <t>TOU</t>
  </si>
  <si>
    <t>Consumption</t>
  </si>
  <si>
    <t xml:space="preserve"> kWh</t>
  </si>
  <si>
    <t>Current Board-Approved</t>
  </si>
  <si>
    <t>Proposed</t>
  </si>
  <si>
    <t>Impact</t>
  </si>
  <si>
    <t>Charge Unit</t>
  </si>
  <si>
    <t>Rate</t>
  </si>
  <si>
    <t>Volume</t>
  </si>
  <si>
    <t>Charge</t>
  </si>
  <si>
    <t>$ Change</t>
  </si>
  <si>
    <t>% Change</t>
  </si>
  <si>
    <t>($)</t>
  </si>
  <si>
    <t>Monthly Service Charge</t>
  </si>
  <si>
    <t>Monthly</t>
  </si>
  <si>
    <t>Smart Meter Rate Adder</t>
  </si>
  <si>
    <t>Stranded Meter Rate Rider</t>
  </si>
  <si>
    <t>Smart Meter Disposition Rider</t>
  </si>
  <si>
    <t>Distribution Volumetric Rate</t>
  </si>
  <si>
    <t>per kWh</t>
  </si>
  <si>
    <t>LRAM &amp; SSM Rate Rider</t>
  </si>
  <si>
    <t>Sub-Total A (excluding pass through)</t>
  </si>
  <si>
    <t>Low Voltage Charges</t>
  </si>
  <si>
    <t>Line Losses on Cost of Power</t>
  </si>
  <si>
    <t>Smart Meter Entity Charge</t>
  </si>
  <si>
    <t>Sub-Total B - Distribution (includes Sub-Total A)</t>
  </si>
  <si>
    <t>RTSR - Network</t>
  </si>
  <si>
    <t>RTSR -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</si>
  <si>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</si>
  <si>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</si>
  <si>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</si>
  <si>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</si>
  <si>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Debt Retirement Charge (DRC)</t>
  </si>
  <si>
    <t>TOU - Off Peak</t>
  </si>
  <si>
    <t>TOU - Mid Peak</t>
  </si>
  <si>
    <t>TOU - On Peak</t>
  </si>
  <si>
    <t>Energy - RPP - Tier 1</t>
  </si>
  <si>
    <t>Energy - RPP - Tier 2</t>
  </si>
  <si>
    <t>Total Bill on TOU (before Taxes)</t>
  </si>
  <si>
    <t>HST</t>
  </si>
  <si>
    <r>
      <t xml:space="preserve">Total Bill </t>
    </r>
    <r>
      <rPr>
        <sz val="10"/>
        <rFont val="Arial"/>
        <family val="2"/>
        <charset val="1"/>
      </rPr>
      <t>(including HST)</t>
    </r>
  </si>
  <si>
    <r>
      <t xml:space="preserve">Ontario Clean Energy Benefit </t>
    </r>
    <r>
      <rPr>
        <b/>
        <i/>
        <vertAlign val="superscript"/>
        <sz val="10"/>
        <rFont val="Arial"/>
        <family val="2"/>
        <charset val="1"/>
      </rPr>
      <t>1</t>
    </r>
  </si>
  <si>
    <t>Total Bill on TOU (including OCEB)</t>
  </si>
  <si>
    <t>Total Bill on RPP (before Taxes)</t>
  </si>
  <si>
    <t>Total Bill on RPP (including OCEB)</t>
  </si>
  <si>
    <t>Loss Factor (%)</t>
  </si>
  <si>
    <r>
      <t>1</t>
    </r>
    <r>
      <rPr>
        <sz val="10"/>
        <rFont val="Arial"/>
        <family val="2"/>
        <charset val="1"/>
      </rPr>
      <t xml:space="preserve"> Applicable to eligible customers only.  Refer to the </t>
    </r>
    <r>
      <rPr>
        <i/>
        <sz val="10"/>
        <rFont val="Arial"/>
        <family val="2"/>
        <charset val="1"/>
      </rPr>
      <t>Ontario Clean Energy Benefit Act, 2010.</t>
    </r>
  </si>
  <si>
    <t xml:space="preserve">Note that the "Charge $" columns provide breakdowns of the amounts that each bill component contributes to the total monthly bill at the referenced </t>
  </si>
  <si>
    <t>consumption level at existing and proposed rates.</t>
  </si>
  <si>
    <t>Applicants must provide bill impacts for residential at 800 kWh and GS&lt;50kW at 2000 kWh. In addition, their filing must cover the range that is relevant</t>
  </si>
  <si>
    <t>to their service territory, class by class. A general guideline of consumption levels follows:</t>
  </si>
  <si>
    <t>Residential (kWh) - 100, 250, 500, 800, 1000, 1500, 2000</t>
  </si>
  <si>
    <t>GS&lt;50kW (kWh) - 1000, 2000, 5000, 10000, 15000</t>
  </si>
  <si>
    <t>GS&gt;50kW (kW) - 60, 100, 500, 1000</t>
  </si>
  <si>
    <t>Large User - range appropriate for utility</t>
  </si>
  <si>
    <t>Lighting Classes and USL - 150 kWh and 1 kW, range appropriate for utility.</t>
  </si>
  <si>
    <t>Note that cells with the highlighted color shown to the left indicate quantities that are loss adjusted.</t>
  </si>
  <si>
    <t>General Service &lt; 50KW</t>
  </si>
  <si>
    <t xml:space="preserve"> </t>
  </si>
  <si>
    <t>General Service &gt; 50KW</t>
  </si>
  <si>
    <t>per kW</t>
  </si>
  <si>
    <t>Sentinel</t>
  </si>
  <si>
    <t>kW</t>
  </si>
  <si>
    <t>StreetLight</t>
  </si>
  <si>
    <t>USL</t>
  </si>
  <si>
    <t>kWh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</si>
</sst>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-;\-* #,##0.00_-;_-* \-??_-;_-@_-"/>
    <numFmt numFmtId="165" formatCode="_-* #,##0_-;\-* #,##0_-;_-* \-??_-;_-@_-"/>
    <numFmt numFmtId="166" formatCode="_-\$* #,##0.00_-;&quot;-$&quot;* #,##0.00_-;_-\$* \-??_-;_-@_-"/>
    <numFmt numFmtId="167" formatCode="_-\$* #,##0.0000_-;&quot;-$&quot;* #,##0.0000_-;_-\$* \-??_-;_-@_-"/>
    <numFmt numFmtId="168" formatCode="_-\$* #,##0.000_-;&quot;-$&quot;* #,##0.000_-;_-\$* \-??_-;_-@_-"/>
    <numFmt numFmtId="169" formatCode="_-\$* #,##0.00000_-;&quot;-$&quot;* #,##0.00000_-;_-\$* \-??_-;_-@_-"/>
  </numFmts>
  <fonts count="23">
    <font>
      <sz val="10"/>
      <name val="Arial"/>
      <family val="2"/>
    </font>
    <font>
      <sz val="8"/>
      <color rgb="FF000000"/>
      <name val="Tahoma"/>
      <family val="2"/>
    </font>
    <font>
      <sz val="16"/>
      <color indexed="12"/>
      <name val="comic"/>
      <family val="5"/>
      <charset val="1"/>
    </font>
    <font>
      <b/>
      <sz val="10"/>
      <name val="Arial"/>
      <family val="2"/>
    </font>
    <font>
      <sz val="8"/>
      <name val="Arial"/>
      <family val="2"/>
    </font>
    <font>
      <sz val="14"/>
      <name val="Arial"/>
      <family val="2"/>
      <charset val="1"/>
    </font>
    <font>
      <b/>
      <sz val="12"/>
      <name val="Arial"/>
      <family val="2"/>
      <charset val="1"/>
    </font>
    <font>
      <sz val="18"/>
      <name val="Arial"/>
      <family val="2"/>
    </font>
    <font>
      <b/>
      <sz val="18"/>
      <name val="Arial"/>
      <family val="2"/>
      <charset val="1"/>
    </font>
    <font>
      <b/>
      <sz val="14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sz val="12"/>
      <name val="Arial"/>
      <family val="2"/>
      <charset val="1"/>
    </font>
    <font>
      <sz val="10"/>
      <name val="Mangal"/>
      <family val="2"/>
    </font>
    <font>
      <i/>
      <sz val="10"/>
      <name val="Arial"/>
      <family val="2"/>
    </font>
    <font>
      <i/>
      <sz val="10"/>
      <color theme="0" tint="-0.34998626667073579"/>
      <name val="Arial"/>
      <family val="2"/>
    </font>
    <font>
      <b/>
      <i/>
      <sz val="10"/>
      <name val="Arial"/>
      <family val="2"/>
      <charset val="1"/>
    </font>
    <font>
      <b/>
      <i/>
      <vertAlign val="superscript"/>
      <sz val="10"/>
      <name val="Arial"/>
      <family val="2"/>
      <charset val="1"/>
    </font>
    <font>
      <sz val="10"/>
      <color indexed="10"/>
      <name val="Arial"/>
      <family val="2"/>
      <charset val="1"/>
    </font>
    <font>
      <vertAlign val="superscript"/>
      <sz val="10"/>
      <name val="Arial"/>
      <family val="2"/>
      <charset val="1"/>
    </font>
    <font>
      <i/>
      <sz val="10"/>
      <name val="Arial"/>
      <family val="2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</borders>
  <cellStyleXfs count="5">
    <xf numFmtId="0" fontId="0" fillId="0" borderId="0"/>
    <xf numFmtId="164" fontId="13" fillId="0" borderId="0" applyFill="0" applyBorder="0" applyAlignment="0" applyProtection="0"/>
    <xf numFmtId="166" fontId="13" fillId="0" borderId="0" applyFill="0" applyBorder="0" applyAlignment="0" applyProtection="0"/>
    <xf numFmtId="9" fontId="13" fillId="0" borderId="0" applyFill="0" applyBorder="0" applyAlignment="0" applyProtection="0"/>
    <xf numFmtId="0" fontId="11" fillId="0" borderId="0"/>
  </cellStyleXfs>
  <cellXfs count="300">
    <xf numFmtId="0" fontId="0" fillId="0" borderId="0" xfId="0"/>
    <xf numFmtId="0" fontId="2" fillId="0" borderId="0" xfId="0" applyFont="1" applyFill="1" applyBorder="1" applyAlignment="1" applyProtection="1">
      <alignment vertical="top" wrapText="1"/>
    </xf>
    <xf numFmtId="0" fontId="0" fillId="0" borderId="0" xfId="0" applyFill="1" applyBorder="1" applyProtection="1"/>
    <xf numFmtId="0" fontId="3" fillId="0" borderId="0" xfId="0" applyFont="1" applyFill="1"/>
    <xf numFmtId="0" fontId="4" fillId="0" borderId="0" xfId="0" applyFont="1" applyFill="1" applyAlignment="1">
      <alignment horizontal="center" vertical="top"/>
    </xf>
    <xf numFmtId="0" fontId="5" fillId="0" borderId="0" xfId="0" applyFont="1" applyFill="1" applyBorder="1" applyAlignment="1" applyProtection="1"/>
    <xf numFmtId="0" fontId="5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>
      <alignment horizontal="center" vertical="top"/>
    </xf>
    <xf numFmtId="0" fontId="0" fillId="0" borderId="0" xfId="0" applyFill="1" applyBorder="1" applyAlignment="1" applyProtection="1">
      <alignment horizontal="left" indent="1"/>
    </xf>
    <xf numFmtId="0" fontId="0" fillId="0" borderId="0" xfId="0" applyFill="1" applyBorder="1" applyAlignment="1" applyProtection="1">
      <alignment wrapText="1"/>
    </xf>
    <xf numFmtId="0" fontId="6" fillId="0" borderId="0" xfId="0" applyFont="1" applyFill="1" applyBorder="1" applyAlignment="1" applyProtection="1"/>
    <xf numFmtId="0" fontId="0" fillId="0" borderId="0" xfId="0" applyFill="1"/>
    <xf numFmtId="0" fontId="0" fillId="0" borderId="0" xfId="0" applyFill="1" applyProtection="1"/>
    <xf numFmtId="0" fontId="0" fillId="0" borderId="0" xfId="0" applyFill="1" applyAlignment="1" applyProtection="1">
      <alignment wrapText="1"/>
    </xf>
    <xf numFmtId="0" fontId="0" fillId="0" borderId="0" xfId="0" applyFill="1" applyAlignment="1" applyProtection="1">
      <alignment vertical="top"/>
    </xf>
    <xf numFmtId="0" fontId="0" fillId="0" borderId="7" xfId="0" applyFill="1" applyBorder="1" applyAlignment="1" applyProtection="1">
      <alignment vertical="center"/>
    </xf>
    <xf numFmtId="166" fontId="11" fillId="0" borderId="3" xfId="2" applyFont="1" applyFill="1" applyBorder="1" applyAlignment="1" applyProtection="1">
      <alignment vertical="center"/>
    </xf>
    <xf numFmtId="0" fontId="0" fillId="0" borderId="3" xfId="0" applyFill="1" applyBorder="1" applyAlignment="1" applyProtection="1">
      <alignment vertical="center"/>
    </xf>
    <xf numFmtId="10" fontId="11" fillId="0" borderId="3" xfId="3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horizontal="center" vertical="center"/>
    </xf>
    <xf numFmtId="0" fontId="0" fillId="0" borderId="0" xfId="0" applyFont="1" applyFill="1" applyAlignment="1" applyProtection="1">
      <alignment vertical="top"/>
    </xf>
    <xf numFmtId="0" fontId="0" fillId="0" borderId="7" xfId="0" applyFont="1" applyFill="1" applyBorder="1" applyAlignment="1" applyProtection="1">
      <alignment horizontal="right" vertical="center"/>
    </xf>
    <xf numFmtId="166" fontId="0" fillId="0" borderId="3" xfId="2" applyFont="1" applyFill="1" applyBorder="1" applyAlignment="1" applyProtection="1">
      <alignment horizontal="right" vertical="center"/>
    </xf>
    <xf numFmtId="10" fontId="0" fillId="0" borderId="3" xfId="3" applyNumberFormat="1" applyFont="1" applyFill="1" applyBorder="1" applyAlignment="1" applyProtection="1">
      <alignment vertical="center"/>
    </xf>
    <xf numFmtId="10" fontId="0" fillId="0" borderId="3" xfId="3" applyNumberFormat="1" applyFont="1" applyFill="1" applyBorder="1" applyAlignment="1" applyProtection="1">
      <alignment horizontal="right" vertical="center"/>
    </xf>
    <xf numFmtId="0" fontId="0" fillId="0" borderId="7" xfId="0" applyFill="1" applyBorder="1" applyAlignment="1" applyProtection="1">
      <alignment horizontal="right" vertical="center"/>
    </xf>
    <xf numFmtId="166" fontId="11" fillId="0" borderId="3" xfId="2" applyFont="1" applyFill="1" applyBorder="1" applyAlignment="1" applyProtection="1">
      <alignment horizontal="right" vertical="center"/>
    </xf>
    <xf numFmtId="10" fontId="11" fillId="0" borderId="3" xfId="3" applyNumberFormat="1" applyFont="1" applyFill="1" applyBorder="1" applyAlignment="1" applyProtection="1">
      <alignment horizontal="right" vertical="center"/>
    </xf>
    <xf numFmtId="0" fontId="0" fillId="0" borderId="0" xfId="0" applyFill="1" applyAlignment="1" applyProtection="1">
      <alignment vertical="center"/>
    </xf>
    <xf numFmtId="1" fontId="0" fillId="0" borderId="7" xfId="0" applyNumberFormat="1" applyFill="1" applyBorder="1" applyAlignment="1" applyProtection="1">
      <alignment vertical="center"/>
    </xf>
    <xf numFmtId="1" fontId="0" fillId="0" borderId="3" xfId="0" applyNumberFormat="1" applyFill="1" applyBorder="1" applyAlignment="1" applyProtection="1">
      <alignment vertical="center"/>
    </xf>
    <xf numFmtId="167" fontId="11" fillId="0" borderId="7" xfId="2" applyNumberFormat="1" applyFont="1" applyFill="1" applyBorder="1" applyAlignment="1" applyProtection="1">
      <alignment vertical="center"/>
      <protection locked="0"/>
    </xf>
    <xf numFmtId="0" fontId="11" fillId="0" borderId="0" xfId="4" applyFill="1" applyAlignment="1" applyProtection="1">
      <alignment vertical="top"/>
    </xf>
    <xf numFmtId="0" fontId="10" fillId="0" borderId="0" xfId="0" applyFont="1" applyFill="1" applyAlignment="1" applyProtection="1">
      <alignment vertical="top" wrapText="1"/>
    </xf>
    <xf numFmtId="9" fontId="0" fillId="0" borderId="7" xfId="0" applyNumberFormat="1" applyFill="1" applyBorder="1" applyAlignment="1" applyProtection="1">
      <alignment vertical="top"/>
    </xf>
    <xf numFmtId="9" fontId="0" fillId="0" borderId="0" xfId="0" applyNumberFormat="1" applyFill="1" applyBorder="1" applyAlignment="1" applyProtection="1">
      <alignment vertical="center"/>
    </xf>
    <xf numFmtId="166" fontId="10" fillId="0" borderId="16" xfId="0" applyNumberFormat="1" applyFont="1" applyFill="1" applyBorder="1" applyAlignment="1" applyProtection="1">
      <alignment vertical="center"/>
    </xf>
    <xf numFmtId="0" fontId="10" fillId="0" borderId="7" xfId="0" applyFont="1" applyFill="1" applyBorder="1" applyAlignment="1" applyProtection="1">
      <alignment vertical="center"/>
    </xf>
    <xf numFmtId="9" fontId="10" fillId="0" borderId="7" xfId="0" applyNumberFormat="1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166" fontId="10" fillId="0" borderId="7" xfId="0" applyNumberFormat="1" applyFont="1" applyFill="1" applyBorder="1" applyAlignment="1" applyProtection="1">
      <alignment vertical="center"/>
    </xf>
    <xf numFmtId="10" fontId="10" fillId="0" borderId="3" xfId="3" applyNumberFormat="1" applyFont="1" applyFill="1" applyBorder="1" applyAlignment="1" applyProtection="1">
      <alignment vertical="center"/>
    </xf>
    <xf numFmtId="0" fontId="11" fillId="0" borderId="0" xfId="0" applyFont="1" applyFill="1" applyAlignment="1" applyProtection="1">
      <alignment horizontal="left" vertical="top" wrapText="1"/>
    </xf>
    <xf numFmtId="9" fontId="0" fillId="0" borderId="7" xfId="0" applyNumberFormat="1" applyFill="1" applyBorder="1" applyAlignment="1" applyProtection="1">
      <alignment vertical="top"/>
      <protection locked="0"/>
    </xf>
    <xf numFmtId="0" fontId="0" fillId="0" borderId="0" xfId="0" applyFill="1" applyBorder="1" applyAlignment="1" applyProtection="1">
      <alignment vertical="center"/>
    </xf>
    <xf numFmtId="166" fontId="11" fillId="0" borderId="16" xfId="0" applyNumberFormat="1" applyFont="1" applyFill="1" applyBorder="1" applyAlignment="1" applyProtection="1">
      <alignment vertical="center"/>
    </xf>
    <xf numFmtId="0" fontId="11" fillId="0" borderId="7" xfId="0" applyFont="1" applyFill="1" applyBorder="1" applyAlignment="1" applyProtection="1">
      <alignment vertical="center"/>
    </xf>
    <xf numFmtId="9" fontId="11" fillId="0" borderId="7" xfId="0" applyNumberFormat="1" applyFont="1" applyFill="1" applyBorder="1" applyAlignment="1" applyProtection="1">
      <alignment vertical="center"/>
      <protection locked="0"/>
    </xf>
    <xf numFmtId="166" fontId="11" fillId="0" borderId="3" xfId="0" applyNumberFormat="1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166" fontId="11" fillId="0" borderId="7" xfId="0" applyNumberFormat="1" applyFont="1" applyFill="1" applyBorder="1" applyAlignment="1" applyProtection="1">
      <alignment vertical="center"/>
    </xf>
    <xf numFmtId="0" fontId="0" fillId="0" borderId="7" xfId="0" applyFill="1" applyBorder="1" applyAlignment="1" applyProtection="1">
      <alignment vertical="top"/>
    </xf>
    <xf numFmtId="166" fontId="18" fillId="0" borderId="16" xfId="0" applyNumberFormat="1" applyFont="1" applyFill="1" applyBorder="1" applyAlignment="1" applyProtection="1">
      <alignment vertical="center"/>
    </xf>
    <xf numFmtId="166" fontId="18" fillId="0" borderId="3" xfId="0" applyNumberFormat="1" applyFont="1" applyFill="1" applyBorder="1" applyAlignment="1" applyProtection="1">
      <alignment vertical="center"/>
    </xf>
    <xf numFmtId="166" fontId="18" fillId="0" borderId="7" xfId="0" applyNumberFormat="1" applyFont="1" applyFill="1" applyBorder="1" applyAlignment="1" applyProtection="1">
      <alignment vertical="center"/>
    </xf>
    <xf numFmtId="10" fontId="18" fillId="0" borderId="3" xfId="3" applyNumberFormat="1" applyFont="1" applyFill="1" applyBorder="1" applyAlignment="1" applyProtection="1">
      <alignment vertical="center"/>
    </xf>
    <xf numFmtId="0" fontId="10" fillId="0" borderId="0" xfId="4" applyFont="1" applyFill="1" applyAlignment="1" applyProtection="1">
      <alignment vertical="top" wrapText="1"/>
    </xf>
    <xf numFmtId="9" fontId="11" fillId="0" borderId="7" xfId="4" applyNumberFormat="1" applyFill="1" applyBorder="1" applyAlignment="1" applyProtection="1">
      <alignment vertical="top"/>
    </xf>
    <xf numFmtId="9" fontId="11" fillId="0" borderId="0" xfId="4" applyNumberFormat="1" applyFill="1" applyBorder="1" applyAlignment="1" applyProtection="1">
      <alignment vertical="center"/>
    </xf>
    <xf numFmtId="166" fontId="10" fillId="0" borderId="16" xfId="4" applyNumberFormat="1" applyFont="1" applyFill="1" applyBorder="1" applyAlignment="1" applyProtection="1">
      <alignment vertical="center"/>
    </xf>
    <xf numFmtId="0" fontId="10" fillId="0" borderId="7" xfId="4" applyFont="1" applyFill="1" applyBorder="1" applyAlignment="1" applyProtection="1">
      <alignment vertical="center"/>
    </xf>
    <xf numFmtId="9" fontId="10" fillId="0" borderId="7" xfId="4" applyNumberFormat="1" applyFont="1" applyFill="1" applyBorder="1" applyAlignment="1" applyProtection="1">
      <alignment vertical="center"/>
    </xf>
    <xf numFmtId="0" fontId="10" fillId="0" borderId="0" xfId="4" applyFont="1" applyFill="1" applyBorder="1" applyAlignment="1" applyProtection="1">
      <alignment vertical="center"/>
    </xf>
    <xf numFmtId="166" fontId="10" fillId="0" borderId="7" xfId="4" applyNumberFormat="1" applyFont="1" applyFill="1" applyBorder="1" applyAlignment="1" applyProtection="1">
      <alignment vertical="center"/>
    </xf>
    <xf numFmtId="0" fontId="11" fillId="0" borderId="0" xfId="4" applyFont="1" applyFill="1" applyAlignment="1" applyProtection="1">
      <alignment horizontal="left" vertical="top" wrapText="1"/>
    </xf>
    <xf numFmtId="9" fontId="11" fillId="0" borderId="7" xfId="4" applyNumberFormat="1" applyFill="1" applyBorder="1" applyAlignment="1" applyProtection="1">
      <alignment vertical="top"/>
      <protection locked="0"/>
    </xf>
    <xf numFmtId="166" fontId="11" fillId="0" borderId="16" xfId="4" applyNumberFormat="1" applyFont="1" applyFill="1" applyBorder="1" applyAlignment="1" applyProtection="1">
      <alignment vertical="center"/>
    </xf>
    <xf numFmtId="0" fontId="11" fillId="0" borderId="7" xfId="4" applyFont="1" applyFill="1" applyBorder="1" applyAlignment="1" applyProtection="1">
      <alignment vertical="center"/>
    </xf>
    <xf numFmtId="9" fontId="11" fillId="0" borderId="7" xfId="4" applyNumberFormat="1" applyFont="1" applyFill="1" applyBorder="1" applyAlignment="1" applyProtection="1">
      <alignment vertical="top"/>
      <protection locked="0"/>
    </xf>
    <xf numFmtId="9" fontId="11" fillId="0" borderId="7" xfId="4" applyNumberFormat="1" applyFont="1" applyFill="1" applyBorder="1" applyAlignment="1" applyProtection="1">
      <alignment vertical="center"/>
    </xf>
    <xf numFmtId="166" fontId="11" fillId="0" borderId="3" xfId="4" applyNumberFormat="1" applyFont="1" applyFill="1" applyBorder="1" applyAlignment="1" applyProtection="1">
      <alignment vertical="center"/>
    </xf>
    <xf numFmtId="0" fontId="11" fillId="0" borderId="0" xfId="4" applyFont="1" applyFill="1" applyBorder="1" applyAlignment="1" applyProtection="1">
      <alignment vertical="center"/>
    </xf>
    <xf numFmtId="166" fontId="11" fillId="0" borderId="7" xfId="4" applyNumberFormat="1" applyFont="1" applyFill="1" applyBorder="1" applyAlignment="1" applyProtection="1">
      <alignment vertical="center"/>
    </xf>
    <xf numFmtId="0" fontId="11" fillId="0" borderId="7" xfId="4" applyFill="1" applyBorder="1" applyAlignment="1" applyProtection="1">
      <alignment vertical="top"/>
    </xf>
    <xf numFmtId="0" fontId="11" fillId="0" borderId="0" xfId="4" applyFill="1" applyBorder="1" applyAlignment="1" applyProtection="1">
      <alignment vertical="center"/>
    </xf>
    <xf numFmtId="166" fontId="18" fillId="0" borderId="16" xfId="4" applyNumberFormat="1" applyFont="1" applyFill="1" applyBorder="1" applyAlignment="1" applyProtection="1">
      <alignment vertical="center"/>
    </xf>
    <xf numFmtId="166" fontId="18" fillId="0" borderId="3" xfId="4" applyNumberFormat="1" applyFont="1" applyFill="1" applyBorder="1" applyAlignment="1" applyProtection="1">
      <alignment vertical="center"/>
    </xf>
    <xf numFmtId="166" fontId="18" fillId="0" borderId="7" xfId="4" applyNumberFormat="1" applyFont="1" applyFill="1" applyBorder="1" applyAlignment="1" applyProtection="1">
      <alignment vertical="center"/>
    </xf>
    <xf numFmtId="166" fontId="11" fillId="0" borderId="3" xfId="2" applyFont="1" applyFill="1" applyBorder="1" applyAlignment="1" applyProtection="1"/>
    <xf numFmtId="10" fontId="11" fillId="0" borderId="3" xfId="3" applyNumberFormat="1" applyFont="1" applyFill="1" applyBorder="1" applyAlignment="1" applyProtection="1"/>
    <xf numFmtId="0" fontId="0" fillId="0" borderId="7" xfId="0" applyFill="1" applyBorder="1" applyAlignment="1" applyProtection="1"/>
    <xf numFmtId="0" fontId="0" fillId="0" borderId="3" xfId="0" applyFill="1" applyBorder="1" applyAlignment="1" applyProtection="1"/>
    <xf numFmtId="1" fontId="0" fillId="0" borderId="7" xfId="0" applyNumberFormat="1" applyFill="1" applyBorder="1" applyAlignment="1" applyProtection="1"/>
    <xf numFmtId="1" fontId="0" fillId="0" borderId="3" xfId="0" applyNumberFormat="1" applyFill="1" applyBorder="1" applyAlignment="1" applyProtection="1"/>
    <xf numFmtId="167" fontId="11" fillId="0" borderId="7" xfId="2" applyNumberFormat="1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horizontal="right" vertical="top" wrapText="1"/>
    </xf>
    <xf numFmtId="0" fontId="2" fillId="0" borderId="0" xfId="0" applyFont="1" applyFill="1" applyBorder="1" applyAlignment="1" applyProtection="1">
      <alignment horizontal="right" vertical="top" wrapText="1" indent="1"/>
    </xf>
    <xf numFmtId="0" fontId="5" fillId="0" borderId="0" xfId="0" applyFont="1" applyFill="1" applyBorder="1" applyAlignment="1" applyProtection="1">
      <alignment horizontal="right"/>
    </xf>
    <xf numFmtId="0" fontId="5" fillId="0" borderId="0" xfId="0" applyFont="1" applyFill="1" applyBorder="1" applyAlignment="1" applyProtection="1">
      <alignment horizontal="right" indent="1"/>
    </xf>
    <xf numFmtId="0" fontId="0" fillId="0" borderId="0" xfId="0" applyFill="1" applyBorder="1" applyAlignment="1" applyProtection="1">
      <alignment horizontal="right" indent="2"/>
    </xf>
    <xf numFmtId="0" fontId="0" fillId="0" borderId="0" xfId="0" applyFill="1" applyBorder="1" applyAlignment="1" applyProtection="1">
      <alignment horizontal="right"/>
    </xf>
    <xf numFmtId="0" fontId="0" fillId="0" borderId="0" xfId="0" applyFill="1" applyBorder="1" applyAlignment="1" applyProtection="1">
      <alignment horizontal="right" indent="1"/>
    </xf>
    <xf numFmtId="0" fontId="0" fillId="0" borderId="0" xfId="0" applyFill="1" applyAlignment="1" applyProtection="1">
      <alignment horizontal="right"/>
    </xf>
    <xf numFmtId="0" fontId="0" fillId="0" borderId="0" xfId="0" applyFill="1" applyAlignment="1" applyProtection="1">
      <alignment horizontal="right" indent="1"/>
    </xf>
    <xf numFmtId="0" fontId="0" fillId="0" borderId="3" xfId="0" applyFill="1" applyBorder="1" applyAlignment="1" applyProtection="1">
      <alignment horizontal="right" vertical="center" indent="1"/>
    </xf>
    <xf numFmtId="0" fontId="0" fillId="0" borderId="7" xfId="0" applyFill="1" applyBorder="1" applyAlignment="1" applyProtection="1">
      <alignment horizontal="right" vertical="center" indent="1"/>
    </xf>
    <xf numFmtId="0" fontId="0" fillId="0" borderId="7" xfId="0" applyFont="1" applyFill="1" applyBorder="1" applyAlignment="1" applyProtection="1">
      <alignment horizontal="right" vertical="center" indent="1"/>
    </xf>
    <xf numFmtId="168" fontId="11" fillId="0" borderId="3" xfId="2" applyNumberFormat="1" applyFont="1" applyFill="1" applyBorder="1" applyAlignment="1" applyProtection="1">
      <alignment horizontal="center" vertical="center"/>
    </xf>
    <xf numFmtId="169" fontId="11" fillId="0" borderId="3" xfId="2" applyNumberFormat="1" applyFont="1" applyFill="1" applyBorder="1" applyAlignment="1" applyProtection="1">
      <alignment vertical="center"/>
    </xf>
    <xf numFmtId="166" fontId="11" fillId="0" borderId="3" xfId="2" applyFont="1" applyFill="1" applyBorder="1" applyAlignment="1" applyProtection="1">
      <alignment horizontal="center" vertical="center"/>
    </xf>
    <xf numFmtId="1" fontId="0" fillId="0" borderId="7" xfId="0" applyNumberFormat="1" applyFill="1" applyBorder="1" applyAlignment="1" applyProtection="1">
      <alignment horizontal="right" vertical="center"/>
    </xf>
    <xf numFmtId="1" fontId="0" fillId="0" borderId="3" xfId="0" applyNumberFormat="1" applyFill="1" applyBorder="1" applyAlignment="1" applyProtection="1">
      <alignment horizontal="right" vertical="center" indent="1"/>
    </xf>
    <xf numFmtId="167" fontId="11" fillId="0" borderId="7" xfId="2" applyNumberFormat="1" applyFont="1" applyFill="1" applyBorder="1" applyAlignment="1" applyProtection="1">
      <alignment horizontal="center" vertical="top"/>
      <protection locked="0"/>
    </xf>
    <xf numFmtId="9" fontId="0" fillId="0" borderId="0" xfId="0" applyNumberFormat="1" applyFill="1" applyBorder="1" applyAlignment="1" applyProtection="1">
      <alignment horizontal="right" vertical="center"/>
    </xf>
    <xf numFmtId="9" fontId="10" fillId="0" borderId="7" xfId="0" applyNumberFormat="1" applyFont="1" applyFill="1" applyBorder="1" applyAlignment="1" applyProtection="1">
      <alignment horizontal="right" vertical="center" indent="1"/>
    </xf>
    <xf numFmtId="0" fontId="0" fillId="0" borderId="0" xfId="0" applyFill="1" applyBorder="1" applyAlignment="1" applyProtection="1">
      <alignment horizontal="right" vertical="center"/>
    </xf>
    <xf numFmtId="0" fontId="11" fillId="0" borderId="7" xfId="0" applyFont="1" applyFill="1" applyBorder="1" applyAlignment="1" applyProtection="1">
      <alignment horizontal="right" vertical="center" indent="1"/>
    </xf>
    <xf numFmtId="9" fontId="11" fillId="0" borderId="0" xfId="4" applyNumberFormat="1" applyFill="1" applyBorder="1" applyAlignment="1" applyProtection="1">
      <alignment horizontal="right" vertical="center"/>
    </xf>
    <xf numFmtId="9" fontId="10" fillId="0" borderId="7" xfId="4" applyNumberFormat="1" applyFont="1" applyFill="1" applyBorder="1" applyAlignment="1" applyProtection="1">
      <alignment horizontal="right" vertical="center" indent="1"/>
    </xf>
    <xf numFmtId="9" fontId="11" fillId="0" borderId="7" xfId="4" applyNumberFormat="1" applyFont="1" applyFill="1" applyBorder="1" applyAlignment="1" applyProtection="1">
      <alignment horizontal="right" vertical="center" indent="1"/>
    </xf>
    <xf numFmtId="0" fontId="11" fillId="0" borderId="0" xfId="4" applyFill="1" applyBorder="1" applyAlignment="1" applyProtection="1">
      <alignment horizontal="right" vertical="center"/>
    </xf>
    <xf numFmtId="0" fontId="11" fillId="0" borderId="7" xfId="4" applyFont="1" applyFill="1" applyBorder="1" applyAlignment="1" applyProtection="1">
      <alignment horizontal="right" vertical="center" indent="1"/>
    </xf>
    <xf numFmtId="0" fontId="0" fillId="0" borderId="3" xfId="0" applyFill="1" applyBorder="1" applyAlignment="1" applyProtection="1">
      <alignment horizontal="right" vertical="center"/>
    </xf>
    <xf numFmtId="1" fontId="0" fillId="0" borderId="3" xfId="0" applyNumberFormat="1" applyFill="1" applyBorder="1" applyAlignment="1" applyProtection="1">
      <alignment horizontal="right" vertical="center"/>
    </xf>
    <xf numFmtId="9" fontId="10" fillId="0" borderId="7" xfId="0" applyNumberFormat="1" applyFont="1" applyFill="1" applyBorder="1" applyAlignment="1" applyProtection="1">
      <alignment horizontal="right" vertical="center"/>
    </xf>
    <xf numFmtId="0" fontId="11" fillId="0" borderId="7" xfId="0" applyFont="1" applyFill="1" applyBorder="1" applyAlignment="1" applyProtection="1">
      <alignment horizontal="right" vertical="center"/>
    </xf>
    <xf numFmtId="9" fontId="10" fillId="0" borderId="7" xfId="4" applyNumberFormat="1" applyFont="1" applyFill="1" applyBorder="1" applyAlignment="1" applyProtection="1">
      <alignment horizontal="right" vertical="center"/>
    </xf>
    <xf numFmtId="9" fontId="11" fillId="0" borderId="7" xfId="4" applyNumberFormat="1" applyFont="1" applyFill="1" applyBorder="1" applyAlignment="1" applyProtection="1">
      <alignment horizontal="right" vertical="center"/>
    </xf>
    <xf numFmtId="0" fontId="11" fillId="0" borderId="7" xfId="4" applyFont="1" applyFill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horizontal="right" wrapText="1"/>
    </xf>
    <xf numFmtId="0" fontId="0" fillId="0" borderId="3" xfId="0" applyFill="1" applyBorder="1" applyAlignment="1" applyProtection="1">
      <alignment horizontal="right"/>
    </xf>
    <xf numFmtId="0" fontId="0" fillId="0" borderId="7" xfId="0" applyFill="1" applyBorder="1" applyAlignment="1" applyProtection="1">
      <alignment horizontal="right"/>
    </xf>
    <xf numFmtId="0" fontId="0" fillId="0" borderId="7" xfId="0" applyFont="1" applyFill="1" applyBorder="1" applyAlignment="1" applyProtection="1">
      <alignment horizontal="right"/>
    </xf>
    <xf numFmtId="10" fontId="11" fillId="0" borderId="3" xfId="3" applyNumberFormat="1" applyFont="1" applyFill="1" applyBorder="1" applyAlignment="1" applyProtection="1">
      <alignment horizontal="center" vertical="center"/>
    </xf>
    <xf numFmtId="1" fontId="0" fillId="0" borderId="3" xfId="0" applyNumberFormat="1" applyFill="1" applyBorder="1" applyAlignment="1" applyProtection="1">
      <alignment horizontal="right"/>
    </xf>
    <xf numFmtId="9" fontId="10" fillId="0" borderId="7" xfId="0" applyNumberFormat="1" applyFont="1" applyFill="1" applyBorder="1" applyAlignment="1" applyProtection="1">
      <alignment horizontal="right"/>
    </xf>
    <xf numFmtId="0" fontId="11" fillId="0" borderId="7" xfId="0" applyFont="1" applyFill="1" applyBorder="1" applyAlignment="1" applyProtection="1">
      <alignment horizontal="right"/>
    </xf>
    <xf numFmtId="9" fontId="10" fillId="0" borderId="7" xfId="4" applyNumberFormat="1" applyFont="1" applyFill="1" applyBorder="1" applyAlignment="1" applyProtection="1">
      <alignment horizontal="right"/>
    </xf>
    <xf numFmtId="9" fontId="11" fillId="0" borderId="7" xfId="4" applyNumberFormat="1" applyFont="1" applyFill="1" applyBorder="1" applyAlignment="1" applyProtection="1">
      <alignment horizontal="right"/>
    </xf>
    <xf numFmtId="0" fontId="11" fillId="0" borderId="7" xfId="4" applyFont="1" applyFill="1" applyBorder="1" applyAlignment="1" applyProtection="1">
      <alignment horizontal="right"/>
    </xf>
    <xf numFmtId="0" fontId="7" fillId="0" borderId="0" xfId="0" applyFont="1" applyFill="1" applyAlignment="1" applyProtection="1">
      <alignment horizontal="left" vertical="center"/>
    </xf>
    <xf numFmtId="0" fontId="10" fillId="0" borderId="0" xfId="0" applyFont="1" applyFill="1" applyAlignment="1" applyProtection="1">
      <alignment horizontal="right" wrapText="1"/>
    </xf>
    <xf numFmtId="0" fontId="11" fillId="0" borderId="0" xfId="0" applyFont="1" applyFill="1" applyAlignment="1" applyProtection="1">
      <alignment horizontal="right" wrapText="1"/>
    </xf>
    <xf numFmtId="0" fontId="6" fillId="0" borderId="0" xfId="0" applyFont="1" applyFill="1" applyAlignment="1" applyProtection="1">
      <alignment horizontal="center"/>
    </xf>
    <xf numFmtId="0" fontId="12" fillId="0" borderId="0" xfId="0" applyFont="1" applyFill="1" applyAlignment="1" applyProtection="1">
      <alignment horizontal="center"/>
    </xf>
    <xf numFmtId="0" fontId="11" fillId="0" borderId="0" xfId="0" applyFont="1" applyFill="1" applyAlignment="1" applyProtection="1">
      <alignment wrapText="1"/>
    </xf>
    <xf numFmtId="0" fontId="10" fillId="0" borderId="0" xfId="0" applyFont="1" applyFill="1" applyProtection="1"/>
    <xf numFmtId="165" fontId="10" fillId="0" borderId="1" xfId="1" applyNumberFormat="1" applyFont="1" applyFill="1" applyBorder="1" applyAlignment="1" applyProtection="1">
      <protection locked="0"/>
    </xf>
    <xf numFmtId="0" fontId="10" fillId="0" borderId="0" xfId="0" applyFont="1" applyFill="1" applyAlignment="1" applyProtection="1"/>
    <xf numFmtId="0" fontId="10" fillId="0" borderId="0" xfId="0" applyFont="1" applyFill="1" applyAlignment="1" applyProtection="1">
      <alignment horizontal="center"/>
    </xf>
    <xf numFmtId="0" fontId="10" fillId="0" borderId="2" xfId="0" applyFont="1" applyFill="1" applyBorder="1" applyAlignment="1" applyProtection="1">
      <alignment horizontal="center"/>
    </xf>
    <xf numFmtId="0" fontId="10" fillId="0" borderId="3" xfId="0" applyFont="1" applyFill="1" applyBorder="1" applyAlignment="1" applyProtection="1">
      <alignment horizontal="center"/>
    </xf>
    <xf numFmtId="0" fontId="10" fillId="0" borderId="4" xfId="0" applyFont="1" applyFill="1" applyBorder="1" applyAlignment="1" applyProtection="1">
      <alignment horizontal="center"/>
    </xf>
    <xf numFmtId="0" fontId="10" fillId="0" borderId="5" xfId="0" applyFont="1" applyFill="1" applyBorder="1" applyAlignment="1" applyProtection="1">
      <alignment horizontal="center"/>
    </xf>
    <xf numFmtId="0" fontId="10" fillId="0" borderId="6" xfId="0" applyFont="1" applyFill="1" applyBorder="1" applyAlignment="1" applyProtection="1">
      <alignment horizontal="center"/>
    </xf>
    <xf numFmtId="0" fontId="0" fillId="0" borderId="0" xfId="0" applyFont="1" applyFill="1" applyAlignment="1" applyProtection="1">
      <alignment vertical="top" wrapText="1"/>
    </xf>
    <xf numFmtId="0" fontId="0" fillId="0" borderId="0" xfId="0" applyFill="1" applyAlignment="1" applyProtection="1">
      <alignment horizontal="center" vertical="top"/>
      <protection locked="0"/>
    </xf>
    <xf numFmtId="166" fontId="11" fillId="0" borderId="7" xfId="2" applyNumberFormat="1" applyFont="1" applyFill="1" applyBorder="1" applyAlignment="1" applyProtection="1">
      <alignment vertical="top"/>
      <protection locked="0"/>
    </xf>
    <xf numFmtId="166" fontId="11" fillId="0" borderId="7" xfId="2" applyNumberFormat="1" applyFont="1" applyFill="1" applyBorder="1" applyAlignment="1" applyProtection="1">
      <alignment vertical="center"/>
      <protection locked="0"/>
    </xf>
    <xf numFmtId="166" fontId="0" fillId="0" borderId="7" xfId="0" applyNumberFormat="1" applyFill="1" applyBorder="1" applyAlignment="1" applyProtection="1">
      <alignment vertical="center"/>
    </xf>
    <xf numFmtId="167" fontId="11" fillId="0" borderId="7" xfId="2" applyNumberFormat="1" applyFont="1" applyFill="1" applyBorder="1" applyAlignment="1" applyProtection="1">
      <alignment vertical="top"/>
      <protection locked="0"/>
    </xf>
    <xf numFmtId="0" fontId="0" fillId="0" borderId="0" xfId="0" applyFill="1" applyAlignment="1" applyProtection="1">
      <alignment vertical="top" wrapText="1"/>
      <protection locked="0"/>
    </xf>
    <xf numFmtId="0" fontId="0" fillId="0" borderId="0" xfId="0" applyFill="1" applyAlignment="1" applyProtection="1">
      <alignment vertical="top" wrapText="1"/>
    </xf>
    <xf numFmtId="0" fontId="10" fillId="0" borderId="8" xfId="0" applyFont="1" applyFill="1" applyBorder="1" applyAlignment="1" applyProtection="1">
      <alignment vertical="top"/>
      <protection locked="0"/>
    </xf>
    <xf numFmtId="0" fontId="0" fillId="0" borderId="9" xfId="0" applyFill="1" applyBorder="1" applyAlignment="1" applyProtection="1">
      <alignment vertical="top"/>
    </xf>
    <xf numFmtId="0" fontId="0" fillId="0" borderId="9" xfId="0" applyFill="1" applyBorder="1" applyAlignment="1" applyProtection="1">
      <alignment vertical="top"/>
      <protection locked="0"/>
    </xf>
    <xf numFmtId="167" fontId="11" fillId="0" borderId="1" xfId="2" applyNumberFormat="1" applyFont="1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center"/>
      <protection locked="0"/>
    </xf>
    <xf numFmtId="166" fontId="11" fillId="0" borderId="10" xfId="2" applyFont="1" applyFill="1" applyBorder="1" applyAlignment="1" applyProtection="1">
      <alignment vertical="center"/>
    </xf>
    <xf numFmtId="167" fontId="11" fillId="0" borderId="1" xfId="2" applyNumberFormat="1" applyFont="1" applyFill="1" applyBorder="1" applyAlignment="1" applyProtection="1">
      <alignment vertical="center"/>
      <protection locked="0"/>
    </xf>
    <xf numFmtId="0" fontId="0" fillId="0" borderId="10" xfId="0" applyFill="1" applyBorder="1" applyAlignment="1" applyProtection="1">
      <alignment vertical="center"/>
      <protection locked="0"/>
    </xf>
    <xf numFmtId="166" fontId="10" fillId="0" borderId="1" xfId="0" applyNumberFormat="1" applyFont="1" applyFill="1" applyBorder="1" applyAlignment="1" applyProtection="1">
      <alignment vertical="center"/>
    </xf>
    <xf numFmtId="10" fontId="10" fillId="0" borderId="10" xfId="3" applyNumberFormat="1" applyFont="1" applyFill="1" applyBorder="1" applyAlignment="1" applyProtection="1">
      <alignment vertical="center"/>
    </xf>
    <xf numFmtId="0" fontId="14" fillId="0" borderId="0" xfId="0" applyFont="1" applyFill="1" applyAlignment="1" applyProtection="1">
      <alignment horizontal="center" vertical="center"/>
    </xf>
    <xf numFmtId="0" fontId="0" fillId="0" borderId="0" xfId="0" applyFont="1" applyFill="1" applyAlignment="1" applyProtection="1">
      <alignment vertical="top" wrapText="1"/>
      <protection locked="0"/>
    </xf>
    <xf numFmtId="0" fontId="0" fillId="0" borderId="0" xfId="0" applyFont="1" applyFill="1" applyAlignment="1" applyProtection="1">
      <alignment horizontal="center" vertical="center"/>
      <protection locked="0"/>
    </xf>
    <xf numFmtId="167" fontId="0" fillId="0" borderId="7" xfId="2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Fill="1" applyAlignment="1" applyProtection="1">
      <alignment horizontal="right" vertical="center"/>
    </xf>
    <xf numFmtId="166" fontId="0" fillId="0" borderId="7" xfId="0" applyNumberFormat="1" applyFont="1" applyFill="1" applyBorder="1" applyAlignment="1" applyProtection="1">
      <alignment horizontal="right" vertical="center"/>
    </xf>
    <xf numFmtId="0" fontId="15" fillId="0" borderId="0" xfId="0" applyFont="1" applyFill="1" applyAlignment="1" applyProtection="1">
      <alignment horizontal="center" vertical="center"/>
    </xf>
    <xf numFmtId="0" fontId="11" fillId="0" borderId="0" xfId="0" applyFont="1" applyFill="1" applyAlignment="1" applyProtection="1">
      <alignment vertical="top" wrapText="1"/>
    </xf>
    <xf numFmtId="0" fontId="0" fillId="0" borderId="0" xfId="0" applyFill="1" applyAlignment="1" applyProtection="1">
      <alignment horizontal="center" vertical="center"/>
      <protection locked="0"/>
    </xf>
    <xf numFmtId="167" fontId="11" fillId="0" borderId="7" xfId="2" applyNumberFormat="1" applyFont="1" applyFill="1" applyBorder="1" applyAlignment="1" applyProtection="1">
      <alignment horizontal="right" vertical="center"/>
      <protection locked="0"/>
    </xf>
    <xf numFmtId="0" fontId="0" fillId="0" borderId="0" xfId="0" applyFill="1" applyAlignment="1" applyProtection="1">
      <alignment horizontal="right" vertical="center"/>
    </xf>
    <xf numFmtId="166" fontId="0" fillId="0" borderId="7" xfId="0" applyNumberFormat="1" applyFill="1" applyBorder="1" applyAlignment="1" applyProtection="1">
      <alignment horizontal="right" vertical="center"/>
    </xf>
    <xf numFmtId="0" fontId="10" fillId="0" borderId="8" xfId="0" applyFont="1" applyFill="1" applyBorder="1" applyAlignment="1" applyProtection="1">
      <alignment vertical="top" wrapText="1"/>
    </xf>
    <xf numFmtId="0" fontId="0" fillId="0" borderId="9" xfId="0" applyFill="1" applyBorder="1" applyProtection="1"/>
    <xf numFmtId="0" fontId="0" fillId="0" borderId="1" xfId="0" applyFill="1" applyBorder="1" applyProtection="1"/>
    <xf numFmtId="0" fontId="0" fillId="0" borderId="1" xfId="0" applyFill="1" applyBorder="1" applyAlignment="1" applyProtection="1">
      <alignment vertical="center"/>
    </xf>
    <xf numFmtId="166" fontId="10" fillId="0" borderId="10" xfId="0" applyNumberFormat="1" applyFont="1" applyFill="1" applyBorder="1" applyAlignment="1" applyProtection="1">
      <alignment vertical="center"/>
    </xf>
    <xf numFmtId="0" fontId="0" fillId="0" borderId="10" xfId="0" applyFill="1" applyBorder="1" applyAlignment="1" applyProtection="1">
      <alignment vertical="center"/>
    </xf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Font="1" applyFill="1" applyAlignment="1" applyProtection="1">
      <alignment vertical="center" wrapText="1"/>
    </xf>
    <xf numFmtId="0" fontId="0" fillId="0" borderId="1" xfId="0" applyFill="1" applyBorder="1" applyAlignment="1" applyProtection="1">
      <alignment vertical="top"/>
    </xf>
    <xf numFmtId="0" fontId="10" fillId="0" borderId="0" xfId="0" applyFont="1" applyFill="1" applyAlignment="1" applyProtection="1">
      <alignment vertical="center"/>
    </xf>
    <xf numFmtId="0" fontId="10" fillId="0" borderId="1" xfId="0" applyFont="1" applyFill="1" applyBorder="1" applyAlignment="1" applyProtection="1">
      <alignment vertical="center"/>
    </xf>
    <xf numFmtId="0" fontId="10" fillId="0" borderId="10" xfId="0" applyFont="1" applyFill="1" applyBorder="1" applyAlignment="1" applyProtection="1">
      <alignment vertical="center"/>
    </xf>
    <xf numFmtId="0" fontId="0" fillId="0" borderId="0" xfId="0" applyFill="1" applyAlignment="1" applyProtection="1">
      <alignment vertical="top"/>
      <protection locked="0"/>
    </xf>
    <xf numFmtId="1" fontId="11" fillId="0" borderId="7" xfId="0" applyNumberFormat="1" applyFont="1" applyFill="1" applyBorder="1" applyAlignment="1" applyProtection="1">
      <alignment vertical="center"/>
    </xf>
    <xf numFmtId="166" fontId="0" fillId="0" borderId="0" xfId="0" applyNumberFormat="1" applyFill="1" applyProtection="1"/>
    <xf numFmtId="0" fontId="11" fillId="0" borderId="0" xfId="4" applyFont="1" applyFill="1" applyAlignment="1" applyProtection="1">
      <alignment vertical="top" wrapText="1"/>
    </xf>
    <xf numFmtId="1" fontId="11" fillId="0" borderId="7" xfId="4" applyNumberFormat="1" applyFill="1" applyBorder="1" applyAlignment="1" applyProtection="1">
      <alignment vertical="center"/>
    </xf>
    <xf numFmtId="0" fontId="11" fillId="0" borderId="0" xfId="4" applyFill="1" applyAlignment="1" applyProtection="1">
      <alignment vertical="center"/>
    </xf>
    <xf numFmtId="166" fontId="11" fillId="0" borderId="7" xfId="4" applyNumberFormat="1" applyFill="1" applyBorder="1" applyAlignment="1" applyProtection="1">
      <alignment vertical="center"/>
    </xf>
    <xf numFmtId="0" fontId="11" fillId="0" borderId="0" xfId="4" applyFill="1" applyProtection="1"/>
    <xf numFmtId="0" fontId="11" fillId="0" borderId="11" xfId="0" applyFont="1" applyFill="1" applyBorder="1" applyAlignment="1" applyProtection="1">
      <alignment wrapText="1"/>
    </xf>
    <xf numFmtId="0" fontId="0" fillId="0" borderId="12" xfId="0" applyFill="1" applyBorder="1" applyAlignment="1" applyProtection="1">
      <alignment vertical="top"/>
    </xf>
    <xf numFmtId="0" fontId="0" fillId="0" borderId="12" xfId="0" applyFill="1" applyBorder="1" applyAlignment="1" applyProtection="1">
      <alignment vertical="top"/>
      <protection locked="0"/>
    </xf>
    <xf numFmtId="167" fontId="11" fillId="0" borderId="13" xfId="2" applyNumberFormat="1" applyFont="1" applyFill="1" applyBorder="1" applyAlignment="1" applyProtection="1">
      <alignment vertical="top"/>
      <protection locked="0"/>
    </xf>
    <xf numFmtId="0" fontId="0" fillId="0" borderId="14" xfId="0" applyFill="1" applyBorder="1" applyAlignment="1" applyProtection="1">
      <alignment vertical="center"/>
      <protection locked="0"/>
    </xf>
    <xf numFmtId="166" fontId="11" fillId="0" borderId="12" xfId="2" applyFont="1" applyFill="1" applyBorder="1" applyAlignment="1" applyProtection="1">
      <alignment vertical="center"/>
    </xf>
    <xf numFmtId="0" fontId="0" fillId="0" borderId="12" xfId="0" applyFill="1" applyBorder="1" applyAlignment="1" applyProtection="1">
      <alignment vertical="center"/>
    </xf>
    <xf numFmtId="0" fontId="0" fillId="0" borderId="13" xfId="0" applyFill="1" applyBorder="1" applyAlignment="1" applyProtection="1">
      <alignment vertical="center"/>
      <protection locked="0"/>
    </xf>
    <xf numFmtId="166" fontId="0" fillId="0" borderId="13" xfId="0" applyNumberFormat="1" applyFill="1" applyBorder="1" applyAlignment="1" applyProtection="1">
      <alignment vertical="center"/>
    </xf>
    <xf numFmtId="10" fontId="11" fillId="0" borderId="15" xfId="3" applyNumberFormat="1" applyFont="1" applyFill="1" applyBorder="1" applyAlignment="1" applyProtection="1">
      <alignment vertical="center"/>
    </xf>
    <xf numFmtId="0" fontId="10" fillId="0" borderId="0" xfId="0" applyFont="1" applyFill="1" applyAlignment="1" applyProtection="1">
      <alignment horizontal="left" vertical="top" wrapText="1"/>
    </xf>
    <xf numFmtId="0" fontId="0" fillId="0" borderId="5" xfId="0" applyFill="1" applyBorder="1" applyAlignment="1" applyProtection="1">
      <alignment vertical="top"/>
    </xf>
    <xf numFmtId="0" fontId="0" fillId="0" borderId="17" xfId="0" applyFill="1" applyBorder="1" applyAlignment="1" applyProtection="1">
      <alignment vertical="center"/>
    </xf>
    <xf numFmtId="166" fontId="10" fillId="0" borderId="18" xfId="0" applyNumberFormat="1" applyFont="1" applyFill="1" applyBorder="1" applyAlignment="1" applyProtection="1">
      <alignment vertical="center"/>
    </xf>
    <xf numFmtId="0" fontId="10" fillId="0" borderId="5" xfId="0" applyFont="1" applyFill="1" applyBorder="1" applyAlignment="1" applyProtection="1">
      <alignment vertical="center"/>
    </xf>
    <xf numFmtId="166" fontId="10" fillId="0" borderId="6" xfId="0" applyNumberFormat="1" applyFont="1" applyFill="1" applyBorder="1" applyAlignment="1" applyProtection="1">
      <alignment vertical="center"/>
    </xf>
    <xf numFmtId="0" fontId="10" fillId="0" borderId="17" xfId="0" applyFont="1" applyFill="1" applyBorder="1" applyAlignment="1" applyProtection="1">
      <alignment vertical="center"/>
    </xf>
    <xf numFmtId="166" fontId="10" fillId="0" borderId="5" xfId="0" applyNumberFormat="1" applyFont="1" applyFill="1" applyBorder="1" applyAlignment="1" applyProtection="1">
      <alignment vertical="center"/>
    </xf>
    <xf numFmtId="10" fontId="10" fillId="0" borderId="6" xfId="3" applyNumberFormat="1" applyFont="1" applyFill="1" applyBorder="1" applyAlignment="1" applyProtection="1">
      <alignment vertical="center"/>
    </xf>
    <xf numFmtId="0" fontId="11" fillId="0" borderId="11" xfId="4" applyFont="1" applyFill="1" applyBorder="1" applyAlignment="1" applyProtection="1">
      <alignment wrapText="1"/>
    </xf>
    <xf numFmtId="0" fontId="11" fillId="0" borderId="12" xfId="4" applyFill="1" applyBorder="1" applyAlignment="1" applyProtection="1">
      <alignment vertical="top"/>
    </xf>
    <xf numFmtId="0" fontId="11" fillId="0" borderId="12" xfId="4" applyFill="1" applyBorder="1" applyAlignment="1" applyProtection="1">
      <alignment vertical="top"/>
      <protection locked="0"/>
    </xf>
    <xf numFmtId="0" fontId="11" fillId="0" borderId="14" xfId="4" applyFill="1" applyBorder="1" applyAlignment="1" applyProtection="1">
      <alignment vertical="center"/>
      <protection locked="0"/>
    </xf>
    <xf numFmtId="0" fontId="11" fillId="0" borderId="12" xfId="4" applyFill="1" applyBorder="1" applyAlignment="1" applyProtection="1">
      <alignment vertical="center"/>
    </xf>
    <xf numFmtId="0" fontId="11" fillId="0" borderId="13" xfId="4" applyFill="1" applyBorder="1" applyAlignment="1" applyProtection="1">
      <alignment vertical="center"/>
      <protection locked="0"/>
    </xf>
    <xf numFmtId="166" fontId="11" fillId="0" borderId="13" xfId="4" applyNumberFormat="1" applyFill="1" applyBorder="1" applyAlignment="1" applyProtection="1">
      <alignment vertical="center"/>
    </xf>
    <xf numFmtId="0" fontId="10" fillId="0" borderId="0" xfId="4" applyFont="1" applyFill="1" applyAlignment="1" applyProtection="1">
      <alignment horizontal="left" vertical="top" wrapText="1"/>
    </xf>
    <xf numFmtId="166" fontId="10" fillId="0" borderId="3" xfId="4" applyNumberFormat="1" applyFont="1" applyFill="1" applyBorder="1" applyAlignment="1" applyProtection="1">
      <alignment vertical="center"/>
    </xf>
    <xf numFmtId="167" fontId="11" fillId="0" borderId="14" xfId="2" applyNumberFormat="1" applyFont="1" applyFill="1" applyBorder="1" applyAlignment="1" applyProtection="1">
      <alignment vertical="top"/>
      <protection locked="0"/>
    </xf>
    <xf numFmtId="0" fontId="11" fillId="0" borderId="12" xfId="4" applyFill="1" applyBorder="1" applyAlignment="1" applyProtection="1">
      <alignment vertical="center"/>
      <protection locked="0"/>
    </xf>
    <xf numFmtId="166" fontId="11" fillId="0" borderId="19" xfId="2" applyFont="1" applyFill="1" applyBorder="1" applyAlignment="1" applyProtection="1">
      <alignment vertical="center"/>
    </xf>
    <xf numFmtId="0" fontId="11" fillId="0" borderId="14" xfId="4" applyFill="1" applyBorder="1" applyAlignment="1" applyProtection="1">
      <alignment vertical="center"/>
    </xf>
    <xf numFmtId="166" fontId="11" fillId="0" borderId="13" xfId="2" applyFont="1" applyFill="1" applyBorder="1" applyAlignment="1" applyProtection="1">
      <alignment vertical="center"/>
    </xf>
    <xf numFmtId="166" fontId="11" fillId="0" borderId="14" xfId="4" applyNumberFormat="1" applyFill="1" applyBorder="1" applyAlignment="1" applyProtection="1">
      <alignment vertical="center"/>
    </xf>
    <xf numFmtId="0" fontId="10" fillId="0" borderId="0" xfId="0" applyFont="1" applyFill="1" applyAlignment="1" applyProtection="1">
      <alignment wrapText="1"/>
    </xf>
    <xf numFmtId="10" fontId="11" fillId="0" borderId="1" xfId="3" applyNumberFormat="1" applyFont="1" applyFill="1" applyBorder="1" applyAlignment="1" applyProtection="1">
      <protection locked="0"/>
    </xf>
    <xf numFmtId="0" fontId="19" fillId="0" borderId="0" xfId="0" applyFont="1" applyFill="1" applyProtection="1"/>
    <xf numFmtId="0" fontId="11" fillId="0" borderId="0" xfId="0" applyFont="1" applyFill="1" applyProtection="1"/>
    <xf numFmtId="0" fontId="0" fillId="0" borderId="0" xfId="0" applyFill="1" applyAlignment="1" applyProtection="1"/>
    <xf numFmtId="166" fontId="0" fillId="0" borderId="7" xfId="0" applyNumberFormat="1" applyFill="1" applyBorder="1" applyAlignment="1" applyProtection="1"/>
    <xf numFmtId="1" fontId="11" fillId="0" borderId="7" xfId="0" applyNumberFormat="1" applyFont="1" applyFill="1" applyBorder="1" applyAlignment="1" applyProtection="1"/>
    <xf numFmtId="1" fontId="11" fillId="0" borderId="7" xfId="4" applyNumberFormat="1" applyFill="1" applyBorder="1" applyAlignment="1" applyProtection="1"/>
    <xf numFmtId="0" fontId="11" fillId="0" borderId="0" xfId="4" applyFill="1" applyAlignment="1" applyProtection="1"/>
    <xf numFmtId="166" fontId="11" fillId="0" borderId="7" xfId="4" applyNumberFormat="1" applyFill="1" applyBorder="1" applyAlignment="1" applyProtection="1"/>
    <xf numFmtId="0" fontId="6" fillId="0" borderId="0" xfId="0" applyFont="1" applyFill="1" applyAlignment="1" applyProtection="1">
      <alignment horizontal="right"/>
    </xf>
    <xf numFmtId="0" fontId="10" fillId="0" borderId="0" xfId="0" applyFont="1" applyFill="1" applyAlignment="1" applyProtection="1">
      <alignment horizontal="right"/>
    </xf>
    <xf numFmtId="0" fontId="10" fillId="0" borderId="2" xfId="0" applyFont="1" applyFill="1" applyBorder="1" applyAlignment="1" applyProtection="1">
      <alignment horizontal="right"/>
    </xf>
    <xf numFmtId="0" fontId="10" fillId="0" borderId="4" xfId="0" applyFont="1" applyFill="1" applyBorder="1" applyAlignment="1" applyProtection="1">
      <alignment horizontal="right"/>
    </xf>
    <xf numFmtId="0" fontId="10" fillId="0" borderId="5" xfId="0" applyFont="1" applyFill="1" applyBorder="1" applyAlignment="1" applyProtection="1">
      <alignment horizontal="right"/>
    </xf>
    <xf numFmtId="0" fontId="10" fillId="0" borderId="6" xfId="0" applyFont="1" applyFill="1" applyBorder="1" applyAlignment="1" applyProtection="1">
      <alignment horizontal="right"/>
    </xf>
    <xf numFmtId="0" fontId="0" fillId="0" borderId="1" xfId="0" applyFill="1" applyBorder="1" applyAlignment="1" applyProtection="1">
      <alignment horizontal="right" vertical="center"/>
      <protection locked="0"/>
    </xf>
    <xf numFmtId="0" fontId="0" fillId="0" borderId="10" xfId="0" applyFill="1" applyBorder="1" applyAlignment="1" applyProtection="1">
      <alignment horizontal="right"/>
      <protection locked="0"/>
    </xf>
    <xf numFmtId="0" fontId="0" fillId="0" borderId="0" xfId="0" applyFont="1" applyFill="1" applyAlignment="1" applyProtection="1">
      <alignment horizontal="center" vertical="top"/>
      <protection locked="0"/>
    </xf>
    <xf numFmtId="0" fontId="0" fillId="0" borderId="1" xfId="0" applyFill="1" applyBorder="1" applyAlignment="1" applyProtection="1">
      <alignment horizontal="right" vertical="center"/>
    </xf>
    <xf numFmtId="0" fontId="0" fillId="0" borderId="10" xfId="0" applyFill="1" applyBorder="1" applyAlignment="1" applyProtection="1">
      <alignment horizontal="right"/>
    </xf>
    <xf numFmtId="0" fontId="10" fillId="0" borderId="10" xfId="0" applyFont="1" applyFill="1" applyBorder="1" applyAlignment="1" applyProtection="1">
      <alignment horizontal="right"/>
    </xf>
    <xf numFmtId="166" fontId="0" fillId="0" borderId="7" xfId="0" applyNumberFormat="1" applyFill="1" applyBorder="1" applyAlignment="1" applyProtection="1">
      <alignment horizontal="center" vertical="center"/>
    </xf>
    <xf numFmtId="1" fontId="11" fillId="0" borderId="7" xfId="0" applyNumberFormat="1" applyFont="1" applyFill="1" applyBorder="1" applyAlignment="1" applyProtection="1">
      <alignment horizontal="right" vertical="center"/>
    </xf>
    <xf numFmtId="1" fontId="11" fillId="0" borderId="7" xfId="0" applyNumberFormat="1" applyFont="1" applyFill="1" applyBorder="1" applyAlignment="1" applyProtection="1">
      <alignment horizontal="right"/>
    </xf>
    <xf numFmtId="1" fontId="11" fillId="0" borderId="7" xfId="4" applyNumberFormat="1" applyFill="1" applyBorder="1" applyAlignment="1" applyProtection="1">
      <alignment horizontal="right" vertical="center"/>
    </xf>
    <xf numFmtId="0" fontId="11" fillId="0" borderId="0" xfId="4" applyFill="1" applyAlignment="1" applyProtection="1">
      <alignment horizontal="center" vertical="center"/>
    </xf>
    <xf numFmtId="1" fontId="11" fillId="0" borderId="7" xfId="4" applyNumberFormat="1" applyFill="1" applyBorder="1" applyAlignment="1" applyProtection="1">
      <alignment horizontal="right"/>
    </xf>
    <xf numFmtId="166" fontId="11" fillId="0" borderId="7" xfId="4" applyNumberFormat="1" applyFill="1" applyBorder="1" applyAlignment="1" applyProtection="1">
      <alignment horizontal="center" vertical="center"/>
    </xf>
    <xf numFmtId="0" fontId="0" fillId="0" borderId="14" xfId="0" applyFill="1" applyBorder="1" applyAlignment="1" applyProtection="1">
      <alignment horizontal="right" vertical="center"/>
      <protection locked="0"/>
    </xf>
    <xf numFmtId="0" fontId="0" fillId="0" borderId="13" xfId="0" applyFill="1" applyBorder="1" applyAlignment="1" applyProtection="1">
      <alignment horizontal="right"/>
      <protection locked="0"/>
    </xf>
    <xf numFmtId="0" fontId="0" fillId="0" borderId="17" xfId="0" applyFill="1" applyBorder="1" applyAlignment="1" applyProtection="1">
      <alignment horizontal="right" vertical="center"/>
    </xf>
    <xf numFmtId="0" fontId="11" fillId="0" borderId="14" xfId="4" applyFill="1" applyBorder="1" applyAlignment="1" applyProtection="1">
      <alignment horizontal="right" vertical="center"/>
      <protection locked="0"/>
    </xf>
    <xf numFmtId="0" fontId="11" fillId="0" borderId="13" xfId="4" applyFill="1" applyBorder="1" applyAlignment="1" applyProtection="1">
      <alignment horizontal="right"/>
      <protection locked="0"/>
    </xf>
    <xf numFmtId="0" fontId="10" fillId="0" borderId="7" xfId="4" applyFont="1" applyFill="1" applyBorder="1" applyAlignment="1" applyProtection="1">
      <alignment horizontal="right"/>
    </xf>
    <xf numFmtId="0" fontId="11" fillId="0" borderId="12" xfId="4" applyFill="1" applyBorder="1" applyAlignment="1" applyProtection="1">
      <alignment horizontal="right" vertical="center"/>
      <protection locked="0"/>
    </xf>
    <xf numFmtId="0" fontId="11" fillId="0" borderId="14" xfId="4" applyFill="1" applyBorder="1" applyAlignment="1" applyProtection="1">
      <alignment horizontal="right"/>
      <protection locked="0"/>
    </xf>
    <xf numFmtId="0" fontId="0" fillId="0" borderId="10" xfId="0" applyFill="1" applyBorder="1" applyAlignment="1" applyProtection="1">
      <alignment horizontal="right" vertical="center"/>
      <protection locked="0"/>
    </xf>
    <xf numFmtId="0" fontId="0" fillId="0" borderId="10" xfId="0" applyFill="1" applyBorder="1" applyAlignment="1" applyProtection="1">
      <alignment horizontal="right" vertical="center"/>
    </xf>
    <xf numFmtId="0" fontId="10" fillId="0" borderId="10" xfId="0" applyFont="1" applyFill="1" applyBorder="1" applyAlignment="1" applyProtection="1">
      <alignment horizontal="right" vertical="center"/>
    </xf>
    <xf numFmtId="0" fontId="0" fillId="0" borderId="13" xfId="0" applyFill="1" applyBorder="1" applyAlignment="1" applyProtection="1">
      <alignment horizontal="right" vertical="center"/>
      <protection locked="0"/>
    </xf>
    <xf numFmtId="0" fontId="10" fillId="0" borderId="5" xfId="0" applyFont="1" applyFill="1" applyBorder="1" applyAlignment="1" applyProtection="1">
      <alignment horizontal="right" vertical="center"/>
    </xf>
    <xf numFmtId="0" fontId="11" fillId="0" borderId="13" xfId="4" applyFill="1" applyBorder="1" applyAlignment="1" applyProtection="1">
      <alignment horizontal="right" vertical="center"/>
      <protection locked="0"/>
    </xf>
    <xf numFmtId="0" fontId="10" fillId="0" borderId="7" xfId="4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horizontal="right" indent="1"/>
    </xf>
    <xf numFmtId="0" fontId="10" fillId="0" borderId="4" xfId="0" applyFont="1" applyFill="1" applyBorder="1" applyAlignment="1" applyProtection="1">
      <alignment horizontal="right" indent="1"/>
    </xf>
    <xf numFmtId="0" fontId="10" fillId="0" borderId="6" xfId="0" applyFont="1" applyFill="1" applyBorder="1" applyAlignment="1" applyProtection="1">
      <alignment horizontal="right" indent="1"/>
    </xf>
    <xf numFmtId="0" fontId="0" fillId="0" borderId="10" xfId="0" applyFill="1" applyBorder="1" applyAlignment="1" applyProtection="1">
      <alignment horizontal="right" vertical="center" indent="1"/>
      <protection locked="0"/>
    </xf>
    <xf numFmtId="0" fontId="0" fillId="0" borderId="10" xfId="0" applyFill="1" applyBorder="1" applyAlignment="1" applyProtection="1">
      <alignment horizontal="right" vertical="center" indent="1"/>
    </xf>
    <xf numFmtId="0" fontId="10" fillId="0" borderId="10" xfId="0" applyFont="1" applyFill="1" applyBorder="1" applyAlignment="1" applyProtection="1">
      <alignment horizontal="right" vertical="center" indent="1"/>
    </xf>
    <xf numFmtId="169" fontId="0" fillId="0" borderId="7" xfId="0" applyNumberFormat="1" applyFill="1" applyBorder="1" applyAlignment="1" applyProtection="1">
      <alignment vertical="center"/>
    </xf>
    <xf numFmtId="1" fontId="11" fillId="0" borderId="7" xfId="0" applyNumberFormat="1" applyFont="1" applyFill="1" applyBorder="1" applyAlignment="1" applyProtection="1">
      <alignment horizontal="right" vertical="center" indent="1"/>
    </xf>
    <xf numFmtId="1" fontId="11" fillId="0" borderId="7" xfId="4" applyNumberFormat="1" applyFill="1" applyBorder="1" applyAlignment="1" applyProtection="1">
      <alignment horizontal="right" vertical="center" indent="1"/>
    </xf>
    <xf numFmtId="0" fontId="0" fillId="0" borderId="13" xfId="0" applyFill="1" applyBorder="1" applyAlignment="1" applyProtection="1">
      <alignment horizontal="right" vertical="center" indent="1"/>
      <protection locked="0"/>
    </xf>
    <xf numFmtId="0" fontId="10" fillId="0" borderId="5" xfId="0" applyFont="1" applyFill="1" applyBorder="1" applyAlignment="1" applyProtection="1">
      <alignment horizontal="right" vertical="center" indent="1"/>
    </xf>
    <xf numFmtId="0" fontId="11" fillId="0" borderId="13" xfId="4" applyFill="1" applyBorder="1" applyAlignment="1" applyProtection="1">
      <alignment horizontal="right" vertical="center" indent="1"/>
      <protection locked="0"/>
    </xf>
    <xf numFmtId="0" fontId="10" fillId="0" borderId="7" xfId="4" applyFont="1" applyFill="1" applyBorder="1" applyAlignment="1" applyProtection="1">
      <alignment horizontal="right" vertical="center" indent="1"/>
    </xf>
    <xf numFmtId="0" fontId="11" fillId="0" borderId="14" xfId="4" applyFill="1" applyBorder="1" applyAlignment="1" applyProtection="1">
      <alignment horizontal="right" vertical="center" indent="1"/>
      <protection locked="0"/>
    </xf>
    <xf numFmtId="0" fontId="10" fillId="0" borderId="0" xfId="4" applyFont="1" applyFill="1" applyBorder="1" applyAlignment="1" applyProtection="1">
      <alignment horizontal="left" vertical="top" wrapText="1"/>
    </xf>
    <xf numFmtId="0" fontId="10" fillId="0" borderId="0" xfId="0" applyFont="1" applyFill="1" applyBorder="1" applyAlignment="1" applyProtection="1">
      <alignment horizontal="center" wrapText="1"/>
    </xf>
    <xf numFmtId="0" fontId="10" fillId="0" borderId="5" xfId="0" applyFont="1" applyFill="1" applyBorder="1" applyAlignment="1" applyProtection="1">
      <alignment horizontal="center" wrapText="1"/>
    </xf>
    <xf numFmtId="0" fontId="10" fillId="0" borderId="6" xfId="0" applyFont="1" applyFill="1" applyBorder="1" applyAlignment="1" applyProtection="1">
      <alignment horizontal="center" wrapText="1"/>
    </xf>
    <xf numFmtId="0" fontId="16" fillId="0" borderId="0" xfId="0" applyFont="1" applyFill="1" applyBorder="1" applyAlignment="1" applyProtection="1">
      <alignment horizontal="left" vertical="top" wrapText="1" indent="1"/>
    </xf>
    <xf numFmtId="0" fontId="10" fillId="0" borderId="0" xfId="0" applyFont="1" applyFill="1" applyBorder="1" applyAlignment="1" applyProtection="1">
      <alignment horizontal="left" vertical="top" wrapText="1"/>
    </xf>
    <xf numFmtId="0" fontId="16" fillId="0" borderId="0" xfId="4" applyFont="1" applyFill="1" applyBorder="1" applyAlignment="1" applyProtection="1">
      <alignment horizontal="left" vertical="top" wrapText="1" indent="1"/>
    </xf>
    <xf numFmtId="0" fontId="5" fillId="0" borderId="0" xfId="0" applyFont="1" applyFill="1" applyBorder="1" applyAlignment="1" applyProtection="1">
      <alignment horizontal="left" indent="6"/>
    </xf>
    <xf numFmtId="0" fontId="9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left" vertical="center"/>
    </xf>
    <xf numFmtId="0" fontId="10" fillId="0" borderId="1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 vertical="center"/>
    </xf>
  </cellXfs>
  <cellStyles count="5">
    <cellStyle name="Comma 2 4" xfId="1"/>
    <cellStyle name="Currency 2 4" xfId="2"/>
    <cellStyle name="Normal" xfId="0" builtinId="0"/>
    <cellStyle name="Normal 2" xfId="4"/>
    <cellStyle name="Percent 10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trlProps/ctrlProp1.xml><?xml version="1.0" encoding="utf-8"?>
<formControlPr xmlns="http://schemas.microsoft.com/office/spreadsheetml/2009/9/main" objectType="Radio" firstButton="1" noThreeD="1"/>
</file>

<file path=xl/ctrlProps/ctrlProp10.xml><?xml version="1.0" encoding="utf-8"?>
<formControlPr xmlns="http://schemas.microsoft.com/office/spreadsheetml/2009/9/main" objectType="Radio" noThreeD="1"/>
</file>

<file path=xl/ctrlProps/ctrlProp11.xml><?xml version="1.0" encoding="utf-8"?>
<formControlPr xmlns="http://schemas.microsoft.com/office/spreadsheetml/2009/9/main" objectType="Radio" firstButton="1" noThreeD="1"/>
</file>

<file path=xl/ctrlProps/ctrlProp12.xml><?xml version="1.0" encoding="utf-8"?>
<formControlPr xmlns="http://schemas.microsoft.com/office/spreadsheetml/2009/9/main" objectType="Radio" noThreeD="1"/>
</file>

<file path=xl/ctrlProps/ctrlProp13.xml><?xml version="1.0" encoding="utf-8"?>
<formControlPr xmlns="http://schemas.microsoft.com/office/spreadsheetml/2009/9/main" objectType="Radio" firstButton="1" noThreeD="1"/>
</file>

<file path=xl/ctrlProps/ctrlProp14.xml><?xml version="1.0" encoding="utf-8"?>
<formControlPr xmlns="http://schemas.microsoft.com/office/spreadsheetml/2009/9/main" objectType="Radio" noThreeD="1"/>
</file>

<file path=xl/ctrlProps/ctrlProp15.xml><?xml version="1.0" encoding="utf-8"?>
<formControlPr xmlns="http://schemas.microsoft.com/office/spreadsheetml/2009/9/main" objectType="Radio" firstButton="1" noThreeD="1"/>
</file>

<file path=xl/ctrlProps/ctrlProp16.xml><?xml version="1.0" encoding="utf-8"?>
<formControlPr xmlns="http://schemas.microsoft.com/office/spreadsheetml/2009/9/main" objectType="Radio" noThreeD="1"/>
</file>

<file path=xl/ctrlProps/ctrlProp17.xml><?xml version="1.0" encoding="utf-8"?>
<formControlPr xmlns="http://schemas.microsoft.com/office/spreadsheetml/2009/9/main" objectType="Radio" firstButton="1" noThreeD="1"/>
</file>

<file path=xl/ctrlProps/ctrlProp18.xml><?xml version="1.0" encoding="utf-8"?>
<formControlPr xmlns="http://schemas.microsoft.com/office/spreadsheetml/2009/9/main" objectType="Radio" noThreeD="1"/>
</file>

<file path=xl/ctrlProps/ctrlProp19.xml><?xml version="1.0" encoding="utf-8"?>
<formControlPr xmlns="http://schemas.microsoft.com/office/spreadsheetml/2009/9/main" objectType="Radio" firstButton="1" noThreeD="1"/>
</file>

<file path=xl/ctrlProps/ctrlProp2.xml><?xml version="1.0" encoding="utf-8"?>
<formControlPr xmlns="http://schemas.microsoft.com/office/spreadsheetml/2009/9/main" objectType="Radio" noThreeD="1"/>
</file>

<file path=xl/ctrlProps/ctrlProp20.xml><?xml version="1.0" encoding="utf-8"?>
<formControlPr xmlns="http://schemas.microsoft.com/office/spreadsheetml/2009/9/main" objectType="Radio" noThreeD="1"/>
</file>

<file path=xl/ctrlProps/ctrlProp21.xml><?xml version="1.0" encoding="utf-8"?>
<formControlPr xmlns="http://schemas.microsoft.com/office/spreadsheetml/2009/9/main" objectType="Radio" firstButton="1" noThreeD="1"/>
</file>

<file path=xl/ctrlProps/ctrlProp22.xml><?xml version="1.0" encoding="utf-8"?>
<formControlPr xmlns="http://schemas.microsoft.com/office/spreadsheetml/2009/9/main" objectType="Radio" noThreeD="1"/>
</file>

<file path=xl/ctrlProps/ctrlProp23.xml><?xml version="1.0" encoding="utf-8"?>
<formControlPr xmlns="http://schemas.microsoft.com/office/spreadsheetml/2009/9/main" objectType="Radio" firstButton="1" noThreeD="1"/>
</file>

<file path=xl/ctrlProps/ctrlProp24.xml><?xml version="1.0" encoding="utf-8"?>
<formControlPr xmlns="http://schemas.microsoft.com/office/spreadsheetml/2009/9/main" objectType="Radio" noThreeD="1"/>
</file>

<file path=xl/ctrlProps/ctrlProp3.xml><?xml version="1.0" encoding="utf-8"?>
<formControlPr xmlns="http://schemas.microsoft.com/office/spreadsheetml/2009/9/main" objectType="Radio" firstButton="1" noThreeD="1"/>
</file>

<file path=xl/ctrlProps/ctrlProp4.xml><?xml version="1.0" encoding="utf-8"?>
<formControlPr xmlns="http://schemas.microsoft.com/office/spreadsheetml/2009/9/main" objectType="Radio" noThreeD="1"/>
</file>

<file path=xl/ctrlProps/ctrlProp5.xml><?xml version="1.0" encoding="utf-8"?>
<formControlPr xmlns="http://schemas.microsoft.com/office/spreadsheetml/2009/9/main" objectType="Radio" firstButton="1" noThreeD="1"/>
</file>

<file path=xl/ctrlProps/ctrlProp6.xml><?xml version="1.0" encoding="utf-8"?>
<formControlPr xmlns="http://schemas.microsoft.com/office/spreadsheetml/2009/9/main" objectType="Radio" noThreeD="1"/>
</file>

<file path=xl/ctrlProps/ctrlProp7.xml><?xml version="1.0" encoding="utf-8"?>
<formControlPr xmlns="http://schemas.microsoft.com/office/spreadsheetml/2009/9/main" objectType="Radio" firstButton="1" noThreeD="1"/>
</file>

<file path=xl/ctrlProps/ctrlProp8.xml><?xml version="1.0" encoding="utf-8"?>
<formControlPr xmlns="http://schemas.microsoft.com/office/spreadsheetml/2009/9/main" objectType="Radio" noThreeD="1"/>
</file>

<file path=xl/ctrlProps/ctrlProp9.xml><?xml version="1.0" encoding="utf-8"?>
<formControlPr xmlns="http://schemas.microsoft.com/office/spreadsheetml/2009/9/main" objectType="Radio" firstButton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476250</xdr:colOff>
          <xdr:row>17</xdr:row>
          <xdr:rowOff>0</xdr:rowOff>
        </xdr:from>
        <xdr:to>
          <xdr:col>9</xdr:col>
          <xdr:colOff>733425</xdr:colOff>
          <xdr:row>18</xdr:row>
          <xdr:rowOff>19050</xdr:rowOff>
        </xdr:to>
        <xdr:sp macro="" textlink="">
          <xdr:nvSpPr>
            <xdr:cNvPr id="1025" name="Option Button 44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371475</xdr:colOff>
          <xdr:row>16</xdr:row>
          <xdr:rowOff>104775</xdr:rowOff>
        </xdr:from>
        <xdr:to>
          <xdr:col>16</xdr:col>
          <xdr:colOff>257175</xdr:colOff>
          <xdr:row>18</xdr:row>
          <xdr:rowOff>123825</xdr:rowOff>
        </xdr:to>
        <xdr:sp macro="" textlink="">
          <xdr:nvSpPr>
            <xdr:cNvPr id="1026" name="Option Button 45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November 1 - April 30 (Select this radio    button for applications filed after Oct 31)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476250</xdr:colOff>
          <xdr:row>17</xdr:row>
          <xdr:rowOff>0</xdr:rowOff>
        </xdr:from>
        <xdr:to>
          <xdr:col>9</xdr:col>
          <xdr:colOff>733425</xdr:colOff>
          <xdr:row>18</xdr:row>
          <xdr:rowOff>19050</xdr:rowOff>
        </xdr:to>
        <xdr:sp macro="" textlink="">
          <xdr:nvSpPr>
            <xdr:cNvPr id="4097" name="Option Button 44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371475</xdr:colOff>
          <xdr:row>16</xdr:row>
          <xdr:rowOff>104775</xdr:rowOff>
        </xdr:from>
        <xdr:to>
          <xdr:col>16</xdr:col>
          <xdr:colOff>257175</xdr:colOff>
          <xdr:row>18</xdr:row>
          <xdr:rowOff>123825</xdr:rowOff>
        </xdr:to>
        <xdr:sp macro="" textlink="">
          <xdr:nvSpPr>
            <xdr:cNvPr id="4098" name="Option Button 45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November 1 - April 30 (Select this radio    button for applications filed after Oct 31)</a:t>
              </a:r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476250</xdr:colOff>
          <xdr:row>17</xdr:row>
          <xdr:rowOff>0</xdr:rowOff>
        </xdr:from>
        <xdr:to>
          <xdr:col>9</xdr:col>
          <xdr:colOff>733425</xdr:colOff>
          <xdr:row>18</xdr:row>
          <xdr:rowOff>19050</xdr:rowOff>
        </xdr:to>
        <xdr:sp macro="" textlink="">
          <xdr:nvSpPr>
            <xdr:cNvPr id="5121" name="Option Button 44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371475</xdr:colOff>
          <xdr:row>16</xdr:row>
          <xdr:rowOff>104775</xdr:rowOff>
        </xdr:from>
        <xdr:to>
          <xdr:col>16</xdr:col>
          <xdr:colOff>257175</xdr:colOff>
          <xdr:row>18</xdr:row>
          <xdr:rowOff>123825</xdr:rowOff>
        </xdr:to>
        <xdr:sp macro="" textlink="">
          <xdr:nvSpPr>
            <xdr:cNvPr id="5122" name="Option Button 45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November 1 - April 30 (Select this radio    button for applications filed after Oct 31)</a:t>
              </a:r>
            </a:p>
          </xdr:txBody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476250</xdr:colOff>
          <xdr:row>17</xdr:row>
          <xdr:rowOff>0</xdr:rowOff>
        </xdr:from>
        <xdr:to>
          <xdr:col>9</xdr:col>
          <xdr:colOff>733425</xdr:colOff>
          <xdr:row>18</xdr:row>
          <xdr:rowOff>19050</xdr:rowOff>
        </xdr:to>
        <xdr:sp macro="" textlink="">
          <xdr:nvSpPr>
            <xdr:cNvPr id="6145" name="Option Button 44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371475</xdr:colOff>
          <xdr:row>16</xdr:row>
          <xdr:rowOff>104775</xdr:rowOff>
        </xdr:from>
        <xdr:to>
          <xdr:col>16</xdr:col>
          <xdr:colOff>257175</xdr:colOff>
          <xdr:row>18</xdr:row>
          <xdr:rowOff>123825</xdr:rowOff>
        </xdr:to>
        <xdr:sp macro="" textlink="">
          <xdr:nvSpPr>
            <xdr:cNvPr id="6146" name="Option Button 45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November 1 - April 30 (Select this radio    button for applications filed after Oct 31)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476250</xdr:colOff>
          <xdr:row>17</xdr:row>
          <xdr:rowOff>0</xdr:rowOff>
        </xdr:from>
        <xdr:to>
          <xdr:col>9</xdr:col>
          <xdr:colOff>733425</xdr:colOff>
          <xdr:row>18</xdr:row>
          <xdr:rowOff>19050</xdr:rowOff>
        </xdr:to>
        <xdr:sp macro="" textlink="">
          <xdr:nvSpPr>
            <xdr:cNvPr id="8193" name="Option Button 44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371475</xdr:colOff>
          <xdr:row>16</xdr:row>
          <xdr:rowOff>104775</xdr:rowOff>
        </xdr:from>
        <xdr:to>
          <xdr:col>16</xdr:col>
          <xdr:colOff>257175</xdr:colOff>
          <xdr:row>18</xdr:row>
          <xdr:rowOff>123825</xdr:rowOff>
        </xdr:to>
        <xdr:sp macro="" textlink="">
          <xdr:nvSpPr>
            <xdr:cNvPr id="8194" name="Option Button 45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November 1 - April 30 (Select this radio    button for applications filed after Oct 31)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476250</xdr:colOff>
          <xdr:row>17</xdr:row>
          <xdr:rowOff>0</xdr:rowOff>
        </xdr:from>
        <xdr:to>
          <xdr:col>9</xdr:col>
          <xdr:colOff>733425</xdr:colOff>
          <xdr:row>18</xdr:row>
          <xdr:rowOff>19050</xdr:rowOff>
        </xdr:to>
        <xdr:sp macro="" textlink="">
          <xdr:nvSpPr>
            <xdr:cNvPr id="7169" name="Option Button 44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371475</xdr:colOff>
          <xdr:row>16</xdr:row>
          <xdr:rowOff>104775</xdr:rowOff>
        </xdr:from>
        <xdr:to>
          <xdr:col>16</xdr:col>
          <xdr:colOff>257175</xdr:colOff>
          <xdr:row>18</xdr:row>
          <xdr:rowOff>123825</xdr:rowOff>
        </xdr:to>
        <xdr:sp macro="" textlink="">
          <xdr:nvSpPr>
            <xdr:cNvPr id="7170" name="Option Button 45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November 1 - April 30 (Select this radio    button for applications filed after Oct 31)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476250</xdr:colOff>
          <xdr:row>17</xdr:row>
          <xdr:rowOff>0</xdr:rowOff>
        </xdr:from>
        <xdr:to>
          <xdr:col>9</xdr:col>
          <xdr:colOff>733425</xdr:colOff>
          <xdr:row>18</xdr:row>
          <xdr:rowOff>19050</xdr:rowOff>
        </xdr:to>
        <xdr:sp macro="" textlink="">
          <xdr:nvSpPr>
            <xdr:cNvPr id="10241" name="Option Button 44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371475</xdr:colOff>
          <xdr:row>16</xdr:row>
          <xdr:rowOff>104775</xdr:rowOff>
        </xdr:from>
        <xdr:to>
          <xdr:col>16</xdr:col>
          <xdr:colOff>257175</xdr:colOff>
          <xdr:row>18</xdr:row>
          <xdr:rowOff>123825</xdr:rowOff>
        </xdr:to>
        <xdr:sp macro="" textlink="">
          <xdr:nvSpPr>
            <xdr:cNvPr id="10242" name="Option Button 45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November 1 - April 30 (Select this radio    button for applications filed after Oct 31)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476250</xdr:colOff>
          <xdr:row>17</xdr:row>
          <xdr:rowOff>0</xdr:rowOff>
        </xdr:from>
        <xdr:to>
          <xdr:col>9</xdr:col>
          <xdr:colOff>733425</xdr:colOff>
          <xdr:row>18</xdr:row>
          <xdr:rowOff>19050</xdr:rowOff>
        </xdr:to>
        <xdr:sp macro="" textlink="">
          <xdr:nvSpPr>
            <xdr:cNvPr id="9217" name="Option Button 44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371475</xdr:colOff>
          <xdr:row>16</xdr:row>
          <xdr:rowOff>104775</xdr:rowOff>
        </xdr:from>
        <xdr:to>
          <xdr:col>16</xdr:col>
          <xdr:colOff>257175</xdr:colOff>
          <xdr:row>18</xdr:row>
          <xdr:rowOff>123825</xdr:rowOff>
        </xdr:to>
        <xdr:sp macro="" textlink="">
          <xdr:nvSpPr>
            <xdr:cNvPr id="9218" name="Option Button 45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November 1 - April 30 (Select this radio    button for applications filed after Oct 31)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476250</xdr:colOff>
          <xdr:row>17</xdr:row>
          <xdr:rowOff>0</xdr:rowOff>
        </xdr:from>
        <xdr:to>
          <xdr:col>9</xdr:col>
          <xdr:colOff>733425</xdr:colOff>
          <xdr:row>18</xdr:row>
          <xdr:rowOff>19050</xdr:rowOff>
        </xdr:to>
        <xdr:sp macro="" textlink="">
          <xdr:nvSpPr>
            <xdr:cNvPr id="2049" name="Option Button 44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371475</xdr:colOff>
          <xdr:row>16</xdr:row>
          <xdr:rowOff>104775</xdr:rowOff>
        </xdr:from>
        <xdr:to>
          <xdr:col>16</xdr:col>
          <xdr:colOff>257175</xdr:colOff>
          <xdr:row>18</xdr:row>
          <xdr:rowOff>123825</xdr:rowOff>
        </xdr:to>
        <xdr:sp macro="" textlink="">
          <xdr:nvSpPr>
            <xdr:cNvPr id="2050" name="Option Button 45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November 1 - April 30 (Select this radio    button for applications filed after Oct 31)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476250</xdr:colOff>
          <xdr:row>17</xdr:row>
          <xdr:rowOff>0</xdr:rowOff>
        </xdr:from>
        <xdr:to>
          <xdr:col>9</xdr:col>
          <xdr:colOff>733425</xdr:colOff>
          <xdr:row>18</xdr:row>
          <xdr:rowOff>19050</xdr:rowOff>
        </xdr:to>
        <xdr:sp macro="" textlink="">
          <xdr:nvSpPr>
            <xdr:cNvPr id="12289" name="Option Button 44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371475</xdr:colOff>
          <xdr:row>16</xdr:row>
          <xdr:rowOff>104775</xdr:rowOff>
        </xdr:from>
        <xdr:to>
          <xdr:col>16</xdr:col>
          <xdr:colOff>257175</xdr:colOff>
          <xdr:row>18</xdr:row>
          <xdr:rowOff>123825</xdr:rowOff>
        </xdr:to>
        <xdr:sp macro="" textlink="">
          <xdr:nvSpPr>
            <xdr:cNvPr id="12290" name="Option Button 45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November 1 - April 30 (Select this radio    button for applications filed after Oct 31)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476250</xdr:colOff>
          <xdr:row>17</xdr:row>
          <xdr:rowOff>0</xdr:rowOff>
        </xdr:from>
        <xdr:to>
          <xdr:col>9</xdr:col>
          <xdr:colOff>733425</xdr:colOff>
          <xdr:row>18</xdr:row>
          <xdr:rowOff>19050</xdr:rowOff>
        </xdr:to>
        <xdr:sp macro="" textlink="">
          <xdr:nvSpPr>
            <xdr:cNvPr id="11265" name="Option Button 44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371475</xdr:colOff>
          <xdr:row>16</xdr:row>
          <xdr:rowOff>104775</xdr:rowOff>
        </xdr:from>
        <xdr:to>
          <xdr:col>16</xdr:col>
          <xdr:colOff>257175</xdr:colOff>
          <xdr:row>18</xdr:row>
          <xdr:rowOff>123825</xdr:rowOff>
        </xdr:to>
        <xdr:sp macro="" textlink="">
          <xdr:nvSpPr>
            <xdr:cNvPr id="11266" name="Option Button 45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November 1 - April 30 (Select this radio    button for applications filed after Oct 31)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476250</xdr:colOff>
          <xdr:row>17</xdr:row>
          <xdr:rowOff>0</xdr:rowOff>
        </xdr:from>
        <xdr:to>
          <xdr:col>9</xdr:col>
          <xdr:colOff>733425</xdr:colOff>
          <xdr:row>18</xdr:row>
          <xdr:rowOff>19050</xdr:rowOff>
        </xdr:to>
        <xdr:sp macro="" textlink="">
          <xdr:nvSpPr>
            <xdr:cNvPr id="3073" name="Option Button 44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371475</xdr:colOff>
          <xdr:row>16</xdr:row>
          <xdr:rowOff>104775</xdr:rowOff>
        </xdr:from>
        <xdr:to>
          <xdr:col>16</xdr:col>
          <xdr:colOff>257175</xdr:colOff>
          <xdr:row>18</xdr:row>
          <xdr:rowOff>123825</xdr:rowOff>
        </xdr:to>
        <xdr:sp macro="" textlink="">
          <xdr:nvSpPr>
            <xdr:cNvPr id="3074" name="Option Button 45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November 1 - April 30 (Select this radio    button for applications filed after Oct 31)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B-2014-0105%202016%20ORPC%20Rate%20Design%20Model%20July%2027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EB-2014-0105%202016%20ORPC%20Data%20Storage%20-July%202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"/>
      <sheetName val="A. LDC Info"/>
      <sheetName val="B. CurrentTariff"/>
      <sheetName val="C. Revenues at Curr Rates"/>
      <sheetName val="RATEBASE &amp; REV REQ -&gt;"/>
      <sheetName val="D. Rate Base"/>
      <sheetName val="E. Revenue Requirement"/>
      <sheetName val="COST ALLOC. &amp; RATE DESIGN -&gt;"/>
      <sheetName val="F. Cost Allocation &amp; RevAllocn"/>
      <sheetName val="G. RateDesign"/>
      <sheetName val="H. Rev_Reconciliation"/>
      <sheetName val="Cost Allocation"/>
      <sheetName val="RATE RIDERS -&gt;"/>
      <sheetName val="I. SMRR"/>
      <sheetName val="J. DVA"/>
      <sheetName val="K. Summary of Tariffs"/>
      <sheetName val="BILL IMPACT -&gt;"/>
      <sheetName val="Bill Impact - Residential"/>
      <sheetName val="Bill Impact - GS&lt;50"/>
      <sheetName val="Bill Impact - GS&gt;50"/>
      <sheetName val="Bill Impact - Sentinel"/>
      <sheetName val="Bill Impact - StreetLight"/>
      <sheetName val="Bill Impact - USL"/>
      <sheetName val="RRWF -&gt;"/>
      <sheetName val="RRWF_Data_Input_Sheet"/>
      <sheetName val="RRWF_Rate_Base"/>
      <sheetName val="RRWF_Utility Income"/>
      <sheetName val="RRWF_Taxes_PILs"/>
      <sheetName val="RRWF_Cost_of_Capital"/>
      <sheetName val="RRWF_Rev_Def_Suff"/>
      <sheetName val="RRWF_Rev_Reqt"/>
      <sheetName val="Update to COS Application"/>
    </sheetNames>
    <sheetDataSet>
      <sheetData sheetId="0"/>
      <sheetData sheetId="1"/>
      <sheetData sheetId="2">
        <row r="32">
          <cell r="C32">
            <v>10.99</v>
          </cell>
        </row>
        <row r="33">
          <cell r="C33">
            <v>1.4999999999999999E-2</v>
          </cell>
        </row>
        <row r="45">
          <cell r="C45">
            <v>6.3E-3</v>
          </cell>
        </row>
        <row r="46">
          <cell r="C46">
            <v>4.4999999999999997E-3</v>
          </cell>
        </row>
        <row r="53">
          <cell r="C53">
            <v>22.97</v>
          </cell>
        </row>
        <row r="54">
          <cell r="C54">
            <v>1.0500000000000001E-2</v>
          </cell>
        </row>
        <row r="74">
          <cell r="C74">
            <v>378.72</v>
          </cell>
        </row>
        <row r="75">
          <cell r="C75">
            <v>0.64890000000000003</v>
          </cell>
        </row>
        <row r="95">
          <cell r="C95">
            <v>2.6</v>
          </cell>
        </row>
        <row r="96">
          <cell r="C96">
            <v>7.8817000000000004</v>
          </cell>
        </row>
        <row r="116">
          <cell r="C116">
            <v>2.2200000000000002</v>
          </cell>
        </row>
        <row r="117">
          <cell r="C117">
            <v>12.1768</v>
          </cell>
        </row>
        <row r="137">
          <cell r="C137">
            <v>6.25</v>
          </cell>
        </row>
        <row r="138">
          <cell r="C138">
            <v>2E-3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46">
          <cell r="B46">
            <v>18.05</v>
          </cell>
          <cell r="G46">
            <v>1.1395508957599455E-2</v>
          </cell>
        </row>
        <row r="47">
          <cell r="B47">
            <v>27.35</v>
          </cell>
          <cell r="G47">
            <v>1.2504682544578845E-2</v>
          </cell>
        </row>
        <row r="48">
          <cell r="B48">
            <v>378.72</v>
          </cell>
          <cell r="G48">
            <v>1.113958109377494</v>
          </cell>
        </row>
        <row r="49">
          <cell r="B49">
            <v>3.58</v>
          </cell>
          <cell r="G49">
            <v>10.872161165040167</v>
          </cell>
        </row>
        <row r="50">
          <cell r="B50">
            <v>2.61</v>
          </cell>
          <cell r="G50">
            <v>13.902399953177458</v>
          </cell>
        </row>
        <row r="51">
          <cell r="B51">
            <v>6.2</v>
          </cell>
          <cell r="G51">
            <v>5.9000534823276506E-3</v>
          </cell>
        </row>
      </sheetData>
      <sheetData sheetId="10"/>
      <sheetData sheetId="11"/>
      <sheetData sheetId="12"/>
      <sheetData sheetId="13">
        <row r="13">
          <cell r="G13">
            <v>0.78171012891784653</v>
          </cell>
        </row>
        <row r="14">
          <cell r="G14">
            <v>2.8831970487551146</v>
          </cell>
        </row>
        <row r="15">
          <cell r="G15">
            <v>0</v>
          </cell>
        </row>
      </sheetData>
      <sheetData sheetId="14">
        <row r="16">
          <cell r="B16" t="str">
            <v>Rate Rider Calculation for Deferral / Variance Accounts Balances (excluding Global Adj.)</v>
          </cell>
        </row>
        <row r="20">
          <cell r="F20">
            <v>-8.3191383168094741E-4</v>
          </cell>
        </row>
        <row r="21">
          <cell r="F21">
            <v>-8.2471767600577684E-4</v>
          </cell>
        </row>
        <row r="22">
          <cell r="F22">
            <v>-0.2881086467416501</v>
          </cell>
        </row>
        <row r="23">
          <cell r="F23">
            <v>-8.200662006650687E-4</v>
          </cell>
        </row>
        <row r="24">
          <cell r="F24">
            <v>-0.29442055101947512</v>
          </cell>
        </row>
        <row r="25">
          <cell r="F25">
            <v>-0.29140561547524468</v>
          </cell>
        </row>
        <row r="42">
          <cell r="B42" t="str">
            <v>Rate Rider Calculation for Deferral / Variance Accounts Balances (excluding Global Adj.) - NON-WMP</v>
          </cell>
        </row>
        <row r="46">
          <cell r="F46">
            <v>-2.646861822728247E-3</v>
          </cell>
        </row>
        <row r="47">
          <cell r="F47">
            <v>-2.646861822728247E-3</v>
          </cell>
        </row>
        <row r="48">
          <cell r="F48">
            <v>-0.92990514331638319</v>
          </cell>
        </row>
        <row r="49">
          <cell r="F49">
            <v>-2.6468618227282474E-3</v>
          </cell>
        </row>
        <row r="50">
          <cell r="F50">
            <v>-0.95027756989382417</v>
          </cell>
        </row>
        <row r="51">
          <cell r="F51">
            <v>-0.9405465045438095</v>
          </cell>
        </row>
        <row r="68">
          <cell r="B68" t="str">
            <v>Rate Rider Calculation for RSVA - Power - Global Adjustment</v>
          </cell>
        </row>
        <row r="74">
          <cell r="F74">
            <v>1.716429835341269</v>
          </cell>
        </row>
        <row r="77">
          <cell r="F77">
            <v>1.7360717848784646</v>
          </cell>
        </row>
        <row r="121">
          <cell r="B121" t="str">
            <v>Rate Rider Calculation for Group 2 Accounts</v>
          </cell>
        </row>
        <row r="125">
          <cell r="F125">
            <v>0.71763615173398432</v>
          </cell>
        </row>
        <row r="126">
          <cell r="F126">
            <v>8.0305657896044972E-5</v>
          </cell>
        </row>
        <row r="127">
          <cell r="F127">
            <v>2.8213276444467111E-2</v>
          </cell>
        </row>
        <row r="128">
          <cell r="F128">
            <v>8.0305657896044986E-5</v>
          </cell>
        </row>
        <row r="129">
          <cell r="F129">
            <v>2.8831374867736497E-2</v>
          </cell>
        </row>
        <row r="130">
          <cell r="F130">
            <v>2.8536134822241099E-2</v>
          </cell>
        </row>
        <row r="147">
          <cell r="B147" t="str">
            <v>Rate Rider Calculation for Accounts 1575 and 1576</v>
          </cell>
        </row>
        <row r="153">
          <cell r="F153">
            <v>2.345544481897622E-4</v>
          </cell>
        </row>
        <row r="154">
          <cell r="F154">
            <v>2.3455444818976223E-4</v>
          </cell>
        </row>
        <row r="155">
          <cell r="F155">
            <v>8.240452368404183E-2</v>
          </cell>
        </row>
        <row r="156">
          <cell r="F156">
            <v>2.3455444818976223E-4</v>
          </cell>
        </row>
        <row r="157">
          <cell r="F157">
            <v>8.4209847722163611E-2</v>
          </cell>
        </row>
        <row r="158">
          <cell r="F158">
            <v>8.3347519117069085E-2</v>
          </cell>
        </row>
        <row r="175">
          <cell r="B175" t="str">
            <v>Rate Rider Calculation for Accounts 1568</v>
          </cell>
        </row>
        <row r="181">
          <cell r="F181">
            <v>1.9002491545530963E-4</v>
          </cell>
        </row>
        <row r="182">
          <cell r="F182">
            <v>6.2210617557952952E-4</v>
          </cell>
        </row>
        <row r="183">
          <cell r="F183">
            <v>5.684378315786414E-2</v>
          </cell>
        </row>
        <row r="184">
          <cell r="F184">
            <v>0</v>
          </cell>
        </row>
        <row r="185">
          <cell r="F185">
            <v>0</v>
          </cell>
        </row>
        <row r="186">
          <cell r="F186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"/>
      <sheetName val="0.1 LDC Info"/>
      <sheetName val="0.2 Customer Classes"/>
      <sheetName val="0.3 Templ Event Log"/>
      <sheetName val="Exhibit 1 -&gt;"/>
      <sheetName val="1.1 Trial Balance Summary"/>
      <sheetName val="1.2.TB Historical Balances"/>
      <sheetName val="1.3 TB Projected Balances"/>
      <sheetName val="1.4 TB Variance Analysis"/>
      <sheetName val="1.5 Organizational Structure"/>
      <sheetName val="Exhibit 2 -&gt;"/>
      <sheetName val="2.1. Rate Base Trend "/>
      <sheetName val="2.2 RateBase VarAnalysis"/>
      <sheetName val="2.3 Summary of Capital Projects"/>
      <sheetName val="2.4 Var Capital Expenditures"/>
      <sheetName val="FIXED ASSET CONTINUITY STMT -&gt;"/>
      <sheetName val="2.5 Service Life Comp"/>
      <sheetName val="2.6 Fixed Asset Cont Stmt"/>
      <sheetName val="2.7 Overhead"/>
      <sheetName val="2.8 Stranded Meters"/>
      <sheetName val="DEPRECIATION EXPENSES -&gt;"/>
      <sheetName val="2.9 Depreciation Expenses"/>
      <sheetName val="2.10 DeprExp Bridge NewGAAP"/>
      <sheetName val="2.11 DeprExp Test NewGAAP"/>
      <sheetName val="2.12 Proposed REG Invest."/>
      <sheetName val="2.13 SQI"/>
      <sheetName val="Exhibit 3 -&gt;"/>
      <sheetName val="OPERATING REVENUES -&gt;"/>
      <sheetName val="3.1 Other Oper Rev Detail"/>
      <sheetName val="3.2 Other_Oper_Rev Sum"/>
      <sheetName val="PILs -&gt;"/>
      <sheetName val="3.3 PILs.TaxRate"/>
      <sheetName val="3.4 PILs.Sch 8 UCC"/>
      <sheetName val="3.5 PILs.Sch 10 CEC"/>
      <sheetName val="3.6 PILs Sch 7 LCF"/>
      <sheetName val="3.7 PILs.Reserves"/>
      <sheetName val="3.8 PILs.TxblIncome"/>
      <sheetName val="3.9. PILs.Final PILs"/>
      <sheetName val="LOAD FORECAST -&gt;"/>
      <sheetName val="3.10 LoadForecast"/>
      <sheetName val="Exhibit 4 -&gt;"/>
      <sheetName val="OM&amp;A -&gt;"/>
      <sheetName val="4.1 OM&amp;A_Detailed_Analysis"/>
      <sheetName val="4.2 OM&amp;A_Summary_Analys"/>
      <sheetName val="4.3 OMA Programs Final"/>
      <sheetName val="4.3 OMA Programs"/>
      <sheetName val="4.4 OM&amp;A_Cost _Drivers"/>
      <sheetName val="4.5 Monthly Staff Lvl"/>
      <sheetName val="4.6 Yearly Staff Turnover"/>
      <sheetName val="4.7 Employee Costs"/>
      <sheetName val="4.8. Charitable Donations"/>
      <sheetName val="4.9 OM&amp;A_per_Cust_FTEE"/>
      <sheetName val="4.10 Regulatory_Costs"/>
      <sheetName val="4.11 Supplier Purchases"/>
      <sheetName val="4.12 PowerSupplExp"/>
      <sheetName val="4.13 Corp_Cost_Allocation"/>
      <sheetName val="Exhibit 5 -&gt;"/>
      <sheetName val="5.1 Capital Structure"/>
      <sheetName val="5.2 Debt Instruments"/>
      <sheetName val="Exhibit 6 -&gt;"/>
      <sheetName val="6.1 Revenue Requirement"/>
      <sheetName val="6.2 Chg in RevReq"/>
      <sheetName val="6.3 Rev Deficiency Sufficiency"/>
      <sheetName val="6.4 Calc of ROE on Deemed Basis"/>
      <sheetName val="Exhibit 8 -&gt;"/>
      <sheetName val="8.1 Loss Factors"/>
      <sheetName val="8.2 IFRS Transition Costs"/>
      <sheetName val="8.3 Integrity 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>
        <row r="58">
          <cell r="N58">
            <v>6.0321318398108351E-3</v>
          </cell>
        </row>
        <row r="59">
          <cell r="N59">
            <v>5.5533911754495633E-3</v>
          </cell>
        </row>
        <row r="60">
          <cell r="N60">
            <v>2.2676027838117778</v>
          </cell>
        </row>
        <row r="61">
          <cell r="N61">
            <v>1.718771417466135</v>
          </cell>
        </row>
        <row r="62">
          <cell r="N62">
            <v>1.7100626163905326</v>
          </cell>
        </row>
        <row r="63">
          <cell r="N63">
            <v>5.553386925641648E-3</v>
          </cell>
        </row>
        <row r="74">
          <cell r="N74">
            <v>4.5995082603774813E-3</v>
          </cell>
        </row>
        <row r="75">
          <cell r="N75">
            <v>4.088451920223014E-3</v>
          </cell>
        </row>
        <row r="76">
          <cell r="N76">
            <v>1.6311900310603258</v>
          </cell>
        </row>
        <row r="77">
          <cell r="N77">
            <v>1.2874571475255887</v>
          </cell>
        </row>
        <row r="78">
          <cell r="N78">
            <v>1.2610821484702732</v>
          </cell>
        </row>
        <row r="79">
          <cell r="N79">
            <v>4.0884455565176761E-3</v>
          </cell>
        </row>
        <row r="171">
          <cell r="I171">
            <v>8.0000000000000004E-4</v>
          </cell>
        </row>
        <row r="172">
          <cell r="I172">
            <v>6.9999999999999999E-4</v>
          </cell>
        </row>
        <row r="173">
          <cell r="I173">
            <v>0.28549999999999998</v>
          </cell>
        </row>
        <row r="174">
          <cell r="I174">
            <v>0.2253</v>
          </cell>
        </row>
        <row r="176">
          <cell r="I176">
            <v>6.9999999999999999E-4</v>
          </cell>
        </row>
      </sheetData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ctrlProp" Target="../ctrlProps/ctrlProp20.xml"/><Relationship Id="rId4" Type="http://schemas.openxmlformats.org/officeDocument/2006/relationships/ctrlProp" Target="../ctrlProps/ctrlProp1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5" Type="http://schemas.openxmlformats.org/officeDocument/2006/relationships/ctrlProp" Target="../ctrlProps/ctrlProp22.xml"/><Relationship Id="rId4" Type="http://schemas.openxmlformats.org/officeDocument/2006/relationships/ctrlProp" Target="../ctrlProps/ctrlProp2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5" Type="http://schemas.openxmlformats.org/officeDocument/2006/relationships/ctrlProp" Target="../ctrlProps/ctrlProp24.xml"/><Relationship Id="rId4" Type="http://schemas.openxmlformats.org/officeDocument/2006/relationships/ctrlProp" Target="../ctrlProps/ctrlProp2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1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92"/>
  <sheetViews>
    <sheetView showGridLines="0" tabSelected="1" workbookViewId="0">
      <selection activeCell="B10" sqref="B10:O10"/>
    </sheetView>
  </sheetViews>
  <sheetFormatPr defaultRowHeight="12.75"/>
  <cols>
    <col min="1" max="1" width="11.28515625" style="12" customWidth="1"/>
    <col min="2" max="2" width="26.5703125" style="13" customWidth="1"/>
    <col min="3" max="3" width="1.28515625" style="12" customWidth="1"/>
    <col min="4" max="4" width="11.28515625" style="12" customWidth="1"/>
    <col min="5" max="5" width="1.28515625" style="12" customWidth="1"/>
    <col min="6" max="6" width="12.28515625" style="12" customWidth="1"/>
    <col min="7" max="7" width="8.5703125" style="12" customWidth="1"/>
    <col min="8" max="8" width="11.140625" style="12" customWidth="1"/>
    <col min="9" max="9" width="2.85546875" style="12" customWidth="1"/>
    <col min="10" max="10" width="12.140625" style="12" customWidth="1"/>
    <col min="11" max="11" width="8.5703125" style="12" customWidth="1"/>
    <col min="12" max="12" width="9.7109375" style="12" customWidth="1"/>
    <col min="13" max="13" width="2.85546875" style="12" customWidth="1"/>
    <col min="14" max="14" width="12.7109375" style="12" customWidth="1"/>
    <col min="15" max="15" width="10.85546875" style="12" customWidth="1"/>
    <col min="16" max="16" width="3.85546875" style="12" customWidth="1"/>
    <col min="17" max="16384" width="9.140625" style="12"/>
  </cols>
  <sheetData>
    <row r="1" spans="1:20" s="2" customFormat="1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/>
      <c r="O1" s="4"/>
      <c r="T1" s="2">
        <v>1</v>
      </c>
    </row>
    <row r="2" spans="1:20" s="2" customFormat="1" ht="12.75" customHeight="1">
      <c r="A2" s="5"/>
      <c r="B2" s="6"/>
      <c r="C2" s="5"/>
      <c r="D2" s="5"/>
      <c r="E2" s="5"/>
      <c r="F2" s="5"/>
      <c r="G2" s="5"/>
      <c r="H2" s="5"/>
      <c r="I2" s="5"/>
      <c r="J2" s="5"/>
      <c r="K2" s="5"/>
      <c r="N2" s="3"/>
      <c r="O2" s="7"/>
    </row>
    <row r="3" spans="1:20" s="2" customFormat="1" ht="12.75" customHeight="1">
      <c r="A3" s="295"/>
      <c r="B3" s="295"/>
      <c r="C3" s="295"/>
      <c r="D3" s="295"/>
      <c r="E3" s="295"/>
      <c r="F3" s="295"/>
      <c r="G3" s="295"/>
      <c r="H3" s="295"/>
      <c r="I3" s="295"/>
      <c r="J3" s="295"/>
      <c r="K3" s="295"/>
      <c r="N3" s="3"/>
      <c r="O3" s="7"/>
    </row>
    <row r="4" spans="1:20" s="2" customFormat="1" ht="12.75" customHeight="1">
      <c r="A4" s="5"/>
      <c r="B4" s="6"/>
      <c r="C4" s="5"/>
      <c r="D4" s="5"/>
      <c r="E4" s="5"/>
      <c r="F4" s="5"/>
      <c r="G4" s="5"/>
      <c r="H4" s="5"/>
      <c r="I4" s="8"/>
      <c r="J4" s="8"/>
      <c r="K4" s="8"/>
      <c r="N4" s="3"/>
      <c r="O4" s="7"/>
    </row>
    <row r="5" spans="1:20" s="2" customFormat="1" ht="12.75" customHeight="1">
      <c r="B5" s="9"/>
      <c r="C5" s="10"/>
      <c r="D5" s="10"/>
      <c r="E5" s="10"/>
      <c r="N5" s="3"/>
      <c r="O5" s="4"/>
    </row>
    <row r="6" spans="1:20" s="2" customFormat="1" ht="12.75" customHeight="1">
      <c r="B6" s="9"/>
      <c r="N6" s="3"/>
      <c r="O6" s="11"/>
    </row>
    <row r="7" spans="1:20" s="2" customFormat="1" ht="12.75" customHeight="1">
      <c r="B7" s="9"/>
      <c r="N7" s="3"/>
      <c r="O7" s="4"/>
    </row>
    <row r="8" spans="1:20" s="2" customFormat="1" ht="12.75" customHeight="1">
      <c r="B8" s="9"/>
    </row>
    <row r="9" spans="1:20" ht="12.75" customHeight="1"/>
    <row r="10" spans="1:20" s="130" customFormat="1" ht="18.75" customHeight="1">
      <c r="B10" s="299" t="s">
        <v>0</v>
      </c>
      <c r="C10" s="299"/>
      <c r="D10" s="299"/>
      <c r="E10" s="299"/>
      <c r="F10" s="299"/>
      <c r="G10" s="299"/>
      <c r="H10" s="299"/>
      <c r="I10" s="299"/>
      <c r="J10" s="299"/>
      <c r="K10" s="299"/>
      <c r="L10" s="299"/>
      <c r="M10" s="299"/>
      <c r="N10" s="299"/>
      <c r="O10" s="299"/>
    </row>
    <row r="11" spans="1:20" ht="18.75" customHeight="1">
      <c r="B11" s="296" t="s">
        <v>1</v>
      </c>
      <c r="C11" s="296"/>
      <c r="D11" s="296"/>
      <c r="E11" s="296"/>
      <c r="F11" s="296"/>
      <c r="G11" s="296"/>
      <c r="H11" s="296"/>
      <c r="I11" s="296"/>
      <c r="J11" s="296"/>
      <c r="K11" s="296"/>
      <c r="L11" s="296"/>
      <c r="M11" s="296"/>
      <c r="N11" s="296"/>
      <c r="O11" s="296"/>
    </row>
    <row r="12" spans="1:20" ht="7.5" customHeight="1"/>
    <row r="13" spans="1:20" ht="7.5" customHeight="1"/>
    <row r="14" spans="1:20" ht="15.75">
      <c r="B14" s="131" t="s">
        <v>2</v>
      </c>
      <c r="D14" s="297" t="s">
        <v>3</v>
      </c>
      <c r="E14" s="297"/>
      <c r="F14" s="297"/>
      <c r="G14" s="297"/>
      <c r="H14" s="297"/>
      <c r="I14" s="297"/>
      <c r="J14" s="297"/>
      <c r="K14" s="297"/>
      <c r="L14" s="297"/>
      <c r="M14" s="297"/>
      <c r="N14" s="297"/>
      <c r="O14" s="297"/>
    </row>
    <row r="15" spans="1:20" ht="7.5" customHeight="1">
      <c r="B15" s="132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</row>
    <row r="16" spans="1:20" ht="15.75">
      <c r="B16" s="131" t="s">
        <v>4</v>
      </c>
      <c r="D16" s="134" t="s">
        <v>5</v>
      </c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</row>
    <row r="17" spans="1:15" ht="15.75">
      <c r="B17" s="132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</row>
    <row r="18" spans="1:15">
      <c r="B18" s="135"/>
      <c r="D18" s="136" t="s">
        <v>6</v>
      </c>
      <c r="E18" s="136"/>
      <c r="F18" s="137">
        <v>800</v>
      </c>
      <c r="G18" s="136" t="s">
        <v>7</v>
      </c>
    </row>
    <row r="19" spans="1:15">
      <c r="B19" s="135"/>
    </row>
    <row r="20" spans="1:15">
      <c r="B20" s="135"/>
      <c r="D20" s="138"/>
      <c r="E20" s="138"/>
      <c r="F20" s="298" t="s">
        <v>8</v>
      </c>
      <c r="G20" s="298"/>
      <c r="H20" s="298"/>
      <c r="J20" s="298" t="s">
        <v>9</v>
      </c>
      <c r="K20" s="298"/>
      <c r="L20" s="298"/>
      <c r="N20" s="298" t="s">
        <v>10</v>
      </c>
      <c r="O20" s="298"/>
    </row>
    <row r="21" spans="1:15">
      <c r="B21" s="135"/>
      <c r="D21" s="289" t="s">
        <v>11</v>
      </c>
      <c r="E21" s="139"/>
      <c r="F21" s="140" t="s">
        <v>12</v>
      </c>
      <c r="G21" s="140" t="s">
        <v>13</v>
      </c>
      <c r="H21" s="141" t="s">
        <v>14</v>
      </c>
      <c r="J21" s="140" t="s">
        <v>12</v>
      </c>
      <c r="K21" s="142" t="s">
        <v>13</v>
      </c>
      <c r="L21" s="141" t="s">
        <v>14</v>
      </c>
      <c r="N21" s="290" t="s">
        <v>15</v>
      </c>
      <c r="O21" s="291" t="s">
        <v>16</v>
      </c>
    </row>
    <row r="22" spans="1:15">
      <c r="B22" s="135"/>
      <c r="D22" s="289"/>
      <c r="E22" s="139"/>
      <c r="F22" s="143" t="s">
        <v>17</v>
      </c>
      <c r="G22" s="143"/>
      <c r="H22" s="144" t="s">
        <v>17</v>
      </c>
      <c r="J22" s="143" t="s">
        <v>17</v>
      </c>
      <c r="K22" s="144"/>
      <c r="L22" s="144" t="s">
        <v>17</v>
      </c>
      <c r="N22" s="290"/>
      <c r="O22" s="291"/>
    </row>
    <row r="23" spans="1:15">
      <c r="B23" s="145" t="s">
        <v>18</v>
      </c>
      <c r="C23" s="20"/>
      <c r="D23" s="146" t="s">
        <v>19</v>
      </c>
      <c r="E23" s="14"/>
      <c r="F23" s="147">
        <f>'[1]B. CurrentTariff'!C32</f>
        <v>10.99</v>
      </c>
      <c r="G23" s="15">
        <v>1</v>
      </c>
      <c r="H23" s="16">
        <f>G23*F23</f>
        <v>10.99</v>
      </c>
      <c r="I23" s="28"/>
      <c r="J23" s="148">
        <f>'[1]G. RateDesign'!B46</f>
        <v>18.05</v>
      </c>
      <c r="K23" s="17">
        <v>1</v>
      </c>
      <c r="L23" s="16">
        <f>K23*J23</f>
        <v>18.05</v>
      </c>
      <c r="M23" s="28"/>
      <c r="N23" s="149">
        <f>L23-H23</f>
        <v>7.0600000000000005</v>
      </c>
      <c r="O23" s="18">
        <f>IF((H23)=0,"",(N23/H23))</f>
        <v>0.6424021838034577</v>
      </c>
    </row>
    <row r="24" spans="1:15">
      <c r="A24" s="19"/>
      <c r="B24" s="145" t="s">
        <v>20</v>
      </c>
      <c r="C24" s="20"/>
      <c r="D24" s="146"/>
      <c r="E24" s="14"/>
      <c r="F24" s="150"/>
      <c r="G24" s="15">
        <v>1</v>
      </c>
      <c r="H24" s="16">
        <f t="shared" ref="H24:H38" si="0">G24*F24</f>
        <v>0</v>
      </c>
      <c r="I24" s="28"/>
      <c r="J24" s="148"/>
      <c r="K24" s="17">
        <v>1</v>
      </c>
      <c r="L24" s="16">
        <f>K24*J24</f>
        <v>0</v>
      </c>
      <c r="M24" s="28"/>
      <c r="N24" s="149">
        <f>L24-H24</f>
        <v>0</v>
      </c>
      <c r="O24" s="18" t="str">
        <f>IF((H24)=0,"",(N24/H24))</f>
        <v/>
      </c>
    </row>
    <row r="25" spans="1:15">
      <c r="A25" s="19"/>
      <c r="B25" s="151" t="s">
        <v>21</v>
      </c>
      <c r="C25" s="20"/>
      <c r="D25" s="146" t="s">
        <v>19</v>
      </c>
      <c r="E25" s="14"/>
      <c r="F25" s="150"/>
      <c r="G25" s="15">
        <v>1</v>
      </c>
      <c r="H25" s="16">
        <f t="shared" si="0"/>
        <v>0</v>
      </c>
      <c r="I25" s="28"/>
      <c r="J25" s="148">
        <f>'[1]I. SMRR'!G13</f>
        <v>0.78171012891784653</v>
      </c>
      <c r="K25" s="17">
        <v>1</v>
      </c>
      <c r="L25" s="16">
        <f t="shared" ref="L25:L38" si="1">K25*J25</f>
        <v>0.78171012891784653</v>
      </c>
      <c r="M25" s="28"/>
      <c r="N25" s="149">
        <f t="shared" ref="N25:N67" si="2">L25-H25</f>
        <v>0.78171012891784653</v>
      </c>
      <c r="O25" s="18" t="str">
        <f t="shared" ref="O25:O47" si="3">IF((H25)=0,"",(N25/H25))</f>
        <v/>
      </c>
    </row>
    <row r="26" spans="1:15">
      <c r="A26" s="19"/>
      <c r="B26" s="145" t="s">
        <v>22</v>
      </c>
      <c r="C26" s="20"/>
      <c r="D26" s="146"/>
      <c r="E26" s="14"/>
      <c r="F26" s="150"/>
      <c r="G26" s="15">
        <v>1</v>
      </c>
      <c r="H26" s="16">
        <f t="shared" si="0"/>
        <v>0</v>
      </c>
      <c r="I26" s="28"/>
      <c r="J26" s="148">
        <v>3.36</v>
      </c>
      <c r="K26" s="17">
        <v>1</v>
      </c>
      <c r="L26" s="16">
        <f t="shared" si="1"/>
        <v>3.36</v>
      </c>
      <c r="M26" s="28"/>
      <c r="N26" s="149">
        <f t="shared" si="2"/>
        <v>3.36</v>
      </c>
      <c r="O26" s="18" t="str">
        <f t="shared" si="3"/>
        <v/>
      </c>
    </row>
    <row r="27" spans="1:15">
      <c r="A27" s="19"/>
      <c r="B27" s="152"/>
      <c r="C27" s="20"/>
      <c r="D27" s="146"/>
      <c r="E27" s="14"/>
      <c r="F27" s="150"/>
      <c r="G27" s="15">
        <v>1</v>
      </c>
      <c r="H27" s="16">
        <f t="shared" si="0"/>
        <v>0</v>
      </c>
      <c r="I27" s="28"/>
      <c r="J27" s="31"/>
      <c r="K27" s="17">
        <v>1</v>
      </c>
      <c r="L27" s="16">
        <f t="shared" si="1"/>
        <v>0</v>
      </c>
      <c r="M27" s="28"/>
      <c r="N27" s="149">
        <f t="shared" si="2"/>
        <v>0</v>
      </c>
      <c r="O27" s="18" t="str">
        <f t="shared" si="3"/>
        <v/>
      </c>
    </row>
    <row r="28" spans="1:15">
      <c r="A28" s="19"/>
      <c r="B28" s="152"/>
      <c r="C28" s="20"/>
      <c r="D28" s="146"/>
      <c r="E28" s="14"/>
      <c r="F28" s="150"/>
      <c r="G28" s="15">
        <v>1</v>
      </c>
      <c r="H28" s="16">
        <f t="shared" si="0"/>
        <v>0</v>
      </c>
      <c r="I28" s="28"/>
      <c r="J28" s="31"/>
      <c r="K28" s="17">
        <v>1</v>
      </c>
      <c r="L28" s="16">
        <f t="shared" si="1"/>
        <v>0</v>
      </c>
      <c r="M28" s="28"/>
      <c r="N28" s="149">
        <f t="shared" si="2"/>
        <v>0</v>
      </c>
      <c r="O28" s="18" t="str">
        <f t="shared" si="3"/>
        <v/>
      </c>
    </row>
    <row r="29" spans="1:15">
      <c r="A29" s="19"/>
      <c r="B29" s="145" t="s">
        <v>23</v>
      </c>
      <c r="C29" s="20"/>
      <c r="D29" s="146" t="s">
        <v>24</v>
      </c>
      <c r="E29" s="14"/>
      <c r="F29" s="150">
        <f>'[1]B. CurrentTariff'!C33</f>
        <v>1.4999999999999999E-2</v>
      </c>
      <c r="G29" s="15">
        <f t="shared" ref="G29:G38" si="4">$F$18</f>
        <v>800</v>
      </c>
      <c r="H29" s="16">
        <f t="shared" si="0"/>
        <v>12</v>
      </c>
      <c r="I29" s="28"/>
      <c r="J29" s="31">
        <f>'[1]G. RateDesign'!G46</f>
        <v>1.1395508957599455E-2</v>
      </c>
      <c r="K29" s="15">
        <f>$F$18</f>
        <v>800</v>
      </c>
      <c r="L29" s="16">
        <f t="shared" si="1"/>
        <v>9.1164071660795631</v>
      </c>
      <c r="M29" s="28"/>
      <c r="N29" s="149">
        <f t="shared" si="2"/>
        <v>-2.8835928339204369</v>
      </c>
      <c r="O29" s="18">
        <f t="shared" si="3"/>
        <v>-0.24029940282670306</v>
      </c>
    </row>
    <row r="30" spans="1:15">
      <c r="A30" s="19"/>
      <c r="B30" s="145" t="s">
        <v>22</v>
      </c>
      <c r="C30" s="20"/>
      <c r="D30" s="146" t="s">
        <v>24</v>
      </c>
      <c r="E30" s="14"/>
      <c r="F30" s="150"/>
      <c r="G30" s="15">
        <f t="shared" si="4"/>
        <v>800</v>
      </c>
      <c r="H30" s="16">
        <f t="shared" si="0"/>
        <v>0</v>
      </c>
      <c r="I30" s="28"/>
      <c r="J30" s="31"/>
      <c r="K30" s="15">
        <f t="shared" ref="K30:K38" si="5">$F$18</f>
        <v>800</v>
      </c>
      <c r="L30" s="16">
        <f t="shared" si="1"/>
        <v>0</v>
      </c>
      <c r="M30" s="28"/>
      <c r="N30" s="149">
        <f t="shared" si="2"/>
        <v>0</v>
      </c>
      <c r="O30" s="18" t="str">
        <f t="shared" si="3"/>
        <v/>
      </c>
    </row>
    <row r="31" spans="1:15">
      <c r="A31" s="19"/>
      <c r="B31" s="145" t="s">
        <v>25</v>
      </c>
      <c r="C31" s="20"/>
      <c r="D31" s="146" t="s">
        <v>24</v>
      </c>
      <c r="E31" s="14"/>
      <c r="F31" s="150"/>
      <c r="G31" s="15">
        <f t="shared" si="4"/>
        <v>800</v>
      </c>
      <c r="H31" s="16">
        <f t="shared" si="0"/>
        <v>0</v>
      </c>
      <c r="I31" s="28"/>
      <c r="J31" s="31"/>
      <c r="K31" s="15">
        <f t="shared" si="5"/>
        <v>800</v>
      </c>
      <c r="L31" s="16">
        <f t="shared" si="1"/>
        <v>0</v>
      </c>
      <c r="M31" s="28"/>
      <c r="N31" s="149">
        <f t="shared" si="2"/>
        <v>0</v>
      </c>
      <c r="O31" s="18" t="str">
        <f t="shared" si="3"/>
        <v/>
      </c>
    </row>
    <row r="32" spans="1:15">
      <c r="A32" s="19"/>
      <c r="B32" s="151"/>
      <c r="C32" s="20"/>
      <c r="D32" s="146"/>
      <c r="E32" s="14"/>
      <c r="F32" s="150"/>
      <c r="G32" s="15">
        <f t="shared" si="4"/>
        <v>800</v>
      </c>
      <c r="H32" s="16">
        <f>G32*F32</f>
        <v>0</v>
      </c>
      <c r="I32" s="28"/>
      <c r="J32" s="31"/>
      <c r="K32" s="15">
        <f t="shared" si="5"/>
        <v>800</v>
      </c>
      <c r="L32" s="16">
        <f>K32*J32</f>
        <v>0</v>
      </c>
      <c r="M32" s="28"/>
      <c r="N32" s="149">
        <f>L32-H32</f>
        <v>0</v>
      </c>
      <c r="O32" s="18" t="str">
        <f>IF((H32)=0,"",(N32/H32))</f>
        <v/>
      </c>
    </row>
    <row r="33" spans="1:15">
      <c r="A33" s="19"/>
      <c r="B33" s="151"/>
      <c r="C33" s="20"/>
      <c r="D33" s="146"/>
      <c r="E33" s="14"/>
      <c r="F33" s="150"/>
      <c r="G33" s="15">
        <f t="shared" si="4"/>
        <v>800</v>
      </c>
      <c r="H33" s="16">
        <f>G33*F33</f>
        <v>0</v>
      </c>
      <c r="I33" s="28"/>
      <c r="J33" s="31"/>
      <c r="K33" s="15">
        <f t="shared" si="5"/>
        <v>800</v>
      </c>
      <c r="L33" s="16">
        <f>K33*J33</f>
        <v>0</v>
      </c>
      <c r="M33" s="28"/>
      <c r="N33" s="149">
        <f>L33-H33</f>
        <v>0</v>
      </c>
      <c r="O33" s="18" t="str">
        <f>IF((H33)=0,"",(N33/H33))</f>
        <v/>
      </c>
    </row>
    <row r="34" spans="1:15">
      <c r="A34" s="19"/>
      <c r="B34" s="151"/>
      <c r="C34" s="20"/>
      <c r="D34" s="146"/>
      <c r="E34" s="14"/>
      <c r="F34" s="150"/>
      <c r="G34" s="15">
        <f t="shared" si="4"/>
        <v>800</v>
      </c>
      <c r="H34" s="16">
        <f>G34*F34</f>
        <v>0</v>
      </c>
      <c r="I34" s="28"/>
      <c r="J34" s="31"/>
      <c r="K34" s="15">
        <f t="shared" si="5"/>
        <v>800</v>
      </c>
      <c r="L34" s="16">
        <f>K34*J34</f>
        <v>0</v>
      </c>
      <c r="M34" s="28"/>
      <c r="N34" s="149">
        <f>L34-H34</f>
        <v>0</v>
      </c>
      <c r="O34" s="18" t="str">
        <f>IF((H34)=0,"",(N34/H34))</f>
        <v/>
      </c>
    </row>
    <row r="35" spans="1:15">
      <c r="A35" s="19"/>
      <c r="B35" s="151"/>
      <c r="C35" s="20"/>
      <c r="D35" s="146"/>
      <c r="E35" s="14"/>
      <c r="F35" s="150"/>
      <c r="G35" s="15">
        <f t="shared" si="4"/>
        <v>800</v>
      </c>
      <c r="H35" s="16">
        <f t="shared" si="0"/>
        <v>0</v>
      </c>
      <c r="I35" s="28"/>
      <c r="J35" s="31"/>
      <c r="K35" s="15">
        <f t="shared" si="5"/>
        <v>800</v>
      </c>
      <c r="L35" s="16">
        <f t="shared" si="1"/>
        <v>0</v>
      </c>
      <c r="M35" s="28"/>
      <c r="N35" s="149">
        <f t="shared" si="2"/>
        <v>0</v>
      </c>
      <c r="O35" s="18" t="str">
        <f t="shared" si="3"/>
        <v/>
      </c>
    </row>
    <row r="36" spans="1:15">
      <c r="A36" s="19"/>
      <c r="B36" s="151"/>
      <c r="C36" s="20"/>
      <c r="D36" s="146"/>
      <c r="E36" s="14"/>
      <c r="F36" s="150"/>
      <c r="G36" s="15">
        <f t="shared" si="4"/>
        <v>800</v>
      </c>
      <c r="H36" s="16">
        <f t="shared" si="0"/>
        <v>0</v>
      </c>
      <c r="I36" s="28"/>
      <c r="J36" s="31"/>
      <c r="K36" s="15">
        <f t="shared" si="5"/>
        <v>800</v>
      </c>
      <c r="L36" s="16">
        <f t="shared" si="1"/>
        <v>0</v>
      </c>
      <c r="M36" s="28"/>
      <c r="N36" s="149">
        <f t="shared" si="2"/>
        <v>0</v>
      </c>
      <c r="O36" s="18" t="str">
        <f t="shared" si="3"/>
        <v/>
      </c>
    </row>
    <row r="37" spans="1:15">
      <c r="A37" s="19"/>
      <c r="B37" s="151"/>
      <c r="C37" s="20"/>
      <c r="D37" s="146"/>
      <c r="E37" s="14"/>
      <c r="F37" s="150"/>
      <c r="G37" s="15">
        <f t="shared" si="4"/>
        <v>800</v>
      </c>
      <c r="H37" s="16">
        <f t="shared" si="0"/>
        <v>0</v>
      </c>
      <c r="I37" s="28"/>
      <c r="J37" s="31"/>
      <c r="K37" s="15">
        <f t="shared" si="5"/>
        <v>800</v>
      </c>
      <c r="L37" s="16">
        <f t="shared" si="1"/>
        <v>0</v>
      </c>
      <c r="M37" s="28"/>
      <c r="N37" s="149">
        <f t="shared" si="2"/>
        <v>0</v>
      </c>
      <c r="O37" s="18" t="str">
        <f t="shared" si="3"/>
        <v/>
      </c>
    </row>
    <row r="38" spans="1:15">
      <c r="A38" s="19"/>
      <c r="B38" s="151"/>
      <c r="C38" s="20"/>
      <c r="D38" s="146"/>
      <c r="E38" s="14"/>
      <c r="F38" s="150"/>
      <c r="G38" s="15">
        <f t="shared" si="4"/>
        <v>800</v>
      </c>
      <c r="H38" s="16">
        <f t="shared" si="0"/>
        <v>0</v>
      </c>
      <c r="I38" s="28"/>
      <c r="J38" s="31"/>
      <c r="K38" s="15">
        <f t="shared" si="5"/>
        <v>800</v>
      </c>
      <c r="L38" s="16">
        <f t="shared" si="1"/>
        <v>0</v>
      </c>
      <c r="M38" s="28"/>
      <c r="N38" s="149">
        <f t="shared" si="2"/>
        <v>0</v>
      </c>
      <c r="O38" s="18" t="str">
        <f t="shared" si="3"/>
        <v/>
      </c>
    </row>
    <row r="39" spans="1:15">
      <c r="A39" s="19"/>
      <c r="B39" s="153" t="s">
        <v>26</v>
      </c>
      <c r="C39" s="154"/>
      <c r="D39" s="155"/>
      <c r="E39" s="154"/>
      <c r="F39" s="156"/>
      <c r="G39" s="157"/>
      <c r="H39" s="158">
        <f>SUM(H23:H38)</f>
        <v>22.990000000000002</v>
      </c>
      <c r="I39" s="28"/>
      <c r="J39" s="159"/>
      <c r="K39" s="160"/>
      <c r="L39" s="158">
        <f>SUM(L23:L38)</f>
        <v>31.308117294997409</v>
      </c>
      <c r="M39" s="28"/>
      <c r="N39" s="161">
        <f t="shared" si="2"/>
        <v>8.3181172949974069</v>
      </c>
      <c r="O39" s="162">
        <f t="shared" si="3"/>
        <v>0.36181458438440217</v>
      </c>
    </row>
    <row r="40" spans="1:15" ht="51">
      <c r="A40" s="163"/>
      <c r="B40" s="164" t="str">
        <f>'[1]J. DVA'!$B$16</f>
        <v>Rate Rider Calculation for Deferral / Variance Accounts Balances (excluding Global Adj.)</v>
      </c>
      <c r="C40" s="20"/>
      <c r="D40" s="165" t="s">
        <v>24</v>
      </c>
      <c r="E40" s="20"/>
      <c r="F40" s="166"/>
      <c r="G40" s="21">
        <f>$F$18</f>
        <v>800</v>
      </c>
      <c r="H40" s="22">
        <f t="shared" ref="H40:H48" si="6">G40*F40</f>
        <v>0</v>
      </c>
      <c r="I40" s="167"/>
      <c r="J40" s="166">
        <f>'[1]J. DVA'!F20</f>
        <v>-8.3191383168094741E-4</v>
      </c>
      <c r="K40" s="21">
        <f t="shared" ref="K40:K46" si="7">$F$18</f>
        <v>800</v>
      </c>
      <c r="L40" s="22">
        <f>K40*J40</f>
        <v>-0.66553106534475792</v>
      </c>
      <c r="M40" s="167"/>
      <c r="N40" s="168">
        <f>L40-H40</f>
        <v>-0.66553106534475792</v>
      </c>
      <c r="O40" s="23" t="str">
        <f t="shared" si="3"/>
        <v/>
      </c>
    </row>
    <row r="41" spans="1:15" ht="51">
      <c r="A41" s="169"/>
      <c r="B41" s="164" t="str">
        <f>'[1]J. DVA'!$B$42</f>
        <v>Rate Rider Calculation for Deferral / Variance Accounts Balances (excluding Global Adj.) - NON-WMP</v>
      </c>
      <c r="C41" s="20"/>
      <c r="D41" s="165" t="s">
        <v>24</v>
      </c>
      <c r="E41" s="20"/>
      <c r="F41" s="166"/>
      <c r="G41" s="21">
        <f t="shared" ref="G41:G45" si="8">$F$18</f>
        <v>800</v>
      </c>
      <c r="H41" s="22">
        <f t="shared" si="6"/>
        <v>0</v>
      </c>
      <c r="I41" s="167"/>
      <c r="J41" s="166">
        <f>'[1]J. DVA'!F46</f>
        <v>-2.646861822728247E-3</v>
      </c>
      <c r="K41" s="21">
        <f t="shared" si="7"/>
        <v>800</v>
      </c>
      <c r="L41" s="22">
        <f t="shared" ref="L41:L45" si="9">K41*J41</f>
        <v>-2.1174894581825976</v>
      </c>
      <c r="M41" s="167"/>
      <c r="N41" s="168">
        <f t="shared" ref="N41:N45" si="10">L41-H41</f>
        <v>-2.1174894581825976</v>
      </c>
      <c r="O41" s="23" t="str">
        <f t="shared" si="3"/>
        <v/>
      </c>
    </row>
    <row r="42" spans="1:15" ht="38.25">
      <c r="A42" s="169"/>
      <c r="B42" s="164" t="str">
        <f>'[1]J. DVA'!$B$68</f>
        <v>Rate Rider Calculation for RSVA - Power - Global Adjustment</v>
      </c>
      <c r="C42" s="20"/>
      <c r="D42" s="165" t="s">
        <v>24</v>
      </c>
      <c r="E42" s="20"/>
      <c r="F42" s="166"/>
      <c r="G42" s="21">
        <f t="shared" si="8"/>
        <v>800</v>
      </c>
      <c r="H42" s="22"/>
      <c r="I42" s="167"/>
      <c r="J42" s="166"/>
      <c r="K42" s="21">
        <f t="shared" si="7"/>
        <v>800</v>
      </c>
      <c r="L42" s="22">
        <f t="shared" si="9"/>
        <v>0</v>
      </c>
      <c r="M42" s="167"/>
      <c r="N42" s="168">
        <f t="shared" si="10"/>
        <v>0</v>
      </c>
      <c r="O42" s="23" t="str">
        <f t="shared" si="3"/>
        <v/>
      </c>
    </row>
    <row r="43" spans="1:15" ht="25.5">
      <c r="A43" s="169"/>
      <c r="B43" s="164" t="str">
        <f>'[1]J. DVA'!$B$121</f>
        <v>Rate Rider Calculation for Group 2 Accounts</v>
      </c>
      <c r="C43" s="20"/>
      <c r="D43" s="165" t="s">
        <v>19</v>
      </c>
      <c r="E43" s="20"/>
      <c r="F43" s="166"/>
      <c r="G43" s="21">
        <f t="shared" si="8"/>
        <v>800</v>
      </c>
      <c r="H43" s="22"/>
      <c r="I43" s="167"/>
      <c r="J43" s="166">
        <f>'[1]J. DVA'!F125</f>
        <v>0.71763615173398432</v>
      </c>
      <c r="K43" s="21">
        <v>1</v>
      </c>
      <c r="L43" s="22">
        <f t="shared" si="9"/>
        <v>0.71763615173398432</v>
      </c>
      <c r="M43" s="167"/>
      <c r="N43" s="168">
        <f t="shared" si="10"/>
        <v>0.71763615173398432</v>
      </c>
      <c r="O43" s="23" t="str">
        <f t="shared" si="3"/>
        <v/>
      </c>
    </row>
    <row r="44" spans="1:15" ht="25.5">
      <c r="A44" s="163"/>
      <c r="B44" s="164" t="str">
        <f>'[1]J. DVA'!$B$147</f>
        <v>Rate Rider Calculation for Accounts 1575 and 1576</v>
      </c>
      <c r="C44" s="20"/>
      <c r="D44" s="165" t="s">
        <v>24</v>
      </c>
      <c r="E44" s="20"/>
      <c r="F44" s="166"/>
      <c r="G44" s="21">
        <f t="shared" si="8"/>
        <v>800</v>
      </c>
      <c r="H44" s="22">
        <f t="shared" si="6"/>
        <v>0</v>
      </c>
      <c r="I44" s="167"/>
      <c r="J44" s="166">
        <f>'[1]J. DVA'!F153</f>
        <v>2.345544481897622E-4</v>
      </c>
      <c r="K44" s="21">
        <f t="shared" si="7"/>
        <v>800</v>
      </c>
      <c r="L44" s="22">
        <f t="shared" si="9"/>
        <v>0.18764355855180975</v>
      </c>
      <c r="M44" s="167"/>
      <c r="N44" s="168">
        <f t="shared" si="10"/>
        <v>0.18764355855180975</v>
      </c>
      <c r="O44" s="23" t="str">
        <f t="shared" si="3"/>
        <v/>
      </c>
    </row>
    <row r="45" spans="1:15" ht="25.5">
      <c r="A45" s="163"/>
      <c r="B45" s="164" t="str">
        <f>'[1]J. DVA'!$B$175</f>
        <v>Rate Rider Calculation for Accounts 1568</v>
      </c>
      <c r="C45" s="20"/>
      <c r="D45" s="165" t="s">
        <v>24</v>
      </c>
      <c r="E45" s="20"/>
      <c r="F45" s="166"/>
      <c r="G45" s="21">
        <f t="shared" si="8"/>
        <v>800</v>
      </c>
      <c r="H45" s="22">
        <f t="shared" si="6"/>
        <v>0</v>
      </c>
      <c r="I45" s="167"/>
      <c r="J45" s="166">
        <f>'[1]J. DVA'!F181</f>
        <v>1.9002491545530963E-4</v>
      </c>
      <c r="K45" s="21">
        <f t="shared" si="7"/>
        <v>800</v>
      </c>
      <c r="L45" s="22">
        <f t="shared" si="9"/>
        <v>0.15201993236424771</v>
      </c>
      <c r="M45" s="167"/>
      <c r="N45" s="168">
        <f t="shared" si="10"/>
        <v>0.15201993236424771</v>
      </c>
      <c r="O45" s="23" t="str">
        <f t="shared" si="3"/>
        <v/>
      </c>
    </row>
    <row r="46" spans="1:15">
      <c r="A46" s="163"/>
      <c r="B46" s="164" t="s">
        <v>27</v>
      </c>
      <c r="C46" s="20"/>
      <c r="D46" s="165" t="s">
        <v>24</v>
      </c>
      <c r="E46" s="20"/>
      <c r="F46" s="166">
        <v>1.1000000000000001E-3</v>
      </c>
      <c r="G46" s="21">
        <f>$F$18</f>
        <v>800</v>
      </c>
      <c r="H46" s="22">
        <f t="shared" si="6"/>
        <v>0.88</v>
      </c>
      <c r="I46" s="167"/>
      <c r="J46" s="166">
        <f>'[2]4.12 PowerSupplExp'!$I$171</f>
        <v>8.0000000000000004E-4</v>
      </c>
      <c r="K46" s="21">
        <f t="shared" si="7"/>
        <v>800</v>
      </c>
      <c r="L46" s="22">
        <f>K46*J46</f>
        <v>0.64</v>
      </c>
      <c r="M46" s="167"/>
      <c r="N46" s="168">
        <f>L46-H46</f>
        <v>-0.24</v>
      </c>
      <c r="O46" s="24">
        <f>IF((H46)=0,"",(N46/H46))</f>
        <v>-0.27272727272727271</v>
      </c>
    </row>
    <row r="47" spans="1:15">
      <c r="A47" s="19"/>
      <c r="B47" s="145" t="s">
        <v>28</v>
      </c>
      <c r="C47" s="20"/>
      <c r="D47" s="165" t="s">
        <v>24</v>
      </c>
      <c r="E47" s="20"/>
      <c r="F47" s="166">
        <f>IF(ISBLANK(D16)=1, 0, IF(D16="TOU", 0.64*$F$57+0.18*$F$58+0.18*$F$59, IF(AND(D16="non-TOU", G61&gt;0), F61,F60)))</f>
        <v>9.5000000000000001E-2</v>
      </c>
      <c r="G47" s="21">
        <f>$F$18*(1+$F$76)-$F$18</f>
        <v>31.199999999999932</v>
      </c>
      <c r="H47" s="22">
        <f t="shared" si="6"/>
        <v>2.9639999999999938</v>
      </c>
      <c r="I47" s="167"/>
      <c r="J47" s="166">
        <f>0.64*$F$57+0.18*$F$58+0.18*$F$59</f>
        <v>9.5000000000000001E-2</v>
      </c>
      <c r="K47" s="21">
        <f>$F$18*(1+$J$76)-$F$18</f>
        <v>36.560000000000059</v>
      </c>
      <c r="L47" s="22">
        <f t="shared" ref="L47:L48" si="11">K47*J47</f>
        <v>3.4732000000000056</v>
      </c>
      <c r="M47" s="167"/>
      <c r="N47" s="168">
        <f t="shared" si="2"/>
        <v>0.50920000000001187</v>
      </c>
      <c r="O47" s="24">
        <f t="shared" si="3"/>
        <v>0.17179487179487615</v>
      </c>
    </row>
    <row r="48" spans="1:15">
      <c r="A48" s="19"/>
      <c r="B48" s="170" t="s">
        <v>29</v>
      </c>
      <c r="C48" s="20"/>
      <c r="D48" s="171" t="s">
        <v>24</v>
      </c>
      <c r="E48" s="14"/>
      <c r="F48" s="172">
        <v>0.79</v>
      </c>
      <c r="G48" s="25">
        <v>1</v>
      </c>
      <c r="H48" s="26">
        <f t="shared" si="6"/>
        <v>0.79</v>
      </c>
      <c r="I48" s="173"/>
      <c r="J48" s="172">
        <v>0.79</v>
      </c>
      <c r="K48" s="25">
        <v>1</v>
      </c>
      <c r="L48" s="26">
        <f t="shared" si="11"/>
        <v>0.79</v>
      </c>
      <c r="M48" s="173"/>
      <c r="N48" s="174">
        <f t="shared" si="2"/>
        <v>0</v>
      </c>
      <c r="O48" s="27"/>
    </row>
    <row r="49" spans="2:19" ht="25.5">
      <c r="B49" s="175" t="s">
        <v>30</v>
      </c>
      <c r="C49" s="176"/>
      <c r="D49" s="176"/>
      <c r="E49" s="176"/>
      <c r="F49" s="177"/>
      <c r="G49" s="178"/>
      <c r="H49" s="179">
        <f>SUM(H40:H48)+H39</f>
        <v>27.623999999999995</v>
      </c>
      <c r="I49" s="28"/>
      <c r="J49" s="178"/>
      <c r="K49" s="180"/>
      <c r="L49" s="179">
        <f>SUM(L40:L48)+L39</f>
        <v>34.485596414120103</v>
      </c>
      <c r="M49" s="28"/>
      <c r="N49" s="161">
        <f t="shared" si="2"/>
        <v>6.8615964141201076</v>
      </c>
      <c r="O49" s="162">
        <f t="shared" ref="O49:O67" si="12">IF((H49)=0,"",(N49/H49))</f>
        <v>0.24839257218795643</v>
      </c>
    </row>
    <row r="50" spans="2:19">
      <c r="B50" s="181" t="s">
        <v>31</v>
      </c>
      <c r="C50" s="28"/>
      <c r="D50" s="182" t="s">
        <v>24</v>
      </c>
      <c r="E50" s="28"/>
      <c r="F50" s="31">
        <f>'[1]B. CurrentTariff'!C45</f>
        <v>6.3E-3</v>
      </c>
      <c r="G50" s="29">
        <f>F18*(1+F76)</f>
        <v>831.19999999999993</v>
      </c>
      <c r="H50" s="16">
        <f>G50*F50</f>
        <v>5.2365599999999999</v>
      </c>
      <c r="I50" s="28"/>
      <c r="J50" s="31">
        <f>'[2]4.12 PowerSupplExp'!$N$58</f>
        <v>6.0321318398108351E-3</v>
      </c>
      <c r="K50" s="30">
        <f>F18*(1+J76)</f>
        <v>836.56000000000006</v>
      </c>
      <c r="L50" s="16">
        <f>K50*J50</f>
        <v>5.0462402119121528</v>
      </c>
      <c r="M50" s="28"/>
      <c r="N50" s="149">
        <f t="shared" si="2"/>
        <v>-0.19031978808784711</v>
      </c>
      <c r="O50" s="18">
        <f t="shared" si="12"/>
        <v>-3.6344429947875533E-2</v>
      </c>
    </row>
    <row r="51" spans="2:19" ht="25.5">
      <c r="B51" s="183" t="s">
        <v>32</v>
      </c>
      <c r="C51" s="28"/>
      <c r="D51" s="182" t="s">
        <v>24</v>
      </c>
      <c r="E51" s="28"/>
      <c r="F51" s="31">
        <f>'[1]B. CurrentTariff'!C46</f>
        <v>4.4999999999999997E-3</v>
      </c>
      <c r="G51" s="29">
        <f>G50</f>
        <v>831.19999999999993</v>
      </c>
      <c r="H51" s="16">
        <f>G51*F51</f>
        <v>3.7403999999999993</v>
      </c>
      <c r="I51" s="28"/>
      <c r="J51" s="31">
        <f>'[2]4.12 PowerSupplExp'!$N$74</f>
        <v>4.5995082603774813E-3</v>
      </c>
      <c r="K51" s="30">
        <f>K50</f>
        <v>836.56000000000006</v>
      </c>
      <c r="L51" s="16">
        <f>K51*J51</f>
        <v>3.8477646303013859</v>
      </c>
      <c r="M51" s="28"/>
      <c r="N51" s="149">
        <f t="shared" si="2"/>
        <v>0.10736463030138665</v>
      </c>
      <c r="O51" s="18">
        <f t="shared" si="12"/>
        <v>2.8704050449520551E-2</v>
      </c>
    </row>
    <row r="52" spans="2:19" ht="25.5">
      <c r="B52" s="175" t="s">
        <v>33</v>
      </c>
      <c r="C52" s="154"/>
      <c r="D52" s="154"/>
      <c r="E52" s="154"/>
      <c r="F52" s="184"/>
      <c r="G52" s="178"/>
      <c r="H52" s="179">
        <f>SUM(H49:H51)</f>
        <v>36.600959999999993</v>
      </c>
      <c r="I52" s="185"/>
      <c r="J52" s="186"/>
      <c r="K52" s="187"/>
      <c r="L52" s="179">
        <f>SUM(L49:L51)</f>
        <v>43.379601256333643</v>
      </c>
      <c r="M52" s="185"/>
      <c r="N52" s="161">
        <f t="shared" si="2"/>
        <v>6.7786412563336498</v>
      </c>
      <c r="O52" s="162">
        <f t="shared" si="12"/>
        <v>0.18520391968772543</v>
      </c>
    </row>
    <row r="53" spans="2:19" ht="25.5">
      <c r="B53" s="145" t="s">
        <v>34</v>
      </c>
      <c r="C53" s="20"/>
      <c r="D53" s="188" t="s">
        <v>24</v>
      </c>
      <c r="E53" s="14"/>
      <c r="F53" s="31">
        <v>4.4000000000000003E-3</v>
      </c>
      <c r="G53" s="29">
        <f>G51</f>
        <v>831.19999999999993</v>
      </c>
      <c r="H53" s="16">
        <f t="shared" ref="H53:H59" si="13">G53*F53</f>
        <v>3.6572800000000001</v>
      </c>
      <c r="I53" s="28"/>
      <c r="J53" s="31">
        <v>4.4000000000000003E-3</v>
      </c>
      <c r="K53" s="30">
        <f>K51</f>
        <v>836.56000000000006</v>
      </c>
      <c r="L53" s="16">
        <f t="shared" ref="L53:L59" si="14">K53*J53</f>
        <v>3.6808640000000006</v>
      </c>
      <c r="M53" s="28"/>
      <c r="N53" s="149">
        <f t="shared" si="2"/>
        <v>2.3584000000000493E-2</v>
      </c>
      <c r="O53" s="18">
        <f t="shared" si="12"/>
        <v>6.4485081809433492E-3</v>
      </c>
    </row>
    <row r="54" spans="2:19" ht="25.5">
      <c r="B54" s="145" t="s">
        <v>35</v>
      </c>
      <c r="C54" s="20"/>
      <c r="D54" s="188" t="s">
        <v>24</v>
      </c>
      <c r="E54" s="14"/>
      <c r="F54" s="31">
        <v>1.1999999999999999E-3</v>
      </c>
      <c r="G54" s="29">
        <f>G51</f>
        <v>831.19999999999993</v>
      </c>
      <c r="H54" s="16">
        <f t="shared" si="13"/>
        <v>0.99743999999999988</v>
      </c>
      <c r="I54" s="28"/>
      <c r="J54" s="31">
        <v>1.1999999999999999E-3</v>
      </c>
      <c r="K54" s="30">
        <f>K51</f>
        <v>836.56000000000006</v>
      </c>
      <c r="L54" s="16">
        <f t="shared" si="14"/>
        <v>1.0038719999999999</v>
      </c>
      <c r="M54" s="28"/>
      <c r="N54" s="149">
        <f t="shared" si="2"/>
        <v>6.4319999999999933E-3</v>
      </c>
      <c r="O54" s="18">
        <f t="shared" si="12"/>
        <v>6.4485081809432087E-3</v>
      </c>
    </row>
    <row r="55" spans="2:19" ht="25.5">
      <c r="B55" s="145" t="s">
        <v>36</v>
      </c>
      <c r="C55" s="20"/>
      <c r="D55" s="188" t="s">
        <v>19</v>
      </c>
      <c r="E55" s="14"/>
      <c r="F55" s="31">
        <v>0.25</v>
      </c>
      <c r="G55" s="15">
        <v>1</v>
      </c>
      <c r="H55" s="16">
        <f t="shared" si="13"/>
        <v>0.25</v>
      </c>
      <c r="I55" s="28"/>
      <c r="J55" s="31">
        <v>0.25</v>
      </c>
      <c r="K55" s="17">
        <v>1</v>
      </c>
      <c r="L55" s="16">
        <f t="shared" si="14"/>
        <v>0.25</v>
      </c>
      <c r="M55" s="28"/>
      <c r="N55" s="149">
        <f t="shared" si="2"/>
        <v>0</v>
      </c>
      <c r="O55" s="18">
        <f t="shared" si="12"/>
        <v>0</v>
      </c>
    </row>
    <row r="56" spans="2:19" ht="25.5">
      <c r="B56" s="145" t="s">
        <v>37</v>
      </c>
      <c r="C56" s="20"/>
      <c r="D56" s="188" t="s">
        <v>24</v>
      </c>
      <c r="E56" s="14"/>
      <c r="F56" s="31">
        <v>4.8999999999999998E-3</v>
      </c>
      <c r="G56" s="29">
        <f>F18</f>
        <v>800</v>
      </c>
      <c r="H56" s="16">
        <f t="shared" si="13"/>
        <v>3.92</v>
      </c>
      <c r="I56" s="28"/>
      <c r="J56" s="31">
        <v>4.8999999999999998E-3</v>
      </c>
      <c r="K56" s="30">
        <f>F18</f>
        <v>800</v>
      </c>
      <c r="L56" s="16">
        <f t="shared" si="14"/>
        <v>3.92</v>
      </c>
      <c r="M56" s="28"/>
      <c r="N56" s="149">
        <f t="shared" si="2"/>
        <v>0</v>
      </c>
      <c r="O56" s="18">
        <f t="shared" si="12"/>
        <v>0</v>
      </c>
    </row>
    <row r="57" spans="2:19">
      <c r="B57" s="170" t="s">
        <v>38</v>
      </c>
      <c r="C57" s="20"/>
      <c r="D57" s="188" t="s">
        <v>24</v>
      </c>
      <c r="E57" s="14"/>
      <c r="F57" s="31">
        <v>7.6999999999999999E-2</v>
      </c>
      <c r="G57" s="189">
        <f>0.64*$F$18</f>
        <v>512</v>
      </c>
      <c r="H57" s="16">
        <f t="shared" si="13"/>
        <v>39.423999999999999</v>
      </c>
      <c r="I57" s="28"/>
      <c r="J57" s="31">
        <v>7.6999999999999999E-2</v>
      </c>
      <c r="K57" s="189">
        <f>G57</f>
        <v>512</v>
      </c>
      <c r="L57" s="16">
        <f t="shared" si="14"/>
        <v>39.423999999999999</v>
      </c>
      <c r="M57" s="28"/>
      <c r="N57" s="149">
        <f t="shared" si="2"/>
        <v>0</v>
      </c>
      <c r="O57" s="18">
        <f t="shared" si="12"/>
        <v>0</v>
      </c>
      <c r="S57" s="190"/>
    </row>
    <row r="58" spans="2:19">
      <c r="B58" s="170" t="s">
        <v>39</v>
      </c>
      <c r="C58" s="20"/>
      <c r="D58" s="188" t="s">
        <v>24</v>
      </c>
      <c r="E58" s="14"/>
      <c r="F58" s="31">
        <v>0.114</v>
      </c>
      <c r="G58" s="189">
        <f>0.18*$F$18</f>
        <v>144</v>
      </c>
      <c r="H58" s="16">
        <f t="shared" si="13"/>
        <v>16.416</v>
      </c>
      <c r="I58" s="28"/>
      <c r="J58" s="31">
        <v>0.114</v>
      </c>
      <c r="K58" s="189">
        <f>G58</f>
        <v>144</v>
      </c>
      <c r="L58" s="16">
        <f t="shared" si="14"/>
        <v>16.416</v>
      </c>
      <c r="M58" s="28"/>
      <c r="N58" s="149">
        <f t="shared" si="2"/>
        <v>0</v>
      </c>
      <c r="O58" s="18">
        <f t="shared" si="12"/>
        <v>0</v>
      </c>
      <c r="S58" s="190"/>
    </row>
    <row r="59" spans="2:19">
      <c r="B59" s="135" t="s">
        <v>40</v>
      </c>
      <c r="C59" s="20"/>
      <c r="D59" s="188" t="s">
        <v>24</v>
      </c>
      <c r="E59" s="14"/>
      <c r="F59" s="31">
        <v>0.14000000000000001</v>
      </c>
      <c r="G59" s="189">
        <f>0.18*$F$18</f>
        <v>144</v>
      </c>
      <c r="H59" s="16">
        <f t="shared" si="13"/>
        <v>20.160000000000004</v>
      </c>
      <c r="I59" s="28"/>
      <c r="J59" s="31">
        <v>0.14000000000000001</v>
      </c>
      <c r="K59" s="189">
        <f>G59</f>
        <v>144</v>
      </c>
      <c r="L59" s="16">
        <f t="shared" si="14"/>
        <v>20.160000000000004</v>
      </c>
      <c r="M59" s="28"/>
      <c r="N59" s="149">
        <f t="shared" si="2"/>
        <v>0</v>
      </c>
      <c r="O59" s="18">
        <f t="shared" si="12"/>
        <v>0</v>
      </c>
      <c r="S59" s="190"/>
    </row>
    <row r="60" spans="2:19" s="195" customFormat="1">
      <c r="B60" s="191" t="s">
        <v>41</v>
      </c>
      <c r="C60" s="32"/>
      <c r="D60" s="188" t="s">
        <v>24</v>
      </c>
      <c r="E60" s="32"/>
      <c r="F60" s="31">
        <v>8.5999999999999993E-2</v>
      </c>
      <c r="G60" s="192">
        <f>IF(AND($T$1=1, F18&gt;=600), 600, IF(AND($T$1=1, AND(F18&lt;600, F18&gt;=0)), F18, IF(AND($T$1=2, F18&gt;=1000), 1000, IF(AND($T$1=2, AND(F18&lt;1000, F18&gt;=0)), F18))))</f>
        <v>600</v>
      </c>
      <c r="H60" s="16">
        <f>G60*F60</f>
        <v>51.599999999999994</v>
      </c>
      <c r="I60" s="193"/>
      <c r="J60" s="31">
        <v>8.5999999999999993E-2</v>
      </c>
      <c r="K60" s="192">
        <f>G60</f>
        <v>600</v>
      </c>
      <c r="L60" s="16">
        <f>K60*J60</f>
        <v>51.599999999999994</v>
      </c>
      <c r="M60" s="193"/>
      <c r="N60" s="194">
        <f t="shared" si="2"/>
        <v>0</v>
      </c>
      <c r="O60" s="18">
        <f t="shared" si="12"/>
        <v>0</v>
      </c>
    </row>
    <row r="61" spans="2:19" s="195" customFormat="1" ht="13.5" thickBot="1">
      <c r="B61" s="191" t="s">
        <v>42</v>
      </c>
      <c r="C61" s="32"/>
      <c r="D61" s="188" t="s">
        <v>24</v>
      </c>
      <c r="E61" s="32"/>
      <c r="F61" s="31">
        <v>0.10100000000000001</v>
      </c>
      <c r="G61" s="192">
        <f>IF(AND($T$1=1, F18&gt;=600), F18-600, IF(AND($T$1=1, AND(F18&lt;600, F18&gt;=0)), 0, IF(AND($T$1=2, F18&gt;=1000), F18-1000, IF(AND($T$1=2, AND(F18&lt;1000, F18&gt;=0)), 0))))</f>
        <v>200</v>
      </c>
      <c r="H61" s="16">
        <f>G61*F61</f>
        <v>20.200000000000003</v>
      </c>
      <c r="I61" s="193"/>
      <c r="J61" s="31">
        <v>0.10100000000000001</v>
      </c>
      <c r="K61" s="192">
        <f>G61</f>
        <v>200</v>
      </c>
      <c r="L61" s="16">
        <f>K61*J61</f>
        <v>20.200000000000003</v>
      </c>
      <c r="M61" s="193"/>
      <c r="N61" s="194">
        <f t="shared" si="2"/>
        <v>0</v>
      </c>
      <c r="O61" s="18">
        <f t="shared" si="12"/>
        <v>0</v>
      </c>
    </row>
    <row r="62" spans="2:19" ht="13.5" thickBot="1">
      <c r="B62" s="196"/>
      <c r="C62" s="197"/>
      <c r="D62" s="198"/>
      <c r="E62" s="197"/>
      <c r="F62" s="199"/>
      <c r="G62" s="200"/>
      <c r="H62" s="201"/>
      <c r="I62" s="202"/>
      <c r="J62" s="199"/>
      <c r="K62" s="203"/>
      <c r="L62" s="201"/>
      <c r="M62" s="202"/>
      <c r="N62" s="204"/>
      <c r="O62" s="205"/>
    </row>
    <row r="63" spans="2:19" ht="25.5">
      <c r="B63" s="33" t="s">
        <v>43</v>
      </c>
      <c r="C63" s="20"/>
      <c r="D63" s="20"/>
      <c r="E63" s="20"/>
      <c r="F63" s="34"/>
      <c r="G63" s="35"/>
      <c r="H63" s="36">
        <f>SUM(H53:H59,H52)</f>
        <v>121.42568</v>
      </c>
      <c r="I63" s="37"/>
      <c r="J63" s="38"/>
      <c r="K63" s="38"/>
      <c r="L63" s="36">
        <f>SUM(L53:L59,L52)</f>
        <v>128.23433725633365</v>
      </c>
      <c r="M63" s="39"/>
      <c r="N63" s="40">
        <f>L63-H63</f>
        <v>6.808657256333646</v>
      </c>
      <c r="O63" s="41">
        <f>IF((H63)=0,"",(N63/H63))</f>
        <v>5.6072630240437162E-2</v>
      </c>
      <c r="S63" s="190"/>
    </row>
    <row r="64" spans="2:19">
      <c r="B64" s="42" t="s">
        <v>44</v>
      </c>
      <c r="C64" s="20"/>
      <c r="D64" s="20"/>
      <c r="E64" s="20"/>
      <c r="F64" s="43">
        <v>0.13</v>
      </c>
      <c r="G64" s="44"/>
      <c r="H64" s="45">
        <f>H63*F64</f>
        <v>15.785338400000001</v>
      </c>
      <c r="I64" s="46"/>
      <c r="J64" s="47">
        <v>0.13</v>
      </c>
      <c r="K64" s="46"/>
      <c r="L64" s="48">
        <f>L63*J64</f>
        <v>16.670463843323375</v>
      </c>
      <c r="M64" s="49"/>
      <c r="N64" s="50">
        <f t="shared" si="2"/>
        <v>0.88512544332337484</v>
      </c>
      <c r="O64" s="18">
        <f t="shared" si="12"/>
        <v>5.6072630240437217E-2</v>
      </c>
      <c r="S64" s="190"/>
    </row>
    <row r="65" spans="1:19">
      <c r="B65" s="206" t="s">
        <v>45</v>
      </c>
      <c r="C65" s="20"/>
      <c r="D65" s="20"/>
      <c r="E65" s="20"/>
      <c r="F65" s="51"/>
      <c r="G65" s="44"/>
      <c r="H65" s="45">
        <f>H63+H64</f>
        <v>137.2110184</v>
      </c>
      <c r="I65" s="46"/>
      <c r="J65" s="46"/>
      <c r="K65" s="46"/>
      <c r="L65" s="48">
        <f>L63+L64</f>
        <v>144.90480109965702</v>
      </c>
      <c r="M65" s="49"/>
      <c r="N65" s="50">
        <f t="shared" si="2"/>
        <v>7.6937826996570209</v>
      </c>
      <c r="O65" s="18">
        <f t="shared" si="12"/>
        <v>5.6072630240437168E-2</v>
      </c>
      <c r="S65" s="190"/>
    </row>
    <row r="66" spans="1:19">
      <c r="B66" s="292" t="s">
        <v>46</v>
      </c>
      <c r="C66" s="292"/>
      <c r="D66" s="292"/>
      <c r="E66" s="20"/>
      <c r="F66" s="51"/>
      <c r="G66" s="44"/>
      <c r="H66" s="52">
        <f>ROUND(-H65*0.1,2)</f>
        <v>-13.72</v>
      </c>
      <c r="I66" s="46"/>
      <c r="J66" s="46"/>
      <c r="K66" s="46"/>
      <c r="L66" s="53">
        <f>ROUND(-L65*0.1,2)</f>
        <v>-14.49</v>
      </c>
      <c r="M66" s="49"/>
      <c r="N66" s="54">
        <f t="shared" si="2"/>
        <v>-0.76999999999999957</v>
      </c>
      <c r="O66" s="55">
        <f t="shared" si="12"/>
        <v>5.6122448979591802E-2</v>
      </c>
    </row>
    <row r="67" spans="1:19" ht="13.5" thickBot="1">
      <c r="B67" s="293" t="s">
        <v>47</v>
      </c>
      <c r="C67" s="293"/>
      <c r="D67" s="293"/>
      <c r="E67" s="14"/>
      <c r="F67" s="207"/>
      <c r="G67" s="208"/>
      <c r="H67" s="209">
        <f>H65+H66</f>
        <v>123.4910184</v>
      </c>
      <c r="I67" s="210"/>
      <c r="J67" s="210"/>
      <c r="K67" s="210"/>
      <c r="L67" s="211">
        <f>L65+L66</f>
        <v>130.41480109965701</v>
      </c>
      <c r="M67" s="212"/>
      <c r="N67" s="213">
        <f t="shared" si="2"/>
        <v>6.9237826996570107</v>
      </c>
      <c r="O67" s="214">
        <f t="shared" si="12"/>
        <v>5.606709531886904E-2</v>
      </c>
    </row>
    <row r="68" spans="1:19" s="195" customFormat="1" ht="13.5" thickBot="1">
      <c r="B68" s="215"/>
      <c r="C68" s="216"/>
      <c r="D68" s="217"/>
      <c r="E68" s="216"/>
      <c r="F68" s="199"/>
      <c r="G68" s="218"/>
      <c r="H68" s="201"/>
      <c r="I68" s="219"/>
      <c r="J68" s="199"/>
      <c r="K68" s="220"/>
      <c r="L68" s="201"/>
      <c r="M68" s="219"/>
      <c r="N68" s="221"/>
      <c r="O68" s="205"/>
    </row>
    <row r="69" spans="1:19" s="195" customFormat="1" ht="25.5">
      <c r="B69" s="56" t="s">
        <v>48</v>
      </c>
      <c r="C69" s="32"/>
      <c r="D69" s="32"/>
      <c r="E69" s="32"/>
      <c r="F69" s="57"/>
      <c r="G69" s="58"/>
      <c r="H69" s="59">
        <f>SUM(H60:H61,H52,H53:H56)</f>
        <v>117.22568</v>
      </c>
      <c r="I69" s="60"/>
      <c r="J69" s="61"/>
      <c r="K69" s="61"/>
      <c r="L69" s="59">
        <f>SUM(L60:L61,L52,L53:L56)</f>
        <v>124.03433725633364</v>
      </c>
      <c r="M69" s="62"/>
      <c r="N69" s="63">
        <f>L69-H69</f>
        <v>6.808657256333646</v>
      </c>
      <c r="O69" s="41">
        <f>IF((H69)=0,"",(N69/H69))</f>
        <v>5.8081618774432756E-2</v>
      </c>
    </row>
    <row r="70" spans="1:19" s="195" customFormat="1">
      <c r="B70" s="64" t="s">
        <v>44</v>
      </c>
      <c r="C70" s="32"/>
      <c r="D70" s="32"/>
      <c r="E70" s="32"/>
      <c r="F70" s="65">
        <v>0.13</v>
      </c>
      <c r="G70" s="58"/>
      <c r="H70" s="66">
        <f>H69*F70</f>
        <v>15.239338399999999</v>
      </c>
      <c r="I70" s="67"/>
      <c r="J70" s="68">
        <v>0.13</v>
      </c>
      <c r="K70" s="69"/>
      <c r="L70" s="70">
        <f>L69*J70</f>
        <v>16.124463843323372</v>
      </c>
      <c r="M70" s="71"/>
      <c r="N70" s="72">
        <f>L70-H70</f>
        <v>0.88512544332337306</v>
      </c>
      <c r="O70" s="18">
        <f>IF((H70)=0,"",(N70/H70))</f>
        <v>5.8081618774432693E-2</v>
      </c>
    </row>
    <row r="71" spans="1:19" s="195" customFormat="1">
      <c r="B71" s="222" t="s">
        <v>45</v>
      </c>
      <c r="C71" s="32"/>
      <c r="D71" s="32"/>
      <c r="E71" s="32"/>
      <c r="F71" s="73"/>
      <c r="G71" s="74"/>
      <c r="H71" s="66">
        <f>H69+H70</f>
        <v>132.46501839999999</v>
      </c>
      <c r="I71" s="67"/>
      <c r="J71" s="67"/>
      <c r="K71" s="67"/>
      <c r="L71" s="70">
        <f>L69+L70</f>
        <v>140.15880109965701</v>
      </c>
      <c r="M71" s="71"/>
      <c r="N71" s="72">
        <f>L71-H71</f>
        <v>7.6937826996570209</v>
      </c>
      <c r="O71" s="18">
        <f>IF((H71)=0,"",(N71/H71))</f>
        <v>5.8081618774432762E-2</v>
      </c>
    </row>
    <row r="72" spans="1:19" s="195" customFormat="1">
      <c r="B72" s="294" t="s">
        <v>46</v>
      </c>
      <c r="C72" s="294"/>
      <c r="D72" s="294"/>
      <c r="E72" s="32"/>
      <c r="F72" s="73"/>
      <c r="G72" s="74"/>
      <c r="H72" s="75">
        <f>ROUND(-H71*0.1,2)</f>
        <v>-13.25</v>
      </c>
      <c r="I72" s="67"/>
      <c r="J72" s="67"/>
      <c r="K72" s="67"/>
      <c r="L72" s="76">
        <f>ROUND(-L71*0.1,2)</f>
        <v>-14.02</v>
      </c>
      <c r="M72" s="71"/>
      <c r="N72" s="77">
        <f>L72-H72</f>
        <v>-0.76999999999999957</v>
      </c>
      <c r="O72" s="55">
        <f>IF((H72)=0,"",(N72/H72))</f>
        <v>5.8113207547169782E-2</v>
      </c>
    </row>
    <row r="73" spans="1:19" s="195" customFormat="1" ht="13.5" thickBot="1">
      <c r="B73" s="288" t="s">
        <v>49</v>
      </c>
      <c r="C73" s="288"/>
      <c r="D73" s="288"/>
      <c r="E73" s="32"/>
      <c r="F73" s="73"/>
      <c r="G73" s="74"/>
      <c r="H73" s="59">
        <f>SUM(H71:H72)</f>
        <v>119.21501839999999</v>
      </c>
      <c r="I73" s="60"/>
      <c r="J73" s="60"/>
      <c r="K73" s="60"/>
      <c r="L73" s="223">
        <f>SUM(L71:L72)</f>
        <v>126.13880109965702</v>
      </c>
      <c r="M73" s="62"/>
      <c r="N73" s="63">
        <f>L73-H73</f>
        <v>6.9237826996570249</v>
      </c>
      <c r="O73" s="41">
        <f>IF((H73)=0,"",(N73/H73))</f>
        <v>5.8078107880886132E-2</v>
      </c>
    </row>
    <row r="74" spans="1:19" s="195" customFormat="1" ht="13.5" thickBot="1">
      <c r="B74" s="215"/>
      <c r="C74" s="216"/>
      <c r="D74" s="217"/>
      <c r="E74" s="216"/>
      <c r="F74" s="224"/>
      <c r="G74" s="225"/>
      <c r="H74" s="226"/>
      <c r="I74" s="227"/>
      <c r="J74" s="224"/>
      <c r="K74" s="218"/>
      <c r="L74" s="228"/>
      <c r="M74" s="219"/>
      <c r="N74" s="229"/>
      <c r="O74" s="205"/>
    </row>
    <row r="75" spans="1:19">
      <c r="L75" s="190"/>
    </row>
    <row r="76" spans="1:19">
      <c r="B76" s="230" t="s">
        <v>50</v>
      </c>
      <c r="F76" s="231">
        <v>3.9E-2</v>
      </c>
      <c r="J76" s="231">
        <v>4.5699999999999998E-2</v>
      </c>
    </row>
    <row r="78" spans="1:19" ht="14.25">
      <c r="A78" s="232" t="s">
        <v>51</v>
      </c>
    </row>
    <row r="80" spans="1:19">
      <c r="A80" s="12" t="s">
        <v>52</v>
      </c>
    </row>
    <row r="81" spans="1:2">
      <c r="A81" s="12" t="s">
        <v>53</v>
      </c>
    </row>
    <row r="83" spans="1:2">
      <c r="A83" s="233" t="s">
        <v>54</v>
      </c>
    </row>
    <row r="84" spans="1:2">
      <c r="A84" s="233" t="s">
        <v>55</v>
      </c>
    </row>
    <row r="86" spans="1:2">
      <c r="A86" s="12" t="s">
        <v>56</v>
      </c>
    </row>
    <row r="87" spans="1:2">
      <c r="A87" s="12" t="s">
        <v>57</v>
      </c>
    </row>
    <row r="88" spans="1:2">
      <c r="A88" s="12" t="s">
        <v>58</v>
      </c>
    </row>
    <row r="89" spans="1:2">
      <c r="A89" s="12" t="s">
        <v>59</v>
      </c>
    </row>
    <row r="90" spans="1:2">
      <c r="A90" s="12" t="s">
        <v>60</v>
      </c>
    </row>
    <row r="92" spans="1:2" ht="51">
      <c r="B92" s="13" t="s">
        <v>61</v>
      </c>
    </row>
  </sheetData>
  <mergeCells count="14">
    <mergeCell ref="A3:K3"/>
    <mergeCell ref="B10:O10"/>
    <mergeCell ref="B11:O11"/>
    <mergeCell ref="D14:O14"/>
    <mergeCell ref="F20:H20"/>
    <mergeCell ref="J20:L20"/>
    <mergeCell ref="N20:O20"/>
    <mergeCell ref="B73:D73"/>
    <mergeCell ref="D21:D22"/>
    <mergeCell ref="N21:N22"/>
    <mergeCell ref="O21:O22"/>
    <mergeCell ref="B66:D66"/>
    <mergeCell ref="B67:D67"/>
    <mergeCell ref="B72:D72"/>
  </mergeCells>
  <dataValidations count="3">
    <dataValidation type="list" allowBlank="1" showInputMessage="1" showErrorMessage="1" sqref="D16">
      <formula1>"TOU,non-TOU"</formula1>
      <formula2>0</formula2>
    </dataValidation>
    <dataValidation type="list" allowBlank="1" showInputMessage="1" showErrorMessage="1" prompt="Select Charge Unit - monthly, per kWh, per kW" sqref="D74 D23:D38 D50:D51 D68 D53:D62 D40:D48">
      <formula1>"Monthly,per kWh,per kW"</formula1>
      <formula2>0</formula2>
    </dataValidation>
    <dataValidation type="list" allowBlank="1" showInputMessage="1" showErrorMessage="1" sqref="E23:E38 E74 E50:E51 E53:E62 E68 E40:E48">
      <formula1>"#REF!"</formula1>
      <formula2>0</formula2>
    </dataValidation>
  </dataValidations>
  <pageMargins left="0.7" right="0.7" top="0.75" bottom="0.75" header="0.3" footer="0.3"/>
  <pageSetup paperSize="9" scale="4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44">
              <controlPr defaultSize="0" autoFill="0" autoLine="0" autoPict="0">
                <anchor moveWithCells="1" sizeWithCells="1">
                  <from>
                    <xdr:col>6</xdr:col>
                    <xdr:colOff>476250</xdr:colOff>
                    <xdr:row>17</xdr:row>
                    <xdr:rowOff>0</xdr:rowOff>
                  </from>
                  <to>
                    <xdr:col>9</xdr:col>
                    <xdr:colOff>733425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45">
              <controlPr defaultSize="0" autoFill="0" autoLine="0" autoPict="0">
                <anchor moveWithCells="1" sizeWithCells="1">
                  <from>
                    <xdr:col>9</xdr:col>
                    <xdr:colOff>371475</xdr:colOff>
                    <xdr:row>16</xdr:row>
                    <xdr:rowOff>104775</xdr:rowOff>
                  </from>
                  <to>
                    <xdr:col>16</xdr:col>
                    <xdr:colOff>257175</xdr:colOff>
                    <xdr:row>18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92"/>
  <sheetViews>
    <sheetView showGridLines="0" topLeftCell="A52" workbookViewId="0">
      <selection activeCell="B10" sqref="B10:O10"/>
    </sheetView>
  </sheetViews>
  <sheetFormatPr defaultRowHeight="12.75"/>
  <cols>
    <col min="1" max="1" width="11.28515625" style="12" customWidth="1"/>
    <col min="2" max="2" width="26.5703125" style="13" customWidth="1"/>
    <col min="3" max="3" width="1.28515625" style="12" customWidth="1"/>
    <col min="4" max="4" width="11.28515625" style="12" customWidth="1"/>
    <col min="5" max="5" width="1.28515625" style="12" customWidth="1"/>
    <col min="6" max="6" width="12.28515625" style="12" customWidth="1"/>
    <col min="7" max="7" width="8.5703125" style="92" customWidth="1"/>
    <col min="8" max="8" width="11.140625" style="12" customWidth="1"/>
    <col min="9" max="9" width="2.85546875" style="12" customWidth="1"/>
    <col min="10" max="10" width="12.7109375" style="12" customWidth="1"/>
    <col min="11" max="11" width="8.5703125" style="93" customWidth="1"/>
    <col min="12" max="12" width="11.5703125" style="12" customWidth="1"/>
    <col min="13" max="13" width="2.85546875" style="12" customWidth="1"/>
    <col min="14" max="14" width="12.7109375" style="12" customWidth="1"/>
    <col min="15" max="15" width="10.85546875" style="12" customWidth="1"/>
    <col min="16" max="16" width="3.85546875" style="12" customWidth="1"/>
    <col min="17" max="16384" width="9.140625" style="12"/>
  </cols>
  <sheetData>
    <row r="1" spans="1:20" s="2" customFormat="1" ht="12.75" customHeight="1">
      <c r="A1" s="1"/>
      <c r="B1" s="1"/>
      <c r="C1" s="1"/>
      <c r="D1" s="1"/>
      <c r="E1" s="1"/>
      <c r="F1" s="1"/>
      <c r="G1" s="85"/>
      <c r="H1" s="1"/>
      <c r="I1" s="1"/>
      <c r="J1" s="1"/>
      <c r="K1" s="86"/>
      <c r="N1" s="3"/>
      <c r="O1" s="4"/>
      <c r="T1" s="2">
        <v>1</v>
      </c>
    </row>
    <row r="2" spans="1:20" s="2" customFormat="1" ht="12.75" customHeight="1">
      <c r="A2" s="5"/>
      <c r="B2" s="6"/>
      <c r="C2" s="5"/>
      <c r="D2" s="5"/>
      <c r="E2" s="5"/>
      <c r="F2" s="5"/>
      <c r="G2" s="87"/>
      <c r="H2" s="5"/>
      <c r="I2" s="5"/>
      <c r="J2" s="5"/>
      <c r="K2" s="88"/>
      <c r="N2" s="3"/>
      <c r="O2" s="7"/>
    </row>
    <row r="3" spans="1:20" s="2" customFormat="1" ht="12.75" customHeight="1">
      <c r="A3" s="295"/>
      <c r="B3" s="295"/>
      <c r="C3" s="295"/>
      <c r="D3" s="295"/>
      <c r="E3" s="295"/>
      <c r="F3" s="295"/>
      <c r="G3" s="295"/>
      <c r="H3" s="295"/>
      <c r="I3" s="295"/>
      <c r="J3" s="295"/>
      <c r="K3" s="295"/>
      <c r="N3" s="3"/>
      <c r="O3" s="7"/>
    </row>
    <row r="4" spans="1:20" s="2" customFormat="1" ht="12.75" customHeight="1">
      <c r="A4" s="5"/>
      <c r="B4" s="6"/>
      <c r="C4" s="5"/>
      <c r="D4" s="5"/>
      <c r="E4" s="5"/>
      <c r="F4" s="5"/>
      <c r="G4" s="87"/>
      <c r="H4" s="5"/>
      <c r="I4" s="8"/>
      <c r="J4" s="8"/>
      <c r="K4" s="89"/>
      <c r="N4" s="3"/>
      <c r="O4" s="7"/>
    </row>
    <row r="5" spans="1:20" s="2" customFormat="1" ht="12.75" customHeight="1">
      <c r="B5" s="9"/>
      <c r="C5" s="10"/>
      <c r="D5" s="10"/>
      <c r="E5" s="10"/>
      <c r="G5" s="90"/>
      <c r="K5" s="91"/>
      <c r="N5" s="3"/>
      <c r="O5" s="4"/>
    </row>
    <row r="6" spans="1:20" s="2" customFormat="1" ht="12.75" customHeight="1">
      <c r="B6" s="9"/>
      <c r="G6" s="90"/>
      <c r="K6" s="91"/>
      <c r="N6" s="3"/>
      <c r="O6" s="11"/>
    </row>
    <row r="7" spans="1:20" s="2" customFormat="1" ht="12.75" customHeight="1">
      <c r="B7" s="9"/>
      <c r="G7" s="90"/>
      <c r="K7" s="91"/>
      <c r="N7" s="3"/>
      <c r="O7" s="4"/>
    </row>
    <row r="8" spans="1:20" s="2" customFormat="1" ht="12.75" customHeight="1">
      <c r="B8" s="9"/>
      <c r="G8" s="90"/>
      <c r="K8" s="91"/>
    </row>
    <row r="9" spans="1:20" ht="12.75" customHeight="1"/>
    <row r="10" spans="1:20" s="130" customFormat="1" ht="18.75" customHeight="1">
      <c r="B10" s="299" t="s">
        <v>0</v>
      </c>
      <c r="C10" s="299"/>
      <c r="D10" s="299"/>
      <c r="E10" s="299"/>
      <c r="F10" s="299"/>
      <c r="G10" s="299"/>
      <c r="H10" s="299"/>
      <c r="I10" s="299"/>
      <c r="J10" s="299"/>
      <c r="K10" s="299"/>
      <c r="L10" s="299"/>
      <c r="M10" s="299"/>
      <c r="N10" s="299"/>
      <c r="O10" s="299"/>
    </row>
    <row r="11" spans="1:20" ht="18.75" customHeight="1">
      <c r="B11" s="296" t="s">
        <v>1</v>
      </c>
      <c r="C11" s="296"/>
      <c r="D11" s="296"/>
      <c r="E11" s="296"/>
      <c r="F11" s="296"/>
      <c r="G11" s="296"/>
      <c r="H11" s="296"/>
      <c r="I11" s="296"/>
      <c r="J11" s="296"/>
      <c r="K11" s="296"/>
      <c r="L11" s="296"/>
      <c r="M11" s="296"/>
      <c r="N11" s="296"/>
      <c r="O11" s="296"/>
    </row>
    <row r="12" spans="1:20" ht="7.5" customHeight="1"/>
    <row r="13" spans="1:20" ht="7.5" customHeight="1"/>
    <row r="14" spans="1:20" ht="15.75">
      <c r="B14" s="131" t="s">
        <v>2</v>
      </c>
      <c r="D14" s="297" t="s">
        <v>66</v>
      </c>
      <c r="E14" s="297"/>
      <c r="F14" s="297"/>
      <c r="G14" s="297"/>
      <c r="H14" s="297"/>
      <c r="I14" s="297"/>
      <c r="J14" s="297"/>
      <c r="K14" s="297"/>
      <c r="L14" s="297"/>
      <c r="M14" s="297"/>
      <c r="N14" s="297"/>
      <c r="O14" s="297"/>
    </row>
    <row r="15" spans="1:20" ht="7.5" customHeight="1">
      <c r="B15" s="132"/>
      <c r="D15" s="133"/>
      <c r="E15" s="133"/>
      <c r="F15" s="133"/>
      <c r="G15" s="240"/>
      <c r="H15" s="133"/>
      <c r="I15" s="133"/>
      <c r="J15" s="133"/>
      <c r="K15" s="274"/>
      <c r="L15" s="133"/>
      <c r="M15" s="133"/>
      <c r="N15" s="133"/>
      <c r="O15" s="133"/>
    </row>
    <row r="16" spans="1:20" ht="15.75">
      <c r="B16" s="131" t="s">
        <v>4</v>
      </c>
      <c r="D16" s="134" t="s">
        <v>5</v>
      </c>
      <c r="E16" s="133"/>
      <c r="F16" s="133"/>
      <c r="G16" s="240"/>
      <c r="H16" s="133"/>
      <c r="I16" s="133"/>
      <c r="J16" s="133"/>
      <c r="K16" s="274"/>
      <c r="L16" s="133"/>
      <c r="M16" s="133"/>
      <c r="N16" s="133"/>
      <c r="O16" s="133"/>
    </row>
    <row r="17" spans="1:15" ht="15.75">
      <c r="B17" s="132"/>
      <c r="D17" s="133"/>
      <c r="E17" s="133"/>
      <c r="F17" s="133"/>
      <c r="G17" s="240"/>
      <c r="H17" s="133"/>
      <c r="I17" s="133"/>
      <c r="J17" s="133"/>
      <c r="K17" s="274"/>
      <c r="L17" s="133"/>
      <c r="M17" s="133"/>
      <c r="N17" s="133"/>
      <c r="O17" s="133"/>
    </row>
    <row r="18" spans="1:15">
      <c r="B18" s="135"/>
      <c r="D18" s="136" t="s">
        <v>6</v>
      </c>
      <c r="E18" s="136"/>
      <c r="F18" s="137">
        <v>1</v>
      </c>
      <c r="G18" s="241" t="s">
        <v>67</v>
      </c>
    </row>
    <row r="19" spans="1:15">
      <c r="B19" s="135"/>
    </row>
    <row r="20" spans="1:15">
      <c r="B20" s="135"/>
      <c r="D20" s="138"/>
      <c r="E20" s="138"/>
      <c r="F20" s="298" t="s">
        <v>8</v>
      </c>
      <c r="G20" s="298"/>
      <c r="H20" s="298"/>
      <c r="J20" s="298" t="s">
        <v>9</v>
      </c>
      <c r="K20" s="298"/>
      <c r="L20" s="298"/>
      <c r="N20" s="298" t="s">
        <v>10</v>
      </c>
      <c r="O20" s="298"/>
    </row>
    <row r="21" spans="1:15">
      <c r="B21" s="135"/>
      <c r="D21" s="289" t="s">
        <v>11</v>
      </c>
      <c r="E21" s="139"/>
      <c r="F21" s="140" t="s">
        <v>12</v>
      </c>
      <c r="G21" s="242" t="s">
        <v>13</v>
      </c>
      <c r="H21" s="141" t="s">
        <v>14</v>
      </c>
      <c r="J21" s="140" t="s">
        <v>12</v>
      </c>
      <c r="K21" s="275" t="s">
        <v>13</v>
      </c>
      <c r="L21" s="141" t="s">
        <v>14</v>
      </c>
      <c r="N21" s="290" t="s">
        <v>15</v>
      </c>
      <c r="O21" s="291" t="s">
        <v>16</v>
      </c>
    </row>
    <row r="22" spans="1:15">
      <c r="B22" s="135"/>
      <c r="D22" s="289"/>
      <c r="E22" s="139"/>
      <c r="F22" s="143" t="s">
        <v>17</v>
      </c>
      <c r="G22" s="244"/>
      <c r="H22" s="144" t="s">
        <v>17</v>
      </c>
      <c r="J22" s="143" t="s">
        <v>17</v>
      </c>
      <c r="K22" s="276"/>
      <c r="L22" s="144" t="s">
        <v>17</v>
      </c>
      <c r="N22" s="290"/>
      <c r="O22" s="291"/>
    </row>
    <row r="23" spans="1:15">
      <c r="B23" s="145" t="s">
        <v>18</v>
      </c>
      <c r="C23" s="20"/>
      <c r="D23" s="146" t="s">
        <v>19</v>
      </c>
      <c r="E23" s="14"/>
      <c r="F23" s="147">
        <f>'[1]B. CurrentTariff'!C95</f>
        <v>2.6</v>
      </c>
      <c r="G23" s="25">
        <v>1</v>
      </c>
      <c r="H23" s="16">
        <f>G23*F23</f>
        <v>2.6</v>
      </c>
      <c r="I23" s="28"/>
      <c r="J23" s="148">
        <f>'[1]G. RateDesign'!B49</f>
        <v>3.58</v>
      </c>
      <c r="K23" s="94">
        <v>1</v>
      </c>
      <c r="L23" s="16">
        <f>K23*J23</f>
        <v>3.58</v>
      </c>
      <c r="M23" s="28"/>
      <c r="N23" s="149">
        <f>L23-H23</f>
        <v>0.98</v>
      </c>
      <c r="O23" s="18">
        <f>IF((H23)=0,"",(N23/H23))</f>
        <v>0.37692307692307692</v>
      </c>
    </row>
    <row r="24" spans="1:15">
      <c r="A24" s="19"/>
      <c r="B24" s="145" t="s">
        <v>20</v>
      </c>
      <c r="C24" s="20"/>
      <c r="D24" s="146"/>
      <c r="E24" s="14"/>
      <c r="F24" s="150"/>
      <c r="G24" s="25">
        <v>1</v>
      </c>
      <c r="H24" s="16">
        <f t="shared" ref="H24:H38" si="0">G24*F24</f>
        <v>0</v>
      </c>
      <c r="I24" s="28"/>
      <c r="J24" s="31"/>
      <c r="K24" s="94">
        <v>1</v>
      </c>
      <c r="L24" s="16">
        <f>K24*J24</f>
        <v>0</v>
      </c>
      <c r="M24" s="28"/>
      <c r="N24" s="149">
        <f>L24-H24</f>
        <v>0</v>
      </c>
      <c r="O24" s="18" t="str">
        <f>IF((H24)=0,"",(N24/H24))</f>
        <v/>
      </c>
    </row>
    <row r="25" spans="1:15">
      <c r="A25" s="19"/>
      <c r="B25" s="152"/>
      <c r="C25" s="20"/>
      <c r="D25" s="146"/>
      <c r="E25" s="14"/>
      <c r="F25" s="150"/>
      <c r="G25" s="25">
        <v>1</v>
      </c>
      <c r="H25" s="16">
        <f t="shared" si="0"/>
        <v>0</v>
      </c>
      <c r="I25" s="28"/>
      <c r="J25" s="31"/>
      <c r="K25" s="94">
        <v>1</v>
      </c>
      <c r="L25" s="16">
        <f t="shared" ref="L25:L38" si="1">K25*J25</f>
        <v>0</v>
      </c>
      <c r="M25" s="28"/>
      <c r="N25" s="149">
        <f t="shared" ref="N25:N67" si="2">L25-H25</f>
        <v>0</v>
      </c>
      <c r="O25" s="18" t="str">
        <f t="shared" ref="O25:O47" si="3">IF((H25)=0,"",(N25/H25))</f>
        <v/>
      </c>
    </row>
    <row r="26" spans="1:15">
      <c r="A26" s="19"/>
      <c r="B26" s="152"/>
      <c r="C26" s="20"/>
      <c r="D26" s="146"/>
      <c r="E26" s="14"/>
      <c r="F26" s="150"/>
      <c r="G26" s="25">
        <v>1</v>
      </c>
      <c r="H26" s="16">
        <f t="shared" si="0"/>
        <v>0</v>
      </c>
      <c r="I26" s="28"/>
      <c r="J26" s="31"/>
      <c r="K26" s="94">
        <v>1</v>
      </c>
      <c r="L26" s="16">
        <f t="shared" si="1"/>
        <v>0</v>
      </c>
      <c r="M26" s="28"/>
      <c r="N26" s="149">
        <f t="shared" si="2"/>
        <v>0</v>
      </c>
      <c r="O26" s="18" t="str">
        <f t="shared" si="3"/>
        <v/>
      </c>
    </row>
    <row r="27" spans="1:15">
      <c r="A27" s="19"/>
      <c r="B27" s="152"/>
      <c r="C27" s="20"/>
      <c r="D27" s="146"/>
      <c r="E27" s="14"/>
      <c r="F27" s="150"/>
      <c r="G27" s="25">
        <v>1</v>
      </c>
      <c r="H27" s="16">
        <f t="shared" si="0"/>
        <v>0</v>
      </c>
      <c r="I27" s="28"/>
      <c r="J27" s="31"/>
      <c r="K27" s="94">
        <v>1</v>
      </c>
      <c r="L27" s="16">
        <f t="shared" si="1"/>
        <v>0</v>
      </c>
      <c r="M27" s="28"/>
      <c r="N27" s="149">
        <f t="shared" si="2"/>
        <v>0</v>
      </c>
      <c r="O27" s="18" t="str">
        <f t="shared" si="3"/>
        <v/>
      </c>
    </row>
    <row r="28" spans="1:15">
      <c r="A28" s="19"/>
      <c r="B28" s="152"/>
      <c r="C28" s="20"/>
      <c r="D28" s="146"/>
      <c r="E28" s="14"/>
      <c r="F28" s="150"/>
      <c r="G28" s="25">
        <v>1</v>
      </c>
      <c r="H28" s="16">
        <f t="shared" si="0"/>
        <v>0</v>
      </c>
      <c r="I28" s="28"/>
      <c r="J28" s="31"/>
      <c r="K28" s="94">
        <v>1</v>
      </c>
      <c r="L28" s="16">
        <f t="shared" si="1"/>
        <v>0</v>
      </c>
      <c r="M28" s="28"/>
      <c r="N28" s="149">
        <f t="shared" si="2"/>
        <v>0</v>
      </c>
      <c r="O28" s="18" t="str">
        <f t="shared" si="3"/>
        <v/>
      </c>
    </row>
    <row r="29" spans="1:15">
      <c r="A29" s="19"/>
      <c r="B29" s="145" t="s">
        <v>23</v>
      </c>
      <c r="C29" s="20"/>
      <c r="D29" s="146" t="s">
        <v>65</v>
      </c>
      <c r="E29" s="14"/>
      <c r="F29" s="150">
        <f>'[1]B. CurrentTariff'!C96</f>
        <v>7.8817000000000004</v>
      </c>
      <c r="G29" s="25">
        <f t="shared" ref="G29:G38" si="4">$F$18</f>
        <v>1</v>
      </c>
      <c r="H29" s="16">
        <f t="shared" si="0"/>
        <v>7.8817000000000004</v>
      </c>
      <c r="I29" s="28"/>
      <c r="J29" s="148">
        <f>'[1]G. RateDesign'!G49</f>
        <v>10.872161165040167</v>
      </c>
      <c r="K29" s="95">
        <f>$F$18</f>
        <v>1</v>
      </c>
      <c r="L29" s="16">
        <f t="shared" si="1"/>
        <v>10.872161165040167</v>
      </c>
      <c r="M29" s="28"/>
      <c r="N29" s="149">
        <f t="shared" si="2"/>
        <v>2.9904611650401662</v>
      </c>
      <c r="O29" s="18">
        <f t="shared" si="3"/>
        <v>0.37941829364733065</v>
      </c>
    </row>
    <row r="30" spans="1:15">
      <c r="A30" s="19"/>
      <c r="B30" s="145" t="s">
        <v>22</v>
      </c>
      <c r="C30" s="20"/>
      <c r="D30" s="146" t="s">
        <v>65</v>
      </c>
      <c r="E30" s="14"/>
      <c r="F30" s="150"/>
      <c r="G30" s="25">
        <f t="shared" si="4"/>
        <v>1</v>
      </c>
      <c r="H30" s="16">
        <f t="shared" si="0"/>
        <v>0</v>
      </c>
      <c r="I30" s="28"/>
      <c r="J30" s="31"/>
      <c r="K30" s="95">
        <f t="shared" ref="K30:K38" si="5">$F$18</f>
        <v>1</v>
      </c>
      <c r="L30" s="16">
        <f t="shared" si="1"/>
        <v>0</v>
      </c>
      <c r="M30" s="28"/>
      <c r="N30" s="149">
        <f t="shared" si="2"/>
        <v>0</v>
      </c>
      <c r="O30" s="18" t="str">
        <f t="shared" si="3"/>
        <v/>
      </c>
    </row>
    <row r="31" spans="1:15">
      <c r="A31" s="19"/>
      <c r="B31" s="145" t="s">
        <v>25</v>
      </c>
      <c r="C31" s="20"/>
      <c r="D31" s="146" t="s">
        <v>65</v>
      </c>
      <c r="E31" s="14"/>
      <c r="F31" s="150"/>
      <c r="G31" s="25">
        <f t="shared" si="4"/>
        <v>1</v>
      </c>
      <c r="H31" s="16">
        <f t="shared" si="0"/>
        <v>0</v>
      </c>
      <c r="I31" s="28"/>
      <c r="J31" s="31"/>
      <c r="K31" s="95">
        <f t="shared" si="5"/>
        <v>1</v>
      </c>
      <c r="L31" s="16">
        <f t="shared" si="1"/>
        <v>0</v>
      </c>
      <c r="M31" s="28"/>
      <c r="N31" s="149">
        <f t="shared" si="2"/>
        <v>0</v>
      </c>
      <c r="O31" s="18" t="str">
        <f t="shared" si="3"/>
        <v/>
      </c>
    </row>
    <row r="32" spans="1:15">
      <c r="A32" s="19"/>
      <c r="B32" s="151" t="s">
        <v>21</v>
      </c>
      <c r="C32" s="20"/>
      <c r="D32" s="146"/>
      <c r="E32" s="14"/>
      <c r="F32" s="150"/>
      <c r="G32" s="25">
        <f t="shared" si="4"/>
        <v>1</v>
      </c>
      <c r="H32" s="16">
        <f>G32*F32</f>
        <v>0</v>
      </c>
      <c r="I32" s="28"/>
      <c r="J32" s="31"/>
      <c r="K32" s="95">
        <f t="shared" si="5"/>
        <v>1</v>
      </c>
      <c r="L32" s="16">
        <f>K32*J32</f>
        <v>0</v>
      </c>
      <c r="M32" s="28"/>
      <c r="N32" s="149">
        <f>L32-H32</f>
        <v>0</v>
      </c>
      <c r="O32" s="18" t="str">
        <f>IF((H32)=0,"",(N32/H32))</f>
        <v/>
      </c>
    </row>
    <row r="33" spans="1:15">
      <c r="A33" s="19"/>
      <c r="B33" s="151"/>
      <c r="C33" s="20"/>
      <c r="D33" s="146"/>
      <c r="E33" s="14"/>
      <c r="F33" s="150"/>
      <c r="G33" s="25">
        <f t="shared" si="4"/>
        <v>1</v>
      </c>
      <c r="H33" s="16">
        <f>G33*F33</f>
        <v>0</v>
      </c>
      <c r="I33" s="28"/>
      <c r="J33" s="31"/>
      <c r="K33" s="95">
        <f t="shared" si="5"/>
        <v>1</v>
      </c>
      <c r="L33" s="16">
        <f>K33*J33</f>
        <v>0</v>
      </c>
      <c r="M33" s="28"/>
      <c r="N33" s="149">
        <f>L33-H33</f>
        <v>0</v>
      </c>
      <c r="O33" s="18" t="str">
        <f>IF((H33)=0,"",(N33/H33))</f>
        <v/>
      </c>
    </row>
    <row r="34" spans="1:15">
      <c r="A34" s="19"/>
      <c r="B34" s="151"/>
      <c r="C34" s="20"/>
      <c r="D34" s="146"/>
      <c r="E34" s="14"/>
      <c r="F34" s="150"/>
      <c r="G34" s="25">
        <f t="shared" si="4"/>
        <v>1</v>
      </c>
      <c r="H34" s="16">
        <f>G34*F34</f>
        <v>0</v>
      </c>
      <c r="I34" s="28"/>
      <c r="J34" s="31"/>
      <c r="K34" s="95">
        <f t="shared" si="5"/>
        <v>1</v>
      </c>
      <c r="L34" s="16">
        <f>K34*J34</f>
        <v>0</v>
      </c>
      <c r="M34" s="28"/>
      <c r="N34" s="149">
        <f>L34-H34</f>
        <v>0</v>
      </c>
      <c r="O34" s="18" t="str">
        <f>IF((H34)=0,"",(N34/H34))</f>
        <v/>
      </c>
    </row>
    <row r="35" spans="1:15">
      <c r="A35" s="19"/>
      <c r="B35" s="151"/>
      <c r="C35" s="20"/>
      <c r="D35" s="146"/>
      <c r="E35" s="14"/>
      <c r="F35" s="150"/>
      <c r="G35" s="25">
        <f t="shared" si="4"/>
        <v>1</v>
      </c>
      <c r="H35" s="16">
        <f t="shared" si="0"/>
        <v>0</v>
      </c>
      <c r="I35" s="28"/>
      <c r="J35" s="31"/>
      <c r="K35" s="95">
        <f t="shared" si="5"/>
        <v>1</v>
      </c>
      <c r="L35" s="16">
        <f t="shared" si="1"/>
        <v>0</v>
      </c>
      <c r="M35" s="28"/>
      <c r="N35" s="149">
        <f t="shared" si="2"/>
        <v>0</v>
      </c>
      <c r="O35" s="18" t="str">
        <f t="shared" si="3"/>
        <v/>
      </c>
    </row>
    <row r="36" spans="1:15">
      <c r="A36" s="19"/>
      <c r="B36" s="151"/>
      <c r="C36" s="20"/>
      <c r="D36" s="146"/>
      <c r="E36" s="14"/>
      <c r="F36" s="150"/>
      <c r="G36" s="25">
        <f t="shared" si="4"/>
        <v>1</v>
      </c>
      <c r="H36" s="16">
        <f t="shared" si="0"/>
        <v>0</v>
      </c>
      <c r="I36" s="28"/>
      <c r="J36" s="31"/>
      <c r="K36" s="95">
        <f t="shared" si="5"/>
        <v>1</v>
      </c>
      <c r="L36" s="16">
        <f t="shared" si="1"/>
        <v>0</v>
      </c>
      <c r="M36" s="28"/>
      <c r="N36" s="149">
        <f t="shared" si="2"/>
        <v>0</v>
      </c>
      <c r="O36" s="18" t="str">
        <f t="shared" si="3"/>
        <v/>
      </c>
    </row>
    <row r="37" spans="1:15">
      <c r="A37" s="19"/>
      <c r="B37" s="151"/>
      <c r="C37" s="20"/>
      <c r="D37" s="146"/>
      <c r="E37" s="14"/>
      <c r="F37" s="150"/>
      <c r="G37" s="25">
        <f t="shared" si="4"/>
        <v>1</v>
      </c>
      <c r="H37" s="16">
        <f t="shared" si="0"/>
        <v>0</v>
      </c>
      <c r="I37" s="28"/>
      <c r="J37" s="31"/>
      <c r="K37" s="95">
        <f t="shared" si="5"/>
        <v>1</v>
      </c>
      <c r="L37" s="16">
        <f t="shared" si="1"/>
        <v>0</v>
      </c>
      <c r="M37" s="28"/>
      <c r="N37" s="149">
        <f t="shared" si="2"/>
        <v>0</v>
      </c>
      <c r="O37" s="18" t="str">
        <f t="shared" si="3"/>
        <v/>
      </c>
    </row>
    <row r="38" spans="1:15">
      <c r="A38" s="19"/>
      <c r="B38" s="151"/>
      <c r="C38" s="20"/>
      <c r="D38" s="146"/>
      <c r="E38" s="14"/>
      <c r="F38" s="150"/>
      <c r="G38" s="25">
        <f t="shared" si="4"/>
        <v>1</v>
      </c>
      <c r="H38" s="16">
        <f t="shared" si="0"/>
        <v>0</v>
      </c>
      <c r="I38" s="28"/>
      <c r="J38" s="31"/>
      <c r="K38" s="95">
        <f t="shared" si="5"/>
        <v>1</v>
      </c>
      <c r="L38" s="16">
        <f t="shared" si="1"/>
        <v>0</v>
      </c>
      <c r="M38" s="28"/>
      <c r="N38" s="149">
        <f t="shared" si="2"/>
        <v>0</v>
      </c>
      <c r="O38" s="18" t="str">
        <f t="shared" si="3"/>
        <v/>
      </c>
    </row>
    <row r="39" spans="1:15">
      <c r="A39" s="19"/>
      <c r="B39" s="153" t="s">
        <v>26</v>
      </c>
      <c r="C39" s="154"/>
      <c r="D39" s="155"/>
      <c r="E39" s="154"/>
      <c r="F39" s="156"/>
      <c r="G39" s="246"/>
      <c r="H39" s="158">
        <f>SUM(H23:H38)</f>
        <v>10.4817</v>
      </c>
      <c r="I39" s="28"/>
      <c r="J39" s="159"/>
      <c r="K39" s="277"/>
      <c r="L39" s="158">
        <f>SUM(L23:L38)</f>
        <v>14.452161165040167</v>
      </c>
      <c r="M39" s="28"/>
      <c r="N39" s="161">
        <f t="shared" si="2"/>
        <v>3.9704611650401667</v>
      </c>
      <c r="O39" s="162">
        <f t="shared" si="3"/>
        <v>0.37879935173112822</v>
      </c>
    </row>
    <row r="40" spans="1:15" ht="51">
      <c r="A40" s="163"/>
      <c r="B40" s="164" t="str">
        <f>'[1]J. DVA'!$B$16</f>
        <v>Rate Rider Calculation for Deferral / Variance Accounts Balances (excluding Global Adj.)</v>
      </c>
      <c r="C40" s="20"/>
      <c r="D40" s="248" t="s">
        <v>65</v>
      </c>
      <c r="E40" s="20"/>
      <c r="F40" s="166"/>
      <c r="G40" s="21">
        <f>$F$18</f>
        <v>1</v>
      </c>
      <c r="H40" s="22">
        <f t="shared" ref="H40:H48" si="6">G40*F40</f>
        <v>0</v>
      </c>
      <c r="I40" s="167"/>
      <c r="J40" s="166">
        <f>'[1]J. DVA'!F24</f>
        <v>-0.29442055101947512</v>
      </c>
      <c r="K40" s="96">
        <f t="shared" ref="K40:K46" si="7">$F$18</f>
        <v>1</v>
      </c>
      <c r="L40" s="22">
        <f>K40*J40</f>
        <v>-0.29442055101947512</v>
      </c>
      <c r="M40" s="167"/>
      <c r="N40" s="168">
        <f>L40-H40</f>
        <v>-0.29442055101947512</v>
      </c>
      <c r="O40" s="24" t="str">
        <f>IF((H40)=0,"",(N40/H40))</f>
        <v/>
      </c>
    </row>
    <row r="41" spans="1:15" ht="51">
      <c r="A41" s="169"/>
      <c r="B41" s="164" t="str">
        <f>'[1]J. DVA'!$B$42</f>
        <v>Rate Rider Calculation for Deferral / Variance Accounts Balances (excluding Global Adj.) - NON-WMP</v>
      </c>
      <c r="C41" s="20"/>
      <c r="D41" s="248" t="s">
        <v>65</v>
      </c>
      <c r="E41" s="20"/>
      <c r="F41" s="166"/>
      <c r="G41" s="21">
        <f t="shared" ref="G41:G44" si="8">$F$18</f>
        <v>1</v>
      </c>
      <c r="H41" s="22">
        <f t="shared" si="6"/>
        <v>0</v>
      </c>
      <c r="I41" s="167"/>
      <c r="J41" s="166">
        <f>'[1]J. DVA'!F50</f>
        <v>-0.95027756989382417</v>
      </c>
      <c r="K41" s="96">
        <f t="shared" si="7"/>
        <v>1</v>
      </c>
      <c r="L41" s="22">
        <f t="shared" ref="L41:L44" si="9">K41*J41</f>
        <v>-0.95027756989382417</v>
      </c>
      <c r="M41" s="167"/>
      <c r="N41" s="168">
        <f t="shared" ref="N41:N44" si="10">L41-H41</f>
        <v>-0.95027756989382417</v>
      </c>
      <c r="O41" s="24" t="str">
        <f>IF((H41)=0,"",(N41/H41))</f>
        <v/>
      </c>
    </row>
    <row r="42" spans="1:15" ht="38.25">
      <c r="A42" s="169"/>
      <c r="B42" s="164" t="str">
        <f>'[1]J. DVA'!$B$68</f>
        <v>Rate Rider Calculation for RSVA - Power - Global Adjustment</v>
      </c>
      <c r="C42" s="20"/>
      <c r="D42" s="248" t="s">
        <v>65</v>
      </c>
      <c r="E42" s="20"/>
      <c r="F42" s="166"/>
      <c r="G42" s="21">
        <f t="shared" si="8"/>
        <v>1</v>
      </c>
      <c r="H42" s="22"/>
      <c r="I42" s="167"/>
      <c r="J42" s="166">
        <v>0</v>
      </c>
      <c r="K42" s="96">
        <f t="shared" si="7"/>
        <v>1</v>
      </c>
      <c r="L42" s="22">
        <f t="shared" si="9"/>
        <v>0</v>
      </c>
      <c r="M42" s="167"/>
      <c r="N42" s="168">
        <f t="shared" si="10"/>
        <v>0</v>
      </c>
      <c r="O42" s="24"/>
    </row>
    <row r="43" spans="1:15" ht="25.5">
      <c r="A43" s="169"/>
      <c r="B43" s="164" t="str">
        <f>'[1]J. DVA'!$B$121</f>
        <v>Rate Rider Calculation for Group 2 Accounts</v>
      </c>
      <c r="C43" s="20"/>
      <c r="D43" s="248" t="s">
        <v>65</v>
      </c>
      <c r="E43" s="20"/>
      <c r="F43" s="166"/>
      <c r="G43" s="21">
        <f t="shared" si="8"/>
        <v>1</v>
      </c>
      <c r="H43" s="22"/>
      <c r="I43" s="167"/>
      <c r="J43" s="166">
        <f>'[1]J. DVA'!F129</f>
        <v>2.8831374867736497E-2</v>
      </c>
      <c r="K43" s="96">
        <f t="shared" si="7"/>
        <v>1</v>
      </c>
      <c r="L43" s="22">
        <f t="shared" si="9"/>
        <v>2.8831374867736497E-2</v>
      </c>
      <c r="M43" s="167"/>
      <c r="N43" s="168">
        <f t="shared" si="10"/>
        <v>2.8831374867736497E-2</v>
      </c>
      <c r="O43" s="24"/>
    </row>
    <row r="44" spans="1:15" ht="25.5">
      <c r="A44" s="163"/>
      <c r="B44" s="164" t="str">
        <f>'[1]J. DVA'!$B$147</f>
        <v>Rate Rider Calculation for Accounts 1575 and 1576</v>
      </c>
      <c r="C44" s="20"/>
      <c r="D44" s="248" t="s">
        <v>65</v>
      </c>
      <c r="E44" s="20"/>
      <c r="F44" s="166"/>
      <c r="G44" s="21">
        <f t="shared" si="8"/>
        <v>1</v>
      </c>
      <c r="H44" s="22">
        <f t="shared" si="6"/>
        <v>0</v>
      </c>
      <c r="I44" s="167"/>
      <c r="J44" s="166">
        <f>'[1]J. DVA'!F157</f>
        <v>8.4209847722163611E-2</v>
      </c>
      <c r="K44" s="96">
        <f t="shared" si="7"/>
        <v>1</v>
      </c>
      <c r="L44" s="22">
        <f t="shared" si="9"/>
        <v>8.4209847722163611E-2</v>
      </c>
      <c r="M44" s="167"/>
      <c r="N44" s="168">
        <f t="shared" si="10"/>
        <v>8.4209847722163611E-2</v>
      </c>
      <c r="O44" s="24" t="str">
        <f>IF((H44)=0,"",(N44/H44))</f>
        <v/>
      </c>
    </row>
    <row r="45" spans="1:15" ht="25.5">
      <c r="A45" s="163"/>
      <c r="B45" s="164" t="str">
        <f>'[1]J. DVA'!$B$175</f>
        <v>Rate Rider Calculation for Accounts 1568</v>
      </c>
      <c r="C45" s="20"/>
      <c r="D45" s="248" t="s">
        <v>65</v>
      </c>
      <c r="E45" s="20"/>
      <c r="F45" s="166"/>
      <c r="G45" s="21">
        <f>$F$18</f>
        <v>1</v>
      </c>
      <c r="H45" s="22">
        <f t="shared" si="6"/>
        <v>0</v>
      </c>
      <c r="I45" s="167"/>
      <c r="J45" s="166">
        <f>'[1]J. DVA'!F185</f>
        <v>0</v>
      </c>
      <c r="K45" s="96">
        <f t="shared" si="7"/>
        <v>1</v>
      </c>
      <c r="L45" s="22">
        <f>K45*J45</f>
        <v>0</v>
      </c>
      <c r="M45" s="167"/>
      <c r="N45" s="168">
        <f>L45-H45</f>
        <v>0</v>
      </c>
      <c r="O45" s="24" t="str">
        <f>IF((H45)=0,"",(N45/H45))</f>
        <v/>
      </c>
    </row>
    <row r="46" spans="1:15">
      <c r="A46" s="163"/>
      <c r="B46" s="164" t="s">
        <v>27</v>
      </c>
      <c r="C46" s="20"/>
      <c r="D46" s="248" t="s">
        <v>65</v>
      </c>
      <c r="E46" s="20"/>
      <c r="F46" s="166">
        <v>0.31209999999999999</v>
      </c>
      <c r="G46" s="21">
        <f>$F$18</f>
        <v>1</v>
      </c>
      <c r="H46" s="22">
        <f t="shared" si="6"/>
        <v>0.31209999999999999</v>
      </c>
      <c r="I46" s="167"/>
      <c r="J46" s="166">
        <f>'[2]4.12 PowerSupplExp'!$I$174</f>
        <v>0.2253</v>
      </c>
      <c r="K46" s="96">
        <f t="shared" si="7"/>
        <v>1</v>
      </c>
      <c r="L46" s="22">
        <f>K46*J46</f>
        <v>0.2253</v>
      </c>
      <c r="M46" s="167"/>
      <c r="N46" s="168">
        <f>L46-H46</f>
        <v>-8.6799999999999988E-2</v>
      </c>
      <c r="O46" s="24">
        <f>IF((H46)=0,"",(N46/H46))</f>
        <v>-0.2781159884652355</v>
      </c>
    </row>
    <row r="47" spans="1:15">
      <c r="A47" s="19"/>
      <c r="B47" s="145" t="s">
        <v>28</v>
      </c>
      <c r="C47" s="20"/>
      <c r="D47" s="248" t="s">
        <v>65</v>
      </c>
      <c r="E47" s="20"/>
      <c r="F47" s="166">
        <f>IF(ISBLANK(D16)=1, 0, IF(D16="TOU", 0.64*$F$57+0.18*$F$58+0.18*$F$59, IF(AND(D16="non-TOU", G61&gt;0), F61,F60)))</f>
        <v>9.5000000000000001E-2</v>
      </c>
      <c r="G47" s="21">
        <f>$F$18*(1+$F$76)-$F$18</f>
        <v>3.8999999999999924E-2</v>
      </c>
      <c r="H47" s="22">
        <f t="shared" si="6"/>
        <v>3.7049999999999926E-3</v>
      </c>
      <c r="I47" s="167"/>
      <c r="J47" s="166">
        <f>0.64*$F$57+0.18*$F$58+0.18*$F$59</f>
        <v>9.5000000000000001E-2</v>
      </c>
      <c r="K47" s="96">
        <f>$F$18*(1+$J$76)-$F$18</f>
        <v>4.5700000000000074E-2</v>
      </c>
      <c r="L47" s="22">
        <f t="shared" ref="L47:L48" si="11">K47*J47</f>
        <v>4.3415000000000068E-3</v>
      </c>
      <c r="M47" s="167"/>
      <c r="N47" s="168">
        <f t="shared" si="2"/>
        <v>6.3650000000001422E-4</v>
      </c>
      <c r="O47" s="24">
        <f t="shared" si="3"/>
        <v>0.17179487179487599</v>
      </c>
    </row>
    <row r="48" spans="1:15">
      <c r="A48" s="19"/>
      <c r="B48" s="145" t="s">
        <v>29</v>
      </c>
      <c r="C48" s="20"/>
      <c r="D48" s="248" t="s">
        <v>65</v>
      </c>
      <c r="E48" s="20"/>
      <c r="F48" s="166">
        <v>0.79</v>
      </c>
      <c r="G48" s="21">
        <v>1</v>
      </c>
      <c r="H48" s="22">
        <f t="shared" si="6"/>
        <v>0.79</v>
      </c>
      <c r="I48" s="167"/>
      <c r="J48" s="166">
        <v>0.79</v>
      </c>
      <c r="K48" s="96">
        <v>1</v>
      </c>
      <c r="L48" s="22">
        <f t="shared" si="11"/>
        <v>0.79</v>
      </c>
      <c r="M48" s="167"/>
      <c r="N48" s="168">
        <f t="shared" si="2"/>
        <v>0</v>
      </c>
      <c r="O48" s="24"/>
    </row>
    <row r="49" spans="2:19" ht="25.5">
      <c r="B49" s="175" t="s">
        <v>30</v>
      </c>
      <c r="C49" s="176"/>
      <c r="D49" s="176"/>
      <c r="E49" s="176"/>
      <c r="F49" s="177"/>
      <c r="G49" s="249"/>
      <c r="H49" s="179">
        <f>SUM(H40:H48)+H39</f>
        <v>11.587505</v>
      </c>
      <c r="I49" s="28"/>
      <c r="J49" s="178"/>
      <c r="K49" s="278"/>
      <c r="L49" s="179">
        <f>SUM(L40:L48)+L39</f>
        <v>14.340145766716768</v>
      </c>
      <c r="M49" s="28"/>
      <c r="N49" s="161">
        <f t="shared" si="2"/>
        <v>2.7526407667167678</v>
      </c>
      <c r="O49" s="162">
        <f t="shared" ref="O49:O67" si="12">IF((H49)=0,"",(N49/H49))</f>
        <v>0.23755249872313045</v>
      </c>
    </row>
    <row r="50" spans="2:19">
      <c r="B50" s="181" t="s">
        <v>31</v>
      </c>
      <c r="C50" s="28"/>
      <c r="D50" s="146" t="s">
        <v>65</v>
      </c>
      <c r="E50" s="28"/>
      <c r="F50" s="31">
        <v>1.7950999999999999</v>
      </c>
      <c r="G50" s="100">
        <f>F18*(1+F76)</f>
        <v>1.0389999999999999</v>
      </c>
      <c r="H50" s="16">
        <f>G50*F50</f>
        <v>1.8651088999999998</v>
      </c>
      <c r="I50" s="28"/>
      <c r="J50" s="31">
        <f>'[2]4.12 PowerSupplExp'!$N$61</f>
        <v>1.718771417466135</v>
      </c>
      <c r="K50" s="101">
        <f>F18*(1+J76)</f>
        <v>1.0457000000000001</v>
      </c>
      <c r="L50" s="16">
        <f>K50*J50</f>
        <v>1.7973192712443375</v>
      </c>
      <c r="M50" s="28"/>
      <c r="N50" s="149">
        <f t="shared" si="2"/>
        <v>-6.7789628755662301E-2</v>
      </c>
      <c r="O50" s="18">
        <f t="shared" si="12"/>
        <v>-3.6346204104040415E-2</v>
      </c>
    </row>
    <row r="51" spans="2:19" ht="25.5">
      <c r="B51" s="183" t="s">
        <v>32</v>
      </c>
      <c r="C51" s="28"/>
      <c r="D51" s="146" t="s">
        <v>65</v>
      </c>
      <c r="E51" s="28"/>
      <c r="F51" s="31">
        <v>1.2596000000000001</v>
      </c>
      <c r="G51" s="100">
        <f>G50</f>
        <v>1.0389999999999999</v>
      </c>
      <c r="H51" s="16">
        <f>G51*F51</f>
        <v>1.3087244</v>
      </c>
      <c r="I51" s="28"/>
      <c r="J51" s="31">
        <f>'[2]4.12 PowerSupplExp'!$N$77</f>
        <v>1.2874571475255887</v>
      </c>
      <c r="K51" s="101">
        <f>K50</f>
        <v>1.0457000000000001</v>
      </c>
      <c r="L51" s="16">
        <f>K51*J51</f>
        <v>1.3462939391675082</v>
      </c>
      <c r="M51" s="28"/>
      <c r="N51" s="149">
        <f t="shared" si="2"/>
        <v>3.7569539167508159E-2</v>
      </c>
      <c r="O51" s="18">
        <f t="shared" si="12"/>
        <v>2.8706990690712392E-2</v>
      </c>
    </row>
    <row r="52" spans="2:19" ht="25.5">
      <c r="B52" s="175" t="s">
        <v>33</v>
      </c>
      <c r="C52" s="154"/>
      <c r="D52" s="154"/>
      <c r="E52" s="154"/>
      <c r="F52" s="184"/>
      <c r="G52" s="249"/>
      <c r="H52" s="179">
        <f>SUM(H49:H51)</f>
        <v>14.761338299999998</v>
      </c>
      <c r="I52" s="185"/>
      <c r="J52" s="186"/>
      <c r="K52" s="279"/>
      <c r="L52" s="179">
        <f>SUM(L49:L51)</f>
        <v>17.483758977128616</v>
      </c>
      <c r="M52" s="185"/>
      <c r="N52" s="161">
        <f t="shared" si="2"/>
        <v>2.7224206771286177</v>
      </c>
      <c r="O52" s="162">
        <f t="shared" si="12"/>
        <v>0.18442912301038572</v>
      </c>
    </row>
    <row r="53" spans="2:19" ht="25.5">
      <c r="B53" s="145" t="s">
        <v>34</v>
      </c>
      <c r="C53" s="20"/>
      <c r="D53" s="188" t="s">
        <v>24</v>
      </c>
      <c r="E53" s="14"/>
      <c r="F53" s="102">
        <v>4.4000000000000003E-3</v>
      </c>
      <c r="G53" s="100">
        <v>10</v>
      </c>
      <c r="H53" s="97">
        <f t="shared" ref="H53:H59" si="13">G53*F53</f>
        <v>4.4000000000000004E-2</v>
      </c>
      <c r="I53" s="19"/>
      <c r="J53" s="102">
        <v>4.4000000000000003E-3</v>
      </c>
      <c r="K53" s="101">
        <v>10</v>
      </c>
      <c r="L53" s="98">
        <f>K53*J53</f>
        <v>4.4000000000000004E-2</v>
      </c>
      <c r="M53" s="28"/>
      <c r="N53" s="280">
        <f t="shared" si="2"/>
        <v>0</v>
      </c>
      <c r="O53" s="18">
        <f>IF((H53)=0,"",(N53/H53))</f>
        <v>0</v>
      </c>
    </row>
    <row r="54" spans="2:19" ht="25.5">
      <c r="B54" s="145" t="s">
        <v>35</v>
      </c>
      <c r="C54" s="20"/>
      <c r="D54" s="188" t="s">
        <v>24</v>
      </c>
      <c r="E54" s="14"/>
      <c r="F54" s="102">
        <v>1.1999999999999999E-3</v>
      </c>
      <c r="G54" s="100">
        <f>G51</f>
        <v>1.0389999999999999</v>
      </c>
      <c r="H54" s="99">
        <f t="shared" si="13"/>
        <v>1.2467999999999997E-3</v>
      </c>
      <c r="I54" s="19"/>
      <c r="J54" s="102">
        <v>1.1999999999999999E-3</v>
      </c>
      <c r="K54" s="101">
        <f>K51</f>
        <v>1.0457000000000001</v>
      </c>
      <c r="L54" s="16">
        <f t="shared" ref="L54:L59" si="14">K54*J54</f>
        <v>1.2548399999999999E-3</v>
      </c>
      <c r="M54" s="28"/>
      <c r="N54" s="149">
        <f t="shared" si="2"/>
        <v>8.0400000000001737E-6</v>
      </c>
      <c r="O54" s="18">
        <f t="shared" si="12"/>
        <v>6.4485081809433553E-3</v>
      </c>
    </row>
    <row r="55" spans="2:19" ht="25.5">
      <c r="B55" s="145" t="s">
        <v>36</v>
      </c>
      <c r="C55" s="20"/>
      <c r="D55" s="188" t="s">
        <v>19</v>
      </c>
      <c r="E55" s="14"/>
      <c r="F55" s="102">
        <v>0.25</v>
      </c>
      <c r="G55" s="25">
        <v>1</v>
      </c>
      <c r="H55" s="99">
        <f t="shared" si="13"/>
        <v>0.25</v>
      </c>
      <c r="I55" s="19"/>
      <c r="J55" s="102">
        <v>0.25</v>
      </c>
      <c r="K55" s="94">
        <v>1</v>
      </c>
      <c r="L55" s="16">
        <f t="shared" si="14"/>
        <v>0.25</v>
      </c>
      <c r="M55" s="28"/>
      <c r="N55" s="149">
        <f t="shared" si="2"/>
        <v>0</v>
      </c>
      <c r="O55" s="18">
        <f t="shared" si="12"/>
        <v>0</v>
      </c>
    </row>
    <row r="56" spans="2:19" ht="25.5">
      <c r="B56" s="145" t="s">
        <v>37</v>
      </c>
      <c r="C56" s="20"/>
      <c r="D56" s="188" t="s">
        <v>24</v>
      </c>
      <c r="E56" s="14"/>
      <c r="F56" s="31">
        <v>4.8999999999999998E-3</v>
      </c>
      <c r="G56" s="100">
        <f>F18</f>
        <v>1</v>
      </c>
      <c r="H56" s="99">
        <f t="shared" si="13"/>
        <v>4.8999999999999998E-3</v>
      </c>
      <c r="I56" s="19"/>
      <c r="J56" s="31">
        <v>4.8999999999999998E-3</v>
      </c>
      <c r="K56" s="101">
        <f>F18</f>
        <v>1</v>
      </c>
      <c r="L56" s="16">
        <f t="shared" si="14"/>
        <v>4.8999999999999998E-3</v>
      </c>
      <c r="M56" s="28"/>
      <c r="N56" s="149">
        <f t="shared" si="2"/>
        <v>0</v>
      </c>
      <c r="O56" s="18">
        <f t="shared" si="12"/>
        <v>0</v>
      </c>
    </row>
    <row r="57" spans="2:19">
      <c r="B57" s="170" t="s">
        <v>38</v>
      </c>
      <c r="C57" s="20"/>
      <c r="D57" s="188" t="s">
        <v>24</v>
      </c>
      <c r="E57" s="14"/>
      <c r="F57" s="102">
        <v>7.6999999999999999E-2</v>
      </c>
      <c r="G57" s="253">
        <f>0.64*$F$18</f>
        <v>0.64</v>
      </c>
      <c r="H57" s="99">
        <f t="shared" si="13"/>
        <v>4.9279999999999997E-2</v>
      </c>
      <c r="I57" s="19"/>
      <c r="J57" s="102">
        <v>7.6999999999999999E-2</v>
      </c>
      <c r="K57" s="281">
        <f>G57</f>
        <v>0.64</v>
      </c>
      <c r="L57" s="16">
        <f t="shared" si="14"/>
        <v>4.9279999999999997E-2</v>
      </c>
      <c r="M57" s="28"/>
      <c r="N57" s="149">
        <f t="shared" si="2"/>
        <v>0</v>
      </c>
      <c r="O57" s="18">
        <f t="shared" si="12"/>
        <v>0</v>
      </c>
      <c r="S57" s="190"/>
    </row>
    <row r="58" spans="2:19">
      <c r="B58" s="170" t="s">
        <v>39</v>
      </c>
      <c r="C58" s="20"/>
      <c r="D58" s="188" t="s">
        <v>24</v>
      </c>
      <c r="E58" s="14"/>
      <c r="F58" s="102">
        <v>0.114</v>
      </c>
      <c r="G58" s="253">
        <f>0.18*$F$18</f>
        <v>0.18</v>
      </c>
      <c r="H58" s="99">
        <f t="shared" si="13"/>
        <v>2.052E-2</v>
      </c>
      <c r="I58" s="19"/>
      <c r="J58" s="102">
        <v>0.114</v>
      </c>
      <c r="K58" s="281">
        <f>G58</f>
        <v>0.18</v>
      </c>
      <c r="L58" s="16">
        <f t="shared" si="14"/>
        <v>2.052E-2</v>
      </c>
      <c r="M58" s="28"/>
      <c r="N58" s="149">
        <f t="shared" si="2"/>
        <v>0</v>
      </c>
      <c r="O58" s="18">
        <f t="shared" si="12"/>
        <v>0</v>
      </c>
      <c r="S58" s="190"/>
    </row>
    <row r="59" spans="2:19">
      <c r="B59" s="135" t="s">
        <v>40</v>
      </c>
      <c r="C59" s="20"/>
      <c r="D59" s="188" t="s">
        <v>24</v>
      </c>
      <c r="E59" s="14"/>
      <c r="F59" s="102">
        <v>0.14000000000000001</v>
      </c>
      <c r="G59" s="253">
        <f>0.18*$F$18</f>
        <v>0.18</v>
      </c>
      <c r="H59" s="99">
        <f t="shared" si="13"/>
        <v>2.52E-2</v>
      </c>
      <c r="I59" s="19"/>
      <c r="J59" s="102">
        <v>0.14000000000000001</v>
      </c>
      <c r="K59" s="281">
        <f>G59</f>
        <v>0.18</v>
      </c>
      <c r="L59" s="16">
        <f t="shared" si="14"/>
        <v>2.52E-2</v>
      </c>
      <c r="M59" s="28"/>
      <c r="N59" s="149">
        <f t="shared" si="2"/>
        <v>0</v>
      </c>
      <c r="O59" s="18">
        <f t="shared" si="12"/>
        <v>0</v>
      </c>
      <c r="S59" s="190"/>
    </row>
    <row r="60" spans="2:19" s="195" customFormat="1">
      <c r="B60" s="191" t="s">
        <v>41</v>
      </c>
      <c r="C60" s="32"/>
      <c r="D60" s="188" t="s">
        <v>24</v>
      </c>
      <c r="E60" s="32"/>
      <c r="F60" s="102">
        <v>8.5999999999999993E-2</v>
      </c>
      <c r="G60" s="255">
        <f>IF(AND($T$1=1, F18&gt;=600), 600, IF(AND($T$1=1, AND(F18&lt;600, F18&gt;=0)), F18, IF(AND($T$1=2, F18&gt;=1000), 1000, IF(AND($T$1=2, AND(F18&lt;1000, F18&gt;=0)), F18))))</f>
        <v>1</v>
      </c>
      <c r="H60" s="99">
        <f>G60*F60</f>
        <v>8.5999999999999993E-2</v>
      </c>
      <c r="I60" s="256"/>
      <c r="J60" s="102">
        <v>8.5999999999999993E-2</v>
      </c>
      <c r="K60" s="282">
        <f>G60</f>
        <v>1</v>
      </c>
      <c r="L60" s="16">
        <f>K60*J60</f>
        <v>8.5999999999999993E-2</v>
      </c>
      <c r="M60" s="193"/>
      <c r="N60" s="194">
        <f t="shared" si="2"/>
        <v>0</v>
      </c>
      <c r="O60" s="18">
        <f t="shared" si="12"/>
        <v>0</v>
      </c>
    </row>
    <row r="61" spans="2:19" s="195" customFormat="1" ht="13.5" thickBot="1">
      <c r="B61" s="191" t="s">
        <v>42</v>
      </c>
      <c r="C61" s="32"/>
      <c r="D61" s="188" t="s">
        <v>24</v>
      </c>
      <c r="E61" s="32"/>
      <c r="F61" s="102">
        <v>0.10100000000000001</v>
      </c>
      <c r="G61" s="255">
        <f>IF(AND($T$1=1, F18&gt;=600), F18-600, IF(AND($T$1=1, AND(F18&lt;600, F18&gt;=0)), 0, IF(AND($T$1=2, F18&gt;=1000), F18-1000, IF(AND($T$1=2, AND(F18&lt;1000, F18&gt;=0)), 0))))</f>
        <v>0</v>
      </c>
      <c r="H61" s="99">
        <f>G61*F61</f>
        <v>0</v>
      </c>
      <c r="I61" s="256"/>
      <c r="J61" s="102">
        <v>0.10100000000000001</v>
      </c>
      <c r="K61" s="282">
        <f>G61</f>
        <v>0</v>
      </c>
      <c r="L61" s="16">
        <f>K61*J61</f>
        <v>0</v>
      </c>
      <c r="M61" s="193"/>
      <c r="N61" s="194">
        <f t="shared" si="2"/>
        <v>0</v>
      </c>
      <c r="O61" s="18" t="str">
        <f t="shared" si="12"/>
        <v/>
      </c>
    </row>
    <row r="62" spans="2:19" ht="13.5" thickBot="1">
      <c r="B62" s="196"/>
      <c r="C62" s="197"/>
      <c r="D62" s="198"/>
      <c r="E62" s="197"/>
      <c r="F62" s="199"/>
      <c r="G62" s="259"/>
      <c r="H62" s="201"/>
      <c r="I62" s="202"/>
      <c r="J62" s="199"/>
      <c r="K62" s="283"/>
      <c r="L62" s="201"/>
      <c r="M62" s="202"/>
      <c r="N62" s="204"/>
      <c r="O62" s="205"/>
    </row>
    <row r="63" spans="2:19" ht="25.5">
      <c r="B63" s="33" t="s">
        <v>43</v>
      </c>
      <c r="C63" s="20"/>
      <c r="D63" s="20"/>
      <c r="E63" s="20"/>
      <c r="F63" s="34"/>
      <c r="G63" s="103"/>
      <c r="H63" s="36">
        <f>SUM(H53:H59,H52)</f>
        <v>15.156485099999998</v>
      </c>
      <c r="I63" s="37"/>
      <c r="J63" s="38"/>
      <c r="K63" s="104"/>
      <c r="L63" s="36">
        <f>SUM(L53:L59,L52)</f>
        <v>17.878913817128616</v>
      </c>
      <c r="M63" s="39"/>
      <c r="N63" s="40">
        <f>L63-H63</f>
        <v>2.7224287171286186</v>
      </c>
      <c r="O63" s="41">
        <f>IF((H63)=0,"",(N63/H63))</f>
        <v>0.17962137653726978</v>
      </c>
      <c r="S63" s="190"/>
    </row>
    <row r="64" spans="2:19">
      <c r="B64" s="42" t="s">
        <v>44</v>
      </c>
      <c r="C64" s="20"/>
      <c r="D64" s="20"/>
      <c r="E64" s="20"/>
      <c r="F64" s="43">
        <v>0.13</v>
      </c>
      <c r="G64" s="105"/>
      <c r="H64" s="45">
        <f>H63*F64</f>
        <v>1.9703430629999998</v>
      </c>
      <c r="I64" s="46"/>
      <c r="J64" s="47">
        <v>0.13</v>
      </c>
      <c r="K64" s="106"/>
      <c r="L64" s="48">
        <f>L63*J64</f>
        <v>2.32425879622672</v>
      </c>
      <c r="M64" s="49"/>
      <c r="N64" s="50">
        <f t="shared" si="2"/>
        <v>0.35391573322672021</v>
      </c>
      <c r="O64" s="18">
        <f t="shared" si="12"/>
        <v>0.17962137653726967</v>
      </c>
      <c r="S64" s="190"/>
    </row>
    <row r="65" spans="1:19">
      <c r="B65" s="206" t="s">
        <v>45</v>
      </c>
      <c r="C65" s="20"/>
      <c r="D65" s="20"/>
      <c r="E65" s="20"/>
      <c r="F65" s="51"/>
      <c r="G65" s="105"/>
      <c r="H65" s="45">
        <f>H63+H64</f>
        <v>17.126828162999999</v>
      </c>
      <c r="I65" s="46"/>
      <c r="J65" s="46"/>
      <c r="K65" s="106"/>
      <c r="L65" s="48">
        <f>L63+L64</f>
        <v>20.203172613355335</v>
      </c>
      <c r="M65" s="49"/>
      <c r="N65" s="50">
        <f t="shared" si="2"/>
        <v>3.0763444503553359</v>
      </c>
      <c r="O65" s="18">
        <f t="shared" si="12"/>
        <v>0.17962137653726959</v>
      </c>
      <c r="S65" s="190"/>
    </row>
    <row r="66" spans="1:19">
      <c r="B66" s="292" t="s">
        <v>46</v>
      </c>
      <c r="C66" s="292"/>
      <c r="D66" s="292"/>
      <c r="E66" s="20"/>
      <c r="F66" s="51"/>
      <c r="G66" s="105"/>
      <c r="H66" s="52">
        <f>ROUND(-H65*0.1,2)</f>
        <v>-1.71</v>
      </c>
      <c r="I66" s="46"/>
      <c r="J66" s="46"/>
      <c r="K66" s="106"/>
      <c r="L66" s="53">
        <f>ROUND(-L65*0.1,2)</f>
        <v>-2.02</v>
      </c>
      <c r="M66" s="49"/>
      <c r="N66" s="54">
        <f t="shared" si="2"/>
        <v>-0.31000000000000005</v>
      </c>
      <c r="O66" s="55">
        <f t="shared" si="12"/>
        <v>0.18128654970760238</v>
      </c>
    </row>
    <row r="67" spans="1:19" ht="13.5" thickBot="1">
      <c r="B67" s="293" t="s">
        <v>47</v>
      </c>
      <c r="C67" s="293"/>
      <c r="D67" s="293"/>
      <c r="E67" s="14"/>
      <c r="F67" s="207"/>
      <c r="G67" s="261"/>
      <c r="H67" s="209">
        <f>H65+H66</f>
        <v>15.416828162999998</v>
      </c>
      <c r="I67" s="210"/>
      <c r="J67" s="210"/>
      <c r="K67" s="284"/>
      <c r="L67" s="211">
        <f>L65+L66</f>
        <v>18.183172613355335</v>
      </c>
      <c r="M67" s="212"/>
      <c r="N67" s="213">
        <f t="shared" si="2"/>
        <v>2.7663444503553372</v>
      </c>
      <c r="O67" s="214">
        <f t="shared" si="12"/>
        <v>0.17943667926418838</v>
      </c>
    </row>
    <row r="68" spans="1:19" s="195" customFormat="1" ht="13.5" thickBot="1">
      <c r="B68" s="215"/>
      <c r="C68" s="216"/>
      <c r="D68" s="217"/>
      <c r="E68" s="216"/>
      <c r="F68" s="199"/>
      <c r="G68" s="262"/>
      <c r="H68" s="201"/>
      <c r="I68" s="219"/>
      <c r="J68" s="199"/>
      <c r="K68" s="285"/>
      <c r="L68" s="201"/>
      <c r="M68" s="219"/>
      <c r="N68" s="221"/>
      <c r="O68" s="205"/>
    </row>
    <row r="69" spans="1:19" s="195" customFormat="1" ht="25.5">
      <c r="B69" s="56" t="s">
        <v>48</v>
      </c>
      <c r="C69" s="32"/>
      <c r="D69" s="32"/>
      <c r="E69" s="32"/>
      <c r="F69" s="57"/>
      <c r="G69" s="107"/>
      <c r="H69" s="59">
        <f>SUM(H60:H61,H52,H53:H56)</f>
        <v>15.147485099999999</v>
      </c>
      <c r="I69" s="60"/>
      <c r="J69" s="61"/>
      <c r="K69" s="108"/>
      <c r="L69" s="59">
        <f>SUM(L60:L61,L52,L53:L56)</f>
        <v>17.869913817128616</v>
      </c>
      <c r="M69" s="62"/>
      <c r="N69" s="63">
        <f>L69-H69</f>
        <v>2.7224287171286168</v>
      </c>
      <c r="O69" s="41">
        <f>IF((H69)=0,"",(N69/H69))</f>
        <v>0.17972810002160799</v>
      </c>
    </row>
    <row r="70" spans="1:19" s="195" customFormat="1">
      <c r="B70" s="64" t="s">
        <v>44</v>
      </c>
      <c r="C70" s="32"/>
      <c r="D70" s="32"/>
      <c r="E70" s="32"/>
      <c r="F70" s="65">
        <v>0.13</v>
      </c>
      <c r="G70" s="107"/>
      <c r="H70" s="66">
        <f>H69*F70</f>
        <v>1.9691730629999999</v>
      </c>
      <c r="I70" s="67"/>
      <c r="J70" s="68">
        <v>0.13</v>
      </c>
      <c r="K70" s="109"/>
      <c r="L70" s="70">
        <f>L69*J70</f>
        <v>2.3230887962267199</v>
      </c>
      <c r="M70" s="71"/>
      <c r="N70" s="72">
        <f>L70-H70</f>
        <v>0.35391573322671999</v>
      </c>
      <c r="O70" s="18">
        <f>IF((H70)=0,"",(N70/H70))</f>
        <v>0.17972810002160791</v>
      </c>
    </row>
    <row r="71" spans="1:19" s="195" customFormat="1">
      <c r="B71" s="222" t="s">
        <v>45</v>
      </c>
      <c r="C71" s="32"/>
      <c r="D71" s="32"/>
      <c r="E71" s="32"/>
      <c r="F71" s="73"/>
      <c r="G71" s="110"/>
      <c r="H71" s="66">
        <f>H69+H70</f>
        <v>17.116658163</v>
      </c>
      <c r="I71" s="67"/>
      <c r="J71" s="67"/>
      <c r="K71" s="111"/>
      <c r="L71" s="70">
        <f>L69+L70</f>
        <v>20.193002613355336</v>
      </c>
      <c r="M71" s="71"/>
      <c r="N71" s="72">
        <f>L71-H71</f>
        <v>3.0763444503553359</v>
      </c>
      <c r="O71" s="18">
        <f>IF((H71)=0,"",(N71/H71))</f>
        <v>0.17972810002160794</v>
      </c>
    </row>
    <row r="72" spans="1:19" s="195" customFormat="1">
      <c r="B72" s="294" t="s">
        <v>46</v>
      </c>
      <c r="C72" s="294"/>
      <c r="D72" s="294"/>
      <c r="E72" s="32"/>
      <c r="F72" s="73"/>
      <c r="G72" s="110"/>
      <c r="H72" s="75">
        <f>ROUND(-H71*0.1,2)</f>
        <v>-1.71</v>
      </c>
      <c r="I72" s="67"/>
      <c r="J72" s="67"/>
      <c r="K72" s="111"/>
      <c r="L72" s="76">
        <f>ROUND(-L71*0.1,2)</f>
        <v>-2.02</v>
      </c>
      <c r="M72" s="71"/>
      <c r="N72" s="77">
        <f>L72-H72</f>
        <v>-0.31000000000000005</v>
      </c>
      <c r="O72" s="55">
        <f>IF((H72)=0,"",(N72/H72))</f>
        <v>0.18128654970760238</v>
      </c>
    </row>
    <row r="73" spans="1:19" s="195" customFormat="1" ht="13.5" thickBot="1">
      <c r="B73" s="288" t="s">
        <v>49</v>
      </c>
      <c r="C73" s="288"/>
      <c r="D73" s="288"/>
      <c r="E73" s="32"/>
      <c r="F73" s="73"/>
      <c r="G73" s="110"/>
      <c r="H73" s="59">
        <f>SUM(H71:H72)</f>
        <v>15.406658162999999</v>
      </c>
      <c r="I73" s="60"/>
      <c r="J73" s="60"/>
      <c r="K73" s="286"/>
      <c r="L73" s="223">
        <f>SUM(L71:L72)</f>
        <v>18.173002613355337</v>
      </c>
      <c r="M73" s="62"/>
      <c r="N73" s="63">
        <f>L73-H73</f>
        <v>2.7663444503553372</v>
      </c>
      <c r="O73" s="41">
        <f>IF((H73)=0,"",(N73/H73))</f>
        <v>0.17955512617258407</v>
      </c>
    </row>
    <row r="74" spans="1:19" s="195" customFormat="1" ht="13.5" thickBot="1">
      <c r="B74" s="215"/>
      <c r="C74" s="216"/>
      <c r="D74" s="217"/>
      <c r="E74" s="216"/>
      <c r="F74" s="224"/>
      <c r="G74" s="265"/>
      <c r="H74" s="226"/>
      <c r="I74" s="227"/>
      <c r="J74" s="224"/>
      <c r="K74" s="287"/>
      <c r="L74" s="228"/>
      <c r="M74" s="219"/>
      <c r="N74" s="229"/>
      <c r="O74" s="205"/>
    </row>
    <row r="75" spans="1:19">
      <c r="L75" s="190"/>
    </row>
    <row r="76" spans="1:19">
      <c r="B76" s="230" t="s">
        <v>50</v>
      </c>
      <c r="F76" s="231">
        <v>3.9E-2</v>
      </c>
      <c r="J76" s="231">
        <v>4.5699999999999998E-2</v>
      </c>
    </row>
    <row r="78" spans="1:19" ht="14.25">
      <c r="A78" s="232" t="s">
        <v>51</v>
      </c>
    </row>
    <row r="80" spans="1:19">
      <c r="A80" s="12" t="s">
        <v>52</v>
      </c>
    </row>
    <row r="81" spans="1:2">
      <c r="A81" s="12" t="s">
        <v>53</v>
      </c>
    </row>
    <row r="83" spans="1:2">
      <c r="A83" s="233" t="s">
        <v>54</v>
      </c>
    </row>
    <row r="84" spans="1:2">
      <c r="A84" s="233" t="s">
        <v>55</v>
      </c>
    </row>
    <row r="86" spans="1:2">
      <c r="A86" s="12" t="s">
        <v>56</v>
      </c>
    </row>
    <row r="87" spans="1:2">
      <c r="A87" s="12" t="s">
        <v>57</v>
      </c>
    </row>
    <row r="88" spans="1:2">
      <c r="A88" s="12" t="s">
        <v>58</v>
      </c>
    </row>
    <row r="89" spans="1:2">
      <c r="A89" s="12" t="s">
        <v>59</v>
      </c>
    </row>
    <row r="90" spans="1:2">
      <c r="A90" s="12" t="s">
        <v>60</v>
      </c>
    </row>
    <row r="92" spans="1:2" ht="51">
      <c r="B92" s="13" t="s">
        <v>61</v>
      </c>
    </row>
  </sheetData>
  <mergeCells count="14">
    <mergeCell ref="A3:K3"/>
    <mergeCell ref="B10:O10"/>
    <mergeCell ref="B11:O11"/>
    <mergeCell ref="D14:O14"/>
    <mergeCell ref="F20:H20"/>
    <mergeCell ref="J20:L20"/>
    <mergeCell ref="N20:O20"/>
    <mergeCell ref="B73:D73"/>
    <mergeCell ref="D21:D22"/>
    <mergeCell ref="N21:N22"/>
    <mergeCell ref="O21:O22"/>
    <mergeCell ref="B66:D66"/>
    <mergeCell ref="B67:D67"/>
    <mergeCell ref="B72:D72"/>
  </mergeCells>
  <dataValidations count="3">
    <dataValidation type="list" allowBlank="1" showInputMessage="1" showErrorMessage="1" sqref="E23:E38 E74 E50:E51 E53:E62 E68 E40:E48">
      <formula1>"#REF!"</formula1>
      <formula2>0</formula2>
    </dataValidation>
    <dataValidation type="list" allowBlank="1" showInputMessage="1" showErrorMessage="1" prompt="Select Charge Unit - monthly, per kWh, per kW" sqref="D74 D23:D38 D50:D51 D68 D53:D62 D40:D48">
      <formula1>"Monthly,per kWh,per kW"</formula1>
      <formula2>0</formula2>
    </dataValidation>
    <dataValidation type="list" allowBlank="1" showInputMessage="1" showErrorMessage="1" sqref="D16">
      <formula1>"TOU,non-TOU"</formula1>
      <formula2>0</formula2>
    </dataValidation>
  </dataValidations>
  <pageMargins left="0.7" right="0.7" top="0.75" bottom="0.75" header="0.3" footer="0.3"/>
  <pageSetup paperSize="9" scale="4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Option Button 44">
              <controlPr defaultSize="0" autoFill="0" autoLine="0" autoPict="0">
                <anchor moveWithCells="1" sizeWithCells="1">
                  <from>
                    <xdr:col>6</xdr:col>
                    <xdr:colOff>476250</xdr:colOff>
                    <xdr:row>17</xdr:row>
                    <xdr:rowOff>0</xdr:rowOff>
                  </from>
                  <to>
                    <xdr:col>9</xdr:col>
                    <xdr:colOff>733425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Option Button 45">
              <controlPr defaultSize="0" autoFill="0" autoLine="0" autoPict="0">
                <anchor moveWithCells="1" sizeWithCells="1">
                  <from>
                    <xdr:col>9</xdr:col>
                    <xdr:colOff>371475</xdr:colOff>
                    <xdr:row>16</xdr:row>
                    <xdr:rowOff>104775</xdr:rowOff>
                  </from>
                  <to>
                    <xdr:col>16</xdr:col>
                    <xdr:colOff>257175</xdr:colOff>
                    <xdr:row>18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92"/>
  <sheetViews>
    <sheetView showGridLines="0" topLeftCell="A49" workbookViewId="0">
      <selection activeCell="B10" sqref="B10:O10"/>
    </sheetView>
  </sheetViews>
  <sheetFormatPr defaultRowHeight="12.75"/>
  <cols>
    <col min="1" max="1" width="11.28515625" style="12" customWidth="1"/>
    <col min="2" max="2" width="26.5703125" style="13" customWidth="1"/>
    <col min="3" max="3" width="1.28515625" style="12" customWidth="1"/>
    <col min="4" max="4" width="11.28515625" style="12" customWidth="1"/>
    <col min="5" max="5" width="1.28515625" style="12" customWidth="1"/>
    <col min="6" max="6" width="12.28515625" style="12" customWidth="1"/>
    <col min="7" max="7" width="8.5703125" style="92" customWidth="1"/>
    <col min="8" max="8" width="11.140625" style="12" customWidth="1"/>
    <col min="9" max="9" width="2.85546875" style="12" customWidth="1"/>
    <col min="10" max="10" width="12.140625" style="12" customWidth="1"/>
    <col min="11" max="11" width="8.5703125" style="92" customWidth="1"/>
    <col min="12" max="12" width="11.28515625" style="12" bestFit="1" customWidth="1"/>
    <col min="13" max="13" width="2.85546875" style="12" customWidth="1"/>
    <col min="14" max="14" width="12.7109375" style="12" customWidth="1"/>
    <col min="15" max="15" width="10.85546875" style="12" customWidth="1"/>
    <col min="16" max="16" width="3.85546875" style="12" customWidth="1"/>
    <col min="17" max="16384" width="9.140625" style="12"/>
  </cols>
  <sheetData>
    <row r="1" spans="1:20" s="2" customFormat="1" ht="12.75" customHeight="1">
      <c r="A1" s="1"/>
      <c r="B1" s="1"/>
      <c r="C1" s="1"/>
      <c r="D1" s="1"/>
      <c r="E1" s="1"/>
      <c r="F1" s="1"/>
      <c r="G1" s="85"/>
      <c r="H1" s="1"/>
      <c r="I1" s="1"/>
      <c r="J1" s="1"/>
      <c r="K1" s="85"/>
      <c r="N1" s="3"/>
      <c r="O1" s="4"/>
      <c r="T1" s="2">
        <v>1</v>
      </c>
    </row>
    <row r="2" spans="1:20" s="2" customFormat="1" ht="12.75" customHeight="1">
      <c r="A2" s="5"/>
      <c r="B2" s="6"/>
      <c r="C2" s="5"/>
      <c r="D2" s="5"/>
      <c r="E2" s="5"/>
      <c r="F2" s="5"/>
      <c r="G2" s="87"/>
      <c r="H2" s="5"/>
      <c r="I2" s="5"/>
      <c r="J2" s="5"/>
      <c r="K2" s="87"/>
      <c r="N2" s="3"/>
      <c r="O2" s="7"/>
    </row>
    <row r="3" spans="1:20" s="2" customFormat="1" ht="12.75" customHeight="1">
      <c r="A3" s="295"/>
      <c r="B3" s="295"/>
      <c r="C3" s="295"/>
      <c r="D3" s="295"/>
      <c r="E3" s="295"/>
      <c r="F3" s="295"/>
      <c r="G3" s="295"/>
      <c r="H3" s="295"/>
      <c r="I3" s="295"/>
      <c r="J3" s="295"/>
      <c r="K3" s="295"/>
      <c r="N3" s="3"/>
      <c r="O3" s="7"/>
    </row>
    <row r="4" spans="1:20" s="2" customFormat="1" ht="12.75" customHeight="1">
      <c r="A4" s="5"/>
      <c r="B4" s="6"/>
      <c r="C4" s="5"/>
      <c r="D4" s="5"/>
      <c r="E4" s="5"/>
      <c r="F4" s="5"/>
      <c r="G4" s="87"/>
      <c r="H4" s="5"/>
      <c r="I4" s="8"/>
      <c r="J4" s="8"/>
      <c r="K4" s="91"/>
      <c r="N4" s="3"/>
      <c r="O4" s="7"/>
    </row>
    <row r="5" spans="1:20" s="2" customFormat="1" ht="12.75" customHeight="1">
      <c r="B5" s="9"/>
      <c r="C5" s="10"/>
      <c r="D5" s="10"/>
      <c r="E5" s="10"/>
      <c r="G5" s="90"/>
      <c r="K5" s="90"/>
      <c r="N5" s="3"/>
      <c r="O5" s="4"/>
    </row>
    <row r="6" spans="1:20" s="2" customFormat="1" ht="12.75" customHeight="1">
      <c r="B6" s="9"/>
      <c r="G6" s="90"/>
      <c r="K6" s="90"/>
      <c r="N6" s="3"/>
      <c r="O6" s="11"/>
    </row>
    <row r="7" spans="1:20" s="2" customFormat="1" ht="12.75" customHeight="1">
      <c r="B7" s="9"/>
      <c r="G7" s="90"/>
      <c r="K7" s="90"/>
      <c r="N7" s="3"/>
      <c r="O7" s="4"/>
    </row>
    <row r="8" spans="1:20" s="2" customFormat="1" ht="12.75" customHeight="1">
      <c r="B8" s="9"/>
      <c r="G8" s="90"/>
      <c r="K8" s="90"/>
    </row>
    <row r="9" spans="1:20" ht="12.75" customHeight="1"/>
    <row r="10" spans="1:20" s="130" customFormat="1" ht="18.75" customHeight="1">
      <c r="B10" s="299" t="s">
        <v>0</v>
      </c>
      <c r="C10" s="299"/>
      <c r="D10" s="299"/>
      <c r="E10" s="299"/>
      <c r="F10" s="299"/>
      <c r="G10" s="299"/>
      <c r="H10" s="299"/>
      <c r="I10" s="299"/>
      <c r="J10" s="299"/>
      <c r="K10" s="299"/>
      <c r="L10" s="299"/>
      <c r="M10" s="299"/>
      <c r="N10" s="299"/>
      <c r="O10" s="299"/>
    </row>
    <row r="11" spans="1:20" ht="18.75" customHeight="1">
      <c r="B11" s="296" t="s">
        <v>1</v>
      </c>
      <c r="C11" s="296"/>
      <c r="D11" s="296"/>
      <c r="E11" s="296"/>
      <c r="F11" s="296"/>
      <c r="G11" s="296"/>
      <c r="H11" s="296"/>
      <c r="I11" s="296"/>
      <c r="J11" s="296"/>
      <c r="K11" s="296"/>
      <c r="L11" s="296"/>
      <c r="M11" s="296"/>
      <c r="N11" s="296"/>
      <c r="O11" s="296"/>
    </row>
    <row r="12" spans="1:20" ht="7.5" customHeight="1"/>
    <row r="13" spans="1:20" ht="7.5" customHeight="1"/>
    <row r="14" spans="1:20" ht="15.75">
      <c r="B14" s="131" t="s">
        <v>2</v>
      </c>
      <c r="D14" s="297" t="s">
        <v>68</v>
      </c>
      <c r="E14" s="297"/>
      <c r="F14" s="297"/>
      <c r="G14" s="297"/>
      <c r="H14" s="297"/>
      <c r="I14" s="297"/>
      <c r="J14" s="297"/>
      <c r="K14" s="297"/>
      <c r="L14" s="297"/>
      <c r="M14" s="297"/>
      <c r="N14" s="297"/>
      <c r="O14" s="297"/>
    </row>
    <row r="15" spans="1:20" ht="7.5" customHeight="1">
      <c r="B15" s="132"/>
      <c r="D15" s="133"/>
      <c r="E15" s="133"/>
      <c r="F15" s="133"/>
      <c r="G15" s="240"/>
      <c r="H15" s="133"/>
      <c r="I15" s="133"/>
      <c r="J15" s="133"/>
      <c r="K15" s="240"/>
      <c r="L15" s="133"/>
      <c r="M15" s="133"/>
      <c r="N15" s="133"/>
      <c r="O15" s="133"/>
    </row>
    <row r="16" spans="1:20" ht="15.75">
      <c r="B16" s="131" t="s">
        <v>4</v>
      </c>
      <c r="D16" s="134" t="s">
        <v>5</v>
      </c>
      <c r="E16" s="133"/>
      <c r="F16" s="133"/>
      <c r="G16" s="240"/>
      <c r="H16" s="133"/>
      <c r="I16" s="133"/>
      <c r="J16" s="133"/>
      <c r="K16" s="240"/>
      <c r="L16" s="133"/>
      <c r="M16" s="133"/>
      <c r="N16" s="133"/>
      <c r="O16" s="133"/>
    </row>
    <row r="17" spans="1:15" ht="15.75">
      <c r="B17" s="132"/>
      <c r="D17" s="133"/>
      <c r="E17" s="133"/>
      <c r="F17" s="133"/>
      <c r="G17" s="240"/>
      <c r="H17" s="133"/>
      <c r="I17" s="133"/>
      <c r="J17" s="133"/>
      <c r="K17" s="240"/>
      <c r="L17" s="133"/>
      <c r="M17" s="133"/>
      <c r="N17" s="133"/>
      <c r="O17" s="133"/>
    </row>
    <row r="18" spans="1:15">
      <c r="B18" s="135"/>
      <c r="D18" s="136" t="s">
        <v>6</v>
      </c>
      <c r="E18" s="136"/>
      <c r="F18" s="137">
        <v>115</v>
      </c>
      <c r="G18" s="241" t="s">
        <v>67</v>
      </c>
    </row>
    <row r="19" spans="1:15">
      <c r="B19" s="135"/>
    </row>
    <row r="20" spans="1:15">
      <c r="B20" s="135"/>
      <c r="D20" s="138"/>
      <c r="E20" s="138"/>
      <c r="F20" s="298" t="s">
        <v>8</v>
      </c>
      <c r="G20" s="298"/>
      <c r="H20" s="298"/>
      <c r="J20" s="298" t="s">
        <v>9</v>
      </c>
      <c r="K20" s="298"/>
      <c r="L20" s="298"/>
      <c r="N20" s="298" t="s">
        <v>10</v>
      </c>
      <c r="O20" s="298"/>
    </row>
    <row r="21" spans="1:15">
      <c r="B21" s="135"/>
      <c r="D21" s="289" t="s">
        <v>11</v>
      </c>
      <c r="E21" s="139"/>
      <c r="F21" s="140" t="s">
        <v>12</v>
      </c>
      <c r="G21" s="242" t="s">
        <v>13</v>
      </c>
      <c r="H21" s="141" t="s">
        <v>14</v>
      </c>
      <c r="J21" s="140" t="s">
        <v>12</v>
      </c>
      <c r="K21" s="243" t="s">
        <v>13</v>
      </c>
      <c r="L21" s="141" t="s">
        <v>14</v>
      </c>
      <c r="N21" s="290" t="s">
        <v>15</v>
      </c>
      <c r="O21" s="291" t="s">
        <v>16</v>
      </c>
    </row>
    <row r="22" spans="1:15">
      <c r="B22" s="135"/>
      <c r="D22" s="289"/>
      <c r="E22" s="139"/>
      <c r="F22" s="143" t="s">
        <v>17</v>
      </c>
      <c r="G22" s="244"/>
      <c r="H22" s="144" t="s">
        <v>17</v>
      </c>
      <c r="J22" s="143" t="s">
        <v>17</v>
      </c>
      <c r="K22" s="245"/>
      <c r="L22" s="144" t="s">
        <v>17</v>
      </c>
      <c r="N22" s="290"/>
      <c r="O22" s="291"/>
    </row>
    <row r="23" spans="1:15">
      <c r="B23" s="145" t="s">
        <v>18</v>
      </c>
      <c r="C23" s="20"/>
      <c r="D23" s="146" t="s">
        <v>19</v>
      </c>
      <c r="E23" s="14"/>
      <c r="F23" s="147">
        <f>'[1]B. CurrentTariff'!C116</f>
        <v>2.2200000000000002</v>
      </c>
      <c r="G23" s="25">
        <v>2300</v>
      </c>
      <c r="H23" s="16">
        <f>G23*F23</f>
        <v>5106</v>
      </c>
      <c r="I23" s="28"/>
      <c r="J23" s="148">
        <f>'[1]G. RateDesign'!B50</f>
        <v>2.61</v>
      </c>
      <c r="K23" s="112">
        <v>2300</v>
      </c>
      <c r="L23" s="16">
        <f>K23*J23</f>
        <v>6003</v>
      </c>
      <c r="M23" s="28"/>
      <c r="N23" s="149">
        <f>L23-H23</f>
        <v>897</v>
      </c>
      <c r="O23" s="18">
        <f>IF((H23)=0,"",(N23/H23))</f>
        <v>0.17567567567567569</v>
      </c>
    </row>
    <row r="24" spans="1:15">
      <c r="A24" s="19"/>
      <c r="B24" s="145" t="s">
        <v>20</v>
      </c>
      <c r="C24" s="20"/>
      <c r="D24" s="146"/>
      <c r="E24" s="14"/>
      <c r="F24" s="150"/>
      <c r="G24" s="25">
        <v>1</v>
      </c>
      <c r="H24" s="16">
        <f t="shared" ref="H24:H38" si="0">G24*F24</f>
        <v>0</v>
      </c>
      <c r="I24" s="28"/>
      <c r="J24" s="31"/>
      <c r="K24" s="112">
        <v>1</v>
      </c>
      <c r="L24" s="16">
        <f>K24*J24</f>
        <v>0</v>
      </c>
      <c r="M24" s="28"/>
      <c r="N24" s="149">
        <f>L24-H24</f>
        <v>0</v>
      </c>
      <c r="O24" s="18" t="str">
        <f>IF((H24)=0,"",(N24/H24))</f>
        <v/>
      </c>
    </row>
    <row r="25" spans="1:15">
      <c r="A25" s="19"/>
      <c r="B25" s="152"/>
      <c r="C25" s="20"/>
      <c r="D25" s="146"/>
      <c r="E25" s="14"/>
      <c r="F25" s="150"/>
      <c r="G25" s="25">
        <v>1</v>
      </c>
      <c r="H25" s="16">
        <f t="shared" si="0"/>
        <v>0</v>
      </c>
      <c r="I25" s="28"/>
      <c r="J25" s="31"/>
      <c r="K25" s="112">
        <v>1</v>
      </c>
      <c r="L25" s="16">
        <f t="shared" ref="L25:L38" si="1">K25*J25</f>
        <v>0</v>
      </c>
      <c r="M25" s="28"/>
      <c r="N25" s="149">
        <f t="shared" ref="N25:N67" si="2">L25-H25</f>
        <v>0</v>
      </c>
      <c r="O25" s="18" t="str">
        <f t="shared" ref="O25:O47" si="3">IF((H25)=0,"",(N25/H25))</f>
        <v/>
      </c>
    </row>
    <row r="26" spans="1:15">
      <c r="A26" s="19"/>
      <c r="B26" s="152"/>
      <c r="C26" s="20"/>
      <c r="D26" s="146"/>
      <c r="E26" s="14"/>
      <c r="F26" s="150"/>
      <c r="G26" s="25">
        <v>1</v>
      </c>
      <c r="H26" s="16">
        <f t="shared" si="0"/>
        <v>0</v>
      </c>
      <c r="I26" s="28"/>
      <c r="J26" s="31"/>
      <c r="K26" s="112">
        <v>1</v>
      </c>
      <c r="L26" s="16">
        <f t="shared" si="1"/>
        <v>0</v>
      </c>
      <c r="M26" s="28"/>
      <c r="N26" s="149">
        <f t="shared" si="2"/>
        <v>0</v>
      </c>
      <c r="O26" s="18" t="str">
        <f t="shared" si="3"/>
        <v/>
      </c>
    </row>
    <row r="27" spans="1:15">
      <c r="A27" s="19"/>
      <c r="B27" s="152"/>
      <c r="C27" s="20"/>
      <c r="D27" s="146"/>
      <c r="E27" s="14"/>
      <c r="F27" s="150"/>
      <c r="G27" s="25">
        <v>1</v>
      </c>
      <c r="H27" s="16">
        <f t="shared" si="0"/>
        <v>0</v>
      </c>
      <c r="I27" s="28"/>
      <c r="J27" s="31"/>
      <c r="K27" s="112">
        <v>1</v>
      </c>
      <c r="L27" s="16">
        <f t="shared" si="1"/>
        <v>0</v>
      </c>
      <c r="M27" s="28"/>
      <c r="N27" s="149">
        <f t="shared" si="2"/>
        <v>0</v>
      </c>
      <c r="O27" s="18" t="str">
        <f t="shared" si="3"/>
        <v/>
      </c>
    </row>
    <row r="28" spans="1:15">
      <c r="A28" s="19"/>
      <c r="B28" s="152"/>
      <c r="C28" s="20"/>
      <c r="D28" s="146"/>
      <c r="E28" s="14"/>
      <c r="F28" s="150"/>
      <c r="G28" s="25">
        <v>1</v>
      </c>
      <c r="H28" s="16">
        <f t="shared" si="0"/>
        <v>0</v>
      </c>
      <c r="I28" s="28"/>
      <c r="J28" s="31"/>
      <c r="K28" s="112">
        <v>1</v>
      </c>
      <c r="L28" s="16">
        <f t="shared" si="1"/>
        <v>0</v>
      </c>
      <c r="M28" s="28"/>
      <c r="N28" s="149">
        <f t="shared" si="2"/>
        <v>0</v>
      </c>
      <c r="O28" s="18" t="str">
        <f t="shared" si="3"/>
        <v/>
      </c>
    </row>
    <row r="29" spans="1:15">
      <c r="A29" s="19"/>
      <c r="B29" s="145" t="s">
        <v>23</v>
      </c>
      <c r="C29" s="20"/>
      <c r="D29" s="146" t="s">
        <v>65</v>
      </c>
      <c r="E29" s="14"/>
      <c r="F29" s="150">
        <f>'[1]B. CurrentTariff'!C117</f>
        <v>12.1768</v>
      </c>
      <c r="G29" s="25">
        <f t="shared" ref="G29:G38" si="4">$F$18</f>
        <v>115</v>
      </c>
      <c r="H29" s="16">
        <f t="shared" si="0"/>
        <v>1400.3320000000001</v>
      </c>
      <c r="I29" s="28"/>
      <c r="J29" s="148">
        <f>'[1]G. RateDesign'!G50</f>
        <v>13.902399953177458</v>
      </c>
      <c r="K29" s="25">
        <f>$F$18</f>
        <v>115</v>
      </c>
      <c r="L29" s="16">
        <f t="shared" si="1"/>
        <v>1598.7759946154076</v>
      </c>
      <c r="M29" s="28"/>
      <c r="N29" s="149">
        <f t="shared" si="2"/>
        <v>198.44399461540752</v>
      </c>
      <c r="O29" s="18">
        <f t="shared" si="3"/>
        <v>0.14171210442624141</v>
      </c>
    </row>
    <row r="30" spans="1:15">
      <c r="A30" s="19"/>
      <c r="B30" s="145" t="s">
        <v>22</v>
      </c>
      <c r="C30" s="20"/>
      <c r="D30" s="146" t="s">
        <v>65</v>
      </c>
      <c r="E30" s="14"/>
      <c r="F30" s="150"/>
      <c r="G30" s="25">
        <f t="shared" si="4"/>
        <v>115</v>
      </c>
      <c r="H30" s="16">
        <f t="shared" si="0"/>
        <v>0</v>
      </c>
      <c r="I30" s="28"/>
      <c r="J30" s="31"/>
      <c r="K30" s="25">
        <f t="shared" ref="K30:K38" si="5">$F$18</f>
        <v>115</v>
      </c>
      <c r="L30" s="16">
        <f t="shared" si="1"/>
        <v>0</v>
      </c>
      <c r="M30" s="28"/>
      <c r="N30" s="149">
        <f t="shared" si="2"/>
        <v>0</v>
      </c>
      <c r="O30" s="18" t="str">
        <f t="shared" si="3"/>
        <v/>
      </c>
    </row>
    <row r="31" spans="1:15">
      <c r="A31" s="19"/>
      <c r="B31" s="145" t="s">
        <v>25</v>
      </c>
      <c r="C31" s="20"/>
      <c r="D31" s="146" t="s">
        <v>65</v>
      </c>
      <c r="E31" s="14"/>
      <c r="F31" s="150"/>
      <c r="G31" s="25">
        <f t="shared" si="4"/>
        <v>115</v>
      </c>
      <c r="H31" s="16">
        <f t="shared" si="0"/>
        <v>0</v>
      </c>
      <c r="I31" s="28"/>
      <c r="J31" s="31"/>
      <c r="K31" s="25">
        <f t="shared" si="5"/>
        <v>115</v>
      </c>
      <c r="L31" s="16">
        <f t="shared" si="1"/>
        <v>0</v>
      </c>
      <c r="M31" s="28"/>
      <c r="N31" s="149">
        <f t="shared" si="2"/>
        <v>0</v>
      </c>
      <c r="O31" s="18" t="str">
        <f t="shared" si="3"/>
        <v/>
      </c>
    </row>
    <row r="32" spans="1:15">
      <c r="A32" s="19"/>
      <c r="B32" s="151" t="s">
        <v>21</v>
      </c>
      <c r="C32" s="20"/>
      <c r="D32" s="146"/>
      <c r="E32" s="14"/>
      <c r="F32" s="150"/>
      <c r="G32" s="25">
        <f t="shared" si="4"/>
        <v>115</v>
      </c>
      <c r="H32" s="16">
        <f>G32*F32</f>
        <v>0</v>
      </c>
      <c r="I32" s="28"/>
      <c r="J32" s="31"/>
      <c r="K32" s="25">
        <f t="shared" si="5"/>
        <v>115</v>
      </c>
      <c r="L32" s="16">
        <f>K32*J32</f>
        <v>0</v>
      </c>
      <c r="M32" s="28"/>
      <c r="N32" s="149">
        <f>L32-H32</f>
        <v>0</v>
      </c>
      <c r="O32" s="18" t="str">
        <f>IF((H32)=0,"",(N32/H32))</f>
        <v/>
      </c>
    </row>
    <row r="33" spans="1:15">
      <c r="A33" s="19"/>
      <c r="B33" s="151"/>
      <c r="C33" s="20"/>
      <c r="D33" s="146"/>
      <c r="E33" s="14"/>
      <c r="F33" s="150"/>
      <c r="G33" s="25">
        <f t="shared" si="4"/>
        <v>115</v>
      </c>
      <c r="H33" s="16">
        <f>G33*F33</f>
        <v>0</v>
      </c>
      <c r="I33" s="28"/>
      <c r="J33" s="31"/>
      <c r="K33" s="25">
        <f t="shared" si="5"/>
        <v>115</v>
      </c>
      <c r="L33" s="16">
        <f>K33*J33</f>
        <v>0</v>
      </c>
      <c r="M33" s="28"/>
      <c r="N33" s="149">
        <f>L33-H33</f>
        <v>0</v>
      </c>
      <c r="O33" s="18" t="str">
        <f>IF((H33)=0,"",(N33/H33))</f>
        <v/>
      </c>
    </row>
    <row r="34" spans="1:15">
      <c r="A34" s="19"/>
      <c r="B34" s="151"/>
      <c r="C34" s="20"/>
      <c r="D34" s="146"/>
      <c r="E34" s="14"/>
      <c r="F34" s="150"/>
      <c r="G34" s="25">
        <f t="shared" si="4"/>
        <v>115</v>
      </c>
      <c r="H34" s="16">
        <f>G34*F34</f>
        <v>0</v>
      </c>
      <c r="I34" s="28"/>
      <c r="J34" s="31"/>
      <c r="K34" s="25">
        <f t="shared" si="5"/>
        <v>115</v>
      </c>
      <c r="L34" s="16">
        <f>K34*J34</f>
        <v>0</v>
      </c>
      <c r="M34" s="28"/>
      <c r="N34" s="149">
        <f>L34-H34</f>
        <v>0</v>
      </c>
      <c r="O34" s="18" t="str">
        <f>IF((H34)=0,"",(N34/H34))</f>
        <v/>
      </c>
    </row>
    <row r="35" spans="1:15">
      <c r="A35" s="19"/>
      <c r="B35" s="151"/>
      <c r="C35" s="20"/>
      <c r="D35" s="146"/>
      <c r="E35" s="14"/>
      <c r="F35" s="150"/>
      <c r="G35" s="25">
        <f t="shared" si="4"/>
        <v>115</v>
      </c>
      <c r="H35" s="16">
        <f t="shared" si="0"/>
        <v>0</v>
      </c>
      <c r="I35" s="28"/>
      <c r="J35" s="31"/>
      <c r="K35" s="25">
        <f t="shared" si="5"/>
        <v>115</v>
      </c>
      <c r="L35" s="16">
        <f t="shared" si="1"/>
        <v>0</v>
      </c>
      <c r="M35" s="28"/>
      <c r="N35" s="149">
        <f t="shared" si="2"/>
        <v>0</v>
      </c>
      <c r="O35" s="18" t="str">
        <f t="shared" si="3"/>
        <v/>
      </c>
    </row>
    <row r="36" spans="1:15">
      <c r="A36" s="19"/>
      <c r="B36" s="151"/>
      <c r="C36" s="20"/>
      <c r="D36" s="146"/>
      <c r="E36" s="14"/>
      <c r="F36" s="150"/>
      <c r="G36" s="25">
        <f t="shared" si="4"/>
        <v>115</v>
      </c>
      <c r="H36" s="16">
        <f t="shared" si="0"/>
        <v>0</v>
      </c>
      <c r="I36" s="28"/>
      <c r="J36" s="31"/>
      <c r="K36" s="25">
        <f t="shared" si="5"/>
        <v>115</v>
      </c>
      <c r="L36" s="16">
        <f t="shared" si="1"/>
        <v>0</v>
      </c>
      <c r="M36" s="28"/>
      <c r="N36" s="149">
        <f t="shared" si="2"/>
        <v>0</v>
      </c>
      <c r="O36" s="18" t="str">
        <f t="shared" si="3"/>
        <v/>
      </c>
    </row>
    <row r="37" spans="1:15">
      <c r="A37" s="19"/>
      <c r="B37" s="151"/>
      <c r="C37" s="20"/>
      <c r="D37" s="146"/>
      <c r="E37" s="14"/>
      <c r="F37" s="150"/>
      <c r="G37" s="25">
        <f t="shared" si="4"/>
        <v>115</v>
      </c>
      <c r="H37" s="16">
        <f t="shared" si="0"/>
        <v>0</v>
      </c>
      <c r="I37" s="28"/>
      <c r="J37" s="31"/>
      <c r="K37" s="25">
        <f t="shared" si="5"/>
        <v>115</v>
      </c>
      <c r="L37" s="16">
        <f t="shared" si="1"/>
        <v>0</v>
      </c>
      <c r="M37" s="28"/>
      <c r="N37" s="149">
        <f t="shared" si="2"/>
        <v>0</v>
      </c>
      <c r="O37" s="18" t="str">
        <f t="shared" si="3"/>
        <v/>
      </c>
    </row>
    <row r="38" spans="1:15">
      <c r="A38" s="19"/>
      <c r="B38" s="151"/>
      <c r="C38" s="20"/>
      <c r="D38" s="146"/>
      <c r="E38" s="14"/>
      <c r="F38" s="150"/>
      <c r="G38" s="25">
        <f t="shared" si="4"/>
        <v>115</v>
      </c>
      <c r="H38" s="16">
        <f t="shared" si="0"/>
        <v>0</v>
      </c>
      <c r="I38" s="28"/>
      <c r="J38" s="31"/>
      <c r="K38" s="25">
        <f t="shared" si="5"/>
        <v>115</v>
      </c>
      <c r="L38" s="16">
        <f t="shared" si="1"/>
        <v>0</v>
      </c>
      <c r="M38" s="28"/>
      <c r="N38" s="149">
        <f t="shared" si="2"/>
        <v>0</v>
      </c>
      <c r="O38" s="18" t="str">
        <f t="shared" si="3"/>
        <v/>
      </c>
    </row>
    <row r="39" spans="1:15">
      <c r="A39" s="19"/>
      <c r="B39" s="153" t="s">
        <v>26</v>
      </c>
      <c r="C39" s="154"/>
      <c r="D39" s="155"/>
      <c r="E39" s="154"/>
      <c r="F39" s="156"/>
      <c r="G39" s="246"/>
      <c r="H39" s="158">
        <f>SUM(H23:H38)</f>
        <v>6506.3320000000003</v>
      </c>
      <c r="I39" s="28"/>
      <c r="J39" s="159"/>
      <c r="K39" s="267"/>
      <c r="L39" s="158">
        <f>SUM(L23:L38)</f>
        <v>7601.7759946154074</v>
      </c>
      <c r="M39" s="28"/>
      <c r="N39" s="161">
        <f t="shared" si="2"/>
        <v>1095.4439946154071</v>
      </c>
      <c r="O39" s="162">
        <f t="shared" si="3"/>
        <v>0.16836583110351686</v>
      </c>
    </row>
    <row r="40" spans="1:15" ht="51">
      <c r="A40" s="163"/>
      <c r="B40" s="164" t="str">
        <f>'[1]J. DVA'!$B$16</f>
        <v>Rate Rider Calculation for Deferral / Variance Accounts Balances (excluding Global Adj.)</v>
      </c>
      <c r="C40" s="20"/>
      <c r="D40" s="146" t="s">
        <v>65</v>
      </c>
      <c r="E40" s="14"/>
      <c r="F40" s="172"/>
      <c r="G40" s="25">
        <f>$F$18</f>
        <v>115</v>
      </c>
      <c r="H40" s="26">
        <f t="shared" ref="H40:H48" si="6">G40*F40</f>
        <v>0</v>
      </c>
      <c r="I40" s="173"/>
      <c r="J40" s="172">
        <f>'[1]J. DVA'!F25</f>
        <v>-0.29140561547524468</v>
      </c>
      <c r="K40" s="25">
        <f t="shared" ref="K40:K46" si="7">$F$18</f>
        <v>115</v>
      </c>
      <c r="L40" s="26">
        <f>K40*J40</f>
        <v>-33.511645779653136</v>
      </c>
      <c r="M40" s="173"/>
      <c r="N40" s="174">
        <f>L40-H40</f>
        <v>-33.511645779653136</v>
      </c>
      <c r="O40" s="27" t="str">
        <f>IF((H40)=0,"",(N40/H40))</f>
        <v/>
      </c>
    </row>
    <row r="41" spans="1:15" ht="51">
      <c r="A41" s="169"/>
      <c r="B41" s="164" t="str">
        <f>'[1]J. DVA'!$B$42</f>
        <v>Rate Rider Calculation for Deferral / Variance Accounts Balances (excluding Global Adj.) - NON-WMP</v>
      </c>
      <c r="C41" s="20"/>
      <c r="D41" s="248" t="s">
        <v>65</v>
      </c>
      <c r="E41" s="20"/>
      <c r="F41" s="166"/>
      <c r="G41" s="21">
        <f t="shared" ref="G41:G43" si="8">$F$18</f>
        <v>115</v>
      </c>
      <c r="H41" s="22">
        <f t="shared" si="6"/>
        <v>0</v>
      </c>
      <c r="I41" s="167"/>
      <c r="J41" s="166">
        <f>'[1]J. DVA'!F51</f>
        <v>-0.9405465045438095</v>
      </c>
      <c r="K41" s="21">
        <f t="shared" si="7"/>
        <v>115</v>
      </c>
      <c r="L41" s="22">
        <f>K41*J41</f>
        <v>-108.1628480225381</v>
      </c>
      <c r="M41" s="167"/>
      <c r="N41" s="168">
        <f>L41-H41</f>
        <v>-108.1628480225381</v>
      </c>
      <c r="O41" s="24" t="str">
        <f>IF((H41)=0,"",(N41/H41))</f>
        <v/>
      </c>
    </row>
    <row r="42" spans="1:15" ht="38.25">
      <c r="A42" s="169"/>
      <c r="B42" s="164" t="str">
        <f>'[1]J. DVA'!$B$68</f>
        <v>Rate Rider Calculation for RSVA - Power - Global Adjustment</v>
      </c>
      <c r="C42" s="20"/>
      <c r="D42" s="248" t="s">
        <v>65</v>
      </c>
      <c r="E42" s="20"/>
      <c r="F42" s="166"/>
      <c r="G42" s="21">
        <f t="shared" si="8"/>
        <v>115</v>
      </c>
      <c r="H42" s="22"/>
      <c r="I42" s="167"/>
      <c r="J42" s="166">
        <f>'[1]J. DVA'!F77</f>
        <v>1.7360717848784646</v>
      </c>
      <c r="K42" s="21">
        <f t="shared" si="7"/>
        <v>115</v>
      </c>
      <c r="L42" s="22">
        <f t="shared" ref="L42:L45" si="9">K42*J42</f>
        <v>199.64825526102342</v>
      </c>
      <c r="M42" s="167"/>
      <c r="N42" s="168">
        <f t="shared" ref="N42:N45" si="10">L42-H42</f>
        <v>199.64825526102342</v>
      </c>
      <c r="O42" s="24" t="str">
        <f t="shared" ref="O42:O45" si="11">IF((H42)=0,"",(N42/H42))</f>
        <v/>
      </c>
    </row>
    <row r="43" spans="1:15" ht="25.5">
      <c r="A43" s="169"/>
      <c r="B43" s="164" t="str">
        <f>'[1]J. DVA'!$B$121</f>
        <v>Rate Rider Calculation for Group 2 Accounts</v>
      </c>
      <c r="C43" s="20"/>
      <c r="D43" s="248" t="s">
        <v>65</v>
      </c>
      <c r="E43" s="20"/>
      <c r="F43" s="166"/>
      <c r="G43" s="21">
        <f t="shared" si="8"/>
        <v>115</v>
      </c>
      <c r="H43" s="22"/>
      <c r="I43" s="167"/>
      <c r="J43" s="166">
        <f>'[1]J. DVA'!F130</f>
        <v>2.8536134822241099E-2</v>
      </c>
      <c r="K43" s="21">
        <f t="shared" si="7"/>
        <v>115</v>
      </c>
      <c r="L43" s="22">
        <f t="shared" si="9"/>
        <v>3.2816555045577265</v>
      </c>
      <c r="M43" s="167"/>
      <c r="N43" s="168">
        <f t="shared" si="10"/>
        <v>3.2816555045577265</v>
      </c>
      <c r="O43" s="24" t="str">
        <f t="shared" si="11"/>
        <v/>
      </c>
    </row>
    <row r="44" spans="1:15" ht="25.5">
      <c r="A44" s="163"/>
      <c r="B44" s="164" t="str">
        <f>'[1]J. DVA'!$B$147</f>
        <v>Rate Rider Calculation for Accounts 1575 and 1576</v>
      </c>
      <c r="C44" s="20"/>
      <c r="D44" s="248" t="s">
        <v>65</v>
      </c>
      <c r="E44" s="20"/>
      <c r="F44" s="166"/>
      <c r="G44" s="21">
        <f>$F$18</f>
        <v>115</v>
      </c>
      <c r="H44" s="22">
        <f t="shared" si="6"/>
        <v>0</v>
      </c>
      <c r="I44" s="167"/>
      <c r="J44" s="166">
        <f>'[1]J. DVA'!F158</f>
        <v>8.3347519117069085E-2</v>
      </c>
      <c r="K44" s="21">
        <f t="shared" si="7"/>
        <v>115</v>
      </c>
      <c r="L44" s="22">
        <f t="shared" si="9"/>
        <v>9.5849646984629455</v>
      </c>
      <c r="M44" s="167"/>
      <c r="N44" s="168">
        <f t="shared" si="10"/>
        <v>9.5849646984629455</v>
      </c>
      <c r="O44" s="24" t="str">
        <f t="shared" si="11"/>
        <v/>
      </c>
    </row>
    <row r="45" spans="1:15" ht="25.5">
      <c r="A45" s="163"/>
      <c r="B45" s="164" t="str">
        <f>'[1]J. DVA'!$B$175</f>
        <v>Rate Rider Calculation for Accounts 1568</v>
      </c>
      <c r="C45" s="20"/>
      <c r="D45" s="146" t="s">
        <v>65</v>
      </c>
      <c r="E45" s="14"/>
      <c r="F45" s="172"/>
      <c r="G45" s="25">
        <f>$F$18</f>
        <v>115</v>
      </c>
      <c r="H45" s="26">
        <f t="shared" si="6"/>
        <v>0</v>
      </c>
      <c r="I45" s="173"/>
      <c r="J45" s="172">
        <f>'[1]J. DVA'!F186</f>
        <v>0</v>
      </c>
      <c r="K45" s="25">
        <f t="shared" si="7"/>
        <v>115</v>
      </c>
      <c r="L45" s="22">
        <f t="shared" si="9"/>
        <v>0</v>
      </c>
      <c r="M45" s="167"/>
      <c r="N45" s="168">
        <f t="shared" si="10"/>
        <v>0</v>
      </c>
      <c r="O45" s="24" t="str">
        <f t="shared" si="11"/>
        <v/>
      </c>
    </row>
    <row r="46" spans="1:15">
      <c r="A46" s="163" t="s">
        <v>63</v>
      </c>
      <c r="B46" s="151" t="s">
        <v>27</v>
      </c>
      <c r="C46" s="20"/>
      <c r="D46" s="146" t="s">
        <v>65</v>
      </c>
      <c r="E46" s="14"/>
      <c r="F46" s="172">
        <v>0.30570000000000003</v>
      </c>
      <c r="G46" s="25">
        <f>$F$18</f>
        <v>115</v>
      </c>
      <c r="H46" s="26">
        <f t="shared" si="6"/>
        <v>35.155500000000004</v>
      </c>
      <c r="I46" s="173"/>
      <c r="J46" s="172">
        <f>'[2]4.12 PowerSupplExp'!$I$174</f>
        <v>0.2253</v>
      </c>
      <c r="K46" s="25">
        <f t="shared" si="7"/>
        <v>115</v>
      </c>
      <c r="L46" s="26">
        <f>K46*J46</f>
        <v>25.909500000000001</v>
      </c>
      <c r="M46" s="173"/>
      <c r="N46" s="174">
        <f>L46-H46</f>
        <v>-9.2460000000000022</v>
      </c>
      <c r="O46" s="27">
        <f>IF((H46)=0,"",(N46/H46))</f>
        <v>-0.26300294406280672</v>
      </c>
    </row>
    <row r="47" spans="1:15">
      <c r="A47" s="19"/>
      <c r="B47" s="170" t="s">
        <v>28</v>
      </c>
      <c r="C47" s="20"/>
      <c r="D47" s="146" t="s">
        <v>65</v>
      </c>
      <c r="E47" s="14"/>
      <c r="F47" s="172">
        <f>IF(ISBLANK(D16)=1, 0, IF(D16="TOU", 0.64*$F$57+0.18*$F$58+0.18*$F$59, IF(AND(D16="non-TOU", G61&gt;0), F61,F60)))</f>
        <v>9.5000000000000001E-2</v>
      </c>
      <c r="G47" s="25">
        <f>$F$18*(1+$F$76)-$F$18</f>
        <v>4.4849999999999852</v>
      </c>
      <c r="H47" s="26">
        <f t="shared" si="6"/>
        <v>0.42607499999999859</v>
      </c>
      <c r="I47" s="173"/>
      <c r="J47" s="172">
        <f>0.64*$F$57+0.18*$F$58+0.18*$F$59</f>
        <v>9.5000000000000001E-2</v>
      </c>
      <c r="K47" s="25">
        <f>$F$18*(1+$J$76)-$F$18</f>
        <v>5.2555000000000121</v>
      </c>
      <c r="L47" s="26">
        <f t="shared" ref="L47:L48" si="12">K47*J47</f>
        <v>0.49927250000000117</v>
      </c>
      <c r="M47" s="173"/>
      <c r="N47" s="174">
        <f t="shared" si="2"/>
        <v>7.319750000000258E-2</v>
      </c>
      <c r="O47" s="27">
        <f t="shared" si="3"/>
        <v>0.17179487179487843</v>
      </c>
    </row>
    <row r="48" spans="1:15">
      <c r="A48" s="19"/>
      <c r="B48" s="170" t="s">
        <v>29</v>
      </c>
      <c r="C48" s="20"/>
      <c r="D48" s="146" t="s">
        <v>65</v>
      </c>
      <c r="E48" s="14"/>
      <c r="F48" s="172">
        <v>0.79</v>
      </c>
      <c r="G48" s="25">
        <v>1</v>
      </c>
      <c r="H48" s="26">
        <f t="shared" si="6"/>
        <v>0.79</v>
      </c>
      <c r="I48" s="173"/>
      <c r="J48" s="172">
        <v>0.79</v>
      </c>
      <c r="K48" s="25">
        <v>1</v>
      </c>
      <c r="L48" s="26">
        <f t="shared" si="12"/>
        <v>0.79</v>
      </c>
      <c r="M48" s="173"/>
      <c r="N48" s="174">
        <f t="shared" si="2"/>
        <v>0</v>
      </c>
      <c r="O48" s="27"/>
    </row>
    <row r="49" spans="2:19" ht="25.5">
      <c r="B49" s="175" t="s">
        <v>30</v>
      </c>
      <c r="C49" s="176"/>
      <c r="D49" s="176"/>
      <c r="E49" s="176"/>
      <c r="F49" s="177"/>
      <c r="G49" s="249"/>
      <c r="H49" s="179">
        <f>SUM(H40:H48)+H39</f>
        <v>6542.7035750000005</v>
      </c>
      <c r="I49" s="28"/>
      <c r="J49" s="178"/>
      <c r="K49" s="268"/>
      <c r="L49" s="179">
        <f>SUM(L40:L48)+L39</f>
        <v>7699.8151487772602</v>
      </c>
      <c r="M49" s="28"/>
      <c r="N49" s="161">
        <f t="shared" si="2"/>
        <v>1157.1115737772598</v>
      </c>
      <c r="O49" s="162">
        <f t="shared" ref="O49:O67" si="13">IF((H49)=0,"",(N49/H49))</f>
        <v>0.17685526487836639</v>
      </c>
    </row>
    <row r="50" spans="2:19">
      <c r="B50" s="181" t="s">
        <v>31</v>
      </c>
      <c r="C50" s="28"/>
      <c r="D50" s="146" t="s">
        <v>65</v>
      </c>
      <c r="E50" s="28"/>
      <c r="F50" s="31">
        <v>1.786</v>
      </c>
      <c r="G50" s="100">
        <f>F18*(1+F76)</f>
        <v>119.48499999999999</v>
      </c>
      <c r="H50" s="16">
        <f>G50*F50</f>
        <v>213.40020999999999</v>
      </c>
      <c r="I50" s="28"/>
      <c r="J50" s="31">
        <f>'[2]4.12 PowerSupplExp'!$N$62</f>
        <v>1.7100626163905326</v>
      </c>
      <c r="K50" s="113">
        <f>F18*(1+J76)</f>
        <v>120.25550000000001</v>
      </c>
      <c r="L50" s="16">
        <f>K50*J50</f>
        <v>205.64443496535171</v>
      </c>
      <c r="M50" s="28"/>
      <c r="N50" s="149">
        <f t="shared" si="2"/>
        <v>-7.7557750346482806</v>
      </c>
      <c r="O50" s="18">
        <f t="shared" si="13"/>
        <v>-3.6343802260776971E-2</v>
      </c>
    </row>
    <row r="51" spans="2:19" ht="25.5">
      <c r="B51" s="183" t="s">
        <v>32</v>
      </c>
      <c r="C51" s="28"/>
      <c r="D51" s="146" t="s">
        <v>65</v>
      </c>
      <c r="E51" s="28"/>
      <c r="F51" s="31">
        <v>1.2338</v>
      </c>
      <c r="G51" s="100">
        <f>G50</f>
        <v>119.48499999999999</v>
      </c>
      <c r="H51" s="16">
        <f>G51*F51</f>
        <v>147.420593</v>
      </c>
      <c r="I51" s="28"/>
      <c r="J51" s="31">
        <f>'[2]4.12 PowerSupplExp'!$N$78</f>
        <v>1.2610821484702732</v>
      </c>
      <c r="K51" s="113">
        <f>K50</f>
        <v>120.25550000000001</v>
      </c>
      <c r="L51" s="16">
        <f>K51*J51</f>
        <v>151.65206430536696</v>
      </c>
      <c r="M51" s="28"/>
      <c r="N51" s="149">
        <f t="shared" si="2"/>
        <v>4.2314713053669664</v>
      </c>
      <c r="O51" s="18">
        <f t="shared" si="13"/>
        <v>2.8703393598253715E-2</v>
      </c>
    </row>
    <row r="52" spans="2:19" ht="25.5">
      <c r="B52" s="175" t="s">
        <v>33</v>
      </c>
      <c r="C52" s="154"/>
      <c r="D52" s="154"/>
      <c r="E52" s="154"/>
      <c r="F52" s="184"/>
      <c r="G52" s="249"/>
      <c r="H52" s="179">
        <f>SUM(H49:H51)</f>
        <v>6903.5243780000001</v>
      </c>
      <c r="I52" s="185"/>
      <c r="J52" s="186"/>
      <c r="K52" s="269"/>
      <c r="L52" s="179">
        <f>SUM(L49:L51)</f>
        <v>8057.1116480479795</v>
      </c>
      <c r="M52" s="185"/>
      <c r="N52" s="161">
        <f t="shared" si="2"/>
        <v>1153.5872700479795</v>
      </c>
      <c r="O52" s="162">
        <f t="shared" si="13"/>
        <v>0.16710120901784689</v>
      </c>
    </row>
    <row r="53" spans="2:19" ht="25.5">
      <c r="B53" s="145" t="s">
        <v>34</v>
      </c>
      <c r="C53" s="20"/>
      <c r="D53" s="188" t="s">
        <v>24</v>
      </c>
      <c r="E53" s="14"/>
      <c r="F53" s="102">
        <v>4.4000000000000003E-3</v>
      </c>
      <c r="G53" s="100">
        <f>G51</f>
        <v>119.48499999999999</v>
      </c>
      <c r="H53" s="99">
        <f t="shared" ref="H53:H59" si="14">G53*F53</f>
        <v>0.52573399999999992</v>
      </c>
      <c r="I53" s="19"/>
      <c r="J53" s="102">
        <v>4.4000000000000003E-3</v>
      </c>
      <c r="K53" s="113">
        <f>K51</f>
        <v>120.25550000000001</v>
      </c>
      <c r="L53" s="16">
        <f t="shared" ref="L53:L59" si="15">K53*J53</f>
        <v>0.52912420000000004</v>
      </c>
      <c r="M53" s="28"/>
      <c r="N53" s="149">
        <f t="shared" si="2"/>
        <v>3.3902000000001209E-3</v>
      </c>
      <c r="O53" s="18">
        <f t="shared" si="13"/>
        <v>6.4485081809434455E-3</v>
      </c>
    </row>
    <row r="54" spans="2:19" ht="25.5">
      <c r="B54" s="145" t="s">
        <v>35</v>
      </c>
      <c r="C54" s="20"/>
      <c r="D54" s="188" t="s">
        <v>24</v>
      </c>
      <c r="E54" s="14"/>
      <c r="F54" s="102">
        <v>1.1999999999999999E-3</v>
      </c>
      <c r="G54" s="100">
        <f>G51</f>
        <v>119.48499999999999</v>
      </c>
      <c r="H54" s="99">
        <f t="shared" si="14"/>
        <v>0.14338199999999998</v>
      </c>
      <c r="I54" s="19"/>
      <c r="J54" s="102">
        <v>1.1999999999999999E-3</v>
      </c>
      <c r="K54" s="113">
        <f>K51</f>
        <v>120.25550000000001</v>
      </c>
      <c r="L54" s="16">
        <f t="shared" si="15"/>
        <v>0.14430660000000001</v>
      </c>
      <c r="M54" s="28"/>
      <c r="N54" s="149">
        <f t="shared" si="2"/>
        <v>9.246000000000254E-4</v>
      </c>
      <c r="O54" s="18">
        <f t="shared" si="13"/>
        <v>6.4485081809433926E-3</v>
      </c>
    </row>
    <row r="55" spans="2:19" ht="25.5">
      <c r="B55" s="145" t="s">
        <v>36</v>
      </c>
      <c r="C55" s="20"/>
      <c r="D55" s="188" t="s">
        <v>19</v>
      </c>
      <c r="E55" s="14"/>
      <c r="F55" s="102">
        <v>0.25</v>
      </c>
      <c r="G55" s="25">
        <v>1</v>
      </c>
      <c r="H55" s="99">
        <f t="shared" si="14"/>
        <v>0.25</v>
      </c>
      <c r="I55" s="19"/>
      <c r="J55" s="102">
        <v>0.25</v>
      </c>
      <c r="K55" s="112">
        <v>1</v>
      </c>
      <c r="L55" s="16">
        <f t="shared" si="15"/>
        <v>0.25</v>
      </c>
      <c r="M55" s="28"/>
      <c r="N55" s="149">
        <f t="shared" si="2"/>
        <v>0</v>
      </c>
      <c r="O55" s="18">
        <f t="shared" si="13"/>
        <v>0</v>
      </c>
    </row>
    <row r="56" spans="2:19" ht="25.5">
      <c r="B56" s="145" t="s">
        <v>37</v>
      </c>
      <c r="C56" s="20"/>
      <c r="D56" s="188" t="s">
        <v>24</v>
      </c>
      <c r="E56" s="14"/>
      <c r="F56" s="31">
        <v>4.8999999999999998E-3</v>
      </c>
      <c r="G56" s="100">
        <f>F18</f>
        <v>115</v>
      </c>
      <c r="H56" s="99">
        <f t="shared" si="14"/>
        <v>0.5635</v>
      </c>
      <c r="I56" s="19"/>
      <c r="J56" s="31">
        <v>4.8999999999999998E-3</v>
      </c>
      <c r="K56" s="113">
        <f>F18</f>
        <v>115</v>
      </c>
      <c r="L56" s="16">
        <f t="shared" si="15"/>
        <v>0.5635</v>
      </c>
      <c r="M56" s="28"/>
      <c r="N56" s="149">
        <f t="shared" si="2"/>
        <v>0</v>
      </c>
      <c r="O56" s="18">
        <f t="shared" si="13"/>
        <v>0</v>
      </c>
    </row>
    <row r="57" spans="2:19">
      <c r="B57" s="170" t="s">
        <v>38</v>
      </c>
      <c r="C57" s="20"/>
      <c r="D57" s="188" t="s">
        <v>24</v>
      </c>
      <c r="E57" s="14"/>
      <c r="F57" s="102">
        <v>7.6999999999999999E-2</v>
      </c>
      <c r="G57" s="253">
        <f>0.64*$F$18</f>
        <v>73.600000000000009</v>
      </c>
      <c r="H57" s="99">
        <f t="shared" si="14"/>
        <v>5.6672000000000002</v>
      </c>
      <c r="I57" s="19"/>
      <c r="J57" s="102">
        <v>7.6999999999999999E-2</v>
      </c>
      <c r="K57" s="253">
        <f>G57</f>
        <v>73.600000000000009</v>
      </c>
      <c r="L57" s="16">
        <f t="shared" si="15"/>
        <v>5.6672000000000002</v>
      </c>
      <c r="M57" s="28"/>
      <c r="N57" s="149">
        <f t="shared" si="2"/>
        <v>0</v>
      </c>
      <c r="O57" s="18">
        <f t="shared" si="13"/>
        <v>0</v>
      </c>
      <c r="S57" s="190"/>
    </row>
    <row r="58" spans="2:19">
      <c r="B58" s="170" t="s">
        <v>39</v>
      </c>
      <c r="C58" s="20"/>
      <c r="D58" s="188" t="s">
        <v>24</v>
      </c>
      <c r="E58" s="14"/>
      <c r="F58" s="102">
        <v>0.114</v>
      </c>
      <c r="G58" s="253">
        <f>0.18*$F$18</f>
        <v>20.7</v>
      </c>
      <c r="H58" s="99">
        <f t="shared" si="14"/>
        <v>2.3597999999999999</v>
      </c>
      <c r="I58" s="19"/>
      <c r="J58" s="102">
        <v>0.114</v>
      </c>
      <c r="K58" s="253">
        <f>G58</f>
        <v>20.7</v>
      </c>
      <c r="L58" s="16">
        <f t="shared" si="15"/>
        <v>2.3597999999999999</v>
      </c>
      <c r="M58" s="28"/>
      <c r="N58" s="149">
        <f t="shared" si="2"/>
        <v>0</v>
      </c>
      <c r="O58" s="18">
        <f t="shared" si="13"/>
        <v>0</v>
      </c>
      <c r="S58" s="190"/>
    </row>
    <row r="59" spans="2:19">
      <c r="B59" s="135" t="s">
        <v>40</v>
      </c>
      <c r="C59" s="20"/>
      <c r="D59" s="188" t="s">
        <v>24</v>
      </c>
      <c r="E59" s="14"/>
      <c r="F59" s="102">
        <v>0.14000000000000001</v>
      </c>
      <c r="G59" s="253">
        <f>0.18*$F$18</f>
        <v>20.7</v>
      </c>
      <c r="H59" s="99">
        <f t="shared" si="14"/>
        <v>2.8980000000000001</v>
      </c>
      <c r="I59" s="19"/>
      <c r="J59" s="102">
        <v>0.14000000000000001</v>
      </c>
      <c r="K59" s="253">
        <f>G59</f>
        <v>20.7</v>
      </c>
      <c r="L59" s="16">
        <f t="shared" si="15"/>
        <v>2.8980000000000001</v>
      </c>
      <c r="M59" s="28"/>
      <c r="N59" s="149">
        <f t="shared" si="2"/>
        <v>0</v>
      </c>
      <c r="O59" s="18">
        <f t="shared" si="13"/>
        <v>0</v>
      </c>
      <c r="S59" s="190"/>
    </row>
    <row r="60" spans="2:19" s="195" customFormat="1">
      <c r="B60" s="191" t="s">
        <v>41</v>
      </c>
      <c r="C60" s="32"/>
      <c r="D60" s="188" t="s">
        <v>24</v>
      </c>
      <c r="E60" s="32"/>
      <c r="F60" s="102">
        <v>8.5999999999999993E-2</v>
      </c>
      <c r="G60" s="255">
        <f>IF(AND($T$1=1, F18&gt;=600), 600, IF(AND($T$1=1, AND(F18&lt;600, F18&gt;=0)), F18, IF(AND($T$1=2, F18&gt;=1000), 1000, IF(AND($T$1=2, AND(F18&lt;1000, F18&gt;=0)), F18))))</f>
        <v>115</v>
      </c>
      <c r="H60" s="99">
        <f>G60*F60</f>
        <v>9.8899999999999988</v>
      </c>
      <c r="I60" s="256"/>
      <c r="J60" s="102">
        <v>8.5999999999999993E-2</v>
      </c>
      <c r="K60" s="255">
        <f>G60</f>
        <v>115</v>
      </c>
      <c r="L60" s="16">
        <f>K60*J60</f>
        <v>9.8899999999999988</v>
      </c>
      <c r="M60" s="193"/>
      <c r="N60" s="194">
        <f t="shared" si="2"/>
        <v>0</v>
      </c>
      <c r="O60" s="18">
        <f t="shared" si="13"/>
        <v>0</v>
      </c>
    </row>
    <row r="61" spans="2:19" s="195" customFormat="1" ht="13.5" thickBot="1">
      <c r="B61" s="191" t="s">
        <v>42</v>
      </c>
      <c r="C61" s="32"/>
      <c r="D61" s="188" t="s">
        <v>24</v>
      </c>
      <c r="E61" s="32"/>
      <c r="F61" s="102">
        <v>0.10100000000000001</v>
      </c>
      <c r="G61" s="255">
        <f>IF(AND($T$1=1, F18&gt;=600), F18-600, IF(AND($T$1=1, AND(F18&lt;600, F18&gt;=0)), 0, IF(AND($T$1=2, F18&gt;=1000), F18-1000, IF(AND($T$1=2, AND(F18&lt;1000, F18&gt;=0)), 0))))</f>
        <v>0</v>
      </c>
      <c r="H61" s="99">
        <f>G61*F61</f>
        <v>0</v>
      </c>
      <c r="I61" s="256"/>
      <c r="J61" s="102">
        <v>0.10100000000000001</v>
      </c>
      <c r="K61" s="255">
        <f>G61</f>
        <v>0</v>
      </c>
      <c r="L61" s="16">
        <f>K61*J61</f>
        <v>0</v>
      </c>
      <c r="M61" s="193"/>
      <c r="N61" s="194">
        <f t="shared" si="2"/>
        <v>0</v>
      </c>
      <c r="O61" s="18" t="str">
        <f t="shared" si="13"/>
        <v/>
      </c>
    </row>
    <row r="62" spans="2:19" ht="13.5" thickBot="1">
      <c r="B62" s="196"/>
      <c r="C62" s="197"/>
      <c r="D62" s="198"/>
      <c r="E62" s="197"/>
      <c r="F62" s="199"/>
      <c r="G62" s="259"/>
      <c r="H62" s="201"/>
      <c r="I62" s="202"/>
      <c r="J62" s="199"/>
      <c r="K62" s="270"/>
      <c r="L62" s="201"/>
      <c r="M62" s="202"/>
      <c r="N62" s="204"/>
      <c r="O62" s="205"/>
    </row>
    <row r="63" spans="2:19" ht="25.5">
      <c r="B63" s="33" t="s">
        <v>43</v>
      </c>
      <c r="C63" s="20"/>
      <c r="D63" s="20"/>
      <c r="E63" s="20"/>
      <c r="F63" s="34"/>
      <c r="G63" s="103"/>
      <c r="H63" s="36">
        <f>SUM(H53:H59,H52)</f>
        <v>6915.9319940000005</v>
      </c>
      <c r="I63" s="37"/>
      <c r="J63" s="38"/>
      <c r="K63" s="114"/>
      <c r="L63" s="36">
        <f>SUM(L53:L59,L52)</f>
        <v>8069.5235788479795</v>
      </c>
      <c r="M63" s="39"/>
      <c r="N63" s="40">
        <f>L63-H63</f>
        <v>1153.591584847979</v>
      </c>
      <c r="O63" s="41">
        <f>IF((H63)=0,"",(N63/H63))</f>
        <v>0.16680204285536515</v>
      </c>
      <c r="S63" s="190"/>
    </row>
    <row r="64" spans="2:19">
      <c r="B64" s="42" t="s">
        <v>44</v>
      </c>
      <c r="C64" s="20"/>
      <c r="D64" s="20"/>
      <c r="E64" s="20"/>
      <c r="F64" s="43">
        <v>0.13</v>
      </c>
      <c r="G64" s="105"/>
      <c r="H64" s="45">
        <f>H63*F64</f>
        <v>899.07115922000014</v>
      </c>
      <c r="I64" s="46"/>
      <c r="J64" s="47">
        <v>0.13</v>
      </c>
      <c r="K64" s="115"/>
      <c r="L64" s="48">
        <f>L63*J64</f>
        <v>1049.0380652502374</v>
      </c>
      <c r="M64" s="49"/>
      <c r="N64" s="50">
        <f t="shared" si="2"/>
        <v>149.96690603023728</v>
      </c>
      <c r="O64" s="18">
        <f t="shared" si="13"/>
        <v>0.16680204285536515</v>
      </c>
      <c r="S64" s="190"/>
    </row>
    <row r="65" spans="1:19">
      <c r="B65" s="206" t="s">
        <v>45</v>
      </c>
      <c r="C65" s="20"/>
      <c r="D65" s="20"/>
      <c r="E65" s="20"/>
      <c r="F65" s="51"/>
      <c r="G65" s="105"/>
      <c r="H65" s="45">
        <f>H63+H64</f>
        <v>7815.003153220001</v>
      </c>
      <c r="I65" s="46"/>
      <c r="J65" s="46"/>
      <c r="K65" s="115"/>
      <c r="L65" s="48">
        <f>L63+L64</f>
        <v>9118.5616440982176</v>
      </c>
      <c r="M65" s="49"/>
      <c r="N65" s="50">
        <f t="shared" si="2"/>
        <v>1303.5584908782166</v>
      </c>
      <c r="O65" s="18">
        <f t="shared" si="13"/>
        <v>0.16680204285536518</v>
      </c>
      <c r="S65" s="190"/>
    </row>
    <row r="66" spans="1:19">
      <c r="B66" s="292" t="s">
        <v>46</v>
      </c>
      <c r="C66" s="292"/>
      <c r="D66" s="292"/>
      <c r="E66" s="20"/>
      <c r="F66" s="51"/>
      <c r="G66" s="105"/>
      <c r="H66" s="52">
        <f>ROUND(-H65*0.1,2)</f>
        <v>-781.5</v>
      </c>
      <c r="I66" s="46"/>
      <c r="J66" s="46"/>
      <c r="K66" s="115"/>
      <c r="L66" s="53">
        <f>ROUND(-L65*0.1,2)</f>
        <v>-911.86</v>
      </c>
      <c r="M66" s="49"/>
      <c r="N66" s="54">
        <f t="shared" si="2"/>
        <v>-130.36000000000001</v>
      </c>
      <c r="O66" s="55">
        <f t="shared" si="13"/>
        <v>0.16680742162508</v>
      </c>
    </row>
    <row r="67" spans="1:19" ht="13.5" thickBot="1">
      <c r="B67" s="293" t="s">
        <v>47</v>
      </c>
      <c r="C67" s="293"/>
      <c r="D67" s="293"/>
      <c r="E67" s="14"/>
      <c r="F67" s="207"/>
      <c r="G67" s="261"/>
      <c r="H67" s="209">
        <f>H65+H66</f>
        <v>7033.503153220001</v>
      </c>
      <c r="I67" s="210"/>
      <c r="J67" s="210"/>
      <c r="K67" s="271"/>
      <c r="L67" s="211">
        <f>L65+L66</f>
        <v>8206.701644098217</v>
      </c>
      <c r="M67" s="212"/>
      <c r="N67" s="213">
        <f t="shared" si="2"/>
        <v>1173.198490878216</v>
      </c>
      <c r="O67" s="214">
        <f t="shared" si="13"/>
        <v>0.16680144521455362</v>
      </c>
    </row>
    <row r="68" spans="1:19" s="195" customFormat="1" ht="13.5" thickBot="1">
      <c r="B68" s="215"/>
      <c r="C68" s="216"/>
      <c r="D68" s="217"/>
      <c r="E68" s="216"/>
      <c r="F68" s="199"/>
      <c r="G68" s="262"/>
      <c r="H68" s="201"/>
      <c r="I68" s="219"/>
      <c r="J68" s="199"/>
      <c r="K68" s="272"/>
      <c r="L68" s="201"/>
      <c r="M68" s="219"/>
      <c r="N68" s="221"/>
      <c r="O68" s="205"/>
    </row>
    <row r="69" spans="1:19" s="195" customFormat="1" ht="25.5">
      <c r="B69" s="56" t="s">
        <v>48</v>
      </c>
      <c r="C69" s="32"/>
      <c r="D69" s="32"/>
      <c r="E69" s="32"/>
      <c r="F69" s="57"/>
      <c r="G69" s="107"/>
      <c r="H69" s="59">
        <f>SUM(H60:H61,H52,H53:H56)</f>
        <v>6914.8969940000006</v>
      </c>
      <c r="I69" s="60"/>
      <c r="J69" s="61"/>
      <c r="K69" s="116"/>
      <c r="L69" s="59">
        <f>SUM(L60:L61,L52,L53:L56)</f>
        <v>8068.4885788479805</v>
      </c>
      <c r="M69" s="62"/>
      <c r="N69" s="63">
        <f>L69-H69</f>
        <v>1153.5915848479799</v>
      </c>
      <c r="O69" s="41">
        <f>IF((H69)=0,"",(N69/H69))</f>
        <v>0.16682700925971014</v>
      </c>
    </row>
    <row r="70" spans="1:19" s="195" customFormat="1">
      <c r="B70" s="64" t="s">
        <v>44</v>
      </c>
      <c r="C70" s="32"/>
      <c r="D70" s="32"/>
      <c r="E70" s="32"/>
      <c r="F70" s="65">
        <v>0.13</v>
      </c>
      <c r="G70" s="107"/>
      <c r="H70" s="66">
        <f>H69*F70</f>
        <v>898.93660922000015</v>
      </c>
      <c r="I70" s="67"/>
      <c r="J70" s="68">
        <v>0.13</v>
      </c>
      <c r="K70" s="117"/>
      <c r="L70" s="70">
        <f>L69*J70</f>
        <v>1048.9035152502374</v>
      </c>
      <c r="M70" s="71"/>
      <c r="N70" s="72">
        <f>L70-H70</f>
        <v>149.96690603023728</v>
      </c>
      <c r="O70" s="18">
        <f>IF((H70)=0,"",(N70/H70))</f>
        <v>0.16682700925971</v>
      </c>
    </row>
    <row r="71" spans="1:19" s="195" customFormat="1">
      <c r="B71" s="222" t="s">
        <v>45</v>
      </c>
      <c r="C71" s="32"/>
      <c r="D71" s="32"/>
      <c r="E71" s="32"/>
      <c r="F71" s="73"/>
      <c r="G71" s="110"/>
      <c r="H71" s="66">
        <f>H69+H70</f>
        <v>7813.8336032200004</v>
      </c>
      <c r="I71" s="67"/>
      <c r="J71" s="67"/>
      <c r="K71" s="118"/>
      <c r="L71" s="70">
        <f>L69+L70</f>
        <v>9117.3920940982171</v>
      </c>
      <c r="M71" s="71"/>
      <c r="N71" s="72">
        <f>L71-H71</f>
        <v>1303.5584908782166</v>
      </c>
      <c r="O71" s="18">
        <f>IF((H71)=0,"",(N71/H71))</f>
        <v>0.16682700925971006</v>
      </c>
    </row>
    <row r="72" spans="1:19" s="195" customFormat="1">
      <c r="B72" s="294" t="s">
        <v>46</v>
      </c>
      <c r="C72" s="294"/>
      <c r="D72" s="294"/>
      <c r="E72" s="32"/>
      <c r="F72" s="73"/>
      <c r="G72" s="110"/>
      <c r="H72" s="75">
        <f>ROUND(-H71*0.1,2)</f>
        <v>-781.38</v>
      </c>
      <c r="I72" s="67"/>
      <c r="J72" s="67"/>
      <c r="K72" s="118"/>
      <c r="L72" s="76">
        <f>ROUND(-L71*0.1,2)</f>
        <v>-911.74</v>
      </c>
      <c r="M72" s="71"/>
      <c r="N72" s="77">
        <f>L72-H72</f>
        <v>-130.36000000000001</v>
      </c>
      <c r="O72" s="55">
        <f>IF((H72)=0,"",(N72/H72))</f>
        <v>0.16683303898231336</v>
      </c>
    </row>
    <row r="73" spans="1:19" s="195" customFormat="1" ht="13.5" thickBot="1">
      <c r="B73" s="288" t="s">
        <v>49</v>
      </c>
      <c r="C73" s="288"/>
      <c r="D73" s="288"/>
      <c r="E73" s="32"/>
      <c r="F73" s="73"/>
      <c r="G73" s="110"/>
      <c r="H73" s="59">
        <f>SUM(H71:H72)</f>
        <v>7032.4536032200003</v>
      </c>
      <c r="I73" s="60"/>
      <c r="J73" s="60"/>
      <c r="K73" s="273"/>
      <c r="L73" s="223">
        <f>SUM(L71:L72)</f>
        <v>8205.6520940982173</v>
      </c>
      <c r="M73" s="62"/>
      <c r="N73" s="63">
        <f>L73-H73</f>
        <v>1173.1984908782169</v>
      </c>
      <c r="O73" s="41">
        <f>IF((H73)=0,"",(N73/H73))</f>
        <v>0.16682633929373328</v>
      </c>
    </row>
    <row r="74" spans="1:19" s="195" customFormat="1" ht="13.5" thickBot="1">
      <c r="B74" s="215"/>
      <c r="C74" s="216"/>
      <c r="D74" s="217"/>
      <c r="E74" s="216"/>
      <c r="F74" s="224"/>
      <c r="G74" s="265"/>
      <c r="H74" s="226"/>
      <c r="I74" s="227"/>
      <c r="J74" s="224"/>
      <c r="K74" s="262"/>
      <c r="L74" s="228"/>
      <c r="M74" s="219"/>
      <c r="N74" s="229"/>
      <c r="O74" s="205"/>
    </row>
    <row r="75" spans="1:19">
      <c r="L75" s="190"/>
    </row>
    <row r="76" spans="1:19">
      <c r="B76" s="230" t="s">
        <v>50</v>
      </c>
      <c r="F76" s="231">
        <v>3.9E-2</v>
      </c>
      <c r="J76" s="231">
        <v>4.5699999999999998E-2</v>
      </c>
    </row>
    <row r="78" spans="1:19" ht="14.25">
      <c r="A78" s="232" t="s">
        <v>51</v>
      </c>
    </row>
    <row r="80" spans="1:19">
      <c r="A80" s="12" t="s">
        <v>52</v>
      </c>
    </row>
    <row r="81" spans="1:2">
      <c r="A81" s="12" t="s">
        <v>53</v>
      </c>
    </row>
    <row r="83" spans="1:2">
      <c r="A83" s="233" t="s">
        <v>54</v>
      </c>
    </row>
    <row r="84" spans="1:2">
      <c r="A84" s="233" t="s">
        <v>55</v>
      </c>
    </row>
    <row r="86" spans="1:2">
      <c r="A86" s="12" t="s">
        <v>56</v>
      </c>
    </row>
    <row r="87" spans="1:2">
      <c r="A87" s="12" t="s">
        <v>57</v>
      </c>
    </row>
    <row r="88" spans="1:2">
      <c r="A88" s="12" t="s">
        <v>58</v>
      </c>
    </row>
    <row r="89" spans="1:2">
      <c r="A89" s="12" t="s">
        <v>59</v>
      </c>
    </row>
    <row r="90" spans="1:2">
      <c r="A90" s="12" t="s">
        <v>60</v>
      </c>
    </row>
    <row r="92" spans="1:2" ht="51">
      <c r="B92" s="13" t="s">
        <v>61</v>
      </c>
    </row>
  </sheetData>
  <mergeCells count="14">
    <mergeCell ref="A3:K3"/>
    <mergeCell ref="B10:O10"/>
    <mergeCell ref="B11:O11"/>
    <mergeCell ref="D14:O14"/>
    <mergeCell ref="F20:H20"/>
    <mergeCell ref="J20:L20"/>
    <mergeCell ref="N20:O20"/>
    <mergeCell ref="B73:D73"/>
    <mergeCell ref="D21:D22"/>
    <mergeCell ref="N21:N22"/>
    <mergeCell ref="O21:O22"/>
    <mergeCell ref="B66:D66"/>
    <mergeCell ref="B67:D67"/>
    <mergeCell ref="B72:D72"/>
  </mergeCells>
  <dataValidations count="3">
    <dataValidation type="list" allowBlank="1" showInputMessage="1" showErrorMessage="1" sqref="E23:E38 E74 E50:E51 E53:E62 E68 E40:E48">
      <formula1>"#REF!"</formula1>
      <formula2>0</formula2>
    </dataValidation>
    <dataValidation type="list" allowBlank="1" showInputMessage="1" showErrorMessage="1" prompt="Select Charge Unit - monthly, per kWh, per kW" sqref="D74 D23:D38 D50:D51 D68 D53:D62 D40:D48">
      <formula1>"Monthly,per kWh,per kW"</formula1>
      <formula2>0</formula2>
    </dataValidation>
    <dataValidation type="list" allowBlank="1" showInputMessage="1" showErrorMessage="1" sqref="D16">
      <formula1>"TOU,non-TOU"</formula1>
      <formula2>0</formula2>
    </dataValidation>
  </dataValidations>
  <pageMargins left="0.7" right="0.7" top="0.75" bottom="0.75" header="0.3" footer="0.3"/>
  <pageSetup paperSize="9" scale="4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Option Button 44">
              <controlPr defaultSize="0" autoFill="0" autoLine="0" autoPict="0">
                <anchor moveWithCells="1" sizeWithCells="1">
                  <from>
                    <xdr:col>6</xdr:col>
                    <xdr:colOff>476250</xdr:colOff>
                    <xdr:row>17</xdr:row>
                    <xdr:rowOff>0</xdr:rowOff>
                  </from>
                  <to>
                    <xdr:col>9</xdr:col>
                    <xdr:colOff>733425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Option Button 45">
              <controlPr defaultSize="0" autoFill="0" autoLine="0" autoPict="0">
                <anchor moveWithCells="1" sizeWithCells="1">
                  <from>
                    <xdr:col>9</xdr:col>
                    <xdr:colOff>371475</xdr:colOff>
                    <xdr:row>16</xdr:row>
                    <xdr:rowOff>104775</xdr:rowOff>
                  </from>
                  <to>
                    <xdr:col>16</xdr:col>
                    <xdr:colOff>257175</xdr:colOff>
                    <xdr:row>18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92"/>
  <sheetViews>
    <sheetView showGridLines="0" topLeftCell="A40" workbookViewId="0">
      <selection activeCell="B10" sqref="B10:O10"/>
    </sheetView>
  </sheetViews>
  <sheetFormatPr defaultRowHeight="12.75"/>
  <cols>
    <col min="1" max="1" width="11.28515625" style="12" customWidth="1"/>
    <col min="2" max="2" width="26.5703125" style="13" customWidth="1"/>
    <col min="3" max="3" width="1.28515625" style="12" customWidth="1"/>
    <col min="4" max="4" width="11.28515625" style="12" customWidth="1"/>
    <col min="5" max="5" width="1.28515625" style="12" customWidth="1"/>
    <col min="6" max="6" width="12.28515625" style="12" customWidth="1"/>
    <col min="7" max="7" width="8.5703125" style="92" customWidth="1"/>
    <col min="8" max="8" width="11.140625" style="12" customWidth="1"/>
    <col min="9" max="9" width="2.85546875" style="12" customWidth="1"/>
    <col min="10" max="10" width="12.140625" style="12" customWidth="1"/>
    <col min="11" max="11" width="8.5703125" style="92" customWidth="1"/>
    <col min="12" max="12" width="13.140625" style="12" customWidth="1"/>
    <col min="13" max="13" width="2.85546875" style="12" customWidth="1"/>
    <col min="14" max="14" width="12.85546875" style="12" customWidth="1"/>
    <col min="15" max="15" width="10.85546875" style="12" customWidth="1"/>
    <col min="16" max="16" width="3.85546875" style="12" customWidth="1"/>
    <col min="17" max="16384" width="9.140625" style="12"/>
  </cols>
  <sheetData>
    <row r="1" spans="1:20" s="2" customFormat="1" ht="12.75" customHeight="1">
      <c r="A1" s="1"/>
      <c r="B1" s="1"/>
      <c r="C1" s="1"/>
      <c r="D1" s="1"/>
      <c r="E1" s="1"/>
      <c r="F1" s="1"/>
      <c r="G1" s="85"/>
      <c r="H1" s="1"/>
      <c r="I1" s="1"/>
      <c r="J1" s="1"/>
      <c r="K1" s="119"/>
      <c r="N1" s="3"/>
      <c r="O1" s="4"/>
      <c r="T1" s="2">
        <v>1</v>
      </c>
    </row>
    <row r="2" spans="1:20" s="2" customFormat="1" ht="12.75" customHeight="1">
      <c r="A2" s="5"/>
      <c r="B2" s="6"/>
      <c r="C2" s="5"/>
      <c r="D2" s="5"/>
      <c r="E2" s="5"/>
      <c r="F2" s="5"/>
      <c r="G2" s="87"/>
      <c r="H2" s="5"/>
      <c r="I2" s="5"/>
      <c r="J2" s="5"/>
      <c r="K2" s="87"/>
      <c r="N2" s="3"/>
      <c r="O2" s="7"/>
    </row>
    <row r="3" spans="1:20" s="2" customFormat="1" ht="12.75" customHeight="1">
      <c r="A3" s="295"/>
      <c r="B3" s="295"/>
      <c r="C3" s="295"/>
      <c r="D3" s="295"/>
      <c r="E3" s="295"/>
      <c r="F3" s="295"/>
      <c r="G3" s="295"/>
      <c r="H3" s="295"/>
      <c r="I3" s="295"/>
      <c r="J3" s="295"/>
      <c r="K3" s="295"/>
      <c r="N3" s="3"/>
      <c r="O3" s="7"/>
    </row>
    <row r="4" spans="1:20" s="2" customFormat="1" ht="12.75" customHeight="1">
      <c r="A4" s="5"/>
      <c r="B4" s="6"/>
      <c r="C4" s="5"/>
      <c r="D4" s="5"/>
      <c r="E4" s="5"/>
      <c r="F4" s="5"/>
      <c r="G4" s="87"/>
      <c r="H4" s="5"/>
      <c r="I4" s="8"/>
      <c r="J4" s="8"/>
      <c r="K4" s="90"/>
      <c r="N4" s="3"/>
      <c r="O4" s="7"/>
    </row>
    <row r="5" spans="1:20" s="2" customFormat="1" ht="12.75" customHeight="1">
      <c r="B5" s="9"/>
      <c r="C5" s="10"/>
      <c r="D5" s="10"/>
      <c r="E5" s="10"/>
      <c r="G5" s="90"/>
      <c r="K5" s="90"/>
      <c r="N5" s="3"/>
      <c r="O5" s="4"/>
    </row>
    <row r="6" spans="1:20" s="2" customFormat="1" ht="12.75" customHeight="1">
      <c r="B6" s="9"/>
      <c r="G6" s="90"/>
      <c r="K6" s="90"/>
      <c r="N6" s="3"/>
      <c r="O6" s="11"/>
    </row>
    <row r="7" spans="1:20" s="2" customFormat="1" ht="12.75" customHeight="1">
      <c r="B7" s="9"/>
      <c r="G7" s="90"/>
      <c r="K7" s="90"/>
      <c r="N7" s="3"/>
      <c r="O7" s="4"/>
    </row>
    <row r="8" spans="1:20" s="2" customFormat="1" ht="12.75" customHeight="1">
      <c r="B8" s="9"/>
      <c r="G8" s="90"/>
      <c r="K8" s="90"/>
    </row>
    <row r="9" spans="1:20" ht="12.75" customHeight="1"/>
    <row r="10" spans="1:20" s="130" customFormat="1" ht="18.75" customHeight="1">
      <c r="B10" s="299" t="s">
        <v>0</v>
      </c>
      <c r="C10" s="299"/>
      <c r="D10" s="299"/>
      <c r="E10" s="299"/>
      <c r="F10" s="299"/>
      <c r="G10" s="299"/>
      <c r="H10" s="299"/>
      <c r="I10" s="299"/>
      <c r="J10" s="299"/>
      <c r="K10" s="299"/>
      <c r="L10" s="299"/>
      <c r="M10" s="299"/>
      <c r="N10" s="299"/>
      <c r="O10" s="299"/>
    </row>
    <row r="11" spans="1:20" ht="18.75" customHeight="1">
      <c r="B11" s="296" t="s">
        <v>1</v>
      </c>
      <c r="C11" s="296"/>
      <c r="D11" s="296"/>
      <c r="E11" s="296"/>
      <c r="F11" s="296"/>
      <c r="G11" s="296"/>
      <c r="H11" s="296"/>
      <c r="I11" s="296"/>
      <c r="J11" s="296"/>
      <c r="K11" s="296"/>
      <c r="L11" s="296"/>
      <c r="M11" s="296"/>
      <c r="N11" s="296"/>
      <c r="O11" s="296"/>
    </row>
    <row r="12" spans="1:20" ht="7.5" customHeight="1"/>
    <row r="13" spans="1:20" ht="7.5" customHeight="1"/>
    <row r="14" spans="1:20" ht="15.75">
      <c r="B14" s="131" t="s">
        <v>2</v>
      </c>
      <c r="D14" s="297" t="s">
        <v>69</v>
      </c>
      <c r="E14" s="297"/>
      <c r="F14" s="297"/>
      <c r="G14" s="297"/>
      <c r="H14" s="297"/>
      <c r="I14" s="297"/>
      <c r="J14" s="297"/>
      <c r="K14" s="297"/>
      <c r="L14" s="297"/>
      <c r="M14" s="297"/>
      <c r="N14" s="297"/>
      <c r="O14" s="297"/>
    </row>
    <row r="15" spans="1:20" ht="7.5" customHeight="1">
      <c r="B15" s="132"/>
      <c r="D15" s="133"/>
      <c r="E15" s="133"/>
      <c r="F15" s="133"/>
      <c r="G15" s="240"/>
      <c r="H15" s="133"/>
      <c r="I15" s="133"/>
      <c r="J15" s="133"/>
      <c r="K15" s="240"/>
      <c r="L15" s="133"/>
      <c r="M15" s="133"/>
      <c r="N15" s="133"/>
      <c r="O15" s="133"/>
    </row>
    <row r="16" spans="1:20" ht="15.75">
      <c r="B16" s="131" t="s">
        <v>4</v>
      </c>
      <c r="D16" s="134" t="s">
        <v>5</v>
      </c>
      <c r="E16" s="133"/>
      <c r="F16" s="133"/>
      <c r="G16" s="240"/>
      <c r="H16" s="133"/>
      <c r="I16" s="133"/>
      <c r="J16" s="133"/>
      <c r="K16" s="240"/>
      <c r="L16" s="133"/>
      <c r="M16" s="133"/>
      <c r="N16" s="133"/>
      <c r="O16" s="133"/>
    </row>
    <row r="17" spans="1:15" ht="15.75">
      <c r="B17" s="132"/>
      <c r="D17" s="133"/>
      <c r="E17" s="133"/>
      <c r="F17" s="133"/>
      <c r="G17" s="240"/>
      <c r="H17" s="133"/>
      <c r="I17" s="133"/>
      <c r="J17" s="133"/>
      <c r="K17" s="240"/>
      <c r="L17" s="133"/>
      <c r="M17" s="133"/>
      <c r="N17" s="133"/>
      <c r="O17" s="133"/>
    </row>
    <row r="18" spans="1:15">
      <c r="B18" s="135"/>
      <c r="D18" s="136" t="s">
        <v>6</v>
      </c>
      <c r="E18" s="136"/>
      <c r="F18" s="137">
        <v>1800</v>
      </c>
      <c r="G18" s="241" t="s">
        <v>70</v>
      </c>
    </row>
    <row r="19" spans="1:15">
      <c r="B19" s="135"/>
    </row>
    <row r="20" spans="1:15">
      <c r="B20" s="135"/>
      <c r="D20" s="138"/>
      <c r="E20" s="138"/>
      <c r="F20" s="298" t="s">
        <v>8</v>
      </c>
      <c r="G20" s="298"/>
      <c r="H20" s="298"/>
      <c r="J20" s="298" t="s">
        <v>9</v>
      </c>
      <c r="K20" s="298"/>
      <c r="L20" s="298"/>
      <c r="N20" s="298" t="s">
        <v>10</v>
      </c>
      <c r="O20" s="298"/>
    </row>
    <row r="21" spans="1:15">
      <c r="B21" s="135"/>
      <c r="D21" s="289" t="s">
        <v>11</v>
      </c>
      <c r="E21" s="139"/>
      <c r="F21" s="140" t="s">
        <v>12</v>
      </c>
      <c r="G21" s="242" t="s">
        <v>13</v>
      </c>
      <c r="H21" s="141" t="s">
        <v>14</v>
      </c>
      <c r="J21" s="140" t="s">
        <v>12</v>
      </c>
      <c r="K21" s="243" t="s">
        <v>13</v>
      </c>
      <c r="L21" s="141" t="s">
        <v>14</v>
      </c>
      <c r="N21" s="290" t="s">
        <v>15</v>
      </c>
      <c r="O21" s="291" t="s">
        <v>16</v>
      </c>
    </row>
    <row r="22" spans="1:15">
      <c r="B22" s="135"/>
      <c r="D22" s="289"/>
      <c r="E22" s="139"/>
      <c r="F22" s="143" t="s">
        <v>17</v>
      </c>
      <c r="G22" s="244"/>
      <c r="H22" s="144" t="s">
        <v>17</v>
      </c>
      <c r="J22" s="143" t="s">
        <v>17</v>
      </c>
      <c r="K22" s="245"/>
      <c r="L22" s="144" t="s">
        <v>17</v>
      </c>
      <c r="N22" s="290"/>
      <c r="O22" s="291"/>
    </row>
    <row r="23" spans="1:15">
      <c r="B23" s="145" t="s">
        <v>18</v>
      </c>
      <c r="C23" s="20"/>
      <c r="D23" s="146" t="s">
        <v>19</v>
      </c>
      <c r="E23" s="14"/>
      <c r="F23" s="147">
        <f>'[1]B. CurrentTariff'!C137</f>
        <v>6.25</v>
      </c>
      <c r="G23" s="25">
        <v>1</v>
      </c>
      <c r="H23" s="16">
        <f>G23*F23</f>
        <v>6.25</v>
      </c>
      <c r="I23" s="28"/>
      <c r="J23" s="148">
        <f>'[1]G. RateDesign'!B51</f>
        <v>6.2</v>
      </c>
      <c r="K23" s="120">
        <v>1</v>
      </c>
      <c r="L23" s="16">
        <f>K23*J23</f>
        <v>6.2</v>
      </c>
      <c r="M23" s="28"/>
      <c r="N23" s="149">
        <f>L23-H23</f>
        <v>-4.9999999999999822E-2</v>
      </c>
      <c r="O23" s="18">
        <f>IF((H23)=0,"",(N23/H23))</f>
        <v>-7.9999999999999724E-3</v>
      </c>
    </row>
    <row r="24" spans="1:15">
      <c r="A24" s="19"/>
      <c r="B24" s="145" t="s">
        <v>20</v>
      </c>
      <c r="C24" s="20"/>
      <c r="D24" s="146"/>
      <c r="E24" s="14"/>
      <c r="F24" s="150"/>
      <c r="G24" s="25">
        <v>1</v>
      </c>
      <c r="H24" s="16">
        <f t="shared" ref="H24:H38" si="0">G24*F24</f>
        <v>0</v>
      </c>
      <c r="I24" s="28"/>
      <c r="J24" s="31"/>
      <c r="K24" s="120">
        <v>1</v>
      </c>
      <c r="L24" s="16">
        <f>K24*J24</f>
        <v>0</v>
      </c>
      <c r="M24" s="28"/>
      <c r="N24" s="149">
        <f>L24-H24</f>
        <v>0</v>
      </c>
      <c r="O24" s="18" t="str">
        <f>IF((H24)=0,"",(N24/H24))</f>
        <v/>
      </c>
    </row>
    <row r="25" spans="1:15">
      <c r="A25" s="19"/>
      <c r="B25" s="152"/>
      <c r="C25" s="20"/>
      <c r="D25" s="146"/>
      <c r="E25" s="14"/>
      <c r="F25" s="150"/>
      <c r="G25" s="25">
        <v>1</v>
      </c>
      <c r="H25" s="16">
        <f t="shared" si="0"/>
        <v>0</v>
      </c>
      <c r="I25" s="28"/>
      <c r="J25" s="31"/>
      <c r="K25" s="120">
        <v>1</v>
      </c>
      <c r="L25" s="16">
        <f t="shared" ref="L25:L38" si="1">K25*J25</f>
        <v>0</v>
      </c>
      <c r="M25" s="28"/>
      <c r="N25" s="149">
        <f t="shared" ref="N25:N67" si="2">L25-H25</f>
        <v>0</v>
      </c>
      <c r="O25" s="18" t="str">
        <f t="shared" ref="O25:O47" si="3">IF((H25)=0,"",(N25/H25))</f>
        <v/>
      </c>
    </row>
    <row r="26" spans="1:15">
      <c r="A26" s="19"/>
      <c r="B26" s="152"/>
      <c r="C26" s="20"/>
      <c r="D26" s="146"/>
      <c r="E26" s="14"/>
      <c r="F26" s="150"/>
      <c r="G26" s="25">
        <v>1</v>
      </c>
      <c r="H26" s="16">
        <f t="shared" si="0"/>
        <v>0</v>
      </c>
      <c r="I26" s="28"/>
      <c r="J26" s="31"/>
      <c r="K26" s="120">
        <v>1</v>
      </c>
      <c r="L26" s="16">
        <f t="shared" si="1"/>
        <v>0</v>
      </c>
      <c r="M26" s="28"/>
      <c r="N26" s="149">
        <f t="shared" si="2"/>
        <v>0</v>
      </c>
      <c r="O26" s="18" t="str">
        <f t="shared" si="3"/>
        <v/>
      </c>
    </row>
    <row r="27" spans="1:15">
      <c r="A27" s="19"/>
      <c r="B27" s="152"/>
      <c r="C27" s="20"/>
      <c r="D27" s="146"/>
      <c r="E27" s="14"/>
      <c r="F27" s="150"/>
      <c r="G27" s="25">
        <v>1</v>
      </c>
      <c r="H27" s="16">
        <f t="shared" si="0"/>
        <v>0</v>
      </c>
      <c r="I27" s="28"/>
      <c r="J27" s="31"/>
      <c r="K27" s="120">
        <v>1</v>
      </c>
      <c r="L27" s="16">
        <f t="shared" si="1"/>
        <v>0</v>
      </c>
      <c r="M27" s="28"/>
      <c r="N27" s="149">
        <f t="shared" si="2"/>
        <v>0</v>
      </c>
      <c r="O27" s="18" t="str">
        <f t="shared" si="3"/>
        <v/>
      </c>
    </row>
    <row r="28" spans="1:15">
      <c r="A28" s="19"/>
      <c r="B28" s="152"/>
      <c r="C28" s="20"/>
      <c r="D28" s="146"/>
      <c r="E28" s="14"/>
      <c r="F28" s="150"/>
      <c r="G28" s="25">
        <v>1</v>
      </c>
      <c r="H28" s="16">
        <f t="shared" si="0"/>
        <v>0</v>
      </c>
      <c r="I28" s="28"/>
      <c r="J28" s="31"/>
      <c r="K28" s="120">
        <v>1</v>
      </c>
      <c r="L28" s="16">
        <f t="shared" si="1"/>
        <v>0</v>
      </c>
      <c r="M28" s="28"/>
      <c r="N28" s="149">
        <f t="shared" si="2"/>
        <v>0</v>
      </c>
      <c r="O28" s="18" t="str">
        <f t="shared" si="3"/>
        <v/>
      </c>
    </row>
    <row r="29" spans="1:15">
      <c r="A29" s="19"/>
      <c r="B29" s="145" t="s">
        <v>23</v>
      </c>
      <c r="C29" s="20"/>
      <c r="D29" s="146" t="s">
        <v>24</v>
      </c>
      <c r="E29" s="14"/>
      <c r="F29" s="150">
        <f>'[1]B. CurrentTariff'!C138</f>
        <v>2E-3</v>
      </c>
      <c r="G29" s="25">
        <f t="shared" ref="G29:G38" si="4">$F$18</f>
        <v>1800</v>
      </c>
      <c r="H29" s="16">
        <f t="shared" si="0"/>
        <v>3.6</v>
      </c>
      <c r="I29" s="28"/>
      <c r="J29" s="31">
        <f>'[1]G. RateDesign'!G51</f>
        <v>5.9000534823276506E-3</v>
      </c>
      <c r="K29" s="121">
        <f>$F$18</f>
        <v>1800</v>
      </c>
      <c r="L29" s="16">
        <f t="shared" si="1"/>
        <v>10.620096268189771</v>
      </c>
      <c r="M29" s="28"/>
      <c r="N29" s="149">
        <f t="shared" si="2"/>
        <v>7.0200962681897714</v>
      </c>
      <c r="O29" s="18">
        <f t="shared" si="3"/>
        <v>1.9500267411638252</v>
      </c>
    </row>
    <row r="30" spans="1:15">
      <c r="A30" s="19"/>
      <c r="B30" s="145" t="s">
        <v>22</v>
      </c>
      <c r="C30" s="20"/>
      <c r="D30" s="146" t="s">
        <v>24</v>
      </c>
      <c r="E30" s="14"/>
      <c r="F30" s="150"/>
      <c r="G30" s="25">
        <f t="shared" si="4"/>
        <v>1800</v>
      </c>
      <c r="H30" s="16">
        <f t="shared" si="0"/>
        <v>0</v>
      </c>
      <c r="I30" s="28"/>
      <c r="J30" s="31"/>
      <c r="K30" s="121">
        <f t="shared" ref="K30:K38" si="5">$F$18</f>
        <v>1800</v>
      </c>
      <c r="L30" s="16">
        <f t="shared" si="1"/>
        <v>0</v>
      </c>
      <c r="M30" s="28"/>
      <c r="N30" s="149">
        <f t="shared" si="2"/>
        <v>0</v>
      </c>
      <c r="O30" s="18" t="str">
        <f t="shared" si="3"/>
        <v/>
      </c>
    </row>
    <row r="31" spans="1:15">
      <c r="A31" s="19"/>
      <c r="B31" s="145" t="s">
        <v>25</v>
      </c>
      <c r="C31" s="20"/>
      <c r="D31" s="146" t="s">
        <v>24</v>
      </c>
      <c r="E31" s="14"/>
      <c r="F31" s="150"/>
      <c r="G31" s="25">
        <f t="shared" si="4"/>
        <v>1800</v>
      </c>
      <c r="H31" s="16">
        <f t="shared" si="0"/>
        <v>0</v>
      </c>
      <c r="I31" s="28"/>
      <c r="J31" s="31"/>
      <c r="K31" s="121">
        <f t="shared" si="5"/>
        <v>1800</v>
      </c>
      <c r="L31" s="16">
        <f t="shared" si="1"/>
        <v>0</v>
      </c>
      <c r="M31" s="28"/>
      <c r="N31" s="149">
        <f t="shared" si="2"/>
        <v>0</v>
      </c>
      <c r="O31" s="18" t="str">
        <f t="shared" si="3"/>
        <v/>
      </c>
    </row>
    <row r="32" spans="1:15">
      <c r="A32" s="19"/>
      <c r="B32" s="151" t="s">
        <v>21</v>
      </c>
      <c r="C32" s="20"/>
      <c r="D32" s="146"/>
      <c r="E32" s="14"/>
      <c r="F32" s="150"/>
      <c r="G32" s="25">
        <f t="shared" si="4"/>
        <v>1800</v>
      </c>
      <c r="H32" s="16">
        <f>G32*F32</f>
        <v>0</v>
      </c>
      <c r="I32" s="28"/>
      <c r="J32" s="31"/>
      <c r="K32" s="121">
        <f t="shared" si="5"/>
        <v>1800</v>
      </c>
      <c r="L32" s="16">
        <f>K32*J32</f>
        <v>0</v>
      </c>
      <c r="M32" s="28"/>
      <c r="N32" s="149">
        <f>L32-H32</f>
        <v>0</v>
      </c>
      <c r="O32" s="18" t="str">
        <f>IF((H32)=0,"",(N32/H32))</f>
        <v/>
      </c>
    </row>
    <row r="33" spans="1:15">
      <c r="A33" s="19"/>
      <c r="B33" s="151"/>
      <c r="C33" s="20"/>
      <c r="D33" s="146"/>
      <c r="E33" s="14"/>
      <c r="F33" s="150"/>
      <c r="G33" s="25">
        <f t="shared" si="4"/>
        <v>1800</v>
      </c>
      <c r="H33" s="16">
        <f>G33*F33</f>
        <v>0</v>
      </c>
      <c r="I33" s="28"/>
      <c r="J33" s="31"/>
      <c r="K33" s="121">
        <f t="shared" si="5"/>
        <v>1800</v>
      </c>
      <c r="L33" s="16">
        <f>K33*J33</f>
        <v>0</v>
      </c>
      <c r="M33" s="28"/>
      <c r="N33" s="149">
        <f>L33-H33</f>
        <v>0</v>
      </c>
      <c r="O33" s="18" t="str">
        <f>IF((H33)=0,"",(N33/H33))</f>
        <v/>
      </c>
    </row>
    <row r="34" spans="1:15">
      <c r="A34" s="19"/>
      <c r="B34" s="151"/>
      <c r="C34" s="20"/>
      <c r="D34" s="146"/>
      <c r="E34" s="14"/>
      <c r="F34" s="150"/>
      <c r="G34" s="25">
        <f t="shared" si="4"/>
        <v>1800</v>
      </c>
      <c r="H34" s="16">
        <f>G34*F34</f>
        <v>0</v>
      </c>
      <c r="I34" s="28"/>
      <c r="J34" s="31"/>
      <c r="K34" s="121">
        <f t="shared" si="5"/>
        <v>1800</v>
      </c>
      <c r="L34" s="16">
        <f>K34*J34</f>
        <v>0</v>
      </c>
      <c r="M34" s="28"/>
      <c r="N34" s="149">
        <f>L34-H34</f>
        <v>0</v>
      </c>
      <c r="O34" s="18" t="str">
        <f>IF((H34)=0,"",(N34/H34))</f>
        <v/>
      </c>
    </row>
    <row r="35" spans="1:15">
      <c r="A35" s="19"/>
      <c r="B35" s="151"/>
      <c r="C35" s="20"/>
      <c r="D35" s="146"/>
      <c r="E35" s="14"/>
      <c r="F35" s="150"/>
      <c r="G35" s="25">
        <f t="shared" si="4"/>
        <v>1800</v>
      </c>
      <c r="H35" s="16">
        <f t="shared" si="0"/>
        <v>0</v>
      </c>
      <c r="I35" s="28"/>
      <c r="J35" s="31"/>
      <c r="K35" s="121">
        <f t="shared" si="5"/>
        <v>1800</v>
      </c>
      <c r="L35" s="16">
        <f t="shared" si="1"/>
        <v>0</v>
      </c>
      <c r="M35" s="28"/>
      <c r="N35" s="149">
        <f t="shared" si="2"/>
        <v>0</v>
      </c>
      <c r="O35" s="18" t="str">
        <f t="shared" si="3"/>
        <v/>
      </c>
    </row>
    <row r="36" spans="1:15">
      <c r="A36" s="19"/>
      <c r="B36" s="151"/>
      <c r="C36" s="20"/>
      <c r="D36" s="146"/>
      <c r="E36" s="14"/>
      <c r="F36" s="150"/>
      <c r="G36" s="25">
        <f t="shared" si="4"/>
        <v>1800</v>
      </c>
      <c r="H36" s="16">
        <f t="shared" si="0"/>
        <v>0</v>
      </c>
      <c r="I36" s="28"/>
      <c r="J36" s="31"/>
      <c r="K36" s="121">
        <f t="shared" si="5"/>
        <v>1800</v>
      </c>
      <c r="L36" s="16">
        <f t="shared" si="1"/>
        <v>0</v>
      </c>
      <c r="M36" s="28"/>
      <c r="N36" s="149">
        <f t="shared" si="2"/>
        <v>0</v>
      </c>
      <c r="O36" s="18" t="str">
        <f t="shared" si="3"/>
        <v/>
      </c>
    </row>
    <row r="37" spans="1:15">
      <c r="A37" s="19"/>
      <c r="B37" s="151"/>
      <c r="C37" s="20"/>
      <c r="D37" s="146"/>
      <c r="E37" s="14"/>
      <c r="F37" s="150"/>
      <c r="G37" s="25">
        <f t="shared" si="4"/>
        <v>1800</v>
      </c>
      <c r="H37" s="16">
        <f t="shared" si="0"/>
        <v>0</v>
      </c>
      <c r="I37" s="28"/>
      <c r="J37" s="31"/>
      <c r="K37" s="121">
        <f t="shared" si="5"/>
        <v>1800</v>
      </c>
      <c r="L37" s="16">
        <f t="shared" si="1"/>
        <v>0</v>
      </c>
      <c r="M37" s="28"/>
      <c r="N37" s="149">
        <f t="shared" si="2"/>
        <v>0</v>
      </c>
      <c r="O37" s="18" t="str">
        <f t="shared" si="3"/>
        <v/>
      </c>
    </row>
    <row r="38" spans="1:15">
      <c r="A38" s="19"/>
      <c r="B38" s="151"/>
      <c r="C38" s="20"/>
      <c r="D38" s="146"/>
      <c r="E38" s="14"/>
      <c r="F38" s="150"/>
      <c r="G38" s="25">
        <f t="shared" si="4"/>
        <v>1800</v>
      </c>
      <c r="H38" s="16">
        <f t="shared" si="0"/>
        <v>0</v>
      </c>
      <c r="I38" s="28"/>
      <c r="J38" s="31"/>
      <c r="K38" s="121">
        <f t="shared" si="5"/>
        <v>1800</v>
      </c>
      <c r="L38" s="16">
        <f t="shared" si="1"/>
        <v>0</v>
      </c>
      <c r="M38" s="28"/>
      <c r="N38" s="149">
        <f t="shared" si="2"/>
        <v>0</v>
      </c>
      <c r="O38" s="18" t="str">
        <f t="shared" si="3"/>
        <v/>
      </c>
    </row>
    <row r="39" spans="1:15">
      <c r="A39" s="19"/>
      <c r="B39" s="153" t="s">
        <v>26</v>
      </c>
      <c r="C39" s="154"/>
      <c r="D39" s="155"/>
      <c r="E39" s="154"/>
      <c r="F39" s="156"/>
      <c r="G39" s="246"/>
      <c r="H39" s="158">
        <f>SUM(H23:H38)</f>
        <v>9.85</v>
      </c>
      <c r="I39" s="28"/>
      <c r="J39" s="159"/>
      <c r="K39" s="247"/>
      <c r="L39" s="158">
        <f>SUM(L23:L38)</f>
        <v>16.820096268189772</v>
      </c>
      <c r="M39" s="28"/>
      <c r="N39" s="161">
        <f t="shared" si="2"/>
        <v>6.9700962681897725</v>
      </c>
      <c r="O39" s="162">
        <f t="shared" si="3"/>
        <v>0.70762398661825099</v>
      </c>
    </row>
    <row r="40" spans="1:15" ht="51">
      <c r="A40" s="163"/>
      <c r="B40" s="164" t="str">
        <f>'[1]J. DVA'!$B$16</f>
        <v>Rate Rider Calculation for Deferral / Variance Accounts Balances (excluding Global Adj.)</v>
      </c>
      <c r="C40" s="20"/>
      <c r="D40" s="248" t="s">
        <v>24</v>
      </c>
      <c r="E40" s="20"/>
      <c r="F40" s="166"/>
      <c r="G40" s="21">
        <f>$F$18</f>
        <v>1800</v>
      </c>
      <c r="H40" s="22">
        <f t="shared" ref="H40:H48" si="6">G40*F40</f>
        <v>0</v>
      </c>
      <c r="I40" s="167"/>
      <c r="J40" s="166">
        <f>'[1]J. DVA'!F23</f>
        <v>-8.200662006650687E-4</v>
      </c>
      <c r="K40" s="122">
        <f t="shared" ref="K40:K46" si="7">$F$18</f>
        <v>1800</v>
      </c>
      <c r="L40" s="22">
        <f>K40*J40</f>
        <v>-1.4761191611971236</v>
      </c>
      <c r="M40" s="167"/>
      <c r="N40" s="168">
        <f>L40-H40</f>
        <v>-1.4761191611971236</v>
      </c>
      <c r="O40" s="27" t="str">
        <f>IF((H40)=0,"",(N40/H40))</f>
        <v/>
      </c>
    </row>
    <row r="41" spans="1:15" ht="51">
      <c r="A41" s="169"/>
      <c r="B41" s="164" t="str">
        <f>'[1]J. DVA'!$B$42</f>
        <v>Rate Rider Calculation for Deferral / Variance Accounts Balances (excluding Global Adj.) - NON-WMP</v>
      </c>
      <c r="C41" s="20"/>
      <c r="D41" s="248" t="s">
        <v>24</v>
      </c>
      <c r="E41" s="20"/>
      <c r="F41" s="166"/>
      <c r="G41" s="21">
        <f t="shared" ref="G41:G44" si="8">$F$18</f>
        <v>1800</v>
      </c>
      <c r="H41" s="22">
        <f t="shared" si="6"/>
        <v>0</v>
      </c>
      <c r="I41" s="167"/>
      <c r="J41" s="166">
        <f>'[1]J. DVA'!F49</f>
        <v>-2.6468618227282474E-3</v>
      </c>
      <c r="K41" s="122">
        <f t="shared" si="7"/>
        <v>1800</v>
      </c>
      <c r="L41" s="22">
        <f>K41*J41</f>
        <v>-4.7643512809108453</v>
      </c>
      <c r="M41" s="167"/>
      <c r="N41" s="168">
        <f>L41-H41</f>
        <v>-4.7643512809108453</v>
      </c>
      <c r="O41" s="24" t="str">
        <f>IF((H41)=0,"",(N41/H41))</f>
        <v/>
      </c>
    </row>
    <row r="42" spans="1:15" ht="38.25">
      <c r="A42" s="169"/>
      <c r="B42" s="164" t="str">
        <f>'[1]J. DVA'!$B$68</f>
        <v>Rate Rider Calculation for RSVA - Power - Global Adjustment</v>
      </c>
      <c r="C42" s="20"/>
      <c r="D42" s="248" t="s">
        <v>24</v>
      </c>
      <c r="E42" s="20"/>
      <c r="F42" s="166"/>
      <c r="G42" s="21">
        <f t="shared" si="8"/>
        <v>1800</v>
      </c>
      <c r="H42" s="22"/>
      <c r="I42" s="167"/>
      <c r="J42" s="166">
        <v>0</v>
      </c>
      <c r="K42" s="122">
        <f t="shared" si="7"/>
        <v>1800</v>
      </c>
      <c r="L42" s="22">
        <f t="shared" ref="L42:L45" si="9">K42*J42</f>
        <v>0</v>
      </c>
      <c r="M42" s="167"/>
      <c r="N42" s="168">
        <f t="shared" ref="N42:N45" si="10">L42-H42</f>
        <v>0</v>
      </c>
      <c r="O42" s="24" t="str">
        <f t="shared" ref="O42:O45" si="11">IF((H42)=0,"",(N42/H42))</f>
        <v/>
      </c>
    </row>
    <row r="43" spans="1:15" ht="25.5">
      <c r="A43" s="169"/>
      <c r="B43" s="164" t="str">
        <f>'[1]J. DVA'!$B$121</f>
        <v>Rate Rider Calculation for Group 2 Accounts</v>
      </c>
      <c r="C43" s="20"/>
      <c r="D43" s="248" t="s">
        <v>24</v>
      </c>
      <c r="E43" s="20"/>
      <c r="F43" s="166"/>
      <c r="G43" s="21">
        <f t="shared" si="8"/>
        <v>1800</v>
      </c>
      <c r="H43" s="22"/>
      <c r="I43" s="167"/>
      <c r="J43" s="166">
        <f>'[1]J. DVA'!F128</f>
        <v>8.0305657896044986E-5</v>
      </c>
      <c r="K43" s="122">
        <f t="shared" si="7"/>
        <v>1800</v>
      </c>
      <c r="L43" s="22">
        <f t="shared" si="9"/>
        <v>0.14455018421288096</v>
      </c>
      <c r="M43" s="167"/>
      <c r="N43" s="168">
        <f t="shared" si="10"/>
        <v>0.14455018421288096</v>
      </c>
      <c r="O43" s="24" t="str">
        <f t="shared" si="11"/>
        <v/>
      </c>
    </row>
    <row r="44" spans="1:15" ht="25.5">
      <c r="A44" s="163"/>
      <c r="B44" s="164" t="str">
        <f>'[1]J. DVA'!$B$147</f>
        <v>Rate Rider Calculation for Accounts 1575 and 1576</v>
      </c>
      <c r="C44" s="20"/>
      <c r="D44" s="248" t="s">
        <v>24</v>
      </c>
      <c r="E44" s="20"/>
      <c r="F44" s="166"/>
      <c r="G44" s="21">
        <f t="shared" si="8"/>
        <v>1800</v>
      </c>
      <c r="H44" s="22">
        <f t="shared" si="6"/>
        <v>0</v>
      </c>
      <c r="I44" s="167"/>
      <c r="J44" s="166">
        <f>'[1]J. DVA'!F156</f>
        <v>2.3455444818976223E-4</v>
      </c>
      <c r="K44" s="122">
        <f t="shared" si="7"/>
        <v>1800</v>
      </c>
      <c r="L44" s="22">
        <f t="shared" si="9"/>
        <v>0.42219800674157204</v>
      </c>
      <c r="M44" s="167"/>
      <c r="N44" s="168">
        <f t="shared" si="10"/>
        <v>0.42219800674157204</v>
      </c>
      <c r="O44" s="24" t="str">
        <f t="shared" si="11"/>
        <v/>
      </c>
    </row>
    <row r="45" spans="1:15" ht="25.5">
      <c r="A45" s="163"/>
      <c r="B45" s="164" t="str">
        <f>'[1]J. DVA'!$B$175</f>
        <v>Rate Rider Calculation for Accounts 1568</v>
      </c>
      <c r="C45" s="20"/>
      <c r="D45" s="248" t="s">
        <v>24</v>
      </c>
      <c r="E45" s="20"/>
      <c r="F45" s="166"/>
      <c r="G45" s="21">
        <f>$F$18</f>
        <v>1800</v>
      </c>
      <c r="H45" s="22">
        <f t="shared" si="6"/>
        <v>0</v>
      </c>
      <c r="I45" s="167"/>
      <c r="J45" s="166">
        <f>'[1]J. DVA'!F184</f>
        <v>0</v>
      </c>
      <c r="K45" s="122">
        <f t="shared" si="7"/>
        <v>1800</v>
      </c>
      <c r="L45" s="22">
        <f t="shared" si="9"/>
        <v>0</v>
      </c>
      <c r="M45" s="167"/>
      <c r="N45" s="168">
        <f t="shared" si="10"/>
        <v>0</v>
      </c>
      <c r="O45" s="24" t="str">
        <f t="shared" si="11"/>
        <v/>
      </c>
    </row>
    <row r="46" spans="1:15">
      <c r="A46" s="163"/>
      <c r="B46" s="151" t="s">
        <v>27</v>
      </c>
      <c r="C46" s="20"/>
      <c r="D46" s="146" t="s">
        <v>24</v>
      </c>
      <c r="E46" s="14"/>
      <c r="F46" s="172">
        <v>1E-3</v>
      </c>
      <c r="G46" s="25">
        <f>$F$18</f>
        <v>1800</v>
      </c>
      <c r="H46" s="26">
        <f t="shared" si="6"/>
        <v>1.8</v>
      </c>
      <c r="I46" s="173"/>
      <c r="J46" s="172">
        <f>'[2]4.12 PowerSupplExp'!$I$176</f>
        <v>6.9999999999999999E-4</v>
      </c>
      <c r="K46" s="121">
        <f t="shared" si="7"/>
        <v>1800</v>
      </c>
      <c r="L46" s="26">
        <f>K46*J46</f>
        <v>1.26</v>
      </c>
      <c r="M46" s="173"/>
      <c r="N46" s="174">
        <f>L46-H46</f>
        <v>-0.54</v>
      </c>
      <c r="O46" s="27">
        <f>IF((H46)=0,"",(N46/H46))</f>
        <v>-0.3</v>
      </c>
    </row>
    <row r="47" spans="1:15">
      <c r="A47" s="19"/>
      <c r="B47" s="170" t="s">
        <v>28</v>
      </c>
      <c r="C47" s="20"/>
      <c r="D47" s="146" t="s">
        <v>24</v>
      </c>
      <c r="E47" s="14"/>
      <c r="F47" s="172">
        <f>IF(ISBLANK(D16)=1, 0, IF(D16="TOU", 0.64*$F$57+0.18*$F$58+0.18*$F$59, IF(AND(D16="non-TOU", G61&gt;0), F61,F60)))</f>
        <v>9.5000000000000001E-2</v>
      </c>
      <c r="G47" s="25">
        <f>$F$18*(1+$F$76)-$F$18</f>
        <v>70.199999999999818</v>
      </c>
      <c r="H47" s="26">
        <f t="shared" si="6"/>
        <v>6.6689999999999827</v>
      </c>
      <c r="I47" s="173"/>
      <c r="J47" s="172">
        <f>0.64*$F$57+0.18*$F$58+0.18*$F$59</f>
        <v>9.5000000000000001E-2</v>
      </c>
      <c r="K47" s="121">
        <f>$F$18*(1+$J$76)-$F$18</f>
        <v>82.260000000000218</v>
      </c>
      <c r="L47" s="26">
        <f t="shared" ref="L47:L48" si="12">K47*J47</f>
        <v>7.8147000000000206</v>
      </c>
      <c r="M47" s="173"/>
      <c r="N47" s="174">
        <f t="shared" si="2"/>
        <v>1.1457000000000379</v>
      </c>
      <c r="O47" s="27">
        <f t="shared" si="3"/>
        <v>0.17179487179487793</v>
      </c>
    </row>
    <row r="48" spans="1:15">
      <c r="A48" s="19"/>
      <c r="B48" s="170" t="s">
        <v>29</v>
      </c>
      <c r="C48" s="20"/>
      <c r="D48" s="146" t="s">
        <v>24</v>
      </c>
      <c r="E48" s="14"/>
      <c r="F48" s="172">
        <v>0.79</v>
      </c>
      <c r="G48" s="25">
        <v>1</v>
      </c>
      <c r="H48" s="26">
        <f t="shared" si="6"/>
        <v>0.79</v>
      </c>
      <c r="I48" s="173"/>
      <c r="J48" s="172">
        <v>0.79</v>
      </c>
      <c r="K48" s="121">
        <v>1</v>
      </c>
      <c r="L48" s="26">
        <f t="shared" si="12"/>
        <v>0.79</v>
      </c>
      <c r="M48" s="173"/>
      <c r="N48" s="174">
        <f t="shared" si="2"/>
        <v>0</v>
      </c>
      <c r="O48" s="27"/>
    </row>
    <row r="49" spans="2:19" ht="25.5">
      <c r="B49" s="175" t="s">
        <v>30</v>
      </c>
      <c r="C49" s="176"/>
      <c r="D49" s="176"/>
      <c r="E49" s="176"/>
      <c r="F49" s="177"/>
      <c r="G49" s="249"/>
      <c r="H49" s="179">
        <f>SUM(H40:H48)+H39</f>
        <v>19.10899999999998</v>
      </c>
      <c r="I49" s="28"/>
      <c r="J49" s="178"/>
      <c r="K49" s="250"/>
      <c r="L49" s="179">
        <f>SUM(L40:L48)+L39</f>
        <v>21.011074017036279</v>
      </c>
      <c r="M49" s="28"/>
      <c r="N49" s="161">
        <f t="shared" si="2"/>
        <v>1.9020740170362984</v>
      </c>
      <c r="O49" s="162">
        <f t="shared" ref="O49:O67" si="13">IF((H49)=0,"",(N49/H49))</f>
        <v>9.9538124288884838E-2</v>
      </c>
    </row>
    <row r="50" spans="2:19">
      <c r="B50" s="181" t="s">
        <v>31</v>
      </c>
      <c r="C50" s="28"/>
      <c r="D50" s="146" t="s">
        <v>24</v>
      </c>
      <c r="E50" s="28"/>
      <c r="F50" s="31">
        <v>5.7999999999999996E-3</v>
      </c>
      <c r="G50" s="100">
        <f>F18*(1+F76)</f>
        <v>1870.1999999999998</v>
      </c>
      <c r="H50" s="16">
        <f>G50*F50</f>
        <v>10.847159999999999</v>
      </c>
      <c r="I50" s="28"/>
      <c r="J50" s="31">
        <f>'[2]4.12 PowerSupplExp'!$N$63</f>
        <v>5.553386925641648E-3</v>
      </c>
      <c r="K50" s="124">
        <f>F18*(1+J76)</f>
        <v>1882.2600000000002</v>
      </c>
      <c r="L50" s="16">
        <f>K50*J50</f>
        <v>10.45291807465825</v>
      </c>
      <c r="M50" s="28"/>
      <c r="N50" s="149">
        <f t="shared" si="2"/>
        <v>-0.39424192534174907</v>
      </c>
      <c r="O50" s="18">
        <f t="shared" si="13"/>
        <v>-3.6345174713173688E-2</v>
      </c>
    </row>
    <row r="51" spans="2:19" ht="25.5">
      <c r="B51" s="183" t="s">
        <v>32</v>
      </c>
      <c r="C51" s="28"/>
      <c r="D51" s="146" t="s">
        <v>24</v>
      </c>
      <c r="E51" s="28"/>
      <c r="F51" s="31">
        <v>4.0000000000000001E-3</v>
      </c>
      <c r="G51" s="100">
        <f>G50</f>
        <v>1870.1999999999998</v>
      </c>
      <c r="H51" s="16">
        <f>G51*F51</f>
        <v>7.4807999999999995</v>
      </c>
      <c r="I51" s="28"/>
      <c r="J51" s="31">
        <f>'[2]4.12 PowerSupplExp'!$N$79</f>
        <v>4.0884455565176761E-3</v>
      </c>
      <c r="K51" s="124">
        <f>K50</f>
        <v>1882.2600000000002</v>
      </c>
      <c r="L51" s="16">
        <f>K51*J51</f>
        <v>7.6955175332109622</v>
      </c>
      <c r="M51" s="28"/>
      <c r="N51" s="149">
        <f t="shared" si="2"/>
        <v>0.21471753321096276</v>
      </c>
      <c r="O51" s="18">
        <f t="shared" si="13"/>
        <v>2.8702482784055551E-2</v>
      </c>
    </row>
    <row r="52" spans="2:19" ht="25.5">
      <c r="B52" s="175" t="s">
        <v>33</v>
      </c>
      <c r="C52" s="154"/>
      <c r="D52" s="154"/>
      <c r="E52" s="154"/>
      <c r="F52" s="184"/>
      <c r="G52" s="249"/>
      <c r="H52" s="179">
        <f>SUM(H49:H51)</f>
        <v>37.436959999999978</v>
      </c>
      <c r="I52" s="185"/>
      <c r="J52" s="186"/>
      <c r="K52" s="251"/>
      <c r="L52" s="179">
        <f>SUM(L49:L51)</f>
        <v>39.159509624905489</v>
      </c>
      <c r="M52" s="185"/>
      <c r="N52" s="161">
        <f t="shared" si="2"/>
        <v>1.7225496249055112</v>
      </c>
      <c r="O52" s="162">
        <f t="shared" si="13"/>
        <v>4.601200591355474E-2</v>
      </c>
    </row>
    <row r="53" spans="2:19" ht="25.5">
      <c r="B53" s="145" t="s">
        <v>34</v>
      </c>
      <c r="C53" s="20"/>
      <c r="D53" s="188" t="s">
        <v>24</v>
      </c>
      <c r="E53" s="14"/>
      <c r="F53" s="102">
        <v>4.4000000000000003E-3</v>
      </c>
      <c r="G53" s="100">
        <f>G51</f>
        <v>1870.1999999999998</v>
      </c>
      <c r="H53" s="99">
        <f t="shared" ref="H53:H59" si="14">G53*F53</f>
        <v>8.2288800000000002</v>
      </c>
      <c r="I53" s="19"/>
      <c r="J53" s="102">
        <v>4.4000000000000003E-3</v>
      </c>
      <c r="K53" s="124">
        <f>K51</f>
        <v>1882.2600000000002</v>
      </c>
      <c r="L53" s="99">
        <f t="shared" ref="L53:L59" si="15">K53*J53</f>
        <v>8.2819440000000011</v>
      </c>
      <c r="M53" s="19"/>
      <c r="N53" s="252">
        <f t="shared" si="2"/>
        <v>5.3064000000000888E-2</v>
      </c>
      <c r="O53" s="123">
        <f t="shared" si="13"/>
        <v>6.4485081809433223E-3</v>
      </c>
    </row>
    <row r="54" spans="2:19" ht="25.5">
      <c r="B54" s="145" t="s">
        <v>35</v>
      </c>
      <c r="C54" s="20"/>
      <c r="D54" s="188" t="s">
        <v>24</v>
      </c>
      <c r="E54" s="14"/>
      <c r="F54" s="102">
        <v>1.1999999999999999E-3</v>
      </c>
      <c r="G54" s="100">
        <f>G51</f>
        <v>1870.1999999999998</v>
      </c>
      <c r="H54" s="99">
        <f t="shared" si="14"/>
        <v>2.2442399999999996</v>
      </c>
      <c r="I54" s="19"/>
      <c r="J54" s="102">
        <v>1.1999999999999999E-3</v>
      </c>
      <c r="K54" s="124">
        <f>K51</f>
        <v>1882.2600000000002</v>
      </c>
      <c r="L54" s="99">
        <f t="shared" si="15"/>
        <v>2.2587120000000001</v>
      </c>
      <c r="M54" s="19"/>
      <c r="N54" s="252">
        <f t="shared" si="2"/>
        <v>1.4472000000000484E-2</v>
      </c>
      <c r="O54" s="123">
        <f t="shared" si="13"/>
        <v>6.4485081809434316E-3</v>
      </c>
    </row>
    <row r="55" spans="2:19" ht="25.5">
      <c r="B55" s="145" t="s">
        <v>36</v>
      </c>
      <c r="C55" s="20"/>
      <c r="D55" s="188" t="s">
        <v>19</v>
      </c>
      <c r="E55" s="14"/>
      <c r="F55" s="102">
        <v>0.25</v>
      </c>
      <c r="G55" s="25">
        <v>1</v>
      </c>
      <c r="H55" s="99">
        <f t="shared" si="14"/>
        <v>0.25</v>
      </c>
      <c r="I55" s="19"/>
      <c r="J55" s="102">
        <v>0.25</v>
      </c>
      <c r="K55" s="120">
        <v>1</v>
      </c>
      <c r="L55" s="99">
        <f t="shared" si="15"/>
        <v>0.25</v>
      </c>
      <c r="M55" s="19"/>
      <c r="N55" s="252">
        <f t="shared" si="2"/>
        <v>0</v>
      </c>
      <c r="O55" s="123">
        <f t="shared" si="13"/>
        <v>0</v>
      </c>
    </row>
    <row r="56" spans="2:19" ht="25.5">
      <c r="B56" s="145" t="s">
        <v>37</v>
      </c>
      <c r="C56" s="20"/>
      <c r="D56" s="188" t="s">
        <v>24</v>
      </c>
      <c r="E56" s="14"/>
      <c r="F56" s="31">
        <v>4.8999999999999998E-3</v>
      </c>
      <c r="G56" s="100">
        <f>F18</f>
        <v>1800</v>
      </c>
      <c r="H56" s="99">
        <f t="shared" si="14"/>
        <v>8.82</v>
      </c>
      <c r="I56" s="19"/>
      <c r="J56" s="31">
        <v>4.8999999999999998E-3</v>
      </c>
      <c r="K56" s="124">
        <f>F18</f>
        <v>1800</v>
      </c>
      <c r="L56" s="99">
        <f t="shared" si="15"/>
        <v>8.82</v>
      </c>
      <c r="M56" s="19"/>
      <c r="N56" s="252">
        <f t="shared" si="2"/>
        <v>0</v>
      </c>
      <c r="O56" s="123">
        <f t="shared" si="13"/>
        <v>0</v>
      </c>
    </row>
    <row r="57" spans="2:19">
      <c r="B57" s="170" t="s">
        <v>38</v>
      </c>
      <c r="C57" s="20"/>
      <c r="D57" s="188" t="s">
        <v>24</v>
      </c>
      <c r="E57" s="14"/>
      <c r="F57" s="102">
        <v>7.6999999999999999E-2</v>
      </c>
      <c r="G57" s="253">
        <f>0.64*$F$18</f>
        <v>1152</v>
      </c>
      <c r="H57" s="99">
        <f t="shared" si="14"/>
        <v>88.703999999999994</v>
      </c>
      <c r="I57" s="19"/>
      <c r="J57" s="102">
        <v>7.6999999999999999E-2</v>
      </c>
      <c r="K57" s="254">
        <f>G57</f>
        <v>1152</v>
      </c>
      <c r="L57" s="99">
        <f t="shared" si="15"/>
        <v>88.703999999999994</v>
      </c>
      <c r="M57" s="19"/>
      <c r="N57" s="252">
        <f t="shared" si="2"/>
        <v>0</v>
      </c>
      <c r="O57" s="123">
        <f t="shared" si="13"/>
        <v>0</v>
      </c>
      <c r="S57" s="190"/>
    </row>
    <row r="58" spans="2:19">
      <c r="B58" s="170" t="s">
        <v>39</v>
      </c>
      <c r="C58" s="20"/>
      <c r="D58" s="188" t="s">
        <v>24</v>
      </c>
      <c r="E58" s="14"/>
      <c r="F58" s="102">
        <v>0.114</v>
      </c>
      <c r="G58" s="253">
        <f>0.18*$F$18</f>
        <v>324</v>
      </c>
      <c r="H58" s="99">
        <f t="shared" si="14"/>
        <v>36.936</v>
      </c>
      <c r="I58" s="19"/>
      <c r="J58" s="102">
        <v>0.114</v>
      </c>
      <c r="K58" s="254">
        <f>G58</f>
        <v>324</v>
      </c>
      <c r="L58" s="99">
        <f t="shared" si="15"/>
        <v>36.936</v>
      </c>
      <c r="M58" s="19"/>
      <c r="N58" s="252">
        <f t="shared" si="2"/>
        <v>0</v>
      </c>
      <c r="O58" s="123">
        <f t="shared" si="13"/>
        <v>0</v>
      </c>
      <c r="S58" s="190"/>
    </row>
    <row r="59" spans="2:19">
      <c r="B59" s="135" t="s">
        <v>40</v>
      </c>
      <c r="C59" s="20"/>
      <c r="D59" s="188" t="s">
        <v>24</v>
      </c>
      <c r="E59" s="14"/>
      <c r="F59" s="102">
        <v>0.14000000000000001</v>
      </c>
      <c r="G59" s="253">
        <f>0.18*$F$18</f>
        <v>324</v>
      </c>
      <c r="H59" s="99">
        <f t="shared" si="14"/>
        <v>45.360000000000007</v>
      </c>
      <c r="I59" s="19"/>
      <c r="J59" s="102">
        <v>0.14000000000000001</v>
      </c>
      <c r="K59" s="254">
        <f>G59</f>
        <v>324</v>
      </c>
      <c r="L59" s="99">
        <f t="shared" si="15"/>
        <v>45.360000000000007</v>
      </c>
      <c r="M59" s="19"/>
      <c r="N59" s="252">
        <f t="shared" si="2"/>
        <v>0</v>
      </c>
      <c r="O59" s="123">
        <f t="shared" si="13"/>
        <v>0</v>
      </c>
      <c r="S59" s="190"/>
    </row>
    <row r="60" spans="2:19" s="195" customFormat="1">
      <c r="B60" s="191" t="s">
        <v>41</v>
      </c>
      <c r="C60" s="32"/>
      <c r="D60" s="188" t="s">
        <v>24</v>
      </c>
      <c r="E60" s="32"/>
      <c r="F60" s="102">
        <v>8.5999999999999993E-2</v>
      </c>
      <c r="G60" s="255">
        <f>IF(AND($T$1=1, F18&gt;=600), 600, IF(AND($T$1=1, AND(F18&lt;600, F18&gt;=0)), F18, IF(AND($T$1=2, F18&gt;=1000), 1000, IF(AND($T$1=2, AND(F18&lt;1000, F18&gt;=0)), F18))))</f>
        <v>600</v>
      </c>
      <c r="H60" s="99">
        <f>G60*F60</f>
        <v>51.599999999999994</v>
      </c>
      <c r="I60" s="256"/>
      <c r="J60" s="102">
        <v>8.5999999999999993E-2</v>
      </c>
      <c r="K60" s="257">
        <f>G60</f>
        <v>600</v>
      </c>
      <c r="L60" s="99">
        <f>K60*J60</f>
        <v>51.599999999999994</v>
      </c>
      <c r="M60" s="256"/>
      <c r="N60" s="258">
        <f t="shared" si="2"/>
        <v>0</v>
      </c>
      <c r="O60" s="123">
        <f t="shared" si="13"/>
        <v>0</v>
      </c>
    </row>
    <row r="61" spans="2:19" s="195" customFormat="1" ht="13.5" thickBot="1">
      <c r="B61" s="191" t="s">
        <v>42</v>
      </c>
      <c r="C61" s="32"/>
      <c r="D61" s="188" t="s">
        <v>24</v>
      </c>
      <c r="E61" s="32"/>
      <c r="F61" s="102">
        <v>0.10100000000000001</v>
      </c>
      <c r="G61" s="255">
        <f>IF(AND($T$1=1, F18&gt;=600), F18-600, IF(AND($T$1=1, AND(F18&lt;600, F18&gt;=0)), 0, IF(AND($T$1=2, F18&gt;=1000), F18-1000, IF(AND($T$1=2, AND(F18&lt;1000, F18&gt;=0)), 0))))</f>
        <v>1200</v>
      </c>
      <c r="H61" s="99">
        <f>G61*F61</f>
        <v>121.2</v>
      </c>
      <c r="I61" s="256"/>
      <c r="J61" s="102">
        <v>0.10100000000000001</v>
      </c>
      <c r="K61" s="257">
        <f>G61</f>
        <v>1200</v>
      </c>
      <c r="L61" s="99">
        <f>K61*J61</f>
        <v>121.2</v>
      </c>
      <c r="M61" s="256"/>
      <c r="N61" s="258">
        <f t="shared" si="2"/>
        <v>0</v>
      </c>
      <c r="O61" s="123">
        <f t="shared" si="13"/>
        <v>0</v>
      </c>
    </row>
    <row r="62" spans="2:19" ht="13.5" thickBot="1">
      <c r="B62" s="196"/>
      <c r="C62" s="197"/>
      <c r="D62" s="198"/>
      <c r="E62" s="197"/>
      <c r="F62" s="199"/>
      <c r="G62" s="259"/>
      <c r="H62" s="201"/>
      <c r="I62" s="202"/>
      <c r="J62" s="199"/>
      <c r="K62" s="260"/>
      <c r="L62" s="201"/>
      <c r="M62" s="202"/>
      <c r="N62" s="204"/>
      <c r="O62" s="205"/>
    </row>
    <row r="63" spans="2:19" ht="25.5">
      <c r="B63" s="33" t="s">
        <v>43</v>
      </c>
      <c r="C63" s="20"/>
      <c r="D63" s="20"/>
      <c r="E63" s="20"/>
      <c r="F63" s="34"/>
      <c r="G63" s="103"/>
      <c r="H63" s="36">
        <f>SUM(H53:H59,H52)</f>
        <v>227.98007999999999</v>
      </c>
      <c r="I63" s="37"/>
      <c r="J63" s="38"/>
      <c r="K63" s="125"/>
      <c r="L63" s="36">
        <f>SUM(L53:L59,L52)</f>
        <v>229.7701656249055</v>
      </c>
      <c r="M63" s="39"/>
      <c r="N63" s="40">
        <f>L63-H63</f>
        <v>1.7900856249055153</v>
      </c>
      <c r="O63" s="41">
        <f>IF((H63)=0,"",(N63/H63))</f>
        <v>7.8519387523046554E-3</v>
      </c>
      <c r="S63" s="190"/>
    </row>
    <row r="64" spans="2:19">
      <c r="B64" s="42" t="s">
        <v>44</v>
      </c>
      <c r="C64" s="20"/>
      <c r="D64" s="20"/>
      <c r="E64" s="20"/>
      <c r="F64" s="43">
        <v>0.13</v>
      </c>
      <c r="G64" s="105"/>
      <c r="H64" s="45">
        <f>H63*F64</f>
        <v>29.6374104</v>
      </c>
      <c r="I64" s="46"/>
      <c r="J64" s="47">
        <v>0.13</v>
      </c>
      <c r="K64" s="126"/>
      <c r="L64" s="48">
        <f>L63*J64</f>
        <v>29.870121531237718</v>
      </c>
      <c r="M64" s="49"/>
      <c r="N64" s="50">
        <f t="shared" si="2"/>
        <v>0.23271113123771769</v>
      </c>
      <c r="O64" s="18">
        <f t="shared" si="13"/>
        <v>7.8519387523046779E-3</v>
      </c>
      <c r="S64" s="190"/>
    </row>
    <row r="65" spans="1:19">
      <c r="B65" s="206" t="s">
        <v>45</v>
      </c>
      <c r="C65" s="20"/>
      <c r="D65" s="20"/>
      <c r="E65" s="20"/>
      <c r="F65" s="51"/>
      <c r="G65" s="105"/>
      <c r="H65" s="45">
        <f>H63+H64</f>
        <v>257.61749040000001</v>
      </c>
      <c r="I65" s="46"/>
      <c r="J65" s="46"/>
      <c r="K65" s="126"/>
      <c r="L65" s="48">
        <f>L63+L64</f>
        <v>259.64028715614324</v>
      </c>
      <c r="M65" s="49"/>
      <c r="N65" s="50">
        <f t="shared" si="2"/>
        <v>2.0227967561432365</v>
      </c>
      <c r="O65" s="18">
        <f t="shared" si="13"/>
        <v>7.851938752304671E-3</v>
      </c>
      <c r="S65" s="190"/>
    </row>
    <row r="66" spans="1:19">
      <c r="B66" s="292" t="s">
        <v>46</v>
      </c>
      <c r="C66" s="292"/>
      <c r="D66" s="292"/>
      <c r="E66" s="20"/>
      <c r="F66" s="51"/>
      <c r="G66" s="105"/>
      <c r="H66" s="52">
        <f>ROUND(-H65*0.1,2)</f>
        <v>-25.76</v>
      </c>
      <c r="I66" s="46"/>
      <c r="J66" s="46"/>
      <c r="K66" s="126"/>
      <c r="L66" s="53">
        <f>ROUND(-L65*0.1,2)</f>
        <v>-25.96</v>
      </c>
      <c r="M66" s="49"/>
      <c r="N66" s="54">
        <f t="shared" si="2"/>
        <v>-0.19999999999999929</v>
      </c>
      <c r="O66" s="55">
        <f t="shared" si="13"/>
        <v>7.7639751552794753E-3</v>
      </c>
    </row>
    <row r="67" spans="1:19" ht="13.5" thickBot="1">
      <c r="B67" s="293" t="s">
        <v>47</v>
      </c>
      <c r="C67" s="293"/>
      <c r="D67" s="293"/>
      <c r="E67" s="14"/>
      <c r="F67" s="207"/>
      <c r="G67" s="261"/>
      <c r="H67" s="209">
        <f>H65+H66</f>
        <v>231.85749040000002</v>
      </c>
      <c r="I67" s="210"/>
      <c r="J67" s="210"/>
      <c r="K67" s="244"/>
      <c r="L67" s="211">
        <f>L65+L66</f>
        <v>233.68028715614324</v>
      </c>
      <c r="M67" s="212"/>
      <c r="N67" s="213">
        <f t="shared" si="2"/>
        <v>1.8227967561432195</v>
      </c>
      <c r="O67" s="214">
        <f t="shared" si="13"/>
        <v>7.861711748016139E-3</v>
      </c>
    </row>
    <row r="68" spans="1:19" s="195" customFormat="1" ht="13.5" thickBot="1">
      <c r="B68" s="215"/>
      <c r="C68" s="216"/>
      <c r="D68" s="217"/>
      <c r="E68" s="216"/>
      <c r="F68" s="199"/>
      <c r="G68" s="262"/>
      <c r="H68" s="201"/>
      <c r="I68" s="219"/>
      <c r="J68" s="199"/>
      <c r="K68" s="263"/>
      <c r="L68" s="201"/>
      <c r="M68" s="219"/>
      <c r="N68" s="221"/>
      <c r="O68" s="205"/>
    </row>
    <row r="69" spans="1:19" s="195" customFormat="1" ht="25.5">
      <c r="B69" s="56" t="s">
        <v>48</v>
      </c>
      <c r="C69" s="32"/>
      <c r="D69" s="32"/>
      <c r="E69" s="32"/>
      <c r="F69" s="57"/>
      <c r="G69" s="107"/>
      <c r="H69" s="59">
        <f>SUM(H60:H61,H52,H53:H56)</f>
        <v>229.78007999999997</v>
      </c>
      <c r="I69" s="60"/>
      <c r="J69" s="61"/>
      <c r="K69" s="127"/>
      <c r="L69" s="59">
        <f>SUM(L60:L61,L52,L53:L56)</f>
        <v>231.57016562490551</v>
      </c>
      <c r="M69" s="62"/>
      <c r="N69" s="63">
        <f>L69-H69</f>
        <v>1.7900856249055437</v>
      </c>
      <c r="O69" s="41">
        <f>IF((H69)=0,"",(N69/H69))</f>
        <v>7.7904299837720653E-3</v>
      </c>
    </row>
    <row r="70" spans="1:19" s="195" customFormat="1">
      <c r="B70" s="64" t="s">
        <v>44</v>
      </c>
      <c r="C70" s="32"/>
      <c r="D70" s="32"/>
      <c r="E70" s="32"/>
      <c r="F70" s="65">
        <v>0.13</v>
      </c>
      <c r="G70" s="107"/>
      <c r="H70" s="66">
        <f>H69*F70</f>
        <v>29.871410399999998</v>
      </c>
      <c r="I70" s="67"/>
      <c r="J70" s="68">
        <v>0.13</v>
      </c>
      <c r="K70" s="128"/>
      <c r="L70" s="70">
        <f>L69*J70</f>
        <v>30.104121531237716</v>
      </c>
      <c r="M70" s="71"/>
      <c r="N70" s="72">
        <f>L70-H70</f>
        <v>0.23271113123771769</v>
      </c>
      <c r="O70" s="18">
        <f>IF((H70)=0,"",(N70/H70))</f>
        <v>7.7904299837719647E-3</v>
      </c>
    </row>
    <row r="71" spans="1:19" s="195" customFormat="1">
      <c r="B71" s="222" t="s">
        <v>45</v>
      </c>
      <c r="C71" s="32"/>
      <c r="D71" s="32"/>
      <c r="E71" s="32"/>
      <c r="F71" s="73"/>
      <c r="G71" s="110"/>
      <c r="H71" s="66">
        <f>H69+H70</f>
        <v>259.65149039999994</v>
      </c>
      <c r="I71" s="67"/>
      <c r="J71" s="67"/>
      <c r="K71" s="129"/>
      <c r="L71" s="70">
        <f>L69+L70</f>
        <v>261.67428715614324</v>
      </c>
      <c r="M71" s="71"/>
      <c r="N71" s="72">
        <f>L71-H71</f>
        <v>2.0227967561432934</v>
      </c>
      <c r="O71" s="18">
        <f>IF((H71)=0,"",(N71/H71))</f>
        <v>7.7904299837721781E-3</v>
      </c>
    </row>
    <row r="72" spans="1:19" s="195" customFormat="1">
      <c r="B72" s="294" t="s">
        <v>46</v>
      </c>
      <c r="C72" s="294"/>
      <c r="D72" s="294"/>
      <c r="E72" s="32"/>
      <c r="F72" s="73"/>
      <c r="G72" s="110"/>
      <c r="H72" s="75">
        <f>ROUND(-H71*0.1,2)</f>
        <v>-25.97</v>
      </c>
      <c r="I72" s="67"/>
      <c r="J72" s="67"/>
      <c r="K72" s="129"/>
      <c r="L72" s="76">
        <f>ROUND(-L71*0.1,2)</f>
        <v>-26.17</v>
      </c>
      <c r="M72" s="71"/>
      <c r="N72" s="77">
        <f>L72-H72</f>
        <v>-0.20000000000000284</v>
      </c>
      <c r="O72" s="55">
        <f>IF((H72)=0,"",(N72/H72))</f>
        <v>7.7011936850212882E-3</v>
      </c>
    </row>
    <row r="73" spans="1:19" s="195" customFormat="1" ht="13.5" thickBot="1">
      <c r="B73" s="288" t="s">
        <v>49</v>
      </c>
      <c r="C73" s="288"/>
      <c r="D73" s="288"/>
      <c r="E73" s="32"/>
      <c r="F73" s="73"/>
      <c r="G73" s="110"/>
      <c r="H73" s="59">
        <f>SUM(H71:H72)</f>
        <v>233.68149039999994</v>
      </c>
      <c r="I73" s="60"/>
      <c r="J73" s="60"/>
      <c r="K73" s="264"/>
      <c r="L73" s="223">
        <f>SUM(L71:L72)</f>
        <v>235.50428715614322</v>
      </c>
      <c r="M73" s="62"/>
      <c r="N73" s="63">
        <f>L73-H73</f>
        <v>1.8227967561432763</v>
      </c>
      <c r="O73" s="41">
        <f>IF((H73)=0,"",(N73/H73))</f>
        <v>7.8003471863481262E-3</v>
      </c>
    </row>
    <row r="74" spans="1:19" s="195" customFormat="1" ht="13.5" thickBot="1">
      <c r="B74" s="215"/>
      <c r="C74" s="216"/>
      <c r="D74" s="217"/>
      <c r="E74" s="216"/>
      <c r="F74" s="224"/>
      <c r="G74" s="265"/>
      <c r="H74" s="226"/>
      <c r="I74" s="227"/>
      <c r="J74" s="224"/>
      <c r="K74" s="266"/>
      <c r="L74" s="228"/>
      <c r="M74" s="219"/>
      <c r="N74" s="229"/>
      <c r="O74" s="205"/>
    </row>
    <row r="75" spans="1:19">
      <c r="L75" s="190"/>
    </row>
    <row r="76" spans="1:19">
      <c r="B76" s="230" t="s">
        <v>50</v>
      </c>
      <c r="F76" s="231">
        <v>3.9E-2</v>
      </c>
      <c r="J76" s="231">
        <v>4.5699999999999998E-2</v>
      </c>
    </row>
    <row r="78" spans="1:19" ht="14.25">
      <c r="A78" s="232" t="s">
        <v>51</v>
      </c>
    </row>
    <row r="80" spans="1:19">
      <c r="A80" s="12" t="s">
        <v>52</v>
      </c>
    </row>
    <row r="81" spans="1:2">
      <c r="A81" s="12" t="s">
        <v>53</v>
      </c>
    </row>
    <row r="83" spans="1:2">
      <c r="A83" s="233" t="s">
        <v>54</v>
      </c>
    </row>
    <row r="84" spans="1:2">
      <c r="A84" s="233" t="s">
        <v>55</v>
      </c>
    </row>
    <row r="86" spans="1:2">
      <c r="A86" s="12" t="s">
        <v>56</v>
      </c>
    </row>
    <row r="87" spans="1:2">
      <c r="A87" s="12" t="s">
        <v>57</v>
      </c>
    </row>
    <row r="88" spans="1:2">
      <c r="A88" s="12" t="s">
        <v>58</v>
      </c>
    </row>
    <row r="89" spans="1:2">
      <c r="A89" s="12" t="s">
        <v>59</v>
      </c>
    </row>
    <row r="90" spans="1:2">
      <c r="A90" s="12" t="s">
        <v>60</v>
      </c>
    </row>
    <row r="92" spans="1:2" ht="51">
      <c r="B92" s="13" t="s">
        <v>61</v>
      </c>
    </row>
  </sheetData>
  <mergeCells count="14">
    <mergeCell ref="A3:K3"/>
    <mergeCell ref="B10:O10"/>
    <mergeCell ref="B11:O11"/>
    <mergeCell ref="D14:O14"/>
    <mergeCell ref="F20:H20"/>
    <mergeCell ref="J20:L20"/>
    <mergeCell ref="N20:O20"/>
    <mergeCell ref="B73:D73"/>
    <mergeCell ref="D21:D22"/>
    <mergeCell ref="N21:N22"/>
    <mergeCell ref="O21:O22"/>
    <mergeCell ref="B66:D66"/>
    <mergeCell ref="B67:D67"/>
    <mergeCell ref="B72:D72"/>
  </mergeCells>
  <dataValidations count="3">
    <dataValidation type="list" allowBlank="1" showInputMessage="1" showErrorMessage="1" sqref="E23:E38 E74 E50:E51 E53:E62 E68 E40:E48">
      <formula1>"#REF!"</formula1>
      <formula2>0</formula2>
    </dataValidation>
    <dataValidation type="list" allowBlank="1" showInputMessage="1" showErrorMessage="1" prompt="Select Charge Unit - monthly, per kWh, per kW" sqref="D74 D50:D51 D23:D38 D68 D53:D62 D40:D48">
      <formula1>"Monthly,per kWh,per kW"</formula1>
      <formula2>0</formula2>
    </dataValidation>
    <dataValidation type="list" allowBlank="1" showInputMessage="1" showErrorMessage="1" sqref="D16">
      <formula1>"TOU,non-TOU"</formula1>
      <formula2>0</formula2>
    </dataValidation>
  </dataValidations>
  <pageMargins left="0.7" right="0.7" top="0.75" bottom="0.75" header="0.3" footer="0.3"/>
  <pageSetup paperSize="9" scale="4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Option Button 44">
              <controlPr defaultSize="0" autoFill="0" autoLine="0" autoPict="0">
                <anchor moveWithCells="1" sizeWithCells="1">
                  <from>
                    <xdr:col>6</xdr:col>
                    <xdr:colOff>476250</xdr:colOff>
                    <xdr:row>17</xdr:row>
                    <xdr:rowOff>0</xdr:rowOff>
                  </from>
                  <to>
                    <xdr:col>9</xdr:col>
                    <xdr:colOff>733425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Option Button 45">
              <controlPr defaultSize="0" autoFill="0" autoLine="0" autoPict="0">
                <anchor moveWithCells="1" sizeWithCells="1">
                  <from>
                    <xdr:col>9</xdr:col>
                    <xdr:colOff>371475</xdr:colOff>
                    <xdr:row>16</xdr:row>
                    <xdr:rowOff>104775</xdr:rowOff>
                  </from>
                  <to>
                    <xdr:col>16</xdr:col>
                    <xdr:colOff>257175</xdr:colOff>
                    <xdr:row>18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92"/>
  <sheetViews>
    <sheetView showGridLines="0" workbookViewId="0">
      <selection activeCell="B10" sqref="B10:O10"/>
    </sheetView>
  </sheetViews>
  <sheetFormatPr defaultRowHeight="12.75"/>
  <cols>
    <col min="1" max="1" width="11.28515625" style="12" customWidth="1"/>
    <col min="2" max="2" width="26.5703125" style="13" customWidth="1"/>
    <col min="3" max="3" width="1.28515625" style="12" customWidth="1"/>
    <col min="4" max="4" width="11.28515625" style="12" customWidth="1"/>
    <col min="5" max="5" width="1.28515625" style="12" customWidth="1"/>
    <col min="6" max="6" width="12.28515625" style="12" customWidth="1"/>
    <col min="7" max="7" width="8.5703125" style="12" customWidth="1"/>
    <col min="8" max="8" width="11.140625" style="12" customWidth="1"/>
    <col min="9" max="9" width="2.85546875" style="12" customWidth="1"/>
    <col min="10" max="10" width="12.140625" style="12" customWidth="1"/>
    <col min="11" max="11" width="8.5703125" style="12" customWidth="1"/>
    <col min="12" max="12" width="9.7109375" style="12" customWidth="1"/>
    <col min="13" max="13" width="2.85546875" style="12" customWidth="1"/>
    <col min="14" max="14" width="12.7109375" style="12" customWidth="1"/>
    <col min="15" max="15" width="10.85546875" style="12" customWidth="1"/>
    <col min="16" max="16" width="3.85546875" style="12" customWidth="1"/>
    <col min="17" max="16384" width="9.140625" style="12"/>
  </cols>
  <sheetData>
    <row r="1" spans="1:20" s="2" customFormat="1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/>
      <c r="O1" s="4"/>
      <c r="T1" s="2">
        <v>1</v>
      </c>
    </row>
    <row r="2" spans="1:20" s="2" customFormat="1" ht="12.75" customHeight="1">
      <c r="A2" s="5"/>
      <c r="B2" s="6"/>
      <c r="C2" s="5"/>
      <c r="D2" s="5"/>
      <c r="E2" s="5"/>
      <c r="F2" s="5"/>
      <c r="G2" s="5"/>
      <c r="H2" s="5"/>
      <c r="I2" s="5"/>
      <c r="J2" s="5"/>
      <c r="K2" s="5"/>
      <c r="N2" s="3"/>
      <c r="O2" s="7"/>
    </row>
    <row r="3" spans="1:20" s="2" customFormat="1" ht="12.75" customHeight="1">
      <c r="A3" s="295"/>
      <c r="B3" s="295"/>
      <c r="C3" s="295"/>
      <c r="D3" s="295"/>
      <c r="E3" s="295"/>
      <c r="F3" s="295"/>
      <c r="G3" s="295"/>
      <c r="H3" s="295"/>
      <c r="I3" s="295"/>
      <c r="J3" s="295"/>
      <c r="K3" s="295"/>
      <c r="N3" s="3"/>
      <c r="O3" s="7"/>
    </row>
    <row r="4" spans="1:20" s="2" customFormat="1" ht="12.75" customHeight="1">
      <c r="A4" s="5"/>
      <c r="B4" s="6"/>
      <c r="C4" s="5"/>
      <c r="D4" s="5"/>
      <c r="E4" s="5"/>
      <c r="F4" s="5"/>
      <c r="G4" s="5"/>
      <c r="H4" s="5"/>
      <c r="I4" s="8"/>
      <c r="J4" s="8"/>
      <c r="K4" s="8"/>
      <c r="N4" s="3"/>
      <c r="O4" s="7"/>
    </row>
    <row r="5" spans="1:20" s="2" customFormat="1" ht="12.75" customHeight="1">
      <c r="B5" s="9"/>
      <c r="C5" s="10"/>
      <c r="D5" s="10"/>
      <c r="E5" s="10"/>
      <c r="N5" s="3"/>
      <c r="O5" s="4"/>
    </row>
    <row r="6" spans="1:20" s="2" customFormat="1" ht="12.75" customHeight="1">
      <c r="B6" s="9"/>
      <c r="N6" s="3"/>
      <c r="O6" s="11"/>
    </row>
    <row r="7" spans="1:20" s="2" customFormat="1" ht="12.75" customHeight="1">
      <c r="B7" s="9"/>
      <c r="N7" s="3"/>
      <c r="O7" s="4"/>
    </row>
    <row r="8" spans="1:20" s="2" customFormat="1" ht="12.75" customHeight="1">
      <c r="B8" s="9"/>
    </row>
    <row r="9" spans="1:20" ht="12.75" customHeight="1"/>
    <row r="10" spans="1:20" s="130" customFormat="1" ht="18.75" customHeight="1">
      <c r="B10" s="299" t="s">
        <v>0</v>
      </c>
      <c r="C10" s="299"/>
      <c r="D10" s="299"/>
      <c r="E10" s="299"/>
      <c r="F10" s="299"/>
      <c r="G10" s="299"/>
      <c r="H10" s="299"/>
      <c r="I10" s="299"/>
      <c r="J10" s="299"/>
      <c r="K10" s="299"/>
      <c r="L10" s="299"/>
      <c r="M10" s="299"/>
      <c r="N10" s="299"/>
      <c r="O10" s="299"/>
    </row>
    <row r="11" spans="1:20" ht="18.75" customHeight="1">
      <c r="B11" s="296" t="s">
        <v>1</v>
      </c>
      <c r="C11" s="296"/>
      <c r="D11" s="296"/>
      <c r="E11" s="296"/>
      <c r="F11" s="296"/>
      <c r="G11" s="296"/>
      <c r="H11" s="296"/>
      <c r="I11" s="296"/>
      <c r="J11" s="296"/>
      <c r="K11" s="296"/>
      <c r="L11" s="296"/>
      <c r="M11" s="296"/>
      <c r="N11" s="296"/>
      <c r="O11" s="296"/>
    </row>
    <row r="12" spans="1:20" ht="7.5" customHeight="1"/>
    <row r="13" spans="1:20" ht="7.5" customHeight="1"/>
    <row r="14" spans="1:20" ht="15.75">
      <c r="B14" s="131" t="s">
        <v>2</v>
      </c>
      <c r="D14" s="297" t="s">
        <v>3</v>
      </c>
      <c r="E14" s="297"/>
      <c r="F14" s="297"/>
      <c r="G14" s="297"/>
      <c r="H14" s="297"/>
      <c r="I14" s="297"/>
      <c r="J14" s="297"/>
      <c r="K14" s="297"/>
      <c r="L14" s="297"/>
      <c r="M14" s="297"/>
      <c r="N14" s="297"/>
      <c r="O14" s="297"/>
    </row>
    <row r="15" spans="1:20" ht="7.5" customHeight="1">
      <c r="B15" s="132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</row>
    <row r="16" spans="1:20" ht="15.75">
      <c r="B16" s="131" t="s">
        <v>4</v>
      </c>
      <c r="D16" s="134" t="s">
        <v>5</v>
      </c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</row>
    <row r="17" spans="1:15" ht="15.75">
      <c r="B17" s="132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</row>
    <row r="18" spans="1:15">
      <c r="B18" s="135"/>
      <c r="D18" s="136" t="s">
        <v>6</v>
      </c>
      <c r="E18" s="136"/>
      <c r="F18" s="137">
        <v>1000</v>
      </c>
      <c r="G18" s="136" t="s">
        <v>7</v>
      </c>
    </row>
    <row r="19" spans="1:15">
      <c r="B19" s="135"/>
    </row>
    <row r="20" spans="1:15">
      <c r="B20" s="135"/>
      <c r="D20" s="138"/>
      <c r="E20" s="138"/>
      <c r="F20" s="298" t="s">
        <v>8</v>
      </c>
      <c r="G20" s="298"/>
      <c r="H20" s="298"/>
      <c r="J20" s="298" t="s">
        <v>9</v>
      </c>
      <c r="K20" s="298"/>
      <c r="L20" s="298"/>
      <c r="N20" s="298" t="s">
        <v>10</v>
      </c>
      <c r="O20" s="298"/>
    </row>
    <row r="21" spans="1:15">
      <c r="B21" s="135"/>
      <c r="D21" s="289" t="s">
        <v>11</v>
      </c>
      <c r="E21" s="139"/>
      <c r="F21" s="140" t="s">
        <v>12</v>
      </c>
      <c r="G21" s="140" t="s">
        <v>13</v>
      </c>
      <c r="H21" s="141" t="s">
        <v>14</v>
      </c>
      <c r="J21" s="140" t="s">
        <v>12</v>
      </c>
      <c r="K21" s="142" t="s">
        <v>13</v>
      </c>
      <c r="L21" s="141" t="s">
        <v>14</v>
      </c>
      <c r="N21" s="290" t="s">
        <v>15</v>
      </c>
      <c r="O21" s="291" t="s">
        <v>16</v>
      </c>
    </row>
    <row r="22" spans="1:15">
      <c r="B22" s="135"/>
      <c r="D22" s="289"/>
      <c r="E22" s="139"/>
      <c r="F22" s="143" t="s">
        <v>17</v>
      </c>
      <c r="G22" s="143"/>
      <c r="H22" s="144" t="s">
        <v>17</v>
      </c>
      <c r="J22" s="143" t="s">
        <v>17</v>
      </c>
      <c r="K22" s="144"/>
      <c r="L22" s="144" t="s">
        <v>17</v>
      </c>
      <c r="N22" s="290"/>
      <c r="O22" s="291"/>
    </row>
    <row r="23" spans="1:15">
      <c r="B23" s="145" t="s">
        <v>18</v>
      </c>
      <c r="C23" s="20"/>
      <c r="D23" s="146" t="s">
        <v>19</v>
      </c>
      <c r="E23" s="14"/>
      <c r="F23" s="147">
        <f>'[1]B. CurrentTariff'!C32</f>
        <v>10.99</v>
      </c>
      <c r="G23" s="15">
        <v>1</v>
      </c>
      <c r="H23" s="16">
        <f>G23*F23</f>
        <v>10.99</v>
      </c>
      <c r="I23" s="28"/>
      <c r="J23" s="148">
        <f>'[1]G. RateDesign'!B46</f>
        <v>18.05</v>
      </c>
      <c r="K23" s="17">
        <v>1</v>
      </c>
      <c r="L23" s="16">
        <f>K23*J23</f>
        <v>18.05</v>
      </c>
      <c r="M23" s="28"/>
      <c r="N23" s="149">
        <f>L23-H23</f>
        <v>7.0600000000000005</v>
      </c>
      <c r="O23" s="18">
        <f>IF((H23)=0,"",(N23/H23))</f>
        <v>0.6424021838034577</v>
      </c>
    </row>
    <row r="24" spans="1:15">
      <c r="A24" s="19"/>
      <c r="B24" s="145" t="s">
        <v>20</v>
      </c>
      <c r="C24" s="20"/>
      <c r="D24" s="146"/>
      <c r="E24" s="14"/>
      <c r="F24" s="150"/>
      <c r="G24" s="15">
        <v>1</v>
      </c>
      <c r="H24" s="16">
        <f t="shared" ref="H24:H38" si="0">G24*F24</f>
        <v>0</v>
      </c>
      <c r="I24" s="28"/>
      <c r="J24" s="148"/>
      <c r="K24" s="17">
        <v>1</v>
      </c>
      <c r="L24" s="16">
        <f>K24*J24</f>
        <v>0</v>
      </c>
      <c r="M24" s="28"/>
      <c r="N24" s="149">
        <f>L24-H24</f>
        <v>0</v>
      </c>
      <c r="O24" s="18" t="str">
        <f>IF((H24)=0,"",(N24/H24))</f>
        <v/>
      </c>
    </row>
    <row r="25" spans="1:15">
      <c r="A25" s="19"/>
      <c r="B25" s="151" t="s">
        <v>21</v>
      </c>
      <c r="C25" s="20"/>
      <c r="D25" s="146" t="s">
        <v>19</v>
      </c>
      <c r="E25" s="14"/>
      <c r="F25" s="150"/>
      <c r="G25" s="15">
        <v>1</v>
      </c>
      <c r="H25" s="16">
        <f t="shared" si="0"/>
        <v>0</v>
      </c>
      <c r="I25" s="28"/>
      <c r="J25" s="148">
        <f>'[1]I. SMRR'!G13</f>
        <v>0.78171012891784653</v>
      </c>
      <c r="K25" s="17">
        <v>1</v>
      </c>
      <c r="L25" s="16">
        <f t="shared" ref="L25:L38" si="1">K25*J25</f>
        <v>0.78171012891784653</v>
      </c>
      <c r="M25" s="28"/>
      <c r="N25" s="149">
        <f t="shared" ref="N25:N67" si="2">L25-H25</f>
        <v>0.78171012891784653</v>
      </c>
      <c r="O25" s="18" t="str">
        <f t="shared" ref="O25:O47" si="3">IF((H25)=0,"",(N25/H25))</f>
        <v/>
      </c>
    </row>
    <row r="26" spans="1:15">
      <c r="A26" s="19"/>
      <c r="B26" s="145" t="s">
        <v>22</v>
      </c>
      <c r="C26" s="20"/>
      <c r="D26" s="146"/>
      <c r="E26" s="14"/>
      <c r="F26" s="150"/>
      <c r="G26" s="15">
        <v>1</v>
      </c>
      <c r="H26" s="16">
        <f t="shared" si="0"/>
        <v>0</v>
      </c>
      <c r="I26" s="28"/>
      <c r="J26" s="148">
        <v>3.36</v>
      </c>
      <c r="K26" s="17">
        <v>1</v>
      </c>
      <c r="L26" s="16">
        <f t="shared" si="1"/>
        <v>3.36</v>
      </c>
      <c r="M26" s="28"/>
      <c r="N26" s="149">
        <f t="shared" si="2"/>
        <v>3.36</v>
      </c>
      <c r="O26" s="18" t="str">
        <f t="shared" si="3"/>
        <v/>
      </c>
    </row>
    <row r="27" spans="1:15">
      <c r="A27" s="19"/>
      <c r="B27" s="152"/>
      <c r="C27" s="20"/>
      <c r="D27" s="146"/>
      <c r="E27" s="14"/>
      <c r="F27" s="150"/>
      <c r="G27" s="15">
        <v>1</v>
      </c>
      <c r="H27" s="16">
        <f t="shared" si="0"/>
        <v>0</v>
      </c>
      <c r="I27" s="28"/>
      <c r="J27" s="31"/>
      <c r="K27" s="17">
        <v>1</v>
      </c>
      <c r="L27" s="16">
        <f t="shared" si="1"/>
        <v>0</v>
      </c>
      <c r="M27" s="28"/>
      <c r="N27" s="149">
        <f t="shared" si="2"/>
        <v>0</v>
      </c>
      <c r="O27" s="18" t="str">
        <f t="shared" si="3"/>
        <v/>
      </c>
    </row>
    <row r="28" spans="1:15">
      <c r="A28" s="19"/>
      <c r="B28" s="152"/>
      <c r="C28" s="20"/>
      <c r="D28" s="146"/>
      <c r="E28" s="14"/>
      <c r="F28" s="150"/>
      <c r="G28" s="15">
        <v>1</v>
      </c>
      <c r="H28" s="16">
        <f t="shared" si="0"/>
        <v>0</v>
      </c>
      <c r="I28" s="28"/>
      <c r="J28" s="31"/>
      <c r="K28" s="17">
        <v>1</v>
      </c>
      <c r="L28" s="16">
        <f t="shared" si="1"/>
        <v>0</v>
      </c>
      <c r="M28" s="28"/>
      <c r="N28" s="149">
        <f t="shared" si="2"/>
        <v>0</v>
      </c>
      <c r="O28" s="18" t="str">
        <f t="shared" si="3"/>
        <v/>
      </c>
    </row>
    <row r="29" spans="1:15">
      <c r="A29" s="19"/>
      <c r="B29" s="145" t="s">
        <v>23</v>
      </c>
      <c r="C29" s="20"/>
      <c r="D29" s="146" t="s">
        <v>24</v>
      </c>
      <c r="E29" s="14"/>
      <c r="F29" s="150">
        <f>'[1]B. CurrentTariff'!C33</f>
        <v>1.4999999999999999E-2</v>
      </c>
      <c r="G29" s="15">
        <f t="shared" ref="G29:G38" si="4">$F$18</f>
        <v>1000</v>
      </c>
      <c r="H29" s="16">
        <f t="shared" si="0"/>
        <v>15</v>
      </c>
      <c r="I29" s="28"/>
      <c r="J29" s="31">
        <f>'[1]G. RateDesign'!G46</f>
        <v>1.1395508957599455E-2</v>
      </c>
      <c r="K29" s="15">
        <f>$F$18</f>
        <v>1000</v>
      </c>
      <c r="L29" s="16">
        <f t="shared" si="1"/>
        <v>11.395508957599455</v>
      </c>
      <c r="M29" s="28"/>
      <c r="N29" s="149">
        <f t="shared" si="2"/>
        <v>-3.6044910424005447</v>
      </c>
      <c r="O29" s="18">
        <f t="shared" si="3"/>
        <v>-0.24029940282670298</v>
      </c>
    </row>
    <row r="30" spans="1:15">
      <c r="A30" s="19"/>
      <c r="B30" s="145" t="s">
        <v>22</v>
      </c>
      <c r="C30" s="20"/>
      <c r="D30" s="146" t="s">
        <v>24</v>
      </c>
      <c r="E30" s="14"/>
      <c r="F30" s="150"/>
      <c r="G30" s="15">
        <f t="shared" si="4"/>
        <v>1000</v>
      </c>
      <c r="H30" s="16">
        <f t="shared" si="0"/>
        <v>0</v>
      </c>
      <c r="I30" s="28"/>
      <c r="J30" s="31"/>
      <c r="K30" s="15">
        <f t="shared" ref="K30:K38" si="5">$F$18</f>
        <v>1000</v>
      </c>
      <c r="L30" s="16">
        <f t="shared" si="1"/>
        <v>0</v>
      </c>
      <c r="M30" s="28"/>
      <c r="N30" s="149">
        <f t="shared" si="2"/>
        <v>0</v>
      </c>
      <c r="O30" s="18" t="str">
        <f t="shared" si="3"/>
        <v/>
      </c>
    </row>
    <row r="31" spans="1:15">
      <c r="A31" s="19"/>
      <c r="B31" s="145" t="s">
        <v>25</v>
      </c>
      <c r="C31" s="20"/>
      <c r="D31" s="146" t="s">
        <v>24</v>
      </c>
      <c r="E31" s="14"/>
      <c r="F31" s="150"/>
      <c r="G31" s="15">
        <f t="shared" si="4"/>
        <v>1000</v>
      </c>
      <c r="H31" s="16">
        <f t="shared" si="0"/>
        <v>0</v>
      </c>
      <c r="I31" s="28"/>
      <c r="J31" s="31"/>
      <c r="K31" s="15">
        <f t="shared" si="5"/>
        <v>1000</v>
      </c>
      <c r="L31" s="16">
        <f t="shared" si="1"/>
        <v>0</v>
      </c>
      <c r="M31" s="28"/>
      <c r="N31" s="149">
        <f t="shared" si="2"/>
        <v>0</v>
      </c>
      <c r="O31" s="18" t="str">
        <f t="shared" si="3"/>
        <v/>
      </c>
    </row>
    <row r="32" spans="1:15">
      <c r="A32" s="19"/>
      <c r="B32" s="151"/>
      <c r="C32" s="20"/>
      <c r="D32" s="146"/>
      <c r="E32" s="14"/>
      <c r="F32" s="150"/>
      <c r="G32" s="15">
        <f t="shared" si="4"/>
        <v>1000</v>
      </c>
      <c r="H32" s="16">
        <f>G32*F32</f>
        <v>0</v>
      </c>
      <c r="I32" s="28"/>
      <c r="J32" s="31"/>
      <c r="K32" s="15">
        <f t="shared" si="5"/>
        <v>1000</v>
      </c>
      <c r="L32" s="16">
        <f>K32*J32</f>
        <v>0</v>
      </c>
      <c r="M32" s="28"/>
      <c r="N32" s="149">
        <f>L32-H32</f>
        <v>0</v>
      </c>
      <c r="O32" s="18" t="str">
        <f>IF((H32)=0,"",(N32/H32))</f>
        <v/>
      </c>
    </row>
    <row r="33" spans="1:15">
      <c r="A33" s="19"/>
      <c r="B33" s="151"/>
      <c r="C33" s="20"/>
      <c r="D33" s="146"/>
      <c r="E33" s="14"/>
      <c r="F33" s="150"/>
      <c r="G33" s="15">
        <f t="shared" si="4"/>
        <v>1000</v>
      </c>
      <c r="H33" s="16">
        <f>G33*F33</f>
        <v>0</v>
      </c>
      <c r="I33" s="28"/>
      <c r="J33" s="31"/>
      <c r="K33" s="15">
        <f t="shared" si="5"/>
        <v>1000</v>
      </c>
      <c r="L33" s="16">
        <f>K33*J33</f>
        <v>0</v>
      </c>
      <c r="M33" s="28"/>
      <c r="N33" s="149">
        <f>L33-H33</f>
        <v>0</v>
      </c>
      <c r="O33" s="18" t="str">
        <f>IF((H33)=0,"",(N33/H33))</f>
        <v/>
      </c>
    </row>
    <row r="34" spans="1:15">
      <c r="A34" s="19"/>
      <c r="B34" s="151"/>
      <c r="C34" s="20"/>
      <c r="D34" s="146"/>
      <c r="E34" s="14"/>
      <c r="F34" s="150"/>
      <c r="G34" s="15">
        <f t="shared" si="4"/>
        <v>1000</v>
      </c>
      <c r="H34" s="16">
        <f>G34*F34</f>
        <v>0</v>
      </c>
      <c r="I34" s="28"/>
      <c r="J34" s="31"/>
      <c r="K34" s="15">
        <f t="shared" si="5"/>
        <v>1000</v>
      </c>
      <c r="L34" s="16">
        <f>K34*J34</f>
        <v>0</v>
      </c>
      <c r="M34" s="28"/>
      <c r="N34" s="149">
        <f>L34-H34</f>
        <v>0</v>
      </c>
      <c r="O34" s="18" t="str">
        <f>IF((H34)=0,"",(N34/H34))</f>
        <v/>
      </c>
    </row>
    <row r="35" spans="1:15">
      <c r="A35" s="19"/>
      <c r="B35" s="151"/>
      <c r="C35" s="20"/>
      <c r="D35" s="146"/>
      <c r="E35" s="14"/>
      <c r="F35" s="150"/>
      <c r="G35" s="15">
        <f t="shared" si="4"/>
        <v>1000</v>
      </c>
      <c r="H35" s="16">
        <f t="shared" si="0"/>
        <v>0</v>
      </c>
      <c r="I35" s="28"/>
      <c r="J35" s="31"/>
      <c r="K35" s="15">
        <f t="shared" si="5"/>
        <v>1000</v>
      </c>
      <c r="L35" s="16">
        <f t="shared" si="1"/>
        <v>0</v>
      </c>
      <c r="M35" s="28"/>
      <c r="N35" s="149">
        <f t="shared" si="2"/>
        <v>0</v>
      </c>
      <c r="O35" s="18" t="str">
        <f t="shared" si="3"/>
        <v/>
      </c>
    </row>
    <row r="36" spans="1:15">
      <c r="A36" s="19"/>
      <c r="B36" s="151"/>
      <c r="C36" s="20"/>
      <c r="D36" s="146"/>
      <c r="E36" s="14"/>
      <c r="F36" s="150"/>
      <c r="G36" s="15">
        <f t="shared" si="4"/>
        <v>1000</v>
      </c>
      <c r="H36" s="16">
        <f t="shared" si="0"/>
        <v>0</v>
      </c>
      <c r="I36" s="28"/>
      <c r="J36" s="31"/>
      <c r="K36" s="15">
        <f t="shared" si="5"/>
        <v>1000</v>
      </c>
      <c r="L36" s="16">
        <f t="shared" si="1"/>
        <v>0</v>
      </c>
      <c r="M36" s="28"/>
      <c r="N36" s="149">
        <f t="shared" si="2"/>
        <v>0</v>
      </c>
      <c r="O36" s="18" t="str">
        <f t="shared" si="3"/>
        <v/>
      </c>
    </row>
    <row r="37" spans="1:15">
      <c r="A37" s="19"/>
      <c r="B37" s="151"/>
      <c r="C37" s="20"/>
      <c r="D37" s="146"/>
      <c r="E37" s="14"/>
      <c r="F37" s="150"/>
      <c r="G37" s="15">
        <f t="shared" si="4"/>
        <v>1000</v>
      </c>
      <c r="H37" s="16">
        <f t="shared" si="0"/>
        <v>0</v>
      </c>
      <c r="I37" s="28"/>
      <c r="J37" s="31"/>
      <c r="K37" s="15">
        <f t="shared" si="5"/>
        <v>1000</v>
      </c>
      <c r="L37" s="16">
        <f t="shared" si="1"/>
        <v>0</v>
      </c>
      <c r="M37" s="28"/>
      <c r="N37" s="149">
        <f t="shared" si="2"/>
        <v>0</v>
      </c>
      <c r="O37" s="18" t="str">
        <f t="shared" si="3"/>
        <v/>
      </c>
    </row>
    <row r="38" spans="1:15">
      <c r="A38" s="19"/>
      <c r="B38" s="151"/>
      <c r="C38" s="20"/>
      <c r="D38" s="146"/>
      <c r="E38" s="14"/>
      <c r="F38" s="150"/>
      <c r="G38" s="15">
        <f t="shared" si="4"/>
        <v>1000</v>
      </c>
      <c r="H38" s="16">
        <f t="shared" si="0"/>
        <v>0</v>
      </c>
      <c r="I38" s="28"/>
      <c r="J38" s="31"/>
      <c r="K38" s="15">
        <f t="shared" si="5"/>
        <v>1000</v>
      </c>
      <c r="L38" s="16">
        <f t="shared" si="1"/>
        <v>0</v>
      </c>
      <c r="M38" s="28"/>
      <c r="N38" s="149">
        <f t="shared" si="2"/>
        <v>0</v>
      </c>
      <c r="O38" s="18" t="str">
        <f t="shared" si="3"/>
        <v/>
      </c>
    </row>
    <row r="39" spans="1:15">
      <c r="A39" s="19"/>
      <c r="B39" s="153" t="s">
        <v>26</v>
      </c>
      <c r="C39" s="154"/>
      <c r="D39" s="155"/>
      <c r="E39" s="154"/>
      <c r="F39" s="156"/>
      <c r="G39" s="157"/>
      <c r="H39" s="158">
        <f>SUM(H23:H38)</f>
        <v>25.990000000000002</v>
      </c>
      <c r="I39" s="28"/>
      <c r="J39" s="159"/>
      <c r="K39" s="160"/>
      <c r="L39" s="158">
        <f>SUM(L23:L38)</f>
        <v>33.587219086517301</v>
      </c>
      <c r="M39" s="28"/>
      <c r="N39" s="161">
        <f t="shared" si="2"/>
        <v>7.597219086517299</v>
      </c>
      <c r="O39" s="162">
        <f t="shared" si="3"/>
        <v>0.29231316223614079</v>
      </c>
    </row>
    <row r="40" spans="1:15" ht="51">
      <c r="A40" s="163"/>
      <c r="B40" s="164" t="str">
        <f>'[1]J. DVA'!$B$16</f>
        <v>Rate Rider Calculation for Deferral / Variance Accounts Balances (excluding Global Adj.)</v>
      </c>
      <c r="C40" s="20"/>
      <c r="D40" s="165" t="s">
        <v>24</v>
      </c>
      <c r="E40" s="20"/>
      <c r="F40" s="166"/>
      <c r="G40" s="21">
        <f>$F$18</f>
        <v>1000</v>
      </c>
      <c r="H40" s="22">
        <f t="shared" ref="H40:H48" si="6">G40*F40</f>
        <v>0</v>
      </c>
      <c r="I40" s="167"/>
      <c r="J40" s="166">
        <f>'[1]J. DVA'!F20</f>
        <v>-8.3191383168094741E-4</v>
      </c>
      <c r="K40" s="21">
        <f t="shared" ref="K40:K46" si="7">$F$18</f>
        <v>1000</v>
      </c>
      <c r="L40" s="22">
        <f>K40*J40</f>
        <v>-0.83191383168094746</v>
      </c>
      <c r="M40" s="167"/>
      <c r="N40" s="168">
        <f>L40-H40</f>
        <v>-0.83191383168094746</v>
      </c>
      <c r="O40" s="23" t="str">
        <f t="shared" si="3"/>
        <v/>
      </c>
    </row>
    <row r="41" spans="1:15" ht="51">
      <c r="A41" s="169"/>
      <c r="B41" s="164" t="str">
        <f>'[1]J. DVA'!$B$42</f>
        <v>Rate Rider Calculation for Deferral / Variance Accounts Balances (excluding Global Adj.) - NON-WMP</v>
      </c>
      <c r="C41" s="20"/>
      <c r="D41" s="165" t="s">
        <v>24</v>
      </c>
      <c r="E41" s="20"/>
      <c r="F41" s="166"/>
      <c r="G41" s="21">
        <f t="shared" ref="G41:G45" si="8">$F$18</f>
        <v>1000</v>
      </c>
      <c r="H41" s="22">
        <f t="shared" si="6"/>
        <v>0</v>
      </c>
      <c r="I41" s="167"/>
      <c r="J41" s="166">
        <f>'[1]J. DVA'!F46</f>
        <v>-2.646861822728247E-3</v>
      </c>
      <c r="K41" s="21">
        <f t="shared" si="7"/>
        <v>1000</v>
      </c>
      <c r="L41" s="22">
        <f t="shared" ref="L41:L45" si="9">K41*J41</f>
        <v>-2.6468618227282468</v>
      </c>
      <c r="M41" s="167"/>
      <c r="N41" s="168">
        <f t="shared" ref="N41:N45" si="10">L41-H41</f>
        <v>-2.6468618227282468</v>
      </c>
      <c r="O41" s="23" t="str">
        <f t="shared" si="3"/>
        <v/>
      </c>
    </row>
    <row r="42" spans="1:15" ht="38.25">
      <c r="A42" s="169"/>
      <c r="B42" s="164" t="str">
        <f>'[1]J. DVA'!$B$68</f>
        <v>Rate Rider Calculation for RSVA - Power - Global Adjustment</v>
      </c>
      <c r="C42" s="20"/>
      <c r="D42" s="165" t="s">
        <v>24</v>
      </c>
      <c r="E42" s="20"/>
      <c r="F42" s="166"/>
      <c r="G42" s="21">
        <f t="shared" si="8"/>
        <v>1000</v>
      </c>
      <c r="H42" s="22"/>
      <c r="I42" s="167"/>
      <c r="J42" s="166"/>
      <c r="K42" s="21">
        <f t="shared" si="7"/>
        <v>1000</v>
      </c>
      <c r="L42" s="22">
        <f t="shared" si="9"/>
        <v>0</v>
      </c>
      <c r="M42" s="167"/>
      <c r="N42" s="168">
        <f t="shared" si="10"/>
        <v>0</v>
      </c>
      <c r="O42" s="23" t="str">
        <f t="shared" si="3"/>
        <v/>
      </c>
    </row>
    <row r="43" spans="1:15" ht="25.5">
      <c r="A43" s="169"/>
      <c r="B43" s="164" t="str">
        <f>'[1]J. DVA'!$B$121</f>
        <v>Rate Rider Calculation for Group 2 Accounts</v>
      </c>
      <c r="C43" s="20"/>
      <c r="D43" s="165" t="s">
        <v>19</v>
      </c>
      <c r="E43" s="20"/>
      <c r="F43" s="166"/>
      <c r="G43" s="21">
        <f t="shared" si="8"/>
        <v>1000</v>
      </c>
      <c r="H43" s="22"/>
      <c r="I43" s="167"/>
      <c r="J43" s="166">
        <f>'[1]J. DVA'!F125</f>
        <v>0.71763615173398432</v>
      </c>
      <c r="K43" s="21">
        <v>1</v>
      </c>
      <c r="L43" s="22">
        <f t="shared" si="9"/>
        <v>0.71763615173398432</v>
      </c>
      <c r="M43" s="167"/>
      <c r="N43" s="168">
        <f t="shared" si="10"/>
        <v>0.71763615173398432</v>
      </c>
      <c r="O43" s="23" t="str">
        <f t="shared" si="3"/>
        <v/>
      </c>
    </row>
    <row r="44" spans="1:15" ht="25.5">
      <c r="A44" s="163"/>
      <c r="B44" s="164" t="str">
        <f>'[1]J. DVA'!$B$147</f>
        <v>Rate Rider Calculation for Accounts 1575 and 1576</v>
      </c>
      <c r="C44" s="20"/>
      <c r="D44" s="165" t="s">
        <v>24</v>
      </c>
      <c r="E44" s="20"/>
      <c r="F44" s="166"/>
      <c r="G44" s="21">
        <f t="shared" si="8"/>
        <v>1000</v>
      </c>
      <c r="H44" s="22">
        <f t="shared" si="6"/>
        <v>0</v>
      </c>
      <c r="I44" s="167"/>
      <c r="J44" s="166">
        <f>'[1]J. DVA'!F153</f>
        <v>2.345544481897622E-4</v>
      </c>
      <c r="K44" s="21">
        <f t="shared" si="7"/>
        <v>1000</v>
      </c>
      <c r="L44" s="22">
        <f t="shared" si="9"/>
        <v>0.2345544481897622</v>
      </c>
      <c r="M44" s="167"/>
      <c r="N44" s="168">
        <f t="shared" si="10"/>
        <v>0.2345544481897622</v>
      </c>
      <c r="O44" s="23" t="str">
        <f t="shared" si="3"/>
        <v/>
      </c>
    </row>
    <row r="45" spans="1:15" ht="25.5">
      <c r="A45" s="163"/>
      <c r="B45" s="164" t="str">
        <f>'[1]J. DVA'!$B$175</f>
        <v>Rate Rider Calculation for Accounts 1568</v>
      </c>
      <c r="C45" s="20"/>
      <c r="D45" s="165" t="s">
        <v>24</v>
      </c>
      <c r="E45" s="20"/>
      <c r="F45" s="166"/>
      <c r="G45" s="21">
        <f t="shared" si="8"/>
        <v>1000</v>
      </c>
      <c r="H45" s="22">
        <f t="shared" si="6"/>
        <v>0</v>
      </c>
      <c r="I45" s="167"/>
      <c r="J45" s="166">
        <f>'[1]J. DVA'!F181</f>
        <v>1.9002491545530963E-4</v>
      </c>
      <c r="K45" s="21">
        <f t="shared" si="7"/>
        <v>1000</v>
      </c>
      <c r="L45" s="22">
        <f t="shared" si="9"/>
        <v>0.19002491545530964</v>
      </c>
      <c r="M45" s="167"/>
      <c r="N45" s="168">
        <f t="shared" si="10"/>
        <v>0.19002491545530964</v>
      </c>
      <c r="O45" s="23" t="str">
        <f t="shared" si="3"/>
        <v/>
      </c>
    </row>
    <row r="46" spans="1:15">
      <c r="A46" s="163"/>
      <c r="B46" s="164" t="s">
        <v>27</v>
      </c>
      <c r="C46" s="20"/>
      <c r="D46" s="165" t="s">
        <v>24</v>
      </c>
      <c r="E46" s="20"/>
      <c r="F46" s="166">
        <v>1.1000000000000001E-3</v>
      </c>
      <c r="G46" s="21">
        <f>$F$18</f>
        <v>1000</v>
      </c>
      <c r="H46" s="22">
        <f t="shared" si="6"/>
        <v>1.1000000000000001</v>
      </c>
      <c r="I46" s="167"/>
      <c r="J46" s="166">
        <f>'[2]4.12 PowerSupplExp'!$I$171</f>
        <v>8.0000000000000004E-4</v>
      </c>
      <c r="K46" s="21">
        <f t="shared" si="7"/>
        <v>1000</v>
      </c>
      <c r="L46" s="22">
        <f>K46*J46</f>
        <v>0.8</v>
      </c>
      <c r="M46" s="167"/>
      <c r="N46" s="168">
        <f>L46-H46</f>
        <v>-0.30000000000000004</v>
      </c>
      <c r="O46" s="24">
        <f>IF((H46)=0,"",(N46/H46))</f>
        <v>-0.27272727272727276</v>
      </c>
    </row>
    <row r="47" spans="1:15">
      <c r="A47" s="19"/>
      <c r="B47" s="145" t="s">
        <v>28</v>
      </c>
      <c r="C47" s="20"/>
      <c r="D47" s="165" t="s">
        <v>24</v>
      </c>
      <c r="E47" s="20"/>
      <c r="F47" s="166">
        <f>IF(ISBLANK(D16)=1, 0, IF(D16="TOU", 0.64*$F$57+0.18*$F$58+0.18*$F$59, IF(AND(D16="non-TOU", G61&gt;0), F61,F60)))</f>
        <v>9.5000000000000001E-2</v>
      </c>
      <c r="G47" s="21">
        <f>$F$18*(1+$F$76)-$F$18</f>
        <v>39</v>
      </c>
      <c r="H47" s="22">
        <f t="shared" si="6"/>
        <v>3.7050000000000001</v>
      </c>
      <c r="I47" s="167"/>
      <c r="J47" s="166">
        <f>0.64*$F$57+0.18*$F$58+0.18*$F$59</f>
        <v>9.5000000000000001E-2</v>
      </c>
      <c r="K47" s="21">
        <f>$F$18*(1+$J$76)-$F$18</f>
        <v>45.700000000000045</v>
      </c>
      <c r="L47" s="22">
        <f t="shared" ref="L47:L48" si="11">K47*J47</f>
        <v>4.3415000000000044</v>
      </c>
      <c r="M47" s="167"/>
      <c r="N47" s="168">
        <f t="shared" si="2"/>
        <v>0.63650000000000428</v>
      </c>
      <c r="O47" s="24">
        <f t="shared" si="3"/>
        <v>0.17179487179487296</v>
      </c>
    </row>
    <row r="48" spans="1:15">
      <c r="A48" s="19"/>
      <c r="B48" s="170" t="s">
        <v>29</v>
      </c>
      <c r="C48" s="20"/>
      <c r="D48" s="171" t="s">
        <v>24</v>
      </c>
      <c r="E48" s="14"/>
      <c r="F48" s="172">
        <v>0.79</v>
      </c>
      <c r="G48" s="25">
        <v>1</v>
      </c>
      <c r="H48" s="26">
        <f t="shared" si="6"/>
        <v>0.79</v>
      </c>
      <c r="I48" s="173"/>
      <c r="J48" s="172">
        <v>0.79</v>
      </c>
      <c r="K48" s="25">
        <v>1</v>
      </c>
      <c r="L48" s="26">
        <f t="shared" si="11"/>
        <v>0.79</v>
      </c>
      <c r="M48" s="173"/>
      <c r="N48" s="174">
        <f t="shared" si="2"/>
        <v>0</v>
      </c>
      <c r="O48" s="27"/>
    </row>
    <row r="49" spans="2:19" ht="25.5">
      <c r="B49" s="175" t="s">
        <v>30</v>
      </c>
      <c r="C49" s="176"/>
      <c r="D49" s="176"/>
      <c r="E49" s="176"/>
      <c r="F49" s="177"/>
      <c r="G49" s="178"/>
      <c r="H49" s="179">
        <f>SUM(H40:H48)+H39</f>
        <v>31.585000000000001</v>
      </c>
      <c r="I49" s="28"/>
      <c r="J49" s="178"/>
      <c r="K49" s="180"/>
      <c r="L49" s="179">
        <f>SUM(L40:L48)+L39</f>
        <v>37.182158947487167</v>
      </c>
      <c r="M49" s="28"/>
      <c r="N49" s="161">
        <f t="shared" si="2"/>
        <v>5.5971589474871664</v>
      </c>
      <c r="O49" s="162">
        <f t="shared" ref="O49:O67" si="12">IF((H49)=0,"",(N49/H49))</f>
        <v>0.1772094015351327</v>
      </c>
    </row>
    <row r="50" spans="2:19">
      <c r="B50" s="181" t="s">
        <v>31</v>
      </c>
      <c r="C50" s="28"/>
      <c r="D50" s="182" t="s">
        <v>24</v>
      </c>
      <c r="E50" s="28"/>
      <c r="F50" s="31">
        <f>'[1]B. CurrentTariff'!C45</f>
        <v>6.3E-3</v>
      </c>
      <c r="G50" s="29">
        <f>F18*(1+F76)</f>
        <v>1039</v>
      </c>
      <c r="H50" s="16">
        <f>G50*F50</f>
        <v>6.5457000000000001</v>
      </c>
      <c r="I50" s="28"/>
      <c r="J50" s="31">
        <f>'[2]4.12 PowerSupplExp'!$N$58</f>
        <v>6.0321318398108351E-3</v>
      </c>
      <c r="K50" s="30">
        <f>F18*(1+J76)</f>
        <v>1045.7</v>
      </c>
      <c r="L50" s="16">
        <f>K50*J50</f>
        <v>6.3078002648901901</v>
      </c>
      <c r="M50" s="28"/>
      <c r="N50" s="149">
        <f t="shared" si="2"/>
        <v>-0.23789973510981</v>
      </c>
      <c r="O50" s="18">
        <f t="shared" si="12"/>
        <v>-3.6344429947875706E-2</v>
      </c>
    </row>
    <row r="51" spans="2:19" ht="25.5">
      <c r="B51" s="183" t="s">
        <v>32</v>
      </c>
      <c r="C51" s="28"/>
      <c r="D51" s="182" t="s">
        <v>24</v>
      </c>
      <c r="E51" s="28"/>
      <c r="F51" s="31">
        <f>'[1]B. CurrentTariff'!C46</f>
        <v>4.4999999999999997E-3</v>
      </c>
      <c r="G51" s="29">
        <f>G50</f>
        <v>1039</v>
      </c>
      <c r="H51" s="16">
        <f>G51*F51</f>
        <v>4.6754999999999995</v>
      </c>
      <c r="I51" s="28"/>
      <c r="J51" s="31">
        <f>'[2]4.12 PowerSupplExp'!$N$74</f>
        <v>4.5995082603774813E-3</v>
      </c>
      <c r="K51" s="30">
        <f>K50</f>
        <v>1045.7</v>
      </c>
      <c r="L51" s="16">
        <f>K51*J51</f>
        <v>4.809705787876732</v>
      </c>
      <c r="M51" s="28"/>
      <c r="N51" s="149">
        <f t="shared" si="2"/>
        <v>0.13420578787673243</v>
      </c>
      <c r="O51" s="18">
        <f t="shared" si="12"/>
        <v>2.870405044952036E-2</v>
      </c>
    </row>
    <row r="52" spans="2:19" ht="25.5">
      <c r="B52" s="175" t="s">
        <v>33</v>
      </c>
      <c r="C52" s="154"/>
      <c r="D52" s="154"/>
      <c r="E52" s="154"/>
      <c r="F52" s="184"/>
      <c r="G52" s="178"/>
      <c r="H52" s="179">
        <f>SUM(H49:H51)</f>
        <v>42.806200000000004</v>
      </c>
      <c r="I52" s="185"/>
      <c r="J52" s="186"/>
      <c r="K52" s="187"/>
      <c r="L52" s="179">
        <f>SUM(L49:L51)</f>
        <v>48.299665000254087</v>
      </c>
      <c r="M52" s="185"/>
      <c r="N52" s="161">
        <f t="shared" si="2"/>
        <v>5.4934650002540835</v>
      </c>
      <c r="O52" s="162">
        <f t="shared" si="12"/>
        <v>0.12833339563554072</v>
      </c>
    </row>
    <row r="53" spans="2:19" ht="25.5">
      <c r="B53" s="145" t="s">
        <v>34</v>
      </c>
      <c r="C53" s="20"/>
      <c r="D53" s="188" t="s">
        <v>24</v>
      </c>
      <c r="E53" s="14"/>
      <c r="F53" s="31">
        <v>4.4000000000000003E-3</v>
      </c>
      <c r="G53" s="29">
        <f>G51</f>
        <v>1039</v>
      </c>
      <c r="H53" s="16">
        <f t="shared" ref="H53:H59" si="13">G53*F53</f>
        <v>4.5716000000000001</v>
      </c>
      <c r="I53" s="28"/>
      <c r="J53" s="31">
        <v>4.4000000000000003E-3</v>
      </c>
      <c r="K53" s="30">
        <f>K51</f>
        <v>1045.7</v>
      </c>
      <c r="L53" s="16">
        <f t="shared" ref="L53:L59" si="14">K53*J53</f>
        <v>4.6010800000000005</v>
      </c>
      <c r="M53" s="28"/>
      <c r="N53" s="149">
        <f t="shared" si="2"/>
        <v>2.9480000000000395E-2</v>
      </c>
      <c r="O53" s="18">
        <f t="shared" si="12"/>
        <v>6.4485081809433006E-3</v>
      </c>
    </row>
    <row r="54" spans="2:19" ht="25.5">
      <c r="B54" s="145" t="s">
        <v>35</v>
      </c>
      <c r="C54" s="20"/>
      <c r="D54" s="188" t="s">
        <v>24</v>
      </c>
      <c r="E54" s="14"/>
      <c r="F54" s="31">
        <v>1.1999999999999999E-3</v>
      </c>
      <c r="G54" s="29">
        <f>G51</f>
        <v>1039</v>
      </c>
      <c r="H54" s="16">
        <f t="shared" si="13"/>
        <v>1.2467999999999999</v>
      </c>
      <c r="I54" s="28"/>
      <c r="J54" s="31">
        <v>1.1999999999999999E-3</v>
      </c>
      <c r="K54" s="30">
        <f>K51</f>
        <v>1045.7</v>
      </c>
      <c r="L54" s="16">
        <f t="shared" si="14"/>
        <v>1.25484</v>
      </c>
      <c r="M54" s="28"/>
      <c r="N54" s="149">
        <f t="shared" si="2"/>
        <v>8.0400000000000471E-3</v>
      </c>
      <c r="O54" s="18">
        <f t="shared" si="12"/>
        <v>6.4485081809432529E-3</v>
      </c>
    </row>
    <row r="55" spans="2:19" ht="25.5">
      <c r="B55" s="145" t="s">
        <v>36</v>
      </c>
      <c r="C55" s="20"/>
      <c r="D55" s="188" t="s">
        <v>19</v>
      </c>
      <c r="E55" s="14"/>
      <c r="F55" s="31">
        <v>0.25</v>
      </c>
      <c r="G55" s="15">
        <v>1</v>
      </c>
      <c r="H55" s="16">
        <f t="shared" si="13"/>
        <v>0.25</v>
      </c>
      <c r="I55" s="28"/>
      <c r="J55" s="31">
        <v>0.25</v>
      </c>
      <c r="K55" s="17">
        <v>1</v>
      </c>
      <c r="L55" s="16">
        <f t="shared" si="14"/>
        <v>0.25</v>
      </c>
      <c r="M55" s="28"/>
      <c r="N55" s="149">
        <f t="shared" si="2"/>
        <v>0</v>
      </c>
      <c r="O55" s="18">
        <f t="shared" si="12"/>
        <v>0</v>
      </c>
    </row>
    <row r="56" spans="2:19" ht="25.5">
      <c r="B56" s="145" t="s">
        <v>37</v>
      </c>
      <c r="C56" s="20"/>
      <c r="D56" s="188" t="s">
        <v>24</v>
      </c>
      <c r="E56" s="14"/>
      <c r="F56" s="31">
        <v>4.8999999999999998E-3</v>
      </c>
      <c r="G56" s="29">
        <f>F18</f>
        <v>1000</v>
      </c>
      <c r="H56" s="16">
        <f t="shared" si="13"/>
        <v>4.8999999999999995</v>
      </c>
      <c r="I56" s="28"/>
      <c r="J56" s="31">
        <v>4.8999999999999998E-3</v>
      </c>
      <c r="K56" s="30">
        <f>F18</f>
        <v>1000</v>
      </c>
      <c r="L56" s="16">
        <f t="shared" si="14"/>
        <v>4.8999999999999995</v>
      </c>
      <c r="M56" s="28"/>
      <c r="N56" s="149">
        <f t="shared" si="2"/>
        <v>0</v>
      </c>
      <c r="O56" s="18">
        <f t="shared" si="12"/>
        <v>0</v>
      </c>
    </row>
    <row r="57" spans="2:19">
      <c r="B57" s="170" t="s">
        <v>38</v>
      </c>
      <c r="C57" s="20"/>
      <c r="D57" s="188" t="s">
        <v>24</v>
      </c>
      <c r="E57" s="14"/>
      <c r="F57" s="31">
        <v>7.6999999999999999E-2</v>
      </c>
      <c r="G57" s="189">
        <f>0.64*$F$18</f>
        <v>640</v>
      </c>
      <c r="H57" s="16">
        <f t="shared" si="13"/>
        <v>49.28</v>
      </c>
      <c r="I57" s="28"/>
      <c r="J57" s="31">
        <v>7.6999999999999999E-2</v>
      </c>
      <c r="K57" s="189">
        <f>G57</f>
        <v>640</v>
      </c>
      <c r="L57" s="16">
        <f t="shared" si="14"/>
        <v>49.28</v>
      </c>
      <c r="M57" s="28"/>
      <c r="N57" s="149">
        <f t="shared" si="2"/>
        <v>0</v>
      </c>
      <c r="O57" s="18">
        <f t="shared" si="12"/>
        <v>0</v>
      </c>
      <c r="S57" s="190"/>
    </row>
    <row r="58" spans="2:19">
      <c r="B58" s="170" t="s">
        <v>39</v>
      </c>
      <c r="C58" s="20"/>
      <c r="D58" s="188" t="s">
        <v>24</v>
      </c>
      <c r="E58" s="14"/>
      <c r="F58" s="31">
        <v>0.114</v>
      </c>
      <c r="G58" s="189">
        <f>0.18*$F$18</f>
        <v>180</v>
      </c>
      <c r="H58" s="16">
        <f t="shared" si="13"/>
        <v>20.52</v>
      </c>
      <c r="I58" s="28"/>
      <c r="J58" s="31">
        <v>0.114</v>
      </c>
      <c r="K58" s="189">
        <f>G58</f>
        <v>180</v>
      </c>
      <c r="L58" s="16">
        <f t="shared" si="14"/>
        <v>20.52</v>
      </c>
      <c r="M58" s="28"/>
      <c r="N58" s="149">
        <f t="shared" si="2"/>
        <v>0</v>
      </c>
      <c r="O58" s="18">
        <f t="shared" si="12"/>
        <v>0</v>
      </c>
      <c r="S58" s="190"/>
    </row>
    <row r="59" spans="2:19">
      <c r="B59" s="135" t="s">
        <v>40</v>
      </c>
      <c r="C59" s="20"/>
      <c r="D59" s="188" t="s">
        <v>24</v>
      </c>
      <c r="E59" s="14"/>
      <c r="F59" s="31">
        <v>0.14000000000000001</v>
      </c>
      <c r="G59" s="189">
        <f>0.18*$F$18</f>
        <v>180</v>
      </c>
      <c r="H59" s="16">
        <f t="shared" si="13"/>
        <v>25.200000000000003</v>
      </c>
      <c r="I59" s="28"/>
      <c r="J59" s="31">
        <v>0.14000000000000001</v>
      </c>
      <c r="K59" s="189">
        <f>G59</f>
        <v>180</v>
      </c>
      <c r="L59" s="16">
        <f t="shared" si="14"/>
        <v>25.200000000000003</v>
      </c>
      <c r="M59" s="28"/>
      <c r="N59" s="149">
        <f t="shared" si="2"/>
        <v>0</v>
      </c>
      <c r="O59" s="18">
        <f t="shared" si="12"/>
        <v>0</v>
      </c>
      <c r="S59" s="190"/>
    </row>
    <row r="60" spans="2:19" s="195" customFormat="1">
      <c r="B60" s="191" t="s">
        <v>41</v>
      </c>
      <c r="C60" s="32"/>
      <c r="D60" s="188" t="s">
        <v>24</v>
      </c>
      <c r="E60" s="32"/>
      <c r="F60" s="31">
        <v>8.5999999999999993E-2</v>
      </c>
      <c r="G60" s="192">
        <f>IF(AND($T$1=1, F18&gt;=600), 600, IF(AND($T$1=1, AND(F18&lt;600, F18&gt;=0)), F18, IF(AND($T$1=2, F18&gt;=1000), 1000, IF(AND($T$1=2, AND(F18&lt;1000, F18&gt;=0)), F18))))</f>
        <v>600</v>
      </c>
      <c r="H60" s="16">
        <f>G60*F60</f>
        <v>51.599999999999994</v>
      </c>
      <c r="I60" s="193"/>
      <c r="J60" s="31">
        <v>8.5999999999999993E-2</v>
      </c>
      <c r="K60" s="192">
        <f>G60</f>
        <v>600</v>
      </c>
      <c r="L60" s="16">
        <f>K60*J60</f>
        <v>51.599999999999994</v>
      </c>
      <c r="M60" s="193"/>
      <c r="N60" s="194">
        <f t="shared" si="2"/>
        <v>0</v>
      </c>
      <c r="O60" s="18">
        <f t="shared" si="12"/>
        <v>0</v>
      </c>
    </row>
    <row r="61" spans="2:19" s="195" customFormat="1" ht="13.5" thickBot="1">
      <c r="B61" s="191" t="s">
        <v>42</v>
      </c>
      <c r="C61" s="32"/>
      <c r="D61" s="188" t="s">
        <v>24</v>
      </c>
      <c r="E61" s="32"/>
      <c r="F61" s="31">
        <v>0.10100000000000001</v>
      </c>
      <c r="G61" s="192">
        <f>IF(AND($T$1=1, F18&gt;=600), F18-600, IF(AND($T$1=1, AND(F18&lt;600, F18&gt;=0)), 0, IF(AND($T$1=2, F18&gt;=1000), F18-1000, IF(AND($T$1=2, AND(F18&lt;1000, F18&gt;=0)), 0))))</f>
        <v>400</v>
      </c>
      <c r="H61" s="16">
        <f>G61*F61</f>
        <v>40.400000000000006</v>
      </c>
      <c r="I61" s="193"/>
      <c r="J61" s="31">
        <v>0.10100000000000001</v>
      </c>
      <c r="K61" s="192">
        <f>G61</f>
        <v>400</v>
      </c>
      <c r="L61" s="16">
        <f>K61*J61</f>
        <v>40.400000000000006</v>
      </c>
      <c r="M61" s="193"/>
      <c r="N61" s="194">
        <f t="shared" si="2"/>
        <v>0</v>
      </c>
      <c r="O61" s="18">
        <f t="shared" si="12"/>
        <v>0</v>
      </c>
    </row>
    <row r="62" spans="2:19" ht="13.5" thickBot="1">
      <c r="B62" s="196"/>
      <c r="C62" s="197"/>
      <c r="D62" s="198"/>
      <c r="E62" s="197"/>
      <c r="F62" s="199"/>
      <c r="G62" s="200"/>
      <c r="H62" s="201"/>
      <c r="I62" s="202"/>
      <c r="J62" s="199"/>
      <c r="K62" s="203"/>
      <c r="L62" s="201"/>
      <c r="M62" s="202"/>
      <c r="N62" s="204"/>
      <c r="O62" s="205"/>
    </row>
    <row r="63" spans="2:19" ht="25.5">
      <c r="B63" s="33" t="s">
        <v>43</v>
      </c>
      <c r="C63" s="20"/>
      <c r="D63" s="20"/>
      <c r="E63" s="20"/>
      <c r="F63" s="34"/>
      <c r="G63" s="35"/>
      <c r="H63" s="36">
        <f>SUM(H53:H59,H52)</f>
        <v>148.77460000000002</v>
      </c>
      <c r="I63" s="37"/>
      <c r="J63" s="38"/>
      <c r="K63" s="38"/>
      <c r="L63" s="36">
        <f>SUM(L53:L59,L52)</f>
        <v>154.3055850002541</v>
      </c>
      <c r="M63" s="39"/>
      <c r="N63" s="40">
        <f>L63-H63</f>
        <v>5.530985000254077</v>
      </c>
      <c r="O63" s="41">
        <f>IF((H63)=0,"",(N63/H63))</f>
        <v>3.7176944184384136E-2</v>
      </c>
      <c r="S63" s="190"/>
    </row>
    <row r="64" spans="2:19">
      <c r="B64" s="42" t="s">
        <v>44</v>
      </c>
      <c r="C64" s="20"/>
      <c r="D64" s="20"/>
      <c r="E64" s="20"/>
      <c r="F64" s="43">
        <v>0.13</v>
      </c>
      <c r="G64" s="44"/>
      <c r="H64" s="45">
        <f>H63*F64</f>
        <v>19.340698000000003</v>
      </c>
      <c r="I64" s="46"/>
      <c r="J64" s="47">
        <v>0.13</v>
      </c>
      <c r="K64" s="46"/>
      <c r="L64" s="48">
        <f>L63*J64</f>
        <v>20.059726050033035</v>
      </c>
      <c r="M64" s="49"/>
      <c r="N64" s="50">
        <f t="shared" si="2"/>
        <v>0.71902805003303172</v>
      </c>
      <c r="O64" s="18">
        <f t="shared" si="12"/>
        <v>3.7176944184384227E-2</v>
      </c>
      <c r="S64" s="190"/>
    </row>
    <row r="65" spans="1:19">
      <c r="B65" s="206" t="s">
        <v>45</v>
      </c>
      <c r="C65" s="20"/>
      <c r="D65" s="20"/>
      <c r="E65" s="20"/>
      <c r="F65" s="51"/>
      <c r="G65" s="44"/>
      <c r="H65" s="45">
        <f>H63+H64</f>
        <v>168.11529800000002</v>
      </c>
      <c r="I65" s="46"/>
      <c r="J65" s="46"/>
      <c r="K65" s="46"/>
      <c r="L65" s="48">
        <f>L63+L64</f>
        <v>174.36531105028712</v>
      </c>
      <c r="M65" s="49"/>
      <c r="N65" s="50">
        <f t="shared" si="2"/>
        <v>6.2500130502870945</v>
      </c>
      <c r="O65" s="18">
        <f t="shared" si="12"/>
        <v>3.717694418438406E-2</v>
      </c>
      <c r="S65" s="190"/>
    </row>
    <row r="66" spans="1:19">
      <c r="B66" s="292" t="s">
        <v>46</v>
      </c>
      <c r="C66" s="292"/>
      <c r="D66" s="292"/>
      <c r="E66" s="20"/>
      <c r="F66" s="51"/>
      <c r="G66" s="44"/>
      <c r="H66" s="52">
        <f>ROUND(-H65*0.1,2)</f>
        <v>-16.809999999999999</v>
      </c>
      <c r="I66" s="46"/>
      <c r="J66" s="46"/>
      <c r="K66" s="46"/>
      <c r="L66" s="53">
        <f>ROUND(-L65*0.1,2)</f>
        <v>-17.440000000000001</v>
      </c>
      <c r="M66" s="49"/>
      <c r="N66" s="54">
        <f t="shared" si="2"/>
        <v>-0.63000000000000256</v>
      </c>
      <c r="O66" s="55">
        <f t="shared" si="12"/>
        <v>3.7477691850089388E-2</v>
      </c>
    </row>
    <row r="67" spans="1:19" ht="13.5" thickBot="1">
      <c r="B67" s="293" t="s">
        <v>47</v>
      </c>
      <c r="C67" s="293"/>
      <c r="D67" s="293"/>
      <c r="E67" s="14"/>
      <c r="F67" s="207"/>
      <c r="G67" s="208"/>
      <c r="H67" s="209">
        <f>H65+H66</f>
        <v>151.30529800000002</v>
      </c>
      <c r="I67" s="210"/>
      <c r="J67" s="210"/>
      <c r="K67" s="210"/>
      <c r="L67" s="211">
        <f>L65+L66</f>
        <v>156.92531105028712</v>
      </c>
      <c r="M67" s="212"/>
      <c r="N67" s="213">
        <f t="shared" si="2"/>
        <v>5.6200130502870991</v>
      </c>
      <c r="O67" s="214">
        <f t="shared" si="12"/>
        <v>3.7143531155710743E-2</v>
      </c>
    </row>
    <row r="68" spans="1:19" s="195" customFormat="1" ht="13.5" thickBot="1">
      <c r="B68" s="215"/>
      <c r="C68" s="216"/>
      <c r="D68" s="217"/>
      <c r="E68" s="216"/>
      <c r="F68" s="199"/>
      <c r="G68" s="218"/>
      <c r="H68" s="201"/>
      <c r="I68" s="219"/>
      <c r="J68" s="199"/>
      <c r="K68" s="220"/>
      <c r="L68" s="201"/>
      <c r="M68" s="219"/>
      <c r="N68" s="221"/>
      <c r="O68" s="205"/>
    </row>
    <row r="69" spans="1:19" s="195" customFormat="1" ht="25.5">
      <c r="B69" s="56" t="s">
        <v>48</v>
      </c>
      <c r="C69" s="32"/>
      <c r="D69" s="32"/>
      <c r="E69" s="32"/>
      <c r="F69" s="57"/>
      <c r="G69" s="58"/>
      <c r="H69" s="59">
        <f>SUM(H60:H61,H52,H53:H56)</f>
        <v>145.77459999999999</v>
      </c>
      <c r="I69" s="60"/>
      <c r="J69" s="61"/>
      <c r="K69" s="61"/>
      <c r="L69" s="59">
        <f>SUM(L60:L61,L52,L53:L56)</f>
        <v>151.3055850002541</v>
      </c>
      <c r="M69" s="62"/>
      <c r="N69" s="63">
        <f>L69-H69</f>
        <v>5.5309850002541054</v>
      </c>
      <c r="O69" s="41">
        <f>IF((H69)=0,"",(N69/H69))</f>
        <v>3.7942035171107349E-2</v>
      </c>
    </row>
    <row r="70" spans="1:19" s="195" customFormat="1">
      <c r="B70" s="64" t="s">
        <v>44</v>
      </c>
      <c r="C70" s="32"/>
      <c r="D70" s="32"/>
      <c r="E70" s="32"/>
      <c r="F70" s="65">
        <v>0.13</v>
      </c>
      <c r="G70" s="58"/>
      <c r="H70" s="66">
        <f>H69*F70</f>
        <v>18.950697999999999</v>
      </c>
      <c r="I70" s="67"/>
      <c r="J70" s="68">
        <v>0.13</v>
      </c>
      <c r="K70" s="69"/>
      <c r="L70" s="70">
        <f>L69*J70</f>
        <v>19.669726050033034</v>
      </c>
      <c r="M70" s="71"/>
      <c r="N70" s="72">
        <f>L70-H70</f>
        <v>0.71902805003303527</v>
      </c>
      <c r="O70" s="18">
        <f>IF((H70)=0,"",(N70/H70))</f>
        <v>3.7942035171107433E-2</v>
      </c>
    </row>
    <row r="71" spans="1:19" s="195" customFormat="1">
      <c r="B71" s="222" t="s">
        <v>45</v>
      </c>
      <c r="C71" s="32"/>
      <c r="D71" s="32"/>
      <c r="E71" s="32"/>
      <c r="F71" s="73"/>
      <c r="G71" s="74"/>
      <c r="H71" s="66">
        <f>H69+H70</f>
        <v>164.72529799999998</v>
      </c>
      <c r="I71" s="67"/>
      <c r="J71" s="67"/>
      <c r="K71" s="67"/>
      <c r="L71" s="70">
        <f>L69+L70</f>
        <v>170.97531105028713</v>
      </c>
      <c r="M71" s="71"/>
      <c r="N71" s="72">
        <f>L71-H71</f>
        <v>6.2500130502871514</v>
      </c>
      <c r="O71" s="18">
        <f>IF((H71)=0,"",(N71/H71))</f>
        <v>3.7942035171107426E-2</v>
      </c>
    </row>
    <row r="72" spans="1:19" s="195" customFormat="1">
      <c r="B72" s="294" t="s">
        <v>46</v>
      </c>
      <c r="C72" s="294"/>
      <c r="D72" s="294"/>
      <c r="E72" s="32"/>
      <c r="F72" s="73"/>
      <c r="G72" s="74"/>
      <c r="H72" s="75">
        <f>ROUND(-H71*0.1,2)</f>
        <v>-16.47</v>
      </c>
      <c r="I72" s="67"/>
      <c r="J72" s="67"/>
      <c r="K72" s="67"/>
      <c r="L72" s="76">
        <f>ROUND(-L71*0.1,2)</f>
        <v>-17.100000000000001</v>
      </c>
      <c r="M72" s="71"/>
      <c r="N72" s="77">
        <f>L72-H72</f>
        <v>-0.63000000000000256</v>
      </c>
      <c r="O72" s="55">
        <f>IF((H72)=0,"",(N72/H72))</f>
        <v>3.825136612021874E-2</v>
      </c>
    </row>
    <row r="73" spans="1:19" s="195" customFormat="1" ht="13.5" thickBot="1">
      <c r="B73" s="288" t="s">
        <v>49</v>
      </c>
      <c r="C73" s="288"/>
      <c r="D73" s="288"/>
      <c r="E73" s="32"/>
      <c r="F73" s="73"/>
      <c r="G73" s="74"/>
      <c r="H73" s="59">
        <f>SUM(H71:H72)</f>
        <v>148.25529799999998</v>
      </c>
      <c r="I73" s="60"/>
      <c r="J73" s="60"/>
      <c r="K73" s="60"/>
      <c r="L73" s="223">
        <f>SUM(L71:L72)</f>
        <v>153.87531105028714</v>
      </c>
      <c r="M73" s="62"/>
      <c r="N73" s="63">
        <f>L73-H73</f>
        <v>5.6200130502871559</v>
      </c>
      <c r="O73" s="41">
        <f>IF((H73)=0,"",(N73/H73))</f>
        <v>3.7907670930499605E-2</v>
      </c>
    </row>
    <row r="74" spans="1:19" s="195" customFormat="1" ht="13.5" thickBot="1">
      <c r="B74" s="215"/>
      <c r="C74" s="216"/>
      <c r="D74" s="217"/>
      <c r="E74" s="216"/>
      <c r="F74" s="224"/>
      <c r="G74" s="225"/>
      <c r="H74" s="226"/>
      <c r="I74" s="227"/>
      <c r="J74" s="224"/>
      <c r="K74" s="218"/>
      <c r="L74" s="228"/>
      <c r="M74" s="219"/>
      <c r="N74" s="229"/>
      <c r="O74" s="205"/>
    </row>
    <row r="75" spans="1:19">
      <c r="L75" s="190"/>
    </row>
    <row r="76" spans="1:19">
      <c r="B76" s="230" t="s">
        <v>50</v>
      </c>
      <c r="F76" s="231">
        <v>3.9E-2</v>
      </c>
      <c r="J76" s="231">
        <v>4.5699999999999998E-2</v>
      </c>
    </row>
    <row r="78" spans="1:19" ht="14.25">
      <c r="A78" s="232" t="s">
        <v>51</v>
      </c>
    </row>
    <row r="80" spans="1:19">
      <c r="A80" s="12" t="s">
        <v>52</v>
      </c>
    </row>
    <row r="81" spans="1:2">
      <c r="A81" s="12" t="s">
        <v>53</v>
      </c>
    </row>
    <row r="83" spans="1:2">
      <c r="A83" s="233" t="s">
        <v>54</v>
      </c>
    </row>
    <row r="84" spans="1:2">
      <c r="A84" s="233" t="s">
        <v>55</v>
      </c>
    </row>
    <row r="86" spans="1:2">
      <c r="A86" s="12" t="s">
        <v>56</v>
      </c>
    </row>
    <row r="87" spans="1:2">
      <c r="A87" s="12" t="s">
        <v>57</v>
      </c>
    </row>
    <row r="88" spans="1:2">
      <c r="A88" s="12" t="s">
        <v>58</v>
      </c>
    </row>
    <row r="89" spans="1:2">
      <c r="A89" s="12" t="s">
        <v>59</v>
      </c>
    </row>
    <row r="90" spans="1:2">
      <c r="A90" s="12" t="s">
        <v>60</v>
      </c>
    </row>
    <row r="92" spans="1:2" ht="51">
      <c r="B92" s="13" t="s">
        <v>61</v>
      </c>
    </row>
  </sheetData>
  <mergeCells count="14">
    <mergeCell ref="A3:K3"/>
    <mergeCell ref="B10:O10"/>
    <mergeCell ref="B11:O11"/>
    <mergeCell ref="D14:O14"/>
    <mergeCell ref="F20:H20"/>
    <mergeCell ref="J20:L20"/>
    <mergeCell ref="N20:O20"/>
    <mergeCell ref="B73:D73"/>
    <mergeCell ref="D21:D22"/>
    <mergeCell ref="N21:N22"/>
    <mergeCell ref="O21:O22"/>
    <mergeCell ref="B66:D66"/>
    <mergeCell ref="B67:D67"/>
    <mergeCell ref="B72:D72"/>
  </mergeCells>
  <dataValidations count="3">
    <dataValidation type="list" allowBlank="1" showInputMessage="1" showErrorMessage="1" sqref="D16">
      <formula1>"TOU,non-TOU"</formula1>
      <formula2>0</formula2>
    </dataValidation>
    <dataValidation type="list" allowBlank="1" showInputMessage="1" showErrorMessage="1" prompt="Select Charge Unit - monthly, per kWh, per kW" sqref="D74 D23:D38 D50:D51 D68 D53:D62 D40:D48">
      <formula1>"Monthly,per kWh,per kW"</formula1>
      <formula2>0</formula2>
    </dataValidation>
    <dataValidation type="list" allowBlank="1" showInputMessage="1" showErrorMessage="1" sqref="E23:E38 E74 E50:E51 E53:E62 E68 E40:E48">
      <formula1>"#REF!"</formula1>
      <formula2>0</formula2>
    </dataValidation>
  </dataValidations>
  <pageMargins left="0.7" right="0.7" top="0.75" bottom="0.75" header="0.3" footer="0.3"/>
  <pageSetup paperSize="9" scale="4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Option Button 44">
              <controlPr defaultSize="0" autoFill="0" autoLine="0" autoPict="0">
                <anchor moveWithCells="1" sizeWithCells="1">
                  <from>
                    <xdr:col>6</xdr:col>
                    <xdr:colOff>476250</xdr:colOff>
                    <xdr:row>17</xdr:row>
                    <xdr:rowOff>0</xdr:rowOff>
                  </from>
                  <to>
                    <xdr:col>9</xdr:col>
                    <xdr:colOff>733425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Option Button 45">
              <controlPr defaultSize="0" autoFill="0" autoLine="0" autoPict="0">
                <anchor moveWithCells="1" sizeWithCells="1">
                  <from>
                    <xdr:col>9</xdr:col>
                    <xdr:colOff>371475</xdr:colOff>
                    <xdr:row>16</xdr:row>
                    <xdr:rowOff>104775</xdr:rowOff>
                  </from>
                  <to>
                    <xdr:col>16</xdr:col>
                    <xdr:colOff>257175</xdr:colOff>
                    <xdr:row>18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92"/>
  <sheetViews>
    <sheetView showGridLines="0" workbookViewId="0">
      <selection activeCell="B10" sqref="B10:O10"/>
    </sheetView>
  </sheetViews>
  <sheetFormatPr defaultRowHeight="12.75"/>
  <cols>
    <col min="1" max="1" width="11.28515625" style="12" customWidth="1"/>
    <col min="2" max="2" width="26.5703125" style="13" customWidth="1"/>
    <col min="3" max="3" width="1.28515625" style="12" customWidth="1"/>
    <col min="4" max="4" width="11.28515625" style="12" customWidth="1"/>
    <col min="5" max="5" width="1.28515625" style="12" customWidth="1"/>
    <col min="6" max="6" width="12.28515625" style="12" customWidth="1"/>
    <col min="7" max="7" width="8.5703125" style="12" customWidth="1"/>
    <col min="8" max="8" width="11.140625" style="12" customWidth="1"/>
    <col min="9" max="9" width="2.85546875" style="12" customWidth="1"/>
    <col min="10" max="10" width="12.140625" style="12" customWidth="1"/>
    <col min="11" max="11" width="8.5703125" style="12" customWidth="1"/>
    <col min="12" max="12" width="9.7109375" style="12" customWidth="1"/>
    <col min="13" max="13" width="2.85546875" style="12" customWidth="1"/>
    <col min="14" max="14" width="12.7109375" style="12" customWidth="1"/>
    <col min="15" max="15" width="10.85546875" style="12" customWidth="1"/>
    <col min="16" max="16" width="3.85546875" style="12" customWidth="1"/>
    <col min="17" max="16384" width="9.140625" style="12"/>
  </cols>
  <sheetData>
    <row r="1" spans="1:20" s="2" customFormat="1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/>
      <c r="O1" s="4"/>
      <c r="T1" s="2">
        <v>1</v>
      </c>
    </row>
    <row r="2" spans="1:20" s="2" customFormat="1" ht="12.75" customHeight="1">
      <c r="A2" s="5"/>
      <c r="B2" s="6"/>
      <c r="C2" s="5"/>
      <c r="D2" s="5"/>
      <c r="E2" s="5"/>
      <c r="F2" s="5"/>
      <c r="G2" s="5"/>
      <c r="H2" s="5"/>
      <c r="I2" s="5"/>
      <c r="J2" s="5"/>
      <c r="K2" s="5"/>
      <c r="N2" s="3"/>
      <c r="O2" s="7"/>
    </row>
    <row r="3" spans="1:20" s="2" customFormat="1" ht="12.75" customHeight="1">
      <c r="A3" s="295"/>
      <c r="B3" s="295"/>
      <c r="C3" s="295"/>
      <c r="D3" s="295"/>
      <c r="E3" s="295"/>
      <c r="F3" s="295"/>
      <c r="G3" s="295"/>
      <c r="H3" s="295"/>
      <c r="I3" s="295"/>
      <c r="J3" s="295"/>
      <c r="K3" s="295"/>
      <c r="N3" s="3"/>
      <c r="O3" s="7"/>
    </row>
    <row r="4" spans="1:20" s="2" customFormat="1" ht="12.75" customHeight="1">
      <c r="A4" s="5"/>
      <c r="B4" s="6"/>
      <c r="C4" s="5"/>
      <c r="D4" s="5"/>
      <c r="E4" s="5"/>
      <c r="F4" s="5"/>
      <c r="G4" s="5"/>
      <c r="H4" s="5"/>
      <c r="I4" s="8"/>
      <c r="J4" s="8"/>
      <c r="K4" s="8"/>
      <c r="N4" s="3"/>
      <c r="O4" s="7"/>
    </row>
    <row r="5" spans="1:20" s="2" customFormat="1" ht="12.75" customHeight="1">
      <c r="B5" s="9"/>
      <c r="C5" s="10"/>
      <c r="D5" s="10"/>
      <c r="E5" s="10"/>
      <c r="N5" s="3"/>
      <c r="O5" s="4"/>
    </row>
    <row r="6" spans="1:20" s="2" customFormat="1" ht="12.75" customHeight="1">
      <c r="B6" s="9"/>
      <c r="N6" s="3"/>
      <c r="O6" s="11"/>
    </row>
    <row r="7" spans="1:20" s="2" customFormat="1" ht="12.75" customHeight="1">
      <c r="B7" s="9"/>
      <c r="N7" s="3"/>
      <c r="O7" s="4"/>
    </row>
    <row r="8" spans="1:20" s="2" customFormat="1" ht="12.75" customHeight="1">
      <c r="B8" s="9"/>
    </row>
    <row r="9" spans="1:20" ht="12.75" customHeight="1"/>
    <row r="10" spans="1:20" s="130" customFormat="1" ht="18.75" customHeight="1">
      <c r="B10" s="299" t="s">
        <v>0</v>
      </c>
      <c r="C10" s="299"/>
      <c r="D10" s="299"/>
      <c r="E10" s="299"/>
      <c r="F10" s="299"/>
      <c r="G10" s="299"/>
      <c r="H10" s="299"/>
      <c r="I10" s="299"/>
      <c r="J10" s="299"/>
      <c r="K10" s="299"/>
      <c r="L10" s="299"/>
      <c r="M10" s="299"/>
      <c r="N10" s="299"/>
      <c r="O10" s="299"/>
    </row>
    <row r="11" spans="1:20" ht="18.75" customHeight="1">
      <c r="B11" s="296" t="s">
        <v>1</v>
      </c>
      <c r="C11" s="296"/>
      <c r="D11" s="296"/>
      <c r="E11" s="296"/>
      <c r="F11" s="296"/>
      <c r="G11" s="296"/>
      <c r="H11" s="296"/>
      <c r="I11" s="296"/>
      <c r="J11" s="296"/>
      <c r="K11" s="296"/>
      <c r="L11" s="296"/>
      <c r="M11" s="296"/>
      <c r="N11" s="296"/>
      <c r="O11" s="296"/>
    </row>
    <row r="12" spans="1:20" ht="7.5" customHeight="1"/>
    <row r="13" spans="1:20" ht="7.5" customHeight="1"/>
    <row r="14" spans="1:20" ht="15.75">
      <c r="B14" s="131" t="s">
        <v>2</v>
      </c>
      <c r="D14" s="297" t="s">
        <v>3</v>
      </c>
      <c r="E14" s="297"/>
      <c r="F14" s="297"/>
      <c r="G14" s="297"/>
      <c r="H14" s="297"/>
      <c r="I14" s="297"/>
      <c r="J14" s="297"/>
      <c r="K14" s="297"/>
      <c r="L14" s="297"/>
      <c r="M14" s="297"/>
      <c r="N14" s="297"/>
      <c r="O14" s="297"/>
    </row>
    <row r="15" spans="1:20" ht="7.5" customHeight="1">
      <c r="B15" s="132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</row>
    <row r="16" spans="1:20" ht="15.75">
      <c r="B16" s="131" t="s">
        <v>4</v>
      </c>
      <c r="D16" s="134" t="s">
        <v>5</v>
      </c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</row>
    <row r="17" spans="1:15" ht="15.75">
      <c r="B17" s="132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</row>
    <row r="18" spans="1:15">
      <c r="B18" s="135"/>
      <c r="D18" s="136" t="s">
        <v>6</v>
      </c>
      <c r="E18" s="136"/>
      <c r="F18" s="137">
        <v>3000</v>
      </c>
      <c r="G18" s="136" t="s">
        <v>7</v>
      </c>
    </row>
    <row r="19" spans="1:15">
      <c r="B19" s="135"/>
    </row>
    <row r="20" spans="1:15">
      <c r="B20" s="135"/>
      <c r="D20" s="138"/>
      <c r="E20" s="138"/>
      <c r="F20" s="298" t="s">
        <v>8</v>
      </c>
      <c r="G20" s="298"/>
      <c r="H20" s="298"/>
      <c r="J20" s="298" t="s">
        <v>9</v>
      </c>
      <c r="K20" s="298"/>
      <c r="L20" s="298"/>
      <c r="N20" s="298" t="s">
        <v>10</v>
      </c>
      <c r="O20" s="298"/>
    </row>
    <row r="21" spans="1:15">
      <c r="B21" s="135"/>
      <c r="D21" s="289" t="s">
        <v>11</v>
      </c>
      <c r="E21" s="139"/>
      <c r="F21" s="140" t="s">
        <v>12</v>
      </c>
      <c r="G21" s="140" t="s">
        <v>13</v>
      </c>
      <c r="H21" s="141" t="s">
        <v>14</v>
      </c>
      <c r="J21" s="140" t="s">
        <v>12</v>
      </c>
      <c r="K21" s="142" t="s">
        <v>13</v>
      </c>
      <c r="L21" s="141" t="s">
        <v>14</v>
      </c>
      <c r="N21" s="290" t="s">
        <v>15</v>
      </c>
      <c r="O21" s="291" t="s">
        <v>16</v>
      </c>
    </row>
    <row r="22" spans="1:15">
      <c r="B22" s="135"/>
      <c r="D22" s="289"/>
      <c r="E22" s="139"/>
      <c r="F22" s="143" t="s">
        <v>17</v>
      </c>
      <c r="G22" s="143"/>
      <c r="H22" s="144" t="s">
        <v>17</v>
      </c>
      <c r="J22" s="143" t="s">
        <v>17</v>
      </c>
      <c r="K22" s="144"/>
      <c r="L22" s="144" t="s">
        <v>17</v>
      </c>
      <c r="N22" s="290"/>
      <c r="O22" s="291"/>
    </row>
    <row r="23" spans="1:15">
      <c r="B23" s="145" t="s">
        <v>18</v>
      </c>
      <c r="C23" s="20"/>
      <c r="D23" s="146" t="s">
        <v>19</v>
      </c>
      <c r="E23" s="14"/>
      <c r="F23" s="147">
        <f>'[1]B. CurrentTariff'!C32</f>
        <v>10.99</v>
      </c>
      <c r="G23" s="15">
        <v>1</v>
      </c>
      <c r="H23" s="16">
        <f>G23*F23</f>
        <v>10.99</v>
      </c>
      <c r="I23" s="28"/>
      <c r="J23" s="148">
        <f>'[1]G. RateDesign'!B46</f>
        <v>18.05</v>
      </c>
      <c r="K23" s="17">
        <v>1</v>
      </c>
      <c r="L23" s="16">
        <f>K23*J23</f>
        <v>18.05</v>
      </c>
      <c r="M23" s="28"/>
      <c r="N23" s="149">
        <f>L23-H23</f>
        <v>7.0600000000000005</v>
      </c>
      <c r="O23" s="18">
        <f>IF((H23)=0,"",(N23/H23))</f>
        <v>0.6424021838034577</v>
      </c>
    </row>
    <row r="24" spans="1:15">
      <c r="A24" s="19"/>
      <c r="B24" s="145" t="s">
        <v>20</v>
      </c>
      <c r="C24" s="20"/>
      <c r="D24" s="146"/>
      <c r="E24" s="14"/>
      <c r="F24" s="150"/>
      <c r="G24" s="15">
        <v>1</v>
      </c>
      <c r="H24" s="16">
        <f t="shared" ref="H24:H38" si="0">G24*F24</f>
        <v>0</v>
      </c>
      <c r="I24" s="28"/>
      <c r="J24" s="148"/>
      <c r="K24" s="17">
        <v>1</v>
      </c>
      <c r="L24" s="16">
        <f>K24*J24</f>
        <v>0</v>
      </c>
      <c r="M24" s="28"/>
      <c r="N24" s="149">
        <f>L24-H24</f>
        <v>0</v>
      </c>
      <c r="O24" s="18" t="str">
        <f>IF((H24)=0,"",(N24/H24))</f>
        <v/>
      </c>
    </row>
    <row r="25" spans="1:15">
      <c r="A25" s="19"/>
      <c r="B25" s="151" t="s">
        <v>21</v>
      </c>
      <c r="C25" s="20"/>
      <c r="D25" s="146" t="s">
        <v>19</v>
      </c>
      <c r="E25" s="14"/>
      <c r="F25" s="150"/>
      <c r="G25" s="15">
        <v>1</v>
      </c>
      <c r="H25" s="16">
        <f t="shared" si="0"/>
        <v>0</v>
      </c>
      <c r="I25" s="28"/>
      <c r="J25" s="148">
        <f>'[1]I. SMRR'!G13</f>
        <v>0.78171012891784653</v>
      </c>
      <c r="K25" s="17">
        <v>1</v>
      </c>
      <c r="L25" s="16">
        <f t="shared" ref="L25:L38" si="1">K25*J25</f>
        <v>0.78171012891784653</v>
      </c>
      <c r="M25" s="28"/>
      <c r="N25" s="149">
        <f t="shared" ref="N25:N67" si="2">L25-H25</f>
        <v>0.78171012891784653</v>
      </c>
      <c r="O25" s="18" t="str">
        <f t="shared" ref="O25:O47" si="3">IF((H25)=0,"",(N25/H25))</f>
        <v/>
      </c>
    </row>
    <row r="26" spans="1:15">
      <c r="A26" s="19"/>
      <c r="B26" s="145" t="s">
        <v>22</v>
      </c>
      <c r="C26" s="20"/>
      <c r="D26" s="146"/>
      <c r="E26" s="14"/>
      <c r="F26" s="150"/>
      <c r="G26" s="15">
        <v>1</v>
      </c>
      <c r="H26" s="16">
        <f t="shared" si="0"/>
        <v>0</v>
      </c>
      <c r="I26" s="28"/>
      <c r="J26" s="148">
        <v>3.36</v>
      </c>
      <c r="K26" s="17">
        <v>1</v>
      </c>
      <c r="L26" s="16">
        <f t="shared" si="1"/>
        <v>3.36</v>
      </c>
      <c r="M26" s="28"/>
      <c r="N26" s="149">
        <f t="shared" si="2"/>
        <v>3.36</v>
      </c>
      <c r="O26" s="18" t="str">
        <f t="shared" si="3"/>
        <v/>
      </c>
    </row>
    <row r="27" spans="1:15">
      <c r="A27" s="19"/>
      <c r="B27" s="152"/>
      <c r="C27" s="20"/>
      <c r="D27" s="146"/>
      <c r="E27" s="14"/>
      <c r="F27" s="150"/>
      <c r="G27" s="15">
        <v>1</v>
      </c>
      <c r="H27" s="16">
        <f t="shared" si="0"/>
        <v>0</v>
      </c>
      <c r="I27" s="28"/>
      <c r="J27" s="31"/>
      <c r="K27" s="17">
        <v>1</v>
      </c>
      <c r="L27" s="16">
        <f t="shared" si="1"/>
        <v>0</v>
      </c>
      <c r="M27" s="28"/>
      <c r="N27" s="149">
        <f t="shared" si="2"/>
        <v>0</v>
      </c>
      <c r="O27" s="18" t="str">
        <f t="shared" si="3"/>
        <v/>
      </c>
    </row>
    <row r="28" spans="1:15">
      <c r="A28" s="19"/>
      <c r="B28" s="152"/>
      <c r="C28" s="20"/>
      <c r="D28" s="146"/>
      <c r="E28" s="14"/>
      <c r="F28" s="150"/>
      <c r="G28" s="15">
        <v>1</v>
      </c>
      <c r="H28" s="16">
        <f t="shared" si="0"/>
        <v>0</v>
      </c>
      <c r="I28" s="28"/>
      <c r="J28" s="31"/>
      <c r="K28" s="17">
        <v>1</v>
      </c>
      <c r="L28" s="16">
        <f t="shared" si="1"/>
        <v>0</v>
      </c>
      <c r="M28" s="28"/>
      <c r="N28" s="149">
        <f t="shared" si="2"/>
        <v>0</v>
      </c>
      <c r="O28" s="18" t="str">
        <f t="shared" si="3"/>
        <v/>
      </c>
    </row>
    <row r="29" spans="1:15">
      <c r="A29" s="19"/>
      <c r="B29" s="145" t="s">
        <v>23</v>
      </c>
      <c r="C29" s="20"/>
      <c r="D29" s="146" t="s">
        <v>24</v>
      </c>
      <c r="E29" s="14"/>
      <c r="F29" s="150">
        <f>'[1]B. CurrentTariff'!C33</f>
        <v>1.4999999999999999E-2</v>
      </c>
      <c r="G29" s="15">
        <f t="shared" ref="G29:G38" si="4">$F$18</f>
        <v>3000</v>
      </c>
      <c r="H29" s="16">
        <f t="shared" si="0"/>
        <v>45</v>
      </c>
      <c r="I29" s="28"/>
      <c r="J29" s="31">
        <f>'[1]G. RateDesign'!G46</f>
        <v>1.1395508957599455E-2</v>
      </c>
      <c r="K29" s="15">
        <f>$F$18</f>
        <v>3000</v>
      </c>
      <c r="L29" s="16">
        <f t="shared" si="1"/>
        <v>34.186526872798368</v>
      </c>
      <c r="M29" s="28"/>
      <c r="N29" s="149">
        <f t="shared" si="2"/>
        <v>-10.813473127201632</v>
      </c>
      <c r="O29" s="18">
        <f t="shared" si="3"/>
        <v>-0.24029940282670295</v>
      </c>
    </row>
    <row r="30" spans="1:15">
      <c r="A30" s="19"/>
      <c r="B30" s="145" t="s">
        <v>22</v>
      </c>
      <c r="C30" s="20"/>
      <c r="D30" s="146" t="s">
        <v>24</v>
      </c>
      <c r="E30" s="14"/>
      <c r="F30" s="150"/>
      <c r="G30" s="15">
        <f t="shared" si="4"/>
        <v>3000</v>
      </c>
      <c r="H30" s="16">
        <f t="shared" si="0"/>
        <v>0</v>
      </c>
      <c r="I30" s="28"/>
      <c r="J30" s="31"/>
      <c r="K30" s="15">
        <f t="shared" ref="K30:K38" si="5">$F$18</f>
        <v>3000</v>
      </c>
      <c r="L30" s="16">
        <f t="shared" si="1"/>
        <v>0</v>
      </c>
      <c r="M30" s="28"/>
      <c r="N30" s="149">
        <f t="shared" si="2"/>
        <v>0</v>
      </c>
      <c r="O30" s="18" t="str">
        <f t="shared" si="3"/>
        <v/>
      </c>
    </row>
    <row r="31" spans="1:15">
      <c r="A31" s="19"/>
      <c r="B31" s="145" t="s">
        <v>25</v>
      </c>
      <c r="C31" s="20"/>
      <c r="D31" s="146" t="s">
        <v>24</v>
      </c>
      <c r="E31" s="14"/>
      <c r="F31" s="150"/>
      <c r="G31" s="15">
        <f t="shared" si="4"/>
        <v>3000</v>
      </c>
      <c r="H31" s="16">
        <f t="shared" si="0"/>
        <v>0</v>
      </c>
      <c r="I31" s="28"/>
      <c r="J31" s="31"/>
      <c r="K31" s="15">
        <f t="shared" si="5"/>
        <v>3000</v>
      </c>
      <c r="L31" s="16">
        <f t="shared" si="1"/>
        <v>0</v>
      </c>
      <c r="M31" s="28"/>
      <c r="N31" s="149">
        <f t="shared" si="2"/>
        <v>0</v>
      </c>
      <c r="O31" s="18" t="str">
        <f t="shared" si="3"/>
        <v/>
      </c>
    </row>
    <row r="32" spans="1:15">
      <c r="A32" s="19"/>
      <c r="B32" s="151"/>
      <c r="C32" s="20"/>
      <c r="D32" s="146"/>
      <c r="E32" s="14"/>
      <c r="F32" s="150"/>
      <c r="G32" s="15">
        <f t="shared" si="4"/>
        <v>3000</v>
      </c>
      <c r="H32" s="16">
        <f>G32*F32</f>
        <v>0</v>
      </c>
      <c r="I32" s="28"/>
      <c r="J32" s="31"/>
      <c r="K32" s="15">
        <f t="shared" si="5"/>
        <v>3000</v>
      </c>
      <c r="L32" s="16">
        <f>K32*J32</f>
        <v>0</v>
      </c>
      <c r="M32" s="28"/>
      <c r="N32" s="149">
        <f>L32-H32</f>
        <v>0</v>
      </c>
      <c r="O32" s="18" t="str">
        <f>IF((H32)=0,"",(N32/H32))</f>
        <v/>
      </c>
    </row>
    <row r="33" spans="1:15">
      <c r="A33" s="19"/>
      <c r="B33" s="151"/>
      <c r="C33" s="20"/>
      <c r="D33" s="146"/>
      <c r="E33" s="14"/>
      <c r="F33" s="150"/>
      <c r="G33" s="15">
        <f t="shared" si="4"/>
        <v>3000</v>
      </c>
      <c r="H33" s="16">
        <f>G33*F33</f>
        <v>0</v>
      </c>
      <c r="I33" s="28"/>
      <c r="J33" s="31"/>
      <c r="K33" s="15">
        <f t="shared" si="5"/>
        <v>3000</v>
      </c>
      <c r="L33" s="16">
        <f>K33*J33</f>
        <v>0</v>
      </c>
      <c r="M33" s="28"/>
      <c r="N33" s="149">
        <f>L33-H33</f>
        <v>0</v>
      </c>
      <c r="O33" s="18" t="str">
        <f>IF((H33)=0,"",(N33/H33))</f>
        <v/>
      </c>
    </row>
    <row r="34" spans="1:15">
      <c r="A34" s="19"/>
      <c r="B34" s="151"/>
      <c r="C34" s="20"/>
      <c r="D34" s="146"/>
      <c r="E34" s="14"/>
      <c r="F34" s="150"/>
      <c r="G34" s="15">
        <f t="shared" si="4"/>
        <v>3000</v>
      </c>
      <c r="H34" s="16">
        <f>G34*F34</f>
        <v>0</v>
      </c>
      <c r="I34" s="28"/>
      <c r="J34" s="31"/>
      <c r="K34" s="15">
        <f t="shared" si="5"/>
        <v>3000</v>
      </c>
      <c r="L34" s="16">
        <f>K34*J34</f>
        <v>0</v>
      </c>
      <c r="M34" s="28"/>
      <c r="N34" s="149">
        <f>L34-H34</f>
        <v>0</v>
      </c>
      <c r="O34" s="18" t="str">
        <f>IF((H34)=0,"",(N34/H34))</f>
        <v/>
      </c>
    </row>
    <row r="35" spans="1:15">
      <c r="A35" s="19"/>
      <c r="B35" s="151"/>
      <c r="C35" s="20"/>
      <c r="D35" s="146"/>
      <c r="E35" s="14"/>
      <c r="F35" s="150"/>
      <c r="G35" s="15">
        <f t="shared" si="4"/>
        <v>3000</v>
      </c>
      <c r="H35" s="16">
        <f t="shared" si="0"/>
        <v>0</v>
      </c>
      <c r="I35" s="28"/>
      <c r="J35" s="31"/>
      <c r="K35" s="15">
        <f t="shared" si="5"/>
        <v>3000</v>
      </c>
      <c r="L35" s="16">
        <f t="shared" si="1"/>
        <v>0</v>
      </c>
      <c r="M35" s="28"/>
      <c r="N35" s="149">
        <f t="shared" si="2"/>
        <v>0</v>
      </c>
      <c r="O35" s="18" t="str">
        <f t="shared" si="3"/>
        <v/>
      </c>
    </row>
    <row r="36" spans="1:15">
      <c r="A36" s="19"/>
      <c r="B36" s="151"/>
      <c r="C36" s="20"/>
      <c r="D36" s="146"/>
      <c r="E36" s="14"/>
      <c r="F36" s="150"/>
      <c r="G36" s="15">
        <f t="shared" si="4"/>
        <v>3000</v>
      </c>
      <c r="H36" s="16">
        <f t="shared" si="0"/>
        <v>0</v>
      </c>
      <c r="I36" s="28"/>
      <c r="J36" s="31"/>
      <c r="K36" s="15">
        <f t="shared" si="5"/>
        <v>3000</v>
      </c>
      <c r="L36" s="16">
        <f t="shared" si="1"/>
        <v>0</v>
      </c>
      <c r="M36" s="28"/>
      <c r="N36" s="149">
        <f t="shared" si="2"/>
        <v>0</v>
      </c>
      <c r="O36" s="18" t="str">
        <f t="shared" si="3"/>
        <v/>
      </c>
    </row>
    <row r="37" spans="1:15">
      <c r="A37" s="19"/>
      <c r="B37" s="151"/>
      <c r="C37" s="20"/>
      <c r="D37" s="146"/>
      <c r="E37" s="14"/>
      <c r="F37" s="150"/>
      <c r="G37" s="15">
        <f t="shared" si="4"/>
        <v>3000</v>
      </c>
      <c r="H37" s="16">
        <f t="shared" si="0"/>
        <v>0</v>
      </c>
      <c r="I37" s="28"/>
      <c r="J37" s="31"/>
      <c r="K37" s="15">
        <f t="shared" si="5"/>
        <v>3000</v>
      </c>
      <c r="L37" s="16">
        <f t="shared" si="1"/>
        <v>0</v>
      </c>
      <c r="M37" s="28"/>
      <c r="N37" s="149">
        <f t="shared" si="2"/>
        <v>0</v>
      </c>
      <c r="O37" s="18" t="str">
        <f t="shared" si="3"/>
        <v/>
      </c>
    </row>
    <row r="38" spans="1:15">
      <c r="A38" s="19"/>
      <c r="B38" s="151"/>
      <c r="C38" s="20"/>
      <c r="D38" s="146"/>
      <c r="E38" s="14"/>
      <c r="F38" s="150"/>
      <c r="G38" s="15">
        <f t="shared" si="4"/>
        <v>3000</v>
      </c>
      <c r="H38" s="16">
        <f t="shared" si="0"/>
        <v>0</v>
      </c>
      <c r="I38" s="28"/>
      <c r="J38" s="31"/>
      <c r="K38" s="15">
        <f t="shared" si="5"/>
        <v>3000</v>
      </c>
      <c r="L38" s="16">
        <f t="shared" si="1"/>
        <v>0</v>
      </c>
      <c r="M38" s="28"/>
      <c r="N38" s="149">
        <f t="shared" si="2"/>
        <v>0</v>
      </c>
      <c r="O38" s="18" t="str">
        <f t="shared" si="3"/>
        <v/>
      </c>
    </row>
    <row r="39" spans="1:15">
      <c r="A39" s="19"/>
      <c r="B39" s="153" t="s">
        <v>26</v>
      </c>
      <c r="C39" s="154"/>
      <c r="D39" s="155"/>
      <c r="E39" s="154"/>
      <c r="F39" s="156"/>
      <c r="G39" s="157"/>
      <c r="H39" s="158">
        <f>SUM(H23:H38)</f>
        <v>55.99</v>
      </c>
      <c r="I39" s="28"/>
      <c r="J39" s="159"/>
      <c r="K39" s="160"/>
      <c r="L39" s="158">
        <f>SUM(L23:L38)</f>
        <v>56.378237001716215</v>
      </c>
      <c r="M39" s="28"/>
      <c r="N39" s="161">
        <f t="shared" si="2"/>
        <v>0.38823700171621311</v>
      </c>
      <c r="O39" s="162">
        <f t="shared" si="3"/>
        <v>6.9340418238294892E-3</v>
      </c>
    </row>
    <row r="40" spans="1:15" ht="51">
      <c r="A40" s="163"/>
      <c r="B40" s="164" t="str">
        <f>'[1]J. DVA'!$B$16</f>
        <v>Rate Rider Calculation for Deferral / Variance Accounts Balances (excluding Global Adj.)</v>
      </c>
      <c r="C40" s="20"/>
      <c r="D40" s="165" t="s">
        <v>24</v>
      </c>
      <c r="E40" s="20"/>
      <c r="F40" s="166"/>
      <c r="G40" s="21">
        <f>$F$18</f>
        <v>3000</v>
      </c>
      <c r="H40" s="22">
        <f t="shared" ref="H40:H48" si="6">G40*F40</f>
        <v>0</v>
      </c>
      <c r="I40" s="167"/>
      <c r="J40" s="166">
        <f>'[1]J. DVA'!F20</f>
        <v>-8.3191383168094741E-4</v>
      </c>
      <c r="K40" s="21">
        <f t="shared" ref="K40:K46" si="7">$F$18</f>
        <v>3000</v>
      </c>
      <c r="L40" s="22">
        <f>K40*J40</f>
        <v>-2.495741495042842</v>
      </c>
      <c r="M40" s="167"/>
      <c r="N40" s="168">
        <f>L40-H40</f>
        <v>-2.495741495042842</v>
      </c>
      <c r="O40" s="23" t="str">
        <f t="shared" si="3"/>
        <v/>
      </c>
    </row>
    <row r="41" spans="1:15" ht="51">
      <c r="A41" s="169"/>
      <c r="B41" s="164" t="str">
        <f>'[1]J. DVA'!$B$42</f>
        <v>Rate Rider Calculation for Deferral / Variance Accounts Balances (excluding Global Adj.) - NON-WMP</v>
      </c>
      <c r="C41" s="20"/>
      <c r="D41" s="165" t="s">
        <v>24</v>
      </c>
      <c r="E41" s="20"/>
      <c r="F41" s="166"/>
      <c r="G41" s="21">
        <f t="shared" ref="G41:G45" si="8">$F$18</f>
        <v>3000</v>
      </c>
      <c r="H41" s="22">
        <f t="shared" si="6"/>
        <v>0</v>
      </c>
      <c r="I41" s="167"/>
      <c r="J41" s="166">
        <f>'[1]J. DVA'!F46</f>
        <v>-2.646861822728247E-3</v>
      </c>
      <c r="K41" s="21">
        <f t="shared" si="7"/>
        <v>3000</v>
      </c>
      <c r="L41" s="22">
        <f t="shared" ref="L41:L45" si="9">K41*J41</f>
        <v>-7.9405854681847412</v>
      </c>
      <c r="M41" s="167"/>
      <c r="N41" s="168">
        <f t="shared" ref="N41:N45" si="10">L41-H41</f>
        <v>-7.9405854681847412</v>
      </c>
      <c r="O41" s="23" t="str">
        <f t="shared" si="3"/>
        <v/>
      </c>
    </row>
    <row r="42" spans="1:15" ht="38.25">
      <c r="A42" s="169"/>
      <c r="B42" s="164" t="str">
        <f>'[1]J. DVA'!$B$68</f>
        <v>Rate Rider Calculation for RSVA - Power - Global Adjustment</v>
      </c>
      <c r="C42" s="20"/>
      <c r="D42" s="165" t="s">
        <v>24</v>
      </c>
      <c r="E42" s="20"/>
      <c r="F42" s="166"/>
      <c r="G42" s="21">
        <f t="shared" si="8"/>
        <v>3000</v>
      </c>
      <c r="H42" s="22"/>
      <c r="I42" s="167"/>
      <c r="J42" s="166"/>
      <c r="K42" s="21">
        <f t="shared" si="7"/>
        <v>3000</v>
      </c>
      <c r="L42" s="22">
        <f t="shared" si="9"/>
        <v>0</v>
      </c>
      <c r="M42" s="167"/>
      <c r="N42" s="168">
        <f t="shared" si="10"/>
        <v>0</v>
      </c>
      <c r="O42" s="23" t="str">
        <f t="shared" si="3"/>
        <v/>
      </c>
    </row>
    <row r="43" spans="1:15" ht="25.5">
      <c r="A43" s="169"/>
      <c r="B43" s="164" t="str">
        <f>'[1]J. DVA'!$B$121</f>
        <v>Rate Rider Calculation for Group 2 Accounts</v>
      </c>
      <c r="C43" s="20"/>
      <c r="D43" s="165" t="s">
        <v>19</v>
      </c>
      <c r="E43" s="20"/>
      <c r="F43" s="166"/>
      <c r="G43" s="21">
        <f t="shared" si="8"/>
        <v>3000</v>
      </c>
      <c r="H43" s="22"/>
      <c r="I43" s="167"/>
      <c r="J43" s="166">
        <f>'[1]J. DVA'!F125</f>
        <v>0.71763615173398432</v>
      </c>
      <c r="K43" s="21">
        <v>1</v>
      </c>
      <c r="L43" s="22">
        <f t="shared" si="9"/>
        <v>0.71763615173398432</v>
      </c>
      <c r="M43" s="167"/>
      <c r="N43" s="168">
        <f t="shared" si="10"/>
        <v>0.71763615173398432</v>
      </c>
      <c r="O43" s="23" t="str">
        <f t="shared" si="3"/>
        <v/>
      </c>
    </row>
    <row r="44" spans="1:15" ht="25.5">
      <c r="A44" s="163"/>
      <c r="B44" s="164" t="str">
        <f>'[1]J. DVA'!$B$147</f>
        <v>Rate Rider Calculation for Accounts 1575 and 1576</v>
      </c>
      <c r="C44" s="20"/>
      <c r="D44" s="165" t="s">
        <v>24</v>
      </c>
      <c r="E44" s="20"/>
      <c r="F44" s="166"/>
      <c r="G44" s="21">
        <f t="shared" si="8"/>
        <v>3000</v>
      </c>
      <c r="H44" s="22">
        <f t="shared" si="6"/>
        <v>0</v>
      </c>
      <c r="I44" s="167"/>
      <c r="J44" s="166">
        <f>'[1]J. DVA'!F153</f>
        <v>2.345544481897622E-4</v>
      </c>
      <c r="K44" s="21">
        <f t="shared" si="7"/>
        <v>3000</v>
      </c>
      <c r="L44" s="22">
        <f t="shared" si="9"/>
        <v>0.70366334456928659</v>
      </c>
      <c r="M44" s="167"/>
      <c r="N44" s="168">
        <f t="shared" si="10"/>
        <v>0.70366334456928659</v>
      </c>
      <c r="O44" s="23" t="str">
        <f t="shared" si="3"/>
        <v/>
      </c>
    </row>
    <row r="45" spans="1:15" ht="25.5">
      <c r="A45" s="163"/>
      <c r="B45" s="164" t="str">
        <f>'[1]J. DVA'!$B$175</f>
        <v>Rate Rider Calculation for Accounts 1568</v>
      </c>
      <c r="C45" s="20"/>
      <c r="D45" s="165" t="s">
        <v>24</v>
      </c>
      <c r="E45" s="20"/>
      <c r="F45" s="166"/>
      <c r="G45" s="21">
        <f t="shared" si="8"/>
        <v>3000</v>
      </c>
      <c r="H45" s="22">
        <f t="shared" si="6"/>
        <v>0</v>
      </c>
      <c r="I45" s="167"/>
      <c r="J45" s="166">
        <f>'[1]J. DVA'!F181</f>
        <v>1.9002491545530963E-4</v>
      </c>
      <c r="K45" s="21">
        <f t="shared" si="7"/>
        <v>3000</v>
      </c>
      <c r="L45" s="22">
        <f t="shared" si="9"/>
        <v>0.57007474636592892</v>
      </c>
      <c r="M45" s="167"/>
      <c r="N45" s="168">
        <f t="shared" si="10"/>
        <v>0.57007474636592892</v>
      </c>
      <c r="O45" s="23" t="str">
        <f t="shared" si="3"/>
        <v/>
      </c>
    </row>
    <row r="46" spans="1:15">
      <c r="A46" s="163"/>
      <c r="B46" s="164" t="s">
        <v>27</v>
      </c>
      <c r="C46" s="20"/>
      <c r="D46" s="165" t="s">
        <v>24</v>
      </c>
      <c r="E46" s="20"/>
      <c r="F46" s="166">
        <v>1.1000000000000001E-3</v>
      </c>
      <c r="G46" s="21">
        <f>$F$18</f>
        <v>3000</v>
      </c>
      <c r="H46" s="22">
        <f t="shared" si="6"/>
        <v>3.3000000000000003</v>
      </c>
      <c r="I46" s="167"/>
      <c r="J46" s="166">
        <f>'[2]4.12 PowerSupplExp'!$I$171</f>
        <v>8.0000000000000004E-4</v>
      </c>
      <c r="K46" s="21">
        <f t="shared" si="7"/>
        <v>3000</v>
      </c>
      <c r="L46" s="22">
        <f>K46*J46</f>
        <v>2.4</v>
      </c>
      <c r="M46" s="167"/>
      <c r="N46" s="168">
        <f>L46-H46</f>
        <v>-0.90000000000000036</v>
      </c>
      <c r="O46" s="24">
        <f>IF((H46)=0,"",(N46/H46))</f>
        <v>-0.27272727272727282</v>
      </c>
    </row>
    <row r="47" spans="1:15">
      <c r="A47" s="19"/>
      <c r="B47" s="145" t="s">
        <v>28</v>
      </c>
      <c r="C47" s="20"/>
      <c r="D47" s="165" t="s">
        <v>24</v>
      </c>
      <c r="E47" s="20"/>
      <c r="F47" s="166">
        <f>IF(ISBLANK(D16)=1, 0, IF(D16="TOU", 0.64*$F$57+0.18*$F$58+0.18*$F$59, IF(AND(D16="non-TOU", G61&gt;0), F61,F60)))</f>
        <v>9.5000000000000001E-2</v>
      </c>
      <c r="G47" s="21">
        <f>$F$18*(1+$F$76)-$F$18</f>
        <v>116.99999999999955</v>
      </c>
      <c r="H47" s="22">
        <f t="shared" si="6"/>
        <v>11.114999999999958</v>
      </c>
      <c r="I47" s="167"/>
      <c r="J47" s="166">
        <f>0.64*$F$57+0.18*$F$58+0.18*$F$59</f>
        <v>9.5000000000000001E-2</v>
      </c>
      <c r="K47" s="21">
        <f>$F$18*(1+$J$76)-$F$18</f>
        <v>137.10000000000036</v>
      </c>
      <c r="L47" s="22">
        <f t="shared" ref="L47:L48" si="11">K47*J47</f>
        <v>13.024500000000035</v>
      </c>
      <c r="M47" s="167"/>
      <c r="N47" s="168">
        <f t="shared" si="2"/>
        <v>1.9095000000000777</v>
      </c>
      <c r="O47" s="24">
        <f t="shared" si="3"/>
        <v>0.17179487179487943</v>
      </c>
    </row>
    <row r="48" spans="1:15">
      <c r="A48" s="19"/>
      <c r="B48" s="170" t="s">
        <v>29</v>
      </c>
      <c r="C48" s="20"/>
      <c r="D48" s="171" t="s">
        <v>24</v>
      </c>
      <c r="E48" s="14"/>
      <c r="F48" s="172">
        <v>0.79</v>
      </c>
      <c r="G48" s="25">
        <v>1</v>
      </c>
      <c r="H48" s="26">
        <f t="shared" si="6"/>
        <v>0.79</v>
      </c>
      <c r="I48" s="173"/>
      <c r="J48" s="172">
        <v>0.79</v>
      </c>
      <c r="K48" s="25">
        <v>1</v>
      </c>
      <c r="L48" s="26">
        <f t="shared" si="11"/>
        <v>0.79</v>
      </c>
      <c r="M48" s="173"/>
      <c r="N48" s="174">
        <f t="shared" si="2"/>
        <v>0</v>
      </c>
      <c r="O48" s="27"/>
    </row>
    <row r="49" spans="2:19" ht="25.5">
      <c r="B49" s="175" t="s">
        <v>30</v>
      </c>
      <c r="C49" s="176"/>
      <c r="D49" s="176"/>
      <c r="E49" s="176"/>
      <c r="F49" s="177"/>
      <c r="G49" s="178"/>
      <c r="H49" s="179">
        <f>SUM(H40:H48)+H39</f>
        <v>71.194999999999965</v>
      </c>
      <c r="I49" s="28"/>
      <c r="J49" s="178"/>
      <c r="K49" s="180"/>
      <c r="L49" s="179">
        <f>SUM(L40:L48)+L39</f>
        <v>64.147784281157868</v>
      </c>
      <c r="M49" s="28"/>
      <c r="N49" s="161">
        <f t="shared" si="2"/>
        <v>-7.0472157188420965</v>
      </c>
      <c r="O49" s="162">
        <f t="shared" ref="O49:O67" si="12">IF((H49)=0,"",(N49/H49))</f>
        <v>-9.8984700032896972E-2</v>
      </c>
    </row>
    <row r="50" spans="2:19">
      <c r="B50" s="181" t="s">
        <v>31</v>
      </c>
      <c r="C50" s="28"/>
      <c r="D50" s="182" t="s">
        <v>24</v>
      </c>
      <c r="E50" s="28"/>
      <c r="F50" s="31">
        <f>'[1]B. CurrentTariff'!C45</f>
        <v>6.3E-3</v>
      </c>
      <c r="G50" s="29">
        <f>F18*(1+F76)</f>
        <v>3116.9999999999995</v>
      </c>
      <c r="H50" s="16">
        <f>G50*F50</f>
        <v>19.637099999999997</v>
      </c>
      <c r="I50" s="28"/>
      <c r="J50" s="31">
        <f>'[2]4.12 PowerSupplExp'!$N$58</f>
        <v>6.0321318398108351E-3</v>
      </c>
      <c r="K50" s="30">
        <f>F18*(1+J76)</f>
        <v>3137.1000000000004</v>
      </c>
      <c r="L50" s="16">
        <f>K50*J50</f>
        <v>18.923400794670574</v>
      </c>
      <c r="M50" s="28"/>
      <c r="N50" s="149">
        <f t="shared" si="2"/>
        <v>-0.71369920532942288</v>
      </c>
      <c r="O50" s="18">
        <f t="shared" si="12"/>
        <v>-3.6344429947875345E-2</v>
      </c>
    </row>
    <row r="51" spans="2:19" ht="25.5">
      <c r="B51" s="183" t="s">
        <v>32</v>
      </c>
      <c r="C51" s="28"/>
      <c r="D51" s="182" t="s">
        <v>24</v>
      </c>
      <c r="E51" s="28"/>
      <c r="F51" s="31">
        <f>'[1]B. CurrentTariff'!C46</f>
        <v>4.4999999999999997E-3</v>
      </c>
      <c r="G51" s="29">
        <f>G50</f>
        <v>3116.9999999999995</v>
      </c>
      <c r="H51" s="16">
        <f>G51*F51</f>
        <v>14.026499999999997</v>
      </c>
      <c r="I51" s="28"/>
      <c r="J51" s="31">
        <f>'[2]4.12 PowerSupplExp'!$N$74</f>
        <v>4.5995082603774813E-3</v>
      </c>
      <c r="K51" s="30">
        <f>K50</f>
        <v>3137.1000000000004</v>
      </c>
      <c r="L51" s="16">
        <f>K51*J51</f>
        <v>14.429117363630198</v>
      </c>
      <c r="M51" s="28"/>
      <c r="N51" s="149">
        <f t="shared" si="2"/>
        <v>0.40261736363020084</v>
      </c>
      <c r="O51" s="18">
        <f t="shared" si="12"/>
        <v>2.8704050449520617E-2</v>
      </c>
    </row>
    <row r="52" spans="2:19" ht="25.5">
      <c r="B52" s="175" t="s">
        <v>33</v>
      </c>
      <c r="C52" s="154"/>
      <c r="D52" s="154"/>
      <c r="E52" s="154"/>
      <c r="F52" s="184"/>
      <c r="G52" s="178"/>
      <c r="H52" s="179">
        <f>SUM(H49:H51)</f>
        <v>104.85859999999997</v>
      </c>
      <c r="I52" s="185"/>
      <c r="J52" s="186"/>
      <c r="K52" s="187"/>
      <c r="L52" s="179">
        <f>SUM(L49:L51)</f>
        <v>97.500302439458636</v>
      </c>
      <c r="M52" s="185"/>
      <c r="N52" s="161">
        <f t="shared" si="2"/>
        <v>-7.358297560541331</v>
      </c>
      <c r="O52" s="162">
        <f t="shared" si="12"/>
        <v>-7.0173524732748044E-2</v>
      </c>
    </row>
    <row r="53" spans="2:19" ht="25.5">
      <c r="B53" s="145" t="s">
        <v>34</v>
      </c>
      <c r="C53" s="20"/>
      <c r="D53" s="188" t="s">
        <v>24</v>
      </c>
      <c r="E53" s="14"/>
      <c r="F53" s="31">
        <v>4.4000000000000003E-3</v>
      </c>
      <c r="G53" s="29">
        <f>G51</f>
        <v>3116.9999999999995</v>
      </c>
      <c r="H53" s="16">
        <f t="shared" ref="H53:H59" si="13">G53*F53</f>
        <v>13.714799999999999</v>
      </c>
      <c r="I53" s="28"/>
      <c r="J53" s="31">
        <v>4.4000000000000003E-3</v>
      </c>
      <c r="K53" s="30">
        <f>K51</f>
        <v>3137.1000000000004</v>
      </c>
      <c r="L53" s="16">
        <f t="shared" ref="L53:L59" si="14">K53*J53</f>
        <v>13.803240000000002</v>
      </c>
      <c r="M53" s="28"/>
      <c r="N53" s="149">
        <f t="shared" si="2"/>
        <v>8.8440000000003849E-2</v>
      </c>
      <c r="O53" s="18">
        <f t="shared" si="12"/>
        <v>6.4485081809434958E-3</v>
      </c>
    </row>
    <row r="54" spans="2:19" ht="25.5">
      <c r="B54" s="145" t="s">
        <v>35</v>
      </c>
      <c r="C54" s="20"/>
      <c r="D54" s="188" t="s">
        <v>24</v>
      </c>
      <c r="E54" s="14"/>
      <c r="F54" s="31">
        <v>1.1999999999999999E-3</v>
      </c>
      <c r="G54" s="29">
        <f>G51</f>
        <v>3116.9999999999995</v>
      </c>
      <c r="H54" s="16">
        <f t="shared" si="13"/>
        <v>3.7403999999999993</v>
      </c>
      <c r="I54" s="28"/>
      <c r="J54" s="31">
        <v>1.1999999999999999E-3</v>
      </c>
      <c r="K54" s="30">
        <f>K51</f>
        <v>3137.1000000000004</v>
      </c>
      <c r="L54" s="16">
        <f t="shared" si="14"/>
        <v>3.7645200000000001</v>
      </c>
      <c r="M54" s="28"/>
      <c r="N54" s="149">
        <f t="shared" si="2"/>
        <v>2.4120000000000807E-2</v>
      </c>
      <c r="O54" s="18">
        <f t="shared" si="12"/>
        <v>6.4485081809434316E-3</v>
      </c>
    </row>
    <row r="55" spans="2:19" ht="25.5">
      <c r="B55" s="145" t="s">
        <v>36</v>
      </c>
      <c r="C55" s="20"/>
      <c r="D55" s="188" t="s">
        <v>19</v>
      </c>
      <c r="E55" s="14"/>
      <c r="F55" s="31">
        <v>0.25</v>
      </c>
      <c r="G55" s="15">
        <v>1</v>
      </c>
      <c r="H55" s="16">
        <f t="shared" si="13"/>
        <v>0.25</v>
      </c>
      <c r="I55" s="28"/>
      <c r="J55" s="31">
        <v>0.25</v>
      </c>
      <c r="K55" s="17">
        <v>1</v>
      </c>
      <c r="L55" s="16">
        <f t="shared" si="14"/>
        <v>0.25</v>
      </c>
      <c r="M55" s="28"/>
      <c r="N55" s="149">
        <f t="shared" si="2"/>
        <v>0</v>
      </c>
      <c r="O55" s="18">
        <f t="shared" si="12"/>
        <v>0</v>
      </c>
    </row>
    <row r="56" spans="2:19" ht="25.5">
      <c r="B56" s="145" t="s">
        <v>37</v>
      </c>
      <c r="C56" s="20"/>
      <c r="D56" s="188" t="s">
        <v>24</v>
      </c>
      <c r="E56" s="14"/>
      <c r="F56" s="31">
        <v>4.8999999999999998E-3</v>
      </c>
      <c r="G56" s="29">
        <f>F18</f>
        <v>3000</v>
      </c>
      <c r="H56" s="16">
        <f t="shared" si="13"/>
        <v>14.7</v>
      </c>
      <c r="I56" s="28"/>
      <c r="J56" s="31">
        <v>4.8999999999999998E-3</v>
      </c>
      <c r="K56" s="30">
        <f>F18</f>
        <v>3000</v>
      </c>
      <c r="L56" s="16">
        <f t="shared" si="14"/>
        <v>14.7</v>
      </c>
      <c r="M56" s="28"/>
      <c r="N56" s="149">
        <f t="shared" si="2"/>
        <v>0</v>
      </c>
      <c r="O56" s="18">
        <f t="shared" si="12"/>
        <v>0</v>
      </c>
    </row>
    <row r="57" spans="2:19">
      <c r="B57" s="170" t="s">
        <v>38</v>
      </c>
      <c r="C57" s="20"/>
      <c r="D57" s="188" t="s">
        <v>24</v>
      </c>
      <c r="E57" s="14"/>
      <c r="F57" s="31">
        <v>7.6999999999999999E-2</v>
      </c>
      <c r="G57" s="189">
        <f>0.64*$F$18</f>
        <v>1920</v>
      </c>
      <c r="H57" s="16">
        <f t="shared" si="13"/>
        <v>147.84</v>
      </c>
      <c r="I57" s="28"/>
      <c r="J57" s="31">
        <v>7.6999999999999999E-2</v>
      </c>
      <c r="K57" s="189">
        <f>G57</f>
        <v>1920</v>
      </c>
      <c r="L57" s="16">
        <f t="shared" si="14"/>
        <v>147.84</v>
      </c>
      <c r="M57" s="28"/>
      <c r="N57" s="149">
        <f t="shared" si="2"/>
        <v>0</v>
      </c>
      <c r="O57" s="18">
        <f t="shared" si="12"/>
        <v>0</v>
      </c>
      <c r="S57" s="190"/>
    </row>
    <row r="58" spans="2:19">
      <c r="B58" s="170" t="s">
        <v>39</v>
      </c>
      <c r="C58" s="20"/>
      <c r="D58" s="188" t="s">
        <v>24</v>
      </c>
      <c r="E58" s="14"/>
      <c r="F58" s="31">
        <v>0.114</v>
      </c>
      <c r="G58" s="189">
        <f>0.18*$F$18</f>
        <v>540</v>
      </c>
      <c r="H58" s="16">
        <f t="shared" si="13"/>
        <v>61.56</v>
      </c>
      <c r="I58" s="28"/>
      <c r="J58" s="31">
        <v>0.114</v>
      </c>
      <c r="K58" s="189">
        <f>G58</f>
        <v>540</v>
      </c>
      <c r="L58" s="16">
        <f t="shared" si="14"/>
        <v>61.56</v>
      </c>
      <c r="M58" s="28"/>
      <c r="N58" s="149">
        <f t="shared" si="2"/>
        <v>0</v>
      </c>
      <c r="O58" s="18">
        <f t="shared" si="12"/>
        <v>0</v>
      </c>
      <c r="S58" s="190"/>
    </row>
    <row r="59" spans="2:19">
      <c r="B59" s="135" t="s">
        <v>40</v>
      </c>
      <c r="C59" s="20"/>
      <c r="D59" s="188" t="s">
        <v>24</v>
      </c>
      <c r="E59" s="14"/>
      <c r="F59" s="31">
        <v>0.14000000000000001</v>
      </c>
      <c r="G59" s="189">
        <f>0.18*$F$18</f>
        <v>540</v>
      </c>
      <c r="H59" s="16">
        <f t="shared" si="13"/>
        <v>75.600000000000009</v>
      </c>
      <c r="I59" s="28"/>
      <c r="J59" s="31">
        <v>0.14000000000000001</v>
      </c>
      <c r="K59" s="189">
        <f>G59</f>
        <v>540</v>
      </c>
      <c r="L59" s="16">
        <f t="shared" si="14"/>
        <v>75.600000000000009</v>
      </c>
      <c r="M59" s="28"/>
      <c r="N59" s="149">
        <f t="shared" si="2"/>
        <v>0</v>
      </c>
      <c r="O59" s="18">
        <f t="shared" si="12"/>
        <v>0</v>
      </c>
      <c r="S59" s="190"/>
    </row>
    <row r="60" spans="2:19" s="195" customFormat="1">
      <c r="B60" s="191" t="s">
        <v>41</v>
      </c>
      <c r="C60" s="32"/>
      <c r="D60" s="188" t="s">
        <v>24</v>
      </c>
      <c r="E60" s="32"/>
      <c r="F60" s="31">
        <v>8.5999999999999993E-2</v>
      </c>
      <c r="G60" s="192">
        <f>IF(AND($T$1=1, F18&gt;=600), 600, IF(AND($T$1=1, AND(F18&lt;600, F18&gt;=0)), F18, IF(AND($T$1=2, F18&gt;=1000), 1000, IF(AND($T$1=2, AND(F18&lt;1000, F18&gt;=0)), F18))))</f>
        <v>600</v>
      </c>
      <c r="H60" s="16">
        <f>G60*F60</f>
        <v>51.599999999999994</v>
      </c>
      <c r="I60" s="193"/>
      <c r="J60" s="31">
        <v>8.5999999999999993E-2</v>
      </c>
      <c r="K60" s="192">
        <f>G60</f>
        <v>600</v>
      </c>
      <c r="L60" s="16">
        <f>K60*J60</f>
        <v>51.599999999999994</v>
      </c>
      <c r="M60" s="193"/>
      <c r="N60" s="194">
        <f t="shared" si="2"/>
        <v>0</v>
      </c>
      <c r="O60" s="18">
        <f t="shared" si="12"/>
        <v>0</v>
      </c>
    </row>
    <row r="61" spans="2:19" s="195" customFormat="1" ht="13.5" thickBot="1">
      <c r="B61" s="191" t="s">
        <v>42</v>
      </c>
      <c r="C61" s="32"/>
      <c r="D61" s="188" t="s">
        <v>24</v>
      </c>
      <c r="E61" s="32"/>
      <c r="F61" s="31">
        <v>0.10100000000000001</v>
      </c>
      <c r="G61" s="192">
        <f>IF(AND($T$1=1, F18&gt;=600), F18-600, IF(AND($T$1=1, AND(F18&lt;600, F18&gt;=0)), 0, IF(AND($T$1=2, F18&gt;=1000), F18-1000, IF(AND($T$1=2, AND(F18&lt;1000, F18&gt;=0)), 0))))</f>
        <v>2400</v>
      </c>
      <c r="H61" s="16">
        <f>G61*F61</f>
        <v>242.4</v>
      </c>
      <c r="I61" s="193"/>
      <c r="J61" s="31">
        <v>0.10100000000000001</v>
      </c>
      <c r="K61" s="192">
        <f>G61</f>
        <v>2400</v>
      </c>
      <c r="L61" s="16">
        <f>K61*J61</f>
        <v>242.4</v>
      </c>
      <c r="M61" s="193"/>
      <c r="N61" s="194">
        <f t="shared" si="2"/>
        <v>0</v>
      </c>
      <c r="O61" s="18">
        <f t="shared" si="12"/>
        <v>0</v>
      </c>
    </row>
    <row r="62" spans="2:19" ht="13.5" thickBot="1">
      <c r="B62" s="196"/>
      <c r="C62" s="197"/>
      <c r="D62" s="198"/>
      <c r="E62" s="197"/>
      <c r="F62" s="199"/>
      <c r="G62" s="200"/>
      <c r="H62" s="201"/>
      <c r="I62" s="202"/>
      <c r="J62" s="199"/>
      <c r="K62" s="203"/>
      <c r="L62" s="201"/>
      <c r="M62" s="202"/>
      <c r="N62" s="204"/>
      <c r="O62" s="205"/>
    </row>
    <row r="63" spans="2:19" ht="25.5">
      <c r="B63" s="33" t="s">
        <v>43</v>
      </c>
      <c r="C63" s="20"/>
      <c r="D63" s="20"/>
      <c r="E63" s="20"/>
      <c r="F63" s="34"/>
      <c r="G63" s="35"/>
      <c r="H63" s="36">
        <f>SUM(H53:H59,H52)</f>
        <v>422.2638</v>
      </c>
      <c r="I63" s="37"/>
      <c r="J63" s="38"/>
      <c r="K63" s="38"/>
      <c r="L63" s="36">
        <f>SUM(L53:L59,L52)</f>
        <v>415.01806243945862</v>
      </c>
      <c r="M63" s="39"/>
      <c r="N63" s="40">
        <f>L63-H63</f>
        <v>-7.2457375605413858</v>
      </c>
      <c r="O63" s="41">
        <f>IF((H63)=0,"",(N63/H63))</f>
        <v>-1.7159267643926345E-2</v>
      </c>
      <c r="S63" s="190"/>
    </row>
    <row r="64" spans="2:19">
      <c r="B64" s="42" t="s">
        <v>44</v>
      </c>
      <c r="C64" s="20"/>
      <c r="D64" s="20"/>
      <c r="E64" s="20"/>
      <c r="F64" s="43">
        <v>0.13</v>
      </c>
      <c r="G64" s="44"/>
      <c r="H64" s="45">
        <f>H63*F64</f>
        <v>54.894294000000002</v>
      </c>
      <c r="I64" s="46"/>
      <c r="J64" s="47">
        <v>0.13</v>
      </c>
      <c r="K64" s="46"/>
      <c r="L64" s="48">
        <f>L63*J64</f>
        <v>53.952348117129624</v>
      </c>
      <c r="M64" s="49"/>
      <c r="N64" s="50">
        <f t="shared" si="2"/>
        <v>-0.94194588287037817</v>
      </c>
      <c r="O64" s="18">
        <f t="shared" si="12"/>
        <v>-1.715926764392631E-2</v>
      </c>
      <c r="S64" s="190"/>
    </row>
    <row r="65" spans="1:19">
      <c r="B65" s="206" t="s">
        <v>45</v>
      </c>
      <c r="C65" s="20"/>
      <c r="D65" s="20"/>
      <c r="E65" s="20"/>
      <c r="F65" s="51"/>
      <c r="G65" s="44"/>
      <c r="H65" s="45">
        <f>H63+H64</f>
        <v>477.15809400000001</v>
      </c>
      <c r="I65" s="46"/>
      <c r="J65" s="46"/>
      <c r="K65" s="46"/>
      <c r="L65" s="48">
        <f>L63+L64</f>
        <v>468.97041055658826</v>
      </c>
      <c r="M65" s="49"/>
      <c r="N65" s="50">
        <f t="shared" si="2"/>
        <v>-8.1876834434117427</v>
      </c>
      <c r="O65" s="18">
        <f t="shared" si="12"/>
        <v>-1.7159267643926297E-2</v>
      </c>
      <c r="S65" s="190"/>
    </row>
    <row r="66" spans="1:19">
      <c r="B66" s="292" t="s">
        <v>46</v>
      </c>
      <c r="C66" s="292"/>
      <c r="D66" s="292"/>
      <c r="E66" s="20"/>
      <c r="F66" s="51"/>
      <c r="G66" s="44"/>
      <c r="H66" s="52">
        <f>ROUND(-H65*0.1,2)</f>
        <v>-47.72</v>
      </c>
      <c r="I66" s="46"/>
      <c r="J66" s="46"/>
      <c r="K66" s="46"/>
      <c r="L66" s="53">
        <f>ROUND(-L65*0.1,2)</f>
        <v>-46.9</v>
      </c>
      <c r="M66" s="49"/>
      <c r="N66" s="54">
        <f t="shared" si="2"/>
        <v>0.82000000000000028</v>
      </c>
      <c r="O66" s="55">
        <f t="shared" si="12"/>
        <v>-1.7183570829840743E-2</v>
      </c>
    </row>
    <row r="67" spans="1:19" ht="13.5" thickBot="1">
      <c r="B67" s="293" t="s">
        <v>47</v>
      </c>
      <c r="C67" s="293"/>
      <c r="D67" s="293"/>
      <c r="E67" s="14"/>
      <c r="F67" s="207"/>
      <c r="G67" s="208"/>
      <c r="H67" s="209">
        <f>H65+H66</f>
        <v>429.43809399999998</v>
      </c>
      <c r="I67" s="210"/>
      <c r="J67" s="210"/>
      <c r="K67" s="210"/>
      <c r="L67" s="211">
        <f>L65+L66</f>
        <v>422.07041055658829</v>
      </c>
      <c r="M67" s="212"/>
      <c r="N67" s="213">
        <f t="shared" si="2"/>
        <v>-7.3676834434116927</v>
      </c>
      <c r="O67" s="214">
        <f t="shared" si="12"/>
        <v>-1.7156567026426151E-2</v>
      </c>
    </row>
    <row r="68" spans="1:19" s="195" customFormat="1" ht="13.5" thickBot="1">
      <c r="B68" s="215"/>
      <c r="C68" s="216"/>
      <c r="D68" s="217"/>
      <c r="E68" s="216"/>
      <c r="F68" s="199"/>
      <c r="G68" s="218"/>
      <c r="H68" s="201"/>
      <c r="I68" s="219"/>
      <c r="J68" s="199"/>
      <c r="K68" s="220"/>
      <c r="L68" s="201"/>
      <c r="M68" s="219"/>
      <c r="N68" s="221"/>
      <c r="O68" s="205"/>
    </row>
    <row r="69" spans="1:19" s="195" customFormat="1" ht="25.5">
      <c r="B69" s="56" t="s">
        <v>48</v>
      </c>
      <c r="C69" s="32"/>
      <c r="D69" s="32"/>
      <c r="E69" s="32"/>
      <c r="F69" s="57"/>
      <c r="G69" s="58"/>
      <c r="H69" s="59">
        <f>SUM(H60:H61,H52,H53:H56)</f>
        <v>431.2638</v>
      </c>
      <c r="I69" s="60"/>
      <c r="J69" s="61"/>
      <c r="K69" s="61"/>
      <c r="L69" s="59">
        <f>SUM(L60:L61,L52,L53:L56)</f>
        <v>424.01806243945867</v>
      </c>
      <c r="M69" s="62"/>
      <c r="N69" s="63">
        <f>L69-H69</f>
        <v>-7.245737560541329</v>
      </c>
      <c r="O69" s="41">
        <f>IF((H69)=0,"",(N69/H69))</f>
        <v>-1.6801172647788496E-2</v>
      </c>
    </row>
    <row r="70" spans="1:19" s="195" customFormat="1">
      <c r="B70" s="64" t="s">
        <v>44</v>
      </c>
      <c r="C70" s="32"/>
      <c r="D70" s="32"/>
      <c r="E70" s="32"/>
      <c r="F70" s="65">
        <v>0.13</v>
      </c>
      <c r="G70" s="58"/>
      <c r="H70" s="66">
        <f>H69*F70</f>
        <v>56.064294000000004</v>
      </c>
      <c r="I70" s="67"/>
      <c r="J70" s="68">
        <v>0.13</v>
      </c>
      <c r="K70" s="69"/>
      <c r="L70" s="70">
        <f>L69*J70</f>
        <v>55.122348117129633</v>
      </c>
      <c r="M70" s="71"/>
      <c r="N70" s="72">
        <f>L70-H70</f>
        <v>-0.94194588287037107</v>
      </c>
      <c r="O70" s="18">
        <f>IF((H70)=0,"",(N70/H70))</f>
        <v>-1.6801172647788465E-2</v>
      </c>
    </row>
    <row r="71" spans="1:19" s="195" customFormat="1">
      <c r="B71" s="222" t="s">
        <v>45</v>
      </c>
      <c r="C71" s="32"/>
      <c r="D71" s="32"/>
      <c r="E71" s="32"/>
      <c r="F71" s="73"/>
      <c r="G71" s="74"/>
      <c r="H71" s="66">
        <f>H69+H70</f>
        <v>487.32809400000002</v>
      </c>
      <c r="I71" s="67"/>
      <c r="J71" s="67"/>
      <c r="K71" s="67"/>
      <c r="L71" s="70">
        <f>L69+L70</f>
        <v>479.14041055658834</v>
      </c>
      <c r="M71" s="71"/>
      <c r="N71" s="72">
        <f>L71-H71</f>
        <v>-8.1876834434116859</v>
      </c>
      <c r="O71" s="18">
        <f>IF((H71)=0,"",(N71/H71))</f>
        <v>-1.6801172647788465E-2</v>
      </c>
    </row>
    <row r="72" spans="1:19" s="195" customFormat="1">
      <c r="B72" s="294" t="s">
        <v>46</v>
      </c>
      <c r="C72" s="294"/>
      <c r="D72" s="294"/>
      <c r="E72" s="32"/>
      <c r="F72" s="73"/>
      <c r="G72" s="74"/>
      <c r="H72" s="75">
        <f>ROUND(-H71*0.1,2)</f>
        <v>-48.73</v>
      </c>
      <c r="I72" s="67"/>
      <c r="J72" s="67"/>
      <c r="K72" s="67"/>
      <c r="L72" s="76">
        <f>ROUND(-L71*0.1,2)</f>
        <v>-47.91</v>
      </c>
      <c r="M72" s="71"/>
      <c r="N72" s="77">
        <f>L72-H72</f>
        <v>0.82000000000000028</v>
      </c>
      <c r="O72" s="55">
        <f>IF((H72)=0,"",(N72/H72))</f>
        <v>-1.6827416375949113E-2</v>
      </c>
    </row>
    <row r="73" spans="1:19" s="195" customFormat="1" ht="13.5" thickBot="1">
      <c r="B73" s="288" t="s">
        <v>49</v>
      </c>
      <c r="C73" s="288"/>
      <c r="D73" s="288"/>
      <c r="E73" s="32"/>
      <c r="F73" s="73"/>
      <c r="G73" s="74"/>
      <c r="H73" s="59">
        <f>SUM(H71:H72)</f>
        <v>438.598094</v>
      </c>
      <c r="I73" s="60"/>
      <c r="J73" s="60"/>
      <c r="K73" s="60"/>
      <c r="L73" s="223">
        <f>SUM(L71:L72)</f>
        <v>431.23041055658837</v>
      </c>
      <c r="M73" s="62"/>
      <c r="N73" s="63">
        <f>L73-H73</f>
        <v>-7.3676834434116358</v>
      </c>
      <c r="O73" s="41">
        <f>IF((H73)=0,"",(N73/H73))</f>
        <v>-1.6798256864772505E-2</v>
      </c>
    </row>
    <row r="74" spans="1:19" s="195" customFormat="1" ht="13.5" thickBot="1">
      <c r="B74" s="215"/>
      <c r="C74" s="216"/>
      <c r="D74" s="217"/>
      <c r="E74" s="216"/>
      <c r="F74" s="224"/>
      <c r="G74" s="225"/>
      <c r="H74" s="226"/>
      <c r="I74" s="227"/>
      <c r="J74" s="224"/>
      <c r="K74" s="218"/>
      <c r="L74" s="228"/>
      <c r="M74" s="219"/>
      <c r="N74" s="229"/>
      <c r="O74" s="205"/>
    </row>
    <row r="75" spans="1:19">
      <c r="L75" s="190"/>
    </row>
    <row r="76" spans="1:19">
      <c r="B76" s="230" t="s">
        <v>50</v>
      </c>
      <c r="F76" s="231">
        <v>3.9E-2</v>
      </c>
      <c r="J76" s="231">
        <v>4.5699999999999998E-2</v>
      </c>
    </row>
    <row r="78" spans="1:19" ht="14.25">
      <c r="A78" s="232" t="s">
        <v>51</v>
      </c>
    </row>
    <row r="80" spans="1:19">
      <c r="A80" s="12" t="s">
        <v>52</v>
      </c>
    </row>
    <row r="81" spans="1:2">
      <c r="A81" s="12" t="s">
        <v>53</v>
      </c>
    </row>
    <row r="83" spans="1:2">
      <c r="A83" s="233" t="s">
        <v>54</v>
      </c>
    </row>
    <row r="84" spans="1:2">
      <c r="A84" s="233" t="s">
        <v>55</v>
      </c>
    </row>
    <row r="86" spans="1:2">
      <c r="A86" s="12" t="s">
        <v>56</v>
      </c>
    </row>
    <row r="87" spans="1:2">
      <c r="A87" s="12" t="s">
        <v>57</v>
      </c>
    </row>
    <row r="88" spans="1:2">
      <c r="A88" s="12" t="s">
        <v>58</v>
      </c>
    </row>
    <row r="89" spans="1:2">
      <c r="A89" s="12" t="s">
        <v>59</v>
      </c>
    </row>
    <row r="90" spans="1:2">
      <c r="A90" s="12" t="s">
        <v>60</v>
      </c>
    </row>
    <row r="92" spans="1:2" ht="51">
      <c r="B92" s="13" t="s">
        <v>61</v>
      </c>
    </row>
  </sheetData>
  <mergeCells count="14">
    <mergeCell ref="A3:K3"/>
    <mergeCell ref="B10:O10"/>
    <mergeCell ref="B11:O11"/>
    <mergeCell ref="D14:O14"/>
    <mergeCell ref="F20:H20"/>
    <mergeCell ref="J20:L20"/>
    <mergeCell ref="N20:O20"/>
    <mergeCell ref="B73:D73"/>
    <mergeCell ref="D21:D22"/>
    <mergeCell ref="N21:N22"/>
    <mergeCell ref="O21:O22"/>
    <mergeCell ref="B66:D66"/>
    <mergeCell ref="B67:D67"/>
    <mergeCell ref="B72:D72"/>
  </mergeCells>
  <dataValidations count="3">
    <dataValidation type="list" allowBlank="1" showInputMessage="1" showErrorMessage="1" sqref="E23:E38 E74 E50:E51 E53:E62 E68 E40:E48">
      <formula1>"#REF!"</formula1>
      <formula2>0</formula2>
    </dataValidation>
    <dataValidation type="list" allowBlank="1" showInputMessage="1" showErrorMessage="1" prompt="Select Charge Unit - monthly, per kWh, per kW" sqref="D74 D23:D38 D50:D51 D68 D53:D62 D40:D48">
      <formula1>"Monthly,per kWh,per kW"</formula1>
      <formula2>0</formula2>
    </dataValidation>
    <dataValidation type="list" allowBlank="1" showInputMessage="1" showErrorMessage="1" sqref="D16">
      <formula1>"TOU,non-TOU"</formula1>
      <formula2>0</formula2>
    </dataValidation>
  </dataValidations>
  <pageMargins left="0.7" right="0.7" top="0.75" bottom="0.75" header="0.3" footer="0.3"/>
  <pageSetup paperSize="9" scale="4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Option Button 44">
              <controlPr defaultSize="0" autoFill="0" autoLine="0" autoPict="0">
                <anchor moveWithCells="1" sizeWithCells="1">
                  <from>
                    <xdr:col>6</xdr:col>
                    <xdr:colOff>476250</xdr:colOff>
                    <xdr:row>17</xdr:row>
                    <xdr:rowOff>0</xdr:rowOff>
                  </from>
                  <to>
                    <xdr:col>9</xdr:col>
                    <xdr:colOff>733425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Option Button 45">
              <controlPr defaultSize="0" autoFill="0" autoLine="0" autoPict="0">
                <anchor moveWithCells="1" sizeWithCells="1">
                  <from>
                    <xdr:col>9</xdr:col>
                    <xdr:colOff>371475</xdr:colOff>
                    <xdr:row>16</xdr:row>
                    <xdr:rowOff>104775</xdr:rowOff>
                  </from>
                  <to>
                    <xdr:col>16</xdr:col>
                    <xdr:colOff>257175</xdr:colOff>
                    <xdr:row>18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92"/>
  <sheetViews>
    <sheetView showGridLines="0" workbookViewId="0">
      <selection activeCell="B10" sqref="B10:O10"/>
    </sheetView>
  </sheetViews>
  <sheetFormatPr defaultRowHeight="12.75"/>
  <cols>
    <col min="1" max="1" width="11.28515625" style="12" customWidth="1"/>
    <col min="2" max="2" width="26.5703125" style="13" customWidth="1"/>
    <col min="3" max="3" width="1.28515625" style="12" customWidth="1"/>
    <col min="4" max="4" width="11.28515625" style="12" customWidth="1"/>
    <col min="5" max="5" width="1.28515625" style="12" customWidth="1"/>
    <col min="6" max="6" width="12.28515625" style="12" customWidth="1"/>
    <col min="7" max="7" width="8.5703125" style="12" customWidth="1"/>
    <col min="8" max="8" width="11.140625" style="12" customWidth="1"/>
    <col min="9" max="9" width="2.85546875" style="12" customWidth="1"/>
    <col min="10" max="10" width="17" style="12" bestFit="1" customWidth="1"/>
    <col min="11" max="11" width="8.5703125" style="12" customWidth="1"/>
    <col min="12" max="12" width="9.7109375" style="12" customWidth="1"/>
    <col min="13" max="13" width="2.85546875" style="12" customWidth="1"/>
    <col min="14" max="14" width="12.7109375" style="12" customWidth="1"/>
    <col min="15" max="15" width="10.85546875" style="12" customWidth="1"/>
    <col min="16" max="16" width="3.85546875" style="12" customWidth="1"/>
    <col min="17" max="16384" width="9.140625" style="12"/>
  </cols>
  <sheetData>
    <row r="1" spans="1:20" s="2" customFormat="1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/>
      <c r="O1" s="4"/>
      <c r="T1" s="2">
        <v>1</v>
      </c>
    </row>
    <row r="2" spans="1:20" s="2" customFormat="1" ht="12.75" customHeight="1">
      <c r="A2" s="5"/>
      <c r="B2" s="6"/>
      <c r="C2" s="5"/>
      <c r="D2" s="5"/>
      <c r="E2" s="5"/>
      <c r="F2" s="5"/>
      <c r="G2" s="5"/>
      <c r="H2" s="5"/>
      <c r="I2" s="5"/>
      <c r="J2" s="5"/>
      <c r="K2" s="5"/>
      <c r="N2" s="3"/>
      <c r="O2" s="7"/>
    </row>
    <row r="3" spans="1:20" s="2" customFormat="1" ht="12.75" customHeight="1">
      <c r="A3" s="295"/>
      <c r="B3" s="295"/>
      <c r="C3" s="295"/>
      <c r="D3" s="295"/>
      <c r="E3" s="295"/>
      <c r="F3" s="295"/>
      <c r="G3" s="295"/>
      <c r="H3" s="295"/>
      <c r="I3" s="295"/>
      <c r="J3" s="295"/>
      <c r="K3" s="295"/>
      <c r="N3" s="3"/>
      <c r="O3" s="7"/>
    </row>
    <row r="4" spans="1:20" s="2" customFormat="1" ht="12.75" customHeight="1">
      <c r="A4" s="5"/>
      <c r="B4" s="6"/>
      <c r="C4" s="5"/>
      <c r="D4" s="5"/>
      <c r="E4" s="5"/>
      <c r="F4" s="5"/>
      <c r="G4" s="5"/>
      <c r="H4" s="5"/>
      <c r="I4" s="8"/>
      <c r="J4" s="8"/>
      <c r="K4" s="8"/>
      <c r="N4" s="3"/>
      <c r="O4" s="7"/>
    </row>
    <row r="5" spans="1:20" s="2" customFormat="1" ht="12.75" customHeight="1">
      <c r="B5" s="9"/>
      <c r="C5" s="10"/>
      <c r="D5" s="10"/>
      <c r="E5" s="10"/>
      <c r="N5" s="3"/>
      <c r="O5" s="4"/>
    </row>
    <row r="6" spans="1:20" s="2" customFormat="1" ht="12.75" customHeight="1">
      <c r="B6" s="9"/>
      <c r="N6" s="3"/>
      <c r="O6" s="11"/>
    </row>
    <row r="7" spans="1:20" s="2" customFormat="1" ht="12.75" customHeight="1">
      <c r="B7" s="9"/>
      <c r="N7" s="3"/>
      <c r="O7" s="4"/>
    </row>
    <row r="8" spans="1:20" s="2" customFormat="1" ht="12.75" customHeight="1">
      <c r="B8" s="9"/>
    </row>
    <row r="9" spans="1:20" ht="12.75" customHeight="1"/>
    <row r="10" spans="1:20" s="130" customFormat="1" ht="18.75" customHeight="1">
      <c r="B10" s="299" t="s">
        <v>0</v>
      </c>
      <c r="C10" s="299"/>
      <c r="D10" s="299"/>
      <c r="E10" s="299"/>
      <c r="F10" s="299"/>
      <c r="G10" s="299"/>
      <c r="H10" s="299"/>
      <c r="I10" s="299"/>
      <c r="J10" s="299"/>
      <c r="K10" s="299"/>
      <c r="L10" s="299"/>
      <c r="M10" s="299"/>
      <c r="N10" s="299"/>
      <c r="O10" s="299"/>
    </row>
    <row r="11" spans="1:20" ht="18.75" customHeight="1">
      <c r="B11" s="296" t="s">
        <v>1</v>
      </c>
      <c r="C11" s="296"/>
      <c r="D11" s="296"/>
      <c r="E11" s="296"/>
      <c r="F11" s="296"/>
      <c r="G11" s="296"/>
      <c r="H11" s="296"/>
      <c r="I11" s="296"/>
      <c r="J11" s="296"/>
      <c r="K11" s="296"/>
      <c r="L11" s="296"/>
      <c r="M11" s="296"/>
      <c r="N11" s="296"/>
      <c r="O11" s="296"/>
    </row>
    <row r="12" spans="1:20" ht="7.5" customHeight="1"/>
    <row r="13" spans="1:20" ht="7.5" customHeight="1"/>
    <row r="14" spans="1:20" ht="15.75">
      <c r="B14" s="131" t="s">
        <v>2</v>
      </c>
      <c r="D14" s="297" t="s">
        <v>62</v>
      </c>
      <c r="E14" s="297"/>
      <c r="F14" s="297"/>
      <c r="G14" s="297"/>
      <c r="H14" s="297"/>
      <c r="I14" s="297"/>
      <c r="J14" s="297"/>
      <c r="K14" s="297"/>
      <c r="L14" s="297"/>
      <c r="M14" s="297"/>
      <c r="N14" s="297"/>
      <c r="O14" s="297"/>
    </row>
    <row r="15" spans="1:20" ht="7.5" customHeight="1">
      <c r="B15" s="132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</row>
    <row r="16" spans="1:20" ht="15.75">
      <c r="B16" s="131" t="s">
        <v>4</v>
      </c>
      <c r="D16" s="134" t="s">
        <v>5</v>
      </c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</row>
    <row r="17" spans="1:15" ht="15.75">
      <c r="B17" s="132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</row>
    <row r="18" spans="1:15">
      <c r="B18" s="135"/>
      <c r="D18" s="136" t="s">
        <v>6</v>
      </c>
      <c r="E18" s="136"/>
      <c r="F18" s="137">
        <v>2000</v>
      </c>
      <c r="G18" s="136" t="s">
        <v>7</v>
      </c>
    </row>
    <row r="19" spans="1:15">
      <c r="B19" s="135"/>
    </row>
    <row r="20" spans="1:15">
      <c r="B20" s="135"/>
      <c r="D20" s="138"/>
      <c r="E20" s="138"/>
      <c r="F20" s="298" t="s">
        <v>8</v>
      </c>
      <c r="G20" s="298"/>
      <c r="H20" s="298"/>
      <c r="J20" s="298" t="s">
        <v>9</v>
      </c>
      <c r="K20" s="298"/>
      <c r="L20" s="298"/>
      <c r="N20" s="298" t="s">
        <v>10</v>
      </c>
      <c r="O20" s="298"/>
    </row>
    <row r="21" spans="1:15">
      <c r="B21" s="135"/>
      <c r="D21" s="289" t="s">
        <v>11</v>
      </c>
      <c r="E21" s="139"/>
      <c r="F21" s="140" t="s">
        <v>12</v>
      </c>
      <c r="G21" s="140" t="s">
        <v>13</v>
      </c>
      <c r="H21" s="141" t="s">
        <v>14</v>
      </c>
      <c r="J21" s="140" t="s">
        <v>12</v>
      </c>
      <c r="K21" s="142" t="s">
        <v>13</v>
      </c>
      <c r="L21" s="141" t="s">
        <v>14</v>
      </c>
      <c r="N21" s="290" t="s">
        <v>15</v>
      </c>
      <c r="O21" s="291" t="s">
        <v>16</v>
      </c>
    </row>
    <row r="22" spans="1:15">
      <c r="B22" s="135"/>
      <c r="D22" s="289"/>
      <c r="E22" s="139"/>
      <c r="F22" s="143" t="s">
        <v>17</v>
      </c>
      <c r="G22" s="143"/>
      <c r="H22" s="144" t="s">
        <v>17</v>
      </c>
      <c r="J22" s="143" t="s">
        <v>17</v>
      </c>
      <c r="K22" s="144"/>
      <c r="L22" s="144" t="s">
        <v>17</v>
      </c>
      <c r="N22" s="290"/>
      <c r="O22" s="291"/>
    </row>
    <row r="23" spans="1:15">
      <c r="B23" s="145" t="s">
        <v>18</v>
      </c>
      <c r="C23" s="20"/>
      <c r="D23" s="146" t="s">
        <v>19</v>
      </c>
      <c r="E23" s="14"/>
      <c r="F23" s="147">
        <f>'[1]B. CurrentTariff'!C53</f>
        <v>22.97</v>
      </c>
      <c r="G23" s="15">
        <v>1</v>
      </c>
      <c r="H23" s="16">
        <f>G23*F23</f>
        <v>22.97</v>
      </c>
      <c r="I23" s="28"/>
      <c r="J23" s="148">
        <f>'[1]G. RateDesign'!B47</f>
        <v>27.35</v>
      </c>
      <c r="K23" s="17">
        <v>1</v>
      </c>
      <c r="L23" s="16">
        <f>K23*J23</f>
        <v>27.35</v>
      </c>
      <c r="M23" s="28"/>
      <c r="N23" s="149">
        <f>L23-H23</f>
        <v>4.3800000000000026</v>
      </c>
      <c r="O23" s="18">
        <f>IF((H23)=0,"",(N23/H23))</f>
        <v>0.19068350021767536</v>
      </c>
    </row>
    <row r="24" spans="1:15">
      <c r="A24" s="19"/>
      <c r="B24" s="145" t="s">
        <v>20</v>
      </c>
      <c r="C24" s="20"/>
      <c r="D24" s="146"/>
      <c r="E24" s="14"/>
      <c r="F24" s="150"/>
      <c r="G24" s="15">
        <v>1</v>
      </c>
      <c r="H24" s="16">
        <f t="shared" ref="H24:H38" si="0">G24*F24</f>
        <v>0</v>
      </c>
      <c r="I24" s="28"/>
      <c r="J24" s="148"/>
      <c r="K24" s="17">
        <v>1</v>
      </c>
      <c r="L24" s="16">
        <f>K24*J24</f>
        <v>0</v>
      </c>
      <c r="M24" s="28"/>
      <c r="N24" s="149">
        <f>L24-H24</f>
        <v>0</v>
      </c>
      <c r="O24" s="18" t="str">
        <f>IF((H24)=0,"",(N24/H24))</f>
        <v/>
      </c>
    </row>
    <row r="25" spans="1:15">
      <c r="A25" s="19"/>
      <c r="B25" s="151" t="s">
        <v>21</v>
      </c>
      <c r="C25" s="20"/>
      <c r="D25" s="146" t="s">
        <v>19</v>
      </c>
      <c r="E25" s="14"/>
      <c r="F25" s="150"/>
      <c r="G25" s="15">
        <v>1</v>
      </c>
      <c r="H25" s="16">
        <f t="shared" si="0"/>
        <v>0</v>
      </c>
      <c r="I25" s="28"/>
      <c r="J25" s="148">
        <f>'[1]I. SMRR'!G14</f>
        <v>2.8831970487551146</v>
      </c>
      <c r="K25" s="17">
        <v>1</v>
      </c>
      <c r="L25" s="16">
        <f t="shared" ref="L25:L38" si="1">K25*J25</f>
        <v>2.8831970487551146</v>
      </c>
      <c r="M25" s="28"/>
      <c r="N25" s="149">
        <f t="shared" ref="N25:N67" si="2">L25-H25</f>
        <v>2.8831970487551146</v>
      </c>
      <c r="O25" s="18" t="str">
        <f t="shared" ref="O25:O47" si="3">IF((H25)=0,"",(N25/H25))</f>
        <v/>
      </c>
    </row>
    <row r="26" spans="1:15">
      <c r="A26" s="19"/>
      <c r="B26" s="145" t="s">
        <v>22</v>
      </c>
      <c r="C26" s="20"/>
      <c r="D26" s="146" t="s">
        <v>19</v>
      </c>
      <c r="E26" s="14"/>
      <c r="F26" s="150"/>
      <c r="G26" s="15">
        <v>1</v>
      </c>
      <c r="H26" s="16">
        <f t="shared" si="0"/>
        <v>0</v>
      </c>
      <c r="I26" s="28"/>
      <c r="J26" s="148">
        <v>8.82</v>
      </c>
      <c r="K26" s="17">
        <v>1</v>
      </c>
      <c r="L26" s="16">
        <f t="shared" si="1"/>
        <v>8.82</v>
      </c>
      <c r="M26" s="28"/>
      <c r="N26" s="149">
        <f t="shared" si="2"/>
        <v>8.82</v>
      </c>
      <c r="O26" s="18" t="str">
        <f t="shared" si="3"/>
        <v/>
      </c>
    </row>
    <row r="27" spans="1:15">
      <c r="A27" s="19"/>
      <c r="B27" s="152"/>
      <c r="C27" s="20"/>
      <c r="D27" s="146"/>
      <c r="E27" s="14"/>
      <c r="F27" s="150"/>
      <c r="G27" s="15">
        <v>1</v>
      </c>
      <c r="H27" s="16">
        <f t="shared" si="0"/>
        <v>0</v>
      </c>
      <c r="I27" s="28"/>
      <c r="J27" s="31"/>
      <c r="K27" s="17">
        <v>1</v>
      </c>
      <c r="L27" s="16">
        <f t="shared" si="1"/>
        <v>0</v>
      </c>
      <c r="M27" s="28"/>
      <c r="N27" s="149">
        <f t="shared" si="2"/>
        <v>0</v>
      </c>
      <c r="O27" s="18" t="str">
        <f t="shared" si="3"/>
        <v/>
      </c>
    </row>
    <row r="28" spans="1:15">
      <c r="A28" s="19"/>
      <c r="B28" s="152"/>
      <c r="C28" s="20"/>
      <c r="D28" s="146"/>
      <c r="E28" s="14"/>
      <c r="F28" s="150"/>
      <c r="G28" s="15">
        <v>1</v>
      </c>
      <c r="H28" s="16">
        <f t="shared" si="0"/>
        <v>0</v>
      </c>
      <c r="I28" s="28"/>
      <c r="J28" s="31"/>
      <c r="K28" s="17">
        <v>1</v>
      </c>
      <c r="L28" s="16">
        <f t="shared" si="1"/>
        <v>0</v>
      </c>
      <c r="M28" s="28"/>
      <c r="N28" s="149">
        <f t="shared" si="2"/>
        <v>0</v>
      </c>
      <c r="O28" s="18" t="str">
        <f t="shared" si="3"/>
        <v/>
      </c>
    </row>
    <row r="29" spans="1:15">
      <c r="A29" s="19"/>
      <c r="B29" s="145" t="s">
        <v>23</v>
      </c>
      <c r="C29" s="20"/>
      <c r="D29" s="146" t="s">
        <v>24</v>
      </c>
      <c r="E29" s="14"/>
      <c r="F29" s="150">
        <f>'[1]B. CurrentTariff'!C54</f>
        <v>1.0500000000000001E-2</v>
      </c>
      <c r="G29" s="15">
        <f t="shared" ref="G29:G38" si="4">$F$18</f>
        <v>2000</v>
      </c>
      <c r="H29" s="16">
        <f t="shared" si="0"/>
        <v>21</v>
      </c>
      <c r="I29" s="28"/>
      <c r="J29" s="31">
        <f>'[1]G. RateDesign'!G47</f>
        <v>1.2504682544578845E-2</v>
      </c>
      <c r="K29" s="15">
        <f>$F$18</f>
        <v>2000</v>
      </c>
      <c r="L29" s="16">
        <f t="shared" si="1"/>
        <v>25.00936508915769</v>
      </c>
      <c r="M29" s="28"/>
      <c r="N29" s="149">
        <f t="shared" si="2"/>
        <v>4.00936508915769</v>
      </c>
      <c r="O29" s="18">
        <f t="shared" si="3"/>
        <v>0.19092214710274713</v>
      </c>
    </row>
    <row r="30" spans="1:15">
      <c r="A30" s="19"/>
      <c r="B30" s="145" t="s">
        <v>22</v>
      </c>
      <c r="C30" s="20"/>
      <c r="D30" s="146" t="s">
        <v>24</v>
      </c>
      <c r="E30" s="14"/>
      <c r="F30" s="150"/>
      <c r="G30" s="15">
        <f t="shared" si="4"/>
        <v>2000</v>
      </c>
      <c r="H30" s="16">
        <f t="shared" si="0"/>
        <v>0</v>
      </c>
      <c r="I30" s="28"/>
      <c r="J30" s="31"/>
      <c r="K30" s="15">
        <f t="shared" ref="K30:K38" si="5">$F$18</f>
        <v>2000</v>
      </c>
      <c r="L30" s="16">
        <f t="shared" si="1"/>
        <v>0</v>
      </c>
      <c r="M30" s="28"/>
      <c r="N30" s="149">
        <f t="shared" si="2"/>
        <v>0</v>
      </c>
      <c r="O30" s="18" t="str">
        <f t="shared" si="3"/>
        <v/>
      </c>
    </row>
    <row r="31" spans="1:15">
      <c r="A31" s="19"/>
      <c r="B31" s="145" t="s">
        <v>25</v>
      </c>
      <c r="C31" s="20"/>
      <c r="D31" s="146" t="s">
        <v>24</v>
      </c>
      <c r="E31" s="14"/>
      <c r="F31" s="150"/>
      <c r="G31" s="15">
        <f t="shared" si="4"/>
        <v>2000</v>
      </c>
      <c r="H31" s="16">
        <f t="shared" si="0"/>
        <v>0</v>
      </c>
      <c r="I31" s="28"/>
      <c r="J31" s="31"/>
      <c r="K31" s="15">
        <f t="shared" si="5"/>
        <v>2000</v>
      </c>
      <c r="L31" s="16">
        <f t="shared" si="1"/>
        <v>0</v>
      </c>
      <c r="M31" s="28"/>
      <c r="N31" s="149">
        <f t="shared" si="2"/>
        <v>0</v>
      </c>
      <c r="O31" s="18" t="str">
        <f t="shared" si="3"/>
        <v/>
      </c>
    </row>
    <row r="32" spans="1:15">
      <c r="A32" s="19"/>
      <c r="B32" s="151"/>
      <c r="C32" s="20"/>
      <c r="D32" s="146"/>
      <c r="E32" s="14"/>
      <c r="F32" s="150"/>
      <c r="G32" s="15">
        <f t="shared" si="4"/>
        <v>2000</v>
      </c>
      <c r="H32" s="16">
        <f>G32*F32</f>
        <v>0</v>
      </c>
      <c r="I32" s="28"/>
      <c r="J32" s="31"/>
      <c r="K32" s="15">
        <f t="shared" si="5"/>
        <v>2000</v>
      </c>
      <c r="L32" s="16">
        <f>K32*J32</f>
        <v>0</v>
      </c>
      <c r="M32" s="28"/>
      <c r="N32" s="149">
        <f>L32-H32</f>
        <v>0</v>
      </c>
      <c r="O32" s="18" t="str">
        <f>IF((H32)=0,"",(N32/H32))</f>
        <v/>
      </c>
    </row>
    <row r="33" spans="1:15">
      <c r="A33" s="19"/>
      <c r="B33" s="151"/>
      <c r="C33" s="20"/>
      <c r="D33" s="146"/>
      <c r="E33" s="14"/>
      <c r="F33" s="150"/>
      <c r="G33" s="15">
        <f t="shared" si="4"/>
        <v>2000</v>
      </c>
      <c r="H33" s="16">
        <f>G33*F33</f>
        <v>0</v>
      </c>
      <c r="I33" s="28"/>
      <c r="J33" s="31"/>
      <c r="K33" s="15">
        <f t="shared" si="5"/>
        <v>2000</v>
      </c>
      <c r="L33" s="16">
        <f>K33*J33</f>
        <v>0</v>
      </c>
      <c r="M33" s="28"/>
      <c r="N33" s="149">
        <f>L33-H33</f>
        <v>0</v>
      </c>
      <c r="O33" s="18" t="str">
        <f>IF((H33)=0,"",(N33/H33))</f>
        <v/>
      </c>
    </row>
    <row r="34" spans="1:15">
      <c r="A34" s="19"/>
      <c r="B34" s="151"/>
      <c r="C34" s="20"/>
      <c r="D34" s="146"/>
      <c r="E34" s="14"/>
      <c r="F34" s="150"/>
      <c r="G34" s="15">
        <f t="shared" si="4"/>
        <v>2000</v>
      </c>
      <c r="H34" s="16">
        <f>G34*F34</f>
        <v>0</v>
      </c>
      <c r="I34" s="28"/>
      <c r="J34" s="31"/>
      <c r="K34" s="15">
        <f t="shared" si="5"/>
        <v>2000</v>
      </c>
      <c r="L34" s="16">
        <f>K34*J34</f>
        <v>0</v>
      </c>
      <c r="M34" s="28"/>
      <c r="N34" s="149">
        <f>L34-H34</f>
        <v>0</v>
      </c>
      <c r="O34" s="18" t="str">
        <f>IF((H34)=0,"",(N34/H34))</f>
        <v/>
      </c>
    </row>
    <row r="35" spans="1:15">
      <c r="A35" s="19"/>
      <c r="B35" s="151"/>
      <c r="C35" s="20"/>
      <c r="D35" s="146"/>
      <c r="E35" s="14"/>
      <c r="F35" s="150"/>
      <c r="G35" s="15">
        <f t="shared" si="4"/>
        <v>2000</v>
      </c>
      <c r="H35" s="16">
        <f t="shared" si="0"/>
        <v>0</v>
      </c>
      <c r="I35" s="28"/>
      <c r="J35" s="31"/>
      <c r="K35" s="15">
        <f t="shared" si="5"/>
        <v>2000</v>
      </c>
      <c r="L35" s="16">
        <f t="shared" si="1"/>
        <v>0</v>
      </c>
      <c r="M35" s="28"/>
      <c r="N35" s="149">
        <f t="shared" si="2"/>
        <v>0</v>
      </c>
      <c r="O35" s="18" t="str">
        <f t="shared" si="3"/>
        <v/>
      </c>
    </row>
    <row r="36" spans="1:15">
      <c r="A36" s="19"/>
      <c r="B36" s="151"/>
      <c r="C36" s="20"/>
      <c r="D36" s="146"/>
      <c r="E36" s="14"/>
      <c r="F36" s="150"/>
      <c r="G36" s="15">
        <f t="shared" si="4"/>
        <v>2000</v>
      </c>
      <c r="H36" s="16">
        <f t="shared" si="0"/>
        <v>0</v>
      </c>
      <c r="I36" s="28"/>
      <c r="J36" s="31"/>
      <c r="K36" s="15">
        <f t="shared" si="5"/>
        <v>2000</v>
      </c>
      <c r="L36" s="16">
        <f t="shared" si="1"/>
        <v>0</v>
      </c>
      <c r="M36" s="28"/>
      <c r="N36" s="149">
        <f t="shared" si="2"/>
        <v>0</v>
      </c>
      <c r="O36" s="18" t="str">
        <f t="shared" si="3"/>
        <v/>
      </c>
    </row>
    <row r="37" spans="1:15">
      <c r="A37" s="19"/>
      <c r="B37" s="151"/>
      <c r="C37" s="20"/>
      <c r="D37" s="146"/>
      <c r="E37" s="14"/>
      <c r="F37" s="150"/>
      <c r="G37" s="15">
        <f t="shared" si="4"/>
        <v>2000</v>
      </c>
      <c r="H37" s="16">
        <f t="shared" si="0"/>
        <v>0</v>
      </c>
      <c r="I37" s="28"/>
      <c r="J37" s="31"/>
      <c r="K37" s="15">
        <f t="shared" si="5"/>
        <v>2000</v>
      </c>
      <c r="L37" s="16">
        <f t="shared" si="1"/>
        <v>0</v>
      </c>
      <c r="M37" s="28"/>
      <c r="N37" s="149">
        <f t="shared" si="2"/>
        <v>0</v>
      </c>
      <c r="O37" s="18" t="str">
        <f t="shared" si="3"/>
        <v/>
      </c>
    </row>
    <row r="38" spans="1:15">
      <c r="A38" s="19"/>
      <c r="B38" s="151"/>
      <c r="C38" s="20"/>
      <c r="D38" s="146"/>
      <c r="E38" s="14"/>
      <c r="F38" s="150"/>
      <c r="G38" s="15">
        <f t="shared" si="4"/>
        <v>2000</v>
      </c>
      <c r="H38" s="16">
        <f t="shared" si="0"/>
        <v>0</v>
      </c>
      <c r="I38" s="28"/>
      <c r="J38" s="31"/>
      <c r="K38" s="15">
        <f t="shared" si="5"/>
        <v>2000</v>
      </c>
      <c r="L38" s="16">
        <f t="shared" si="1"/>
        <v>0</v>
      </c>
      <c r="M38" s="28"/>
      <c r="N38" s="149">
        <f t="shared" si="2"/>
        <v>0</v>
      </c>
      <c r="O38" s="18" t="str">
        <f t="shared" si="3"/>
        <v/>
      </c>
    </row>
    <row r="39" spans="1:15">
      <c r="A39" s="19"/>
      <c r="B39" s="153" t="s">
        <v>26</v>
      </c>
      <c r="C39" s="154"/>
      <c r="D39" s="155"/>
      <c r="E39" s="154"/>
      <c r="F39" s="156"/>
      <c r="G39" s="157"/>
      <c r="H39" s="158">
        <f>SUM(H23:H38)</f>
        <v>43.97</v>
      </c>
      <c r="I39" s="28"/>
      <c r="J39" s="159"/>
      <c r="K39" s="160"/>
      <c r="L39" s="158">
        <f>SUM(L23:L38)</f>
        <v>64.062562137912806</v>
      </c>
      <c r="M39" s="28"/>
      <c r="N39" s="161">
        <f t="shared" si="2"/>
        <v>20.092562137912807</v>
      </c>
      <c r="O39" s="162">
        <f t="shared" si="3"/>
        <v>0.45696070361411889</v>
      </c>
    </row>
    <row r="40" spans="1:15" ht="51">
      <c r="A40" s="163"/>
      <c r="B40" s="164" t="str">
        <f>'[1]J. DVA'!$B$16</f>
        <v>Rate Rider Calculation for Deferral / Variance Accounts Balances (excluding Global Adj.)</v>
      </c>
      <c r="C40" s="20"/>
      <c r="D40" s="165" t="s">
        <v>24</v>
      </c>
      <c r="E40" s="20"/>
      <c r="F40" s="166"/>
      <c r="G40" s="21">
        <f>$F$18</f>
        <v>2000</v>
      </c>
      <c r="H40" s="22">
        <f t="shared" ref="H40:H48" si="6">G40*F40</f>
        <v>0</v>
      </c>
      <c r="I40" s="167"/>
      <c r="J40" s="166">
        <f>'[1]J. DVA'!F21</f>
        <v>-8.2471767600577684E-4</v>
      </c>
      <c r="K40" s="21">
        <f t="shared" ref="K40:K46" si="7">$F$18</f>
        <v>2000</v>
      </c>
      <c r="L40" s="22">
        <f t="shared" ref="L40:L48" si="8">K40*J40</f>
        <v>-1.6494353520115537</v>
      </c>
      <c r="M40" s="167"/>
      <c r="N40" s="168">
        <f>L40-H40</f>
        <v>-1.6494353520115537</v>
      </c>
      <c r="O40" s="24" t="str">
        <f>IF((H40)=0,"",(N40/H40))</f>
        <v/>
      </c>
    </row>
    <row r="41" spans="1:15" ht="51">
      <c r="A41" s="169"/>
      <c r="B41" s="164" t="str">
        <f>'[1]J. DVA'!$B$42</f>
        <v>Rate Rider Calculation for Deferral / Variance Accounts Balances (excluding Global Adj.) - NON-WMP</v>
      </c>
      <c r="C41" s="20"/>
      <c r="D41" s="165" t="s">
        <v>24</v>
      </c>
      <c r="E41" s="20"/>
      <c r="F41" s="166"/>
      <c r="G41" s="21">
        <f>$F$18</f>
        <v>2000</v>
      </c>
      <c r="H41" s="22">
        <f t="shared" si="6"/>
        <v>0</v>
      </c>
      <c r="I41" s="167"/>
      <c r="J41" s="166">
        <f>'[1]J. DVA'!F47</f>
        <v>-2.646861822728247E-3</v>
      </c>
      <c r="K41" s="21">
        <f t="shared" si="7"/>
        <v>2000</v>
      </c>
      <c r="L41" s="22">
        <f t="shared" si="8"/>
        <v>-5.2937236454564935</v>
      </c>
      <c r="M41" s="167"/>
      <c r="N41" s="168">
        <f>L41-H41</f>
        <v>-5.2937236454564935</v>
      </c>
      <c r="O41" s="24" t="str">
        <f>IF((H41)=0,"",(N41/H41))</f>
        <v/>
      </c>
    </row>
    <row r="42" spans="1:15" ht="38.25">
      <c r="A42" s="169"/>
      <c r="B42" s="164" t="str">
        <f>'[1]J. DVA'!$B$68</f>
        <v>Rate Rider Calculation for RSVA - Power - Global Adjustment</v>
      </c>
      <c r="C42" s="20"/>
      <c r="D42" s="165"/>
      <c r="E42" s="20"/>
      <c r="F42" s="166"/>
      <c r="G42" s="21">
        <f t="shared" ref="G42:G43" si="9">$F$18</f>
        <v>2000</v>
      </c>
      <c r="H42" s="22"/>
      <c r="I42" s="167"/>
      <c r="J42" s="166">
        <v>0</v>
      </c>
      <c r="K42" s="21">
        <f t="shared" si="7"/>
        <v>2000</v>
      </c>
      <c r="L42" s="22">
        <f t="shared" si="8"/>
        <v>0</v>
      </c>
      <c r="M42" s="167"/>
      <c r="N42" s="168">
        <f t="shared" ref="N42:N43" si="10">L42-H42</f>
        <v>0</v>
      </c>
      <c r="O42" s="24"/>
    </row>
    <row r="43" spans="1:15" ht="25.5">
      <c r="A43" s="169"/>
      <c r="B43" s="164" t="str">
        <f>'[1]J. DVA'!$B$121</f>
        <v>Rate Rider Calculation for Group 2 Accounts</v>
      </c>
      <c r="C43" s="20"/>
      <c r="D43" s="165"/>
      <c r="E43" s="20"/>
      <c r="F43" s="166"/>
      <c r="G43" s="21">
        <f t="shared" si="9"/>
        <v>2000</v>
      </c>
      <c r="H43" s="22"/>
      <c r="I43" s="167"/>
      <c r="J43" s="166">
        <f>'[1]J. DVA'!F126</f>
        <v>8.0305657896044972E-5</v>
      </c>
      <c r="K43" s="21">
        <f t="shared" si="7"/>
        <v>2000</v>
      </c>
      <c r="L43" s="22">
        <f t="shared" si="8"/>
        <v>0.16061131579208995</v>
      </c>
      <c r="M43" s="167"/>
      <c r="N43" s="168">
        <f t="shared" si="10"/>
        <v>0.16061131579208995</v>
      </c>
      <c r="O43" s="24"/>
    </row>
    <row r="44" spans="1:15" ht="25.5">
      <c r="A44" s="163"/>
      <c r="B44" s="164" t="str">
        <f>'[1]J. DVA'!$B$147</f>
        <v>Rate Rider Calculation for Accounts 1575 and 1576</v>
      </c>
      <c r="C44" s="20"/>
      <c r="D44" s="165" t="s">
        <v>24</v>
      </c>
      <c r="E44" s="20"/>
      <c r="F44" s="166"/>
      <c r="G44" s="21">
        <f>$F$18</f>
        <v>2000</v>
      </c>
      <c r="H44" s="22">
        <f t="shared" si="6"/>
        <v>0</v>
      </c>
      <c r="I44" s="167"/>
      <c r="J44" s="166">
        <f>'[1]J. DVA'!F154</f>
        <v>2.3455444818976223E-4</v>
      </c>
      <c r="K44" s="21">
        <f t="shared" si="7"/>
        <v>2000</v>
      </c>
      <c r="L44" s="22">
        <f t="shared" si="8"/>
        <v>0.46910889637952446</v>
      </c>
      <c r="M44" s="167"/>
      <c r="N44" s="168">
        <f>L44-H44</f>
        <v>0.46910889637952446</v>
      </c>
      <c r="O44" s="24" t="str">
        <f>IF((H44)=0,"",(N44/H44))</f>
        <v/>
      </c>
    </row>
    <row r="45" spans="1:15" ht="25.5">
      <c r="A45" s="163"/>
      <c r="B45" s="164" t="str">
        <f>'[1]J. DVA'!$B$175</f>
        <v>Rate Rider Calculation for Accounts 1568</v>
      </c>
      <c r="C45" s="20"/>
      <c r="D45" s="165" t="s">
        <v>24</v>
      </c>
      <c r="E45" s="20"/>
      <c r="F45" s="166"/>
      <c r="G45" s="21">
        <f>$F$18</f>
        <v>2000</v>
      </c>
      <c r="H45" s="22">
        <f t="shared" si="6"/>
        <v>0</v>
      </c>
      <c r="I45" s="167"/>
      <c r="J45" s="166">
        <f>'[1]J. DVA'!F182</f>
        <v>6.2210617557952952E-4</v>
      </c>
      <c r="K45" s="21">
        <f t="shared" si="7"/>
        <v>2000</v>
      </c>
      <c r="L45" s="22">
        <f t="shared" si="8"/>
        <v>1.244212351159059</v>
      </c>
      <c r="M45" s="167"/>
      <c r="N45" s="168">
        <f>L45-H45</f>
        <v>1.244212351159059</v>
      </c>
      <c r="O45" s="24" t="str">
        <f>IF((H45)=0,"",(N45/H45))</f>
        <v/>
      </c>
    </row>
    <row r="46" spans="1:15">
      <c r="A46" s="163" t="s">
        <v>63</v>
      </c>
      <c r="B46" s="164" t="s">
        <v>27</v>
      </c>
      <c r="C46" s="20"/>
      <c r="D46" s="165" t="s">
        <v>24</v>
      </c>
      <c r="E46" s="20"/>
      <c r="F46" s="166">
        <v>1E-3</v>
      </c>
      <c r="G46" s="21">
        <f>$F$18</f>
        <v>2000</v>
      </c>
      <c r="H46" s="22">
        <f t="shared" si="6"/>
        <v>2</v>
      </c>
      <c r="I46" s="167"/>
      <c r="J46" s="166">
        <f>'[2]4.12 PowerSupplExp'!$I$172</f>
        <v>6.9999999999999999E-4</v>
      </c>
      <c r="K46" s="21">
        <f t="shared" si="7"/>
        <v>2000</v>
      </c>
      <c r="L46" s="22">
        <f t="shared" si="8"/>
        <v>1.4</v>
      </c>
      <c r="M46" s="167"/>
      <c r="N46" s="168">
        <f>L46-H46</f>
        <v>-0.60000000000000009</v>
      </c>
      <c r="O46" s="24">
        <f>IF((H46)=0,"",(N46/H46))</f>
        <v>-0.30000000000000004</v>
      </c>
    </row>
    <row r="47" spans="1:15">
      <c r="A47" s="19"/>
      <c r="B47" s="145" t="s">
        <v>28</v>
      </c>
      <c r="C47" s="20"/>
      <c r="D47" s="165" t="s">
        <v>24</v>
      </c>
      <c r="E47" s="20"/>
      <c r="F47" s="166">
        <f>IF(ISBLANK(D16)=1, 0, IF(D16="TOU", 0.64*$F$57+0.18*$F$58+0.18*$F$59, IF(AND(D16="non-TOU", G61&gt;0), F61,F60)))</f>
        <v>9.5000000000000001E-2</v>
      </c>
      <c r="G47" s="21">
        <f>$F$18*(1+$F$76)-$F$18</f>
        <v>78</v>
      </c>
      <c r="H47" s="22">
        <f t="shared" si="6"/>
        <v>7.41</v>
      </c>
      <c r="I47" s="167"/>
      <c r="J47" s="166">
        <f>0.64*$F$57+0.18*$F$58+0.18*$F$59</f>
        <v>9.5000000000000001E-2</v>
      </c>
      <c r="K47" s="21">
        <f>$F$18*(1+$J$76)-$F$18</f>
        <v>91.400000000000091</v>
      </c>
      <c r="L47" s="22">
        <f t="shared" si="8"/>
        <v>8.6830000000000087</v>
      </c>
      <c r="M47" s="167"/>
      <c r="N47" s="168">
        <f t="shared" si="2"/>
        <v>1.2730000000000086</v>
      </c>
      <c r="O47" s="24">
        <f t="shared" si="3"/>
        <v>0.17179487179487296</v>
      </c>
    </row>
    <row r="48" spans="1:15">
      <c r="A48" s="19"/>
      <c r="B48" s="170" t="s">
        <v>29</v>
      </c>
      <c r="C48" s="20"/>
      <c r="D48" s="171" t="s">
        <v>24</v>
      </c>
      <c r="E48" s="14"/>
      <c r="F48" s="172">
        <v>0.79</v>
      </c>
      <c r="G48" s="25">
        <v>1</v>
      </c>
      <c r="H48" s="26">
        <f t="shared" si="6"/>
        <v>0.79</v>
      </c>
      <c r="I48" s="173"/>
      <c r="J48" s="172">
        <v>0.79</v>
      </c>
      <c r="K48" s="25">
        <v>1</v>
      </c>
      <c r="L48" s="26">
        <f t="shared" si="8"/>
        <v>0.79</v>
      </c>
      <c r="M48" s="173"/>
      <c r="N48" s="174">
        <f t="shared" si="2"/>
        <v>0</v>
      </c>
      <c r="O48" s="27"/>
    </row>
    <row r="49" spans="2:19" ht="25.5">
      <c r="B49" s="175" t="s">
        <v>30</v>
      </c>
      <c r="C49" s="176"/>
      <c r="D49" s="176"/>
      <c r="E49" s="176"/>
      <c r="F49" s="177"/>
      <c r="G49" s="178"/>
      <c r="H49" s="179">
        <f>SUM(H40:H48)+H39</f>
        <v>54.17</v>
      </c>
      <c r="I49" s="28"/>
      <c r="J49" s="178"/>
      <c r="K49" s="180"/>
      <c r="L49" s="179">
        <f>SUM(L40:L48)+L39</f>
        <v>69.866335703775448</v>
      </c>
      <c r="M49" s="28"/>
      <c r="N49" s="161">
        <f t="shared" si="2"/>
        <v>15.696335703775446</v>
      </c>
      <c r="O49" s="162">
        <f t="shared" ref="O49:O67" si="11">IF((H49)=0,"",(N49/H49))</f>
        <v>0.2897606738743852</v>
      </c>
    </row>
    <row r="50" spans="2:19">
      <c r="B50" s="181" t="s">
        <v>31</v>
      </c>
      <c r="C50" s="28"/>
      <c r="D50" s="182" t="s">
        <v>24</v>
      </c>
      <c r="E50" s="28"/>
      <c r="F50" s="31">
        <v>5.7999999999999996E-3</v>
      </c>
      <c r="G50" s="29">
        <f>F18*(1+F76)</f>
        <v>2078</v>
      </c>
      <c r="H50" s="16">
        <f>G50*F50</f>
        <v>12.052399999999999</v>
      </c>
      <c r="I50" s="28"/>
      <c r="J50" s="31">
        <f>'[2]4.12 PowerSupplExp'!$N$59</f>
        <v>5.5533911754495633E-3</v>
      </c>
      <c r="K50" s="30">
        <f>F18*(1+J76)</f>
        <v>2091.4</v>
      </c>
      <c r="L50" s="16">
        <f>K50*J50</f>
        <v>11.614362304335216</v>
      </c>
      <c r="M50" s="28"/>
      <c r="N50" s="149">
        <f t="shared" si="2"/>
        <v>-0.43803769566478223</v>
      </c>
      <c r="O50" s="18">
        <f t="shared" si="11"/>
        <v>-3.6344437262684798E-2</v>
      </c>
    </row>
    <row r="51" spans="2:19" ht="25.5">
      <c r="B51" s="183" t="s">
        <v>32</v>
      </c>
      <c r="C51" s="28"/>
      <c r="D51" s="182" t="s">
        <v>24</v>
      </c>
      <c r="E51" s="28"/>
      <c r="F51" s="31">
        <v>4.0000000000000001E-3</v>
      </c>
      <c r="G51" s="29">
        <f>G50</f>
        <v>2078</v>
      </c>
      <c r="H51" s="16">
        <f>G51*F51</f>
        <v>8.3119999999999994</v>
      </c>
      <c r="I51" s="28"/>
      <c r="J51" s="31">
        <f>'[2]4.12 PowerSupplExp'!$N$75</f>
        <v>4.088451920223014E-3</v>
      </c>
      <c r="K51" s="30">
        <f>K50</f>
        <v>2091.4</v>
      </c>
      <c r="L51" s="16">
        <f>K51*J51</f>
        <v>8.5505883459544112</v>
      </c>
      <c r="M51" s="28"/>
      <c r="N51" s="149">
        <f t="shared" si="2"/>
        <v>0.23858834595441181</v>
      </c>
      <c r="O51" s="18">
        <f t="shared" si="11"/>
        <v>2.8704083969491315E-2</v>
      </c>
    </row>
    <row r="52" spans="2:19" ht="25.5">
      <c r="B52" s="175" t="s">
        <v>33</v>
      </c>
      <c r="C52" s="154"/>
      <c r="D52" s="154"/>
      <c r="E52" s="154"/>
      <c r="F52" s="184"/>
      <c r="G52" s="178"/>
      <c r="H52" s="179">
        <f>SUM(H49:H51)</f>
        <v>74.534399999999991</v>
      </c>
      <c r="I52" s="185"/>
      <c r="J52" s="186"/>
      <c r="K52" s="187"/>
      <c r="L52" s="179">
        <f>SUM(L49:L51)</f>
        <v>90.031286354065074</v>
      </c>
      <c r="M52" s="185"/>
      <c r="N52" s="161">
        <f t="shared" si="2"/>
        <v>15.496886354065083</v>
      </c>
      <c r="O52" s="162">
        <f t="shared" si="11"/>
        <v>0.20791589325284815</v>
      </c>
    </row>
    <row r="53" spans="2:19" ht="25.5">
      <c r="B53" s="145" t="s">
        <v>34</v>
      </c>
      <c r="C53" s="20"/>
      <c r="D53" s="188" t="s">
        <v>24</v>
      </c>
      <c r="E53" s="14"/>
      <c r="F53" s="84">
        <v>4.4000000000000003E-3</v>
      </c>
      <c r="G53" s="82">
        <f>G51</f>
        <v>2078</v>
      </c>
      <c r="H53" s="78">
        <f t="shared" ref="H53:H59" si="12">G53*F53</f>
        <v>9.1432000000000002</v>
      </c>
      <c r="I53" s="234"/>
      <c r="J53" s="84">
        <v>4.4000000000000003E-3</v>
      </c>
      <c r="K53" s="83">
        <f>K51</f>
        <v>2091.4</v>
      </c>
      <c r="L53" s="78">
        <f t="shared" ref="L53:L59" si="13">K53*J53</f>
        <v>9.202160000000001</v>
      </c>
      <c r="M53" s="234"/>
      <c r="N53" s="235">
        <f t="shared" si="2"/>
        <v>5.896000000000079E-2</v>
      </c>
      <c r="O53" s="79">
        <f t="shared" si="11"/>
        <v>6.4485081809433006E-3</v>
      </c>
    </row>
    <row r="54" spans="2:19" ht="25.5">
      <c r="B54" s="145" t="s">
        <v>35</v>
      </c>
      <c r="C54" s="20"/>
      <c r="D54" s="188" t="s">
        <v>24</v>
      </c>
      <c r="E54" s="14"/>
      <c r="F54" s="84">
        <v>1.1999999999999999E-3</v>
      </c>
      <c r="G54" s="82">
        <f>G51</f>
        <v>2078</v>
      </c>
      <c r="H54" s="78">
        <f t="shared" si="12"/>
        <v>2.4935999999999998</v>
      </c>
      <c r="I54" s="234"/>
      <c r="J54" s="84">
        <v>1.1999999999999999E-3</v>
      </c>
      <c r="K54" s="83">
        <f>K51</f>
        <v>2091.4</v>
      </c>
      <c r="L54" s="78">
        <f t="shared" si="13"/>
        <v>2.5096799999999999</v>
      </c>
      <c r="M54" s="234"/>
      <c r="N54" s="235">
        <f t="shared" si="2"/>
        <v>1.6080000000000094E-2</v>
      </c>
      <c r="O54" s="79">
        <f t="shared" si="11"/>
        <v>6.4485081809432529E-3</v>
      </c>
    </row>
    <row r="55" spans="2:19" ht="25.5">
      <c r="B55" s="145" t="s">
        <v>36</v>
      </c>
      <c r="C55" s="20"/>
      <c r="D55" s="188" t="s">
        <v>19</v>
      </c>
      <c r="E55" s="14"/>
      <c r="F55" s="84">
        <v>0.25</v>
      </c>
      <c r="G55" s="80">
        <v>1</v>
      </c>
      <c r="H55" s="78">
        <f t="shared" si="12"/>
        <v>0.25</v>
      </c>
      <c r="I55" s="234"/>
      <c r="J55" s="84">
        <v>0.25</v>
      </c>
      <c r="K55" s="81">
        <v>1</v>
      </c>
      <c r="L55" s="78">
        <f t="shared" si="13"/>
        <v>0.25</v>
      </c>
      <c r="M55" s="234"/>
      <c r="N55" s="235">
        <f t="shared" si="2"/>
        <v>0</v>
      </c>
      <c r="O55" s="79">
        <f t="shared" si="11"/>
        <v>0</v>
      </c>
    </row>
    <row r="56" spans="2:19" ht="25.5">
      <c r="B56" s="145" t="s">
        <v>37</v>
      </c>
      <c r="C56" s="20"/>
      <c r="D56" s="188" t="s">
        <v>24</v>
      </c>
      <c r="E56" s="14"/>
      <c r="F56" s="31">
        <v>4.8999999999999998E-3</v>
      </c>
      <c r="G56" s="82">
        <f>F18</f>
        <v>2000</v>
      </c>
      <c r="H56" s="78">
        <f t="shared" si="12"/>
        <v>9.7999999999999989</v>
      </c>
      <c r="I56" s="234"/>
      <c r="J56" s="31">
        <v>4.8999999999999998E-3</v>
      </c>
      <c r="K56" s="83">
        <f>F18</f>
        <v>2000</v>
      </c>
      <c r="L56" s="78">
        <f t="shared" si="13"/>
        <v>9.7999999999999989</v>
      </c>
      <c r="M56" s="234"/>
      <c r="N56" s="235">
        <f t="shared" si="2"/>
        <v>0</v>
      </c>
      <c r="O56" s="79">
        <f t="shared" si="11"/>
        <v>0</v>
      </c>
    </row>
    <row r="57" spans="2:19">
      <c r="B57" s="170" t="s">
        <v>38</v>
      </c>
      <c r="C57" s="20"/>
      <c r="D57" s="188" t="s">
        <v>24</v>
      </c>
      <c r="E57" s="14"/>
      <c r="F57" s="84">
        <v>7.6999999999999999E-2</v>
      </c>
      <c r="G57" s="236">
        <f>0.64*$F$18</f>
        <v>1280</v>
      </c>
      <c r="H57" s="78">
        <f t="shared" si="12"/>
        <v>98.56</v>
      </c>
      <c r="I57" s="234"/>
      <c r="J57" s="84">
        <v>7.6999999999999999E-2</v>
      </c>
      <c r="K57" s="236">
        <f>G57</f>
        <v>1280</v>
      </c>
      <c r="L57" s="78">
        <f t="shared" si="13"/>
        <v>98.56</v>
      </c>
      <c r="M57" s="234"/>
      <c r="N57" s="235">
        <f t="shared" si="2"/>
        <v>0</v>
      </c>
      <c r="O57" s="79">
        <f t="shared" si="11"/>
        <v>0</v>
      </c>
      <c r="S57" s="190"/>
    </row>
    <row r="58" spans="2:19">
      <c r="B58" s="170" t="s">
        <v>39</v>
      </c>
      <c r="C58" s="20"/>
      <c r="D58" s="188" t="s">
        <v>24</v>
      </c>
      <c r="E58" s="14"/>
      <c r="F58" s="84">
        <v>0.114</v>
      </c>
      <c r="G58" s="236">
        <f>0.18*$F$18</f>
        <v>360</v>
      </c>
      <c r="H58" s="78">
        <f t="shared" si="12"/>
        <v>41.04</v>
      </c>
      <c r="I58" s="234"/>
      <c r="J58" s="84">
        <v>0.114</v>
      </c>
      <c r="K58" s="236">
        <f>G58</f>
        <v>360</v>
      </c>
      <c r="L58" s="78">
        <f t="shared" si="13"/>
        <v>41.04</v>
      </c>
      <c r="M58" s="234"/>
      <c r="N58" s="235">
        <f t="shared" si="2"/>
        <v>0</v>
      </c>
      <c r="O58" s="79">
        <f t="shared" si="11"/>
        <v>0</v>
      </c>
      <c r="S58" s="190"/>
    </row>
    <row r="59" spans="2:19">
      <c r="B59" s="135" t="s">
        <v>40</v>
      </c>
      <c r="C59" s="20"/>
      <c r="D59" s="188" t="s">
        <v>24</v>
      </c>
      <c r="E59" s="14"/>
      <c r="F59" s="84">
        <v>0.14000000000000001</v>
      </c>
      <c r="G59" s="236">
        <f>0.18*$F$18</f>
        <v>360</v>
      </c>
      <c r="H59" s="78">
        <f t="shared" si="12"/>
        <v>50.400000000000006</v>
      </c>
      <c r="I59" s="234"/>
      <c r="J59" s="84">
        <v>0.14000000000000001</v>
      </c>
      <c r="K59" s="236">
        <f>G59</f>
        <v>360</v>
      </c>
      <c r="L59" s="78">
        <f t="shared" si="13"/>
        <v>50.400000000000006</v>
      </c>
      <c r="M59" s="234"/>
      <c r="N59" s="235">
        <f t="shared" si="2"/>
        <v>0</v>
      </c>
      <c r="O59" s="79">
        <f t="shared" si="11"/>
        <v>0</v>
      </c>
      <c r="S59" s="190"/>
    </row>
    <row r="60" spans="2:19" s="195" customFormat="1">
      <c r="B60" s="191" t="s">
        <v>41</v>
      </c>
      <c r="C60" s="32"/>
      <c r="D60" s="188" t="s">
        <v>24</v>
      </c>
      <c r="E60" s="32"/>
      <c r="F60" s="84">
        <v>8.5999999999999993E-2</v>
      </c>
      <c r="G60" s="237">
        <f>IF(AND($T$1=1, F18&gt;=600), 600, IF(AND($T$1=1, AND(F18&lt;600, F18&gt;=0)), F18, IF(AND($T$1=2, F18&gt;=1000), 1000, IF(AND($T$1=2, AND(F18&lt;1000, F18&gt;=0)), F18))))</f>
        <v>600</v>
      </c>
      <c r="H60" s="78">
        <f>G60*F60</f>
        <v>51.599999999999994</v>
      </c>
      <c r="I60" s="238"/>
      <c r="J60" s="84">
        <v>8.5999999999999993E-2</v>
      </c>
      <c r="K60" s="237">
        <f>G60</f>
        <v>600</v>
      </c>
      <c r="L60" s="78">
        <f>K60*J60</f>
        <v>51.599999999999994</v>
      </c>
      <c r="M60" s="238"/>
      <c r="N60" s="239">
        <f t="shared" si="2"/>
        <v>0</v>
      </c>
      <c r="O60" s="79">
        <f t="shared" si="11"/>
        <v>0</v>
      </c>
    </row>
    <row r="61" spans="2:19" s="195" customFormat="1" ht="13.5" thickBot="1">
      <c r="B61" s="191" t="s">
        <v>42</v>
      </c>
      <c r="C61" s="32"/>
      <c r="D61" s="188" t="s">
        <v>24</v>
      </c>
      <c r="E61" s="32"/>
      <c r="F61" s="84">
        <v>0.10100000000000001</v>
      </c>
      <c r="G61" s="237">
        <f>IF(AND($T$1=1, F18&gt;=600), F18-600, IF(AND($T$1=1, AND(F18&lt;600, F18&gt;=0)), 0, IF(AND($T$1=2, F18&gt;=1000), F18-1000, IF(AND($T$1=2, AND(F18&lt;1000, F18&gt;=0)), 0))))</f>
        <v>1400</v>
      </c>
      <c r="H61" s="78">
        <f>G61*F61</f>
        <v>141.4</v>
      </c>
      <c r="I61" s="238"/>
      <c r="J61" s="84">
        <v>0.10100000000000001</v>
      </c>
      <c r="K61" s="237">
        <f>G61</f>
        <v>1400</v>
      </c>
      <c r="L61" s="78">
        <f>K61*J61</f>
        <v>141.4</v>
      </c>
      <c r="M61" s="238"/>
      <c r="N61" s="239">
        <f t="shared" si="2"/>
        <v>0</v>
      </c>
      <c r="O61" s="79">
        <f t="shared" si="11"/>
        <v>0</v>
      </c>
    </row>
    <row r="62" spans="2:19" ht="13.5" thickBot="1">
      <c r="B62" s="196"/>
      <c r="C62" s="197"/>
      <c r="D62" s="198"/>
      <c r="E62" s="197"/>
      <c r="F62" s="199"/>
      <c r="G62" s="200"/>
      <c r="H62" s="201"/>
      <c r="I62" s="202"/>
      <c r="J62" s="199"/>
      <c r="K62" s="203"/>
      <c r="L62" s="201"/>
      <c r="M62" s="202"/>
      <c r="N62" s="204"/>
      <c r="O62" s="205"/>
    </row>
    <row r="63" spans="2:19" ht="25.5">
      <c r="B63" s="33" t="s">
        <v>43</v>
      </c>
      <c r="C63" s="20"/>
      <c r="D63" s="20"/>
      <c r="E63" s="20"/>
      <c r="F63" s="34"/>
      <c r="G63" s="35"/>
      <c r="H63" s="36">
        <f>SUM(H53:H59,H52)</f>
        <v>286.22120000000001</v>
      </c>
      <c r="I63" s="37"/>
      <c r="J63" s="38"/>
      <c r="K63" s="38"/>
      <c r="L63" s="36">
        <f>SUM(L53:L59,L52)</f>
        <v>301.79312635406507</v>
      </c>
      <c r="M63" s="39"/>
      <c r="N63" s="40">
        <f>L63-H63</f>
        <v>15.571926354065056</v>
      </c>
      <c r="O63" s="41">
        <f>IF((H63)=0,"",(N63/H63))</f>
        <v>5.440521650410611E-2</v>
      </c>
      <c r="S63" s="190"/>
    </row>
    <row r="64" spans="2:19">
      <c r="B64" s="42" t="s">
        <v>44</v>
      </c>
      <c r="C64" s="20"/>
      <c r="D64" s="20"/>
      <c r="E64" s="20"/>
      <c r="F64" s="43">
        <v>0.13</v>
      </c>
      <c r="G64" s="44"/>
      <c r="H64" s="45">
        <f>H63*F64</f>
        <v>37.208756000000001</v>
      </c>
      <c r="I64" s="46"/>
      <c r="J64" s="47">
        <v>0.13</v>
      </c>
      <c r="K64" s="46"/>
      <c r="L64" s="48">
        <f>L63*J64</f>
        <v>39.233106426028463</v>
      </c>
      <c r="M64" s="49"/>
      <c r="N64" s="50">
        <f t="shared" si="2"/>
        <v>2.0243504260284624</v>
      </c>
      <c r="O64" s="18">
        <f t="shared" si="11"/>
        <v>5.4405216504106249E-2</v>
      </c>
      <c r="S64" s="190"/>
    </row>
    <row r="65" spans="1:19">
      <c r="B65" s="206" t="s">
        <v>45</v>
      </c>
      <c r="C65" s="20"/>
      <c r="D65" s="20"/>
      <c r="E65" s="20"/>
      <c r="F65" s="51"/>
      <c r="G65" s="44"/>
      <c r="H65" s="45">
        <f>H63+H64</f>
        <v>323.429956</v>
      </c>
      <c r="I65" s="46"/>
      <c r="J65" s="46"/>
      <c r="K65" s="46"/>
      <c r="L65" s="48">
        <f>L63+L64</f>
        <v>341.02623278009355</v>
      </c>
      <c r="M65" s="49"/>
      <c r="N65" s="50">
        <f t="shared" si="2"/>
        <v>17.596276780093547</v>
      </c>
      <c r="O65" s="18">
        <f t="shared" si="11"/>
        <v>5.4405216504106214E-2</v>
      </c>
      <c r="S65" s="190"/>
    </row>
    <row r="66" spans="1:19">
      <c r="B66" s="292" t="s">
        <v>46</v>
      </c>
      <c r="C66" s="292"/>
      <c r="D66" s="292"/>
      <c r="E66" s="20"/>
      <c r="F66" s="51"/>
      <c r="G66" s="44"/>
      <c r="H66" s="52">
        <f>ROUND(-H65*0.1,2)</f>
        <v>-32.340000000000003</v>
      </c>
      <c r="I66" s="46"/>
      <c r="J66" s="46"/>
      <c r="K66" s="46"/>
      <c r="L66" s="53">
        <f>ROUND(-L65*0.1,2)</f>
        <v>-34.1</v>
      </c>
      <c r="M66" s="49"/>
      <c r="N66" s="54">
        <f t="shared" si="2"/>
        <v>-1.759999999999998</v>
      </c>
      <c r="O66" s="55">
        <f t="shared" si="11"/>
        <v>5.4421768707482929E-2</v>
      </c>
    </row>
    <row r="67" spans="1:19" ht="13.5" thickBot="1">
      <c r="B67" s="293" t="s">
        <v>47</v>
      </c>
      <c r="C67" s="293"/>
      <c r="D67" s="293"/>
      <c r="E67" s="14"/>
      <c r="F67" s="207"/>
      <c r="G67" s="208"/>
      <c r="H67" s="209">
        <f>H65+H66</f>
        <v>291.08995600000003</v>
      </c>
      <c r="I67" s="210"/>
      <c r="J67" s="210"/>
      <c r="K67" s="210"/>
      <c r="L67" s="211">
        <f>L65+L66</f>
        <v>306.92623278009353</v>
      </c>
      <c r="M67" s="212"/>
      <c r="N67" s="213">
        <f t="shared" si="2"/>
        <v>15.836276780093499</v>
      </c>
      <c r="O67" s="214">
        <f t="shared" si="11"/>
        <v>5.440337755966234E-2</v>
      </c>
    </row>
    <row r="68" spans="1:19" s="195" customFormat="1" ht="13.5" thickBot="1">
      <c r="B68" s="215"/>
      <c r="C68" s="216"/>
      <c r="D68" s="217"/>
      <c r="E68" s="216"/>
      <c r="F68" s="199"/>
      <c r="G68" s="218"/>
      <c r="H68" s="201"/>
      <c r="I68" s="219"/>
      <c r="J68" s="199"/>
      <c r="K68" s="220"/>
      <c r="L68" s="201"/>
      <c r="M68" s="219"/>
      <c r="N68" s="221"/>
      <c r="O68" s="205"/>
    </row>
    <row r="69" spans="1:19" s="195" customFormat="1" ht="25.5">
      <c r="B69" s="56" t="s">
        <v>48</v>
      </c>
      <c r="C69" s="32"/>
      <c r="D69" s="32"/>
      <c r="E69" s="32"/>
      <c r="F69" s="57"/>
      <c r="G69" s="58"/>
      <c r="H69" s="59">
        <f>SUM(H60:H61,H52,H53:H56)</f>
        <v>289.22120000000001</v>
      </c>
      <c r="I69" s="60"/>
      <c r="J69" s="61"/>
      <c r="K69" s="61"/>
      <c r="L69" s="59">
        <f>SUM(L60:L61,L52,L53:L56)</f>
        <v>304.79312635406507</v>
      </c>
      <c r="M69" s="62"/>
      <c r="N69" s="63">
        <f>L69-H69</f>
        <v>15.571926354065056</v>
      </c>
      <c r="O69" s="41">
        <f>IF((H69)=0,"",(N69/H69))</f>
        <v>5.384088840674562E-2</v>
      </c>
    </row>
    <row r="70" spans="1:19" s="195" customFormat="1">
      <c r="B70" s="64" t="s">
        <v>44</v>
      </c>
      <c r="C70" s="32"/>
      <c r="D70" s="32"/>
      <c r="E70" s="32"/>
      <c r="F70" s="65">
        <v>0.13</v>
      </c>
      <c r="G70" s="58"/>
      <c r="H70" s="66">
        <f>H69*F70</f>
        <v>37.598756000000002</v>
      </c>
      <c r="I70" s="67"/>
      <c r="J70" s="68">
        <v>0.13</v>
      </c>
      <c r="K70" s="69"/>
      <c r="L70" s="70">
        <f>L69*J70</f>
        <v>39.623106426028457</v>
      </c>
      <c r="M70" s="71"/>
      <c r="N70" s="72">
        <f>L70-H70</f>
        <v>2.0243504260284553</v>
      </c>
      <c r="O70" s="18">
        <f>IF((H70)=0,"",(N70/H70))</f>
        <v>5.3840888406745564E-2</v>
      </c>
    </row>
    <row r="71" spans="1:19" s="195" customFormat="1">
      <c r="B71" s="222" t="s">
        <v>45</v>
      </c>
      <c r="C71" s="32"/>
      <c r="D71" s="32"/>
      <c r="E71" s="32"/>
      <c r="F71" s="73"/>
      <c r="G71" s="74"/>
      <c r="H71" s="66">
        <f>H69+H70</f>
        <v>326.81995599999999</v>
      </c>
      <c r="I71" s="67"/>
      <c r="J71" s="67"/>
      <c r="K71" s="67"/>
      <c r="L71" s="70">
        <f>L69+L70</f>
        <v>344.41623278009354</v>
      </c>
      <c r="M71" s="71"/>
      <c r="N71" s="72">
        <f>L71-H71</f>
        <v>17.596276780093547</v>
      </c>
      <c r="O71" s="18">
        <f>IF((H71)=0,"",(N71/H71))</f>
        <v>5.3840888406745724E-2</v>
      </c>
    </row>
    <row r="72" spans="1:19" s="195" customFormat="1">
      <c r="B72" s="294" t="s">
        <v>46</v>
      </c>
      <c r="C72" s="294"/>
      <c r="D72" s="294"/>
      <c r="E72" s="32"/>
      <c r="F72" s="73"/>
      <c r="G72" s="74"/>
      <c r="H72" s="75">
        <f>ROUND(-H71*0.1,2)</f>
        <v>-32.68</v>
      </c>
      <c r="I72" s="67"/>
      <c r="J72" s="67"/>
      <c r="K72" s="67"/>
      <c r="L72" s="76">
        <f>ROUND(-L71*0.1,2)</f>
        <v>-34.44</v>
      </c>
      <c r="M72" s="71"/>
      <c r="N72" s="77">
        <f>L72-H72</f>
        <v>-1.759999999999998</v>
      </c>
      <c r="O72" s="55">
        <f>IF((H72)=0,"",(N72/H72))</f>
        <v>5.3855569155446696E-2</v>
      </c>
    </row>
    <row r="73" spans="1:19" s="195" customFormat="1" ht="13.5" thickBot="1">
      <c r="B73" s="288" t="s">
        <v>49</v>
      </c>
      <c r="C73" s="288"/>
      <c r="D73" s="288"/>
      <c r="E73" s="32"/>
      <c r="F73" s="73"/>
      <c r="G73" s="74"/>
      <c r="H73" s="59">
        <f>SUM(H71:H72)</f>
        <v>294.13995599999998</v>
      </c>
      <c r="I73" s="60"/>
      <c r="J73" s="60"/>
      <c r="K73" s="60"/>
      <c r="L73" s="223">
        <f>SUM(L71:L72)</f>
        <v>309.97623278009354</v>
      </c>
      <c r="M73" s="62"/>
      <c r="N73" s="63">
        <f>L73-H73</f>
        <v>15.836276780093556</v>
      </c>
      <c r="O73" s="41">
        <f>IF((H73)=0,"",(N73/H73))</f>
        <v>5.3839257323114433E-2</v>
      </c>
    </row>
    <row r="74" spans="1:19" s="195" customFormat="1" ht="13.5" thickBot="1">
      <c r="B74" s="215"/>
      <c r="C74" s="216"/>
      <c r="D74" s="217"/>
      <c r="E74" s="216"/>
      <c r="F74" s="224"/>
      <c r="G74" s="225"/>
      <c r="H74" s="226"/>
      <c r="I74" s="227"/>
      <c r="J74" s="224"/>
      <c r="K74" s="218"/>
      <c r="L74" s="228"/>
      <c r="M74" s="219"/>
      <c r="N74" s="229"/>
      <c r="O74" s="205"/>
    </row>
    <row r="75" spans="1:19">
      <c r="L75" s="190"/>
    </row>
    <row r="76" spans="1:19">
      <c r="B76" s="230" t="s">
        <v>50</v>
      </c>
      <c r="F76" s="231">
        <v>3.9E-2</v>
      </c>
      <c r="J76" s="231">
        <v>4.5699999999999998E-2</v>
      </c>
    </row>
    <row r="78" spans="1:19" ht="14.25">
      <c r="A78" s="232" t="s">
        <v>51</v>
      </c>
    </row>
    <row r="80" spans="1:19">
      <c r="A80" s="12" t="s">
        <v>52</v>
      </c>
    </row>
    <row r="81" spans="1:2">
      <c r="A81" s="12" t="s">
        <v>53</v>
      </c>
    </row>
    <row r="83" spans="1:2">
      <c r="A83" s="233" t="s">
        <v>54</v>
      </c>
    </row>
    <row r="84" spans="1:2">
      <c r="A84" s="233" t="s">
        <v>55</v>
      </c>
    </row>
    <row r="86" spans="1:2">
      <c r="A86" s="12" t="s">
        <v>56</v>
      </c>
    </row>
    <row r="87" spans="1:2">
      <c r="A87" s="12" t="s">
        <v>57</v>
      </c>
    </row>
    <row r="88" spans="1:2">
      <c r="A88" s="12" t="s">
        <v>58</v>
      </c>
    </row>
    <row r="89" spans="1:2">
      <c r="A89" s="12" t="s">
        <v>59</v>
      </c>
    </row>
    <row r="90" spans="1:2">
      <c r="A90" s="12" t="s">
        <v>60</v>
      </c>
    </row>
    <row r="92" spans="1:2" ht="51">
      <c r="B92" s="13" t="s">
        <v>61</v>
      </c>
    </row>
  </sheetData>
  <mergeCells count="14">
    <mergeCell ref="A3:K3"/>
    <mergeCell ref="B10:O10"/>
    <mergeCell ref="B11:O11"/>
    <mergeCell ref="D14:O14"/>
    <mergeCell ref="F20:H20"/>
    <mergeCell ref="J20:L20"/>
    <mergeCell ref="N20:O20"/>
    <mergeCell ref="B73:D73"/>
    <mergeCell ref="D21:D22"/>
    <mergeCell ref="N21:N22"/>
    <mergeCell ref="O21:O22"/>
    <mergeCell ref="B66:D66"/>
    <mergeCell ref="B67:D67"/>
    <mergeCell ref="B72:D72"/>
  </mergeCells>
  <dataValidations count="3">
    <dataValidation type="list" allowBlank="1" showInputMessage="1" showErrorMessage="1" sqref="E23:E38 E74 E50:E51 E53:E62 E68 E40:E48">
      <formula1>"#REF!"</formula1>
      <formula2>0</formula2>
    </dataValidation>
    <dataValidation type="list" allowBlank="1" showInputMessage="1" showErrorMessage="1" prompt="Select Charge Unit - monthly, per kWh, per kW" sqref="D74 D23:D38 D50:D51 D68 D53:D62 D40:D48">
      <formula1>"Monthly,per kWh,per kW"</formula1>
      <formula2>0</formula2>
    </dataValidation>
    <dataValidation type="list" allowBlank="1" showInputMessage="1" showErrorMessage="1" sqref="D16">
      <formula1>"TOU,non-TOU"</formula1>
      <formula2>0</formula2>
    </dataValidation>
  </dataValidations>
  <pageMargins left="0.7" right="0.7" top="0.75" bottom="0.75" header="0.3" footer="0.3"/>
  <pageSetup paperSize="9" scale="4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Option Button 44">
              <controlPr defaultSize="0" autoFill="0" autoLine="0" autoPict="0">
                <anchor moveWithCells="1" sizeWithCells="1">
                  <from>
                    <xdr:col>6</xdr:col>
                    <xdr:colOff>476250</xdr:colOff>
                    <xdr:row>17</xdr:row>
                    <xdr:rowOff>0</xdr:rowOff>
                  </from>
                  <to>
                    <xdr:col>9</xdr:col>
                    <xdr:colOff>733425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Option Button 45">
              <controlPr defaultSize="0" autoFill="0" autoLine="0" autoPict="0">
                <anchor moveWithCells="1" sizeWithCells="1">
                  <from>
                    <xdr:col>9</xdr:col>
                    <xdr:colOff>371475</xdr:colOff>
                    <xdr:row>16</xdr:row>
                    <xdr:rowOff>104775</xdr:rowOff>
                  </from>
                  <to>
                    <xdr:col>16</xdr:col>
                    <xdr:colOff>257175</xdr:colOff>
                    <xdr:row>18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92"/>
  <sheetViews>
    <sheetView showGridLines="0" workbookViewId="0">
      <selection activeCell="B10" sqref="B10:O10"/>
    </sheetView>
  </sheetViews>
  <sheetFormatPr defaultRowHeight="12.75"/>
  <cols>
    <col min="1" max="1" width="11.28515625" style="12" customWidth="1"/>
    <col min="2" max="2" width="26.5703125" style="13" customWidth="1"/>
    <col min="3" max="3" width="1.28515625" style="12" customWidth="1"/>
    <col min="4" max="4" width="11.28515625" style="12" customWidth="1"/>
    <col min="5" max="5" width="1.28515625" style="12" customWidth="1"/>
    <col min="6" max="6" width="12.28515625" style="12" customWidth="1"/>
    <col min="7" max="7" width="8.5703125" style="12" customWidth="1"/>
    <col min="8" max="8" width="11.140625" style="12" customWidth="1"/>
    <col min="9" max="9" width="2.85546875" style="12" customWidth="1"/>
    <col min="10" max="10" width="17" style="12" bestFit="1" customWidth="1"/>
    <col min="11" max="11" width="8.5703125" style="12" customWidth="1"/>
    <col min="12" max="12" width="9.7109375" style="12" customWidth="1"/>
    <col min="13" max="13" width="2.85546875" style="12" customWidth="1"/>
    <col min="14" max="14" width="12.7109375" style="12" customWidth="1"/>
    <col min="15" max="15" width="10.85546875" style="12" customWidth="1"/>
    <col min="16" max="16" width="3.85546875" style="12" customWidth="1"/>
    <col min="17" max="16384" width="9.140625" style="12"/>
  </cols>
  <sheetData>
    <row r="1" spans="1:20" s="2" customFormat="1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/>
      <c r="O1" s="4"/>
      <c r="T1" s="2">
        <v>1</v>
      </c>
    </row>
    <row r="2" spans="1:20" s="2" customFormat="1" ht="12.75" customHeight="1">
      <c r="A2" s="5"/>
      <c r="B2" s="6"/>
      <c r="C2" s="5"/>
      <c r="D2" s="5"/>
      <c r="E2" s="5"/>
      <c r="F2" s="5"/>
      <c r="G2" s="5"/>
      <c r="H2" s="5"/>
      <c r="I2" s="5"/>
      <c r="J2" s="5"/>
      <c r="K2" s="5"/>
      <c r="N2" s="3"/>
      <c r="O2" s="7"/>
    </row>
    <row r="3" spans="1:20" s="2" customFormat="1" ht="12.75" customHeight="1">
      <c r="A3" s="295"/>
      <c r="B3" s="295"/>
      <c r="C3" s="295"/>
      <c r="D3" s="295"/>
      <c r="E3" s="295"/>
      <c r="F3" s="295"/>
      <c r="G3" s="295"/>
      <c r="H3" s="295"/>
      <c r="I3" s="295"/>
      <c r="J3" s="295"/>
      <c r="K3" s="295"/>
      <c r="N3" s="3"/>
      <c r="O3" s="7"/>
    </row>
    <row r="4" spans="1:20" s="2" customFormat="1" ht="12.75" customHeight="1">
      <c r="A4" s="5"/>
      <c r="B4" s="6"/>
      <c r="C4" s="5"/>
      <c r="D4" s="5"/>
      <c r="E4" s="5"/>
      <c r="F4" s="5"/>
      <c r="G4" s="5"/>
      <c r="H4" s="5"/>
      <c r="I4" s="8"/>
      <c r="J4" s="8"/>
      <c r="K4" s="8"/>
      <c r="N4" s="3"/>
      <c r="O4" s="7"/>
    </row>
    <row r="5" spans="1:20" s="2" customFormat="1" ht="12.75" customHeight="1">
      <c r="B5" s="9"/>
      <c r="C5" s="10"/>
      <c r="D5" s="10"/>
      <c r="E5" s="10"/>
      <c r="N5" s="3"/>
      <c r="O5" s="4"/>
    </row>
    <row r="6" spans="1:20" s="2" customFormat="1" ht="12.75" customHeight="1">
      <c r="B6" s="9"/>
      <c r="N6" s="3"/>
      <c r="O6" s="11"/>
    </row>
    <row r="7" spans="1:20" s="2" customFormat="1" ht="12.75" customHeight="1">
      <c r="B7" s="9"/>
      <c r="N7" s="3"/>
      <c r="O7" s="4"/>
    </row>
    <row r="8" spans="1:20" s="2" customFormat="1" ht="12.75" customHeight="1">
      <c r="B8" s="9"/>
    </row>
    <row r="9" spans="1:20" ht="12.75" customHeight="1"/>
    <row r="10" spans="1:20" s="130" customFormat="1" ht="18.75" customHeight="1">
      <c r="B10" s="299" t="s">
        <v>0</v>
      </c>
      <c r="C10" s="299"/>
      <c r="D10" s="299"/>
      <c r="E10" s="299"/>
      <c r="F10" s="299"/>
      <c r="G10" s="299"/>
      <c r="H10" s="299"/>
      <c r="I10" s="299"/>
      <c r="J10" s="299"/>
      <c r="K10" s="299"/>
      <c r="L10" s="299"/>
      <c r="M10" s="299"/>
      <c r="N10" s="299"/>
      <c r="O10" s="299"/>
    </row>
    <row r="11" spans="1:20" ht="18.75" customHeight="1">
      <c r="B11" s="296" t="s">
        <v>1</v>
      </c>
      <c r="C11" s="296"/>
      <c r="D11" s="296"/>
      <c r="E11" s="296"/>
      <c r="F11" s="296"/>
      <c r="G11" s="296"/>
      <c r="H11" s="296"/>
      <c r="I11" s="296"/>
      <c r="J11" s="296"/>
      <c r="K11" s="296"/>
      <c r="L11" s="296"/>
      <c r="M11" s="296"/>
      <c r="N11" s="296"/>
      <c r="O11" s="296"/>
    </row>
    <row r="12" spans="1:20" ht="7.5" customHeight="1"/>
    <row r="13" spans="1:20" ht="7.5" customHeight="1"/>
    <row r="14" spans="1:20" ht="15.75">
      <c r="B14" s="131" t="s">
        <v>2</v>
      </c>
      <c r="D14" s="297" t="s">
        <v>62</v>
      </c>
      <c r="E14" s="297"/>
      <c r="F14" s="297"/>
      <c r="G14" s="297"/>
      <c r="H14" s="297"/>
      <c r="I14" s="297"/>
      <c r="J14" s="297"/>
      <c r="K14" s="297"/>
      <c r="L14" s="297"/>
      <c r="M14" s="297"/>
      <c r="N14" s="297"/>
      <c r="O14" s="297"/>
    </row>
    <row r="15" spans="1:20" ht="7.5" customHeight="1">
      <c r="B15" s="132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</row>
    <row r="16" spans="1:20" ht="15.75">
      <c r="B16" s="131" t="s">
        <v>4</v>
      </c>
      <c r="D16" s="134" t="s">
        <v>5</v>
      </c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</row>
    <row r="17" spans="1:15" ht="15.75">
      <c r="B17" s="132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</row>
    <row r="18" spans="1:15">
      <c r="B18" s="135"/>
      <c r="D18" s="136" t="s">
        <v>6</v>
      </c>
      <c r="E18" s="136"/>
      <c r="F18" s="137">
        <v>5000</v>
      </c>
      <c r="G18" s="136" t="s">
        <v>7</v>
      </c>
    </row>
    <row r="19" spans="1:15">
      <c r="B19" s="135"/>
    </row>
    <row r="20" spans="1:15">
      <c r="B20" s="135"/>
      <c r="D20" s="138"/>
      <c r="E20" s="138"/>
      <c r="F20" s="298" t="s">
        <v>8</v>
      </c>
      <c r="G20" s="298"/>
      <c r="H20" s="298"/>
      <c r="J20" s="298" t="s">
        <v>9</v>
      </c>
      <c r="K20" s="298"/>
      <c r="L20" s="298"/>
      <c r="N20" s="298" t="s">
        <v>10</v>
      </c>
      <c r="O20" s="298"/>
    </row>
    <row r="21" spans="1:15">
      <c r="B21" s="135"/>
      <c r="D21" s="289" t="s">
        <v>11</v>
      </c>
      <c r="E21" s="139"/>
      <c r="F21" s="140" t="s">
        <v>12</v>
      </c>
      <c r="G21" s="140" t="s">
        <v>13</v>
      </c>
      <c r="H21" s="141" t="s">
        <v>14</v>
      </c>
      <c r="J21" s="140" t="s">
        <v>12</v>
      </c>
      <c r="K21" s="142" t="s">
        <v>13</v>
      </c>
      <c r="L21" s="141" t="s">
        <v>14</v>
      </c>
      <c r="N21" s="290" t="s">
        <v>15</v>
      </c>
      <c r="O21" s="291" t="s">
        <v>16</v>
      </c>
    </row>
    <row r="22" spans="1:15">
      <c r="B22" s="135"/>
      <c r="D22" s="289"/>
      <c r="E22" s="139"/>
      <c r="F22" s="143" t="s">
        <v>17</v>
      </c>
      <c r="G22" s="143"/>
      <c r="H22" s="144" t="s">
        <v>17</v>
      </c>
      <c r="J22" s="143" t="s">
        <v>17</v>
      </c>
      <c r="K22" s="144"/>
      <c r="L22" s="144" t="s">
        <v>17</v>
      </c>
      <c r="N22" s="290"/>
      <c r="O22" s="291"/>
    </row>
    <row r="23" spans="1:15">
      <c r="B23" s="145" t="s">
        <v>18</v>
      </c>
      <c r="C23" s="20"/>
      <c r="D23" s="146" t="s">
        <v>19</v>
      </c>
      <c r="E23" s="14"/>
      <c r="F23" s="147">
        <f>'[1]B. CurrentTariff'!C53</f>
        <v>22.97</v>
      </c>
      <c r="G23" s="15">
        <v>1</v>
      </c>
      <c r="H23" s="16">
        <f>G23*F23</f>
        <v>22.97</v>
      </c>
      <c r="I23" s="28"/>
      <c r="J23" s="148">
        <f>'[1]G. RateDesign'!B47</f>
        <v>27.35</v>
      </c>
      <c r="K23" s="17">
        <v>1</v>
      </c>
      <c r="L23" s="16">
        <f>K23*J23</f>
        <v>27.35</v>
      </c>
      <c r="M23" s="28"/>
      <c r="N23" s="149">
        <f>L23-H23</f>
        <v>4.3800000000000026</v>
      </c>
      <c r="O23" s="18">
        <f>IF((H23)=0,"",(N23/H23))</f>
        <v>0.19068350021767536</v>
      </c>
    </row>
    <row r="24" spans="1:15">
      <c r="A24" s="19"/>
      <c r="B24" s="145" t="s">
        <v>20</v>
      </c>
      <c r="C24" s="20"/>
      <c r="D24" s="146"/>
      <c r="E24" s="14"/>
      <c r="F24" s="150"/>
      <c r="G24" s="15">
        <v>1</v>
      </c>
      <c r="H24" s="16">
        <f t="shared" ref="H24:H38" si="0">G24*F24</f>
        <v>0</v>
      </c>
      <c r="I24" s="28"/>
      <c r="J24" s="148"/>
      <c r="K24" s="17">
        <v>1</v>
      </c>
      <c r="L24" s="16">
        <f>K24*J24</f>
        <v>0</v>
      </c>
      <c r="M24" s="28"/>
      <c r="N24" s="149">
        <f>L24-H24</f>
        <v>0</v>
      </c>
      <c r="O24" s="18" t="str">
        <f>IF((H24)=0,"",(N24/H24))</f>
        <v/>
      </c>
    </row>
    <row r="25" spans="1:15">
      <c r="A25" s="19"/>
      <c r="B25" s="151" t="s">
        <v>21</v>
      </c>
      <c r="C25" s="20"/>
      <c r="D25" s="146" t="s">
        <v>19</v>
      </c>
      <c r="E25" s="14"/>
      <c r="F25" s="150"/>
      <c r="G25" s="15">
        <v>1</v>
      </c>
      <c r="H25" s="16">
        <f t="shared" si="0"/>
        <v>0</v>
      </c>
      <c r="I25" s="28"/>
      <c r="J25" s="148">
        <f>'[1]I. SMRR'!G14</f>
        <v>2.8831970487551146</v>
      </c>
      <c r="K25" s="17">
        <v>1</v>
      </c>
      <c r="L25" s="16">
        <f t="shared" ref="L25:L38" si="1">K25*J25</f>
        <v>2.8831970487551146</v>
      </c>
      <c r="M25" s="28"/>
      <c r="N25" s="149">
        <f t="shared" ref="N25:N67" si="2">L25-H25</f>
        <v>2.8831970487551146</v>
      </c>
      <c r="O25" s="18" t="str">
        <f t="shared" ref="O25:O47" si="3">IF((H25)=0,"",(N25/H25))</f>
        <v/>
      </c>
    </row>
    <row r="26" spans="1:15">
      <c r="A26" s="19"/>
      <c r="B26" s="145" t="s">
        <v>22</v>
      </c>
      <c r="C26" s="20"/>
      <c r="D26" s="146" t="s">
        <v>19</v>
      </c>
      <c r="E26" s="14"/>
      <c r="F26" s="150"/>
      <c r="G26" s="15">
        <v>1</v>
      </c>
      <c r="H26" s="16">
        <f t="shared" si="0"/>
        <v>0</v>
      </c>
      <c r="I26" s="28"/>
      <c r="J26" s="148">
        <v>8.82</v>
      </c>
      <c r="K26" s="17">
        <v>1</v>
      </c>
      <c r="L26" s="16">
        <f t="shared" si="1"/>
        <v>8.82</v>
      </c>
      <c r="M26" s="28"/>
      <c r="N26" s="149">
        <f t="shared" si="2"/>
        <v>8.82</v>
      </c>
      <c r="O26" s="18" t="str">
        <f t="shared" si="3"/>
        <v/>
      </c>
    </row>
    <row r="27" spans="1:15">
      <c r="A27" s="19"/>
      <c r="B27" s="152"/>
      <c r="C27" s="20"/>
      <c r="D27" s="146"/>
      <c r="E27" s="14"/>
      <c r="F27" s="150"/>
      <c r="G27" s="15">
        <v>1</v>
      </c>
      <c r="H27" s="16">
        <f t="shared" si="0"/>
        <v>0</v>
      </c>
      <c r="I27" s="28"/>
      <c r="J27" s="31"/>
      <c r="K27" s="17">
        <v>1</v>
      </c>
      <c r="L27" s="16">
        <f t="shared" si="1"/>
        <v>0</v>
      </c>
      <c r="M27" s="28"/>
      <c r="N27" s="149">
        <f t="shared" si="2"/>
        <v>0</v>
      </c>
      <c r="O27" s="18" t="str">
        <f t="shared" si="3"/>
        <v/>
      </c>
    </row>
    <row r="28" spans="1:15">
      <c r="A28" s="19"/>
      <c r="B28" s="152"/>
      <c r="C28" s="20"/>
      <c r="D28" s="146"/>
      <c r="E28" s="14"/>
      <c r="F28" s="150"/>
      <c r="G28" s="15">
        <v>1</v>
      </c>
      <c r="H28" s="16">
        <f t="shared" si="0"/>
        <v>0</v>
      </c>
      <c r="I28" s="28"/>
      <c r="J28" s="31"/>
      <c r="K28" s="17">
        <v>1</v>
      </c>
      <c r="L28" s="16">
        <f t="shared" si="1"/>
        <v>0</v>
      </c>
      <c r="M28" s="28"/>
      <c r="N28" s="149">
        <f t="shared" si="2"/>
        <v>0</v>
      </c>
      <c r="O28" s="18" t="str">
        <f t="shared" si="3"/>
        <v/>
      </c>
    </row>
    <row r="29" spans="1:15">
      <c r="A29" s="19"/>
      <c r="B29" s="145" t="s">
        <v>23</v>
      </c>
      <c r="C29" s="20"/>
      <c r="D29" s="146" t="s">
        <v>24</v>
      </c>
      <c r="E29" s="14"/>
      <c r="F29" s="150">
        <f>'[1]B. CurrentTariff'!C54</f>
        <v>1.0500000000000001E-2</v>
      </c>
      <c r="G29" s="15">
        <f t="shared" ref="G29:G38" si="4">$F$18</f>
        <v>5000</v>
      </c>
      <c r="H29" s="16">
        <f t="shared" si="0"/>
        <v>52.5</v>
      </c>
      <c r="I29" s="28"/>
      <c r="J29" s="31">
        <f>'[1]G. RateDesign'!G47</f>
        <v>1.2504682544578845E-2</v>
      </c>
      <c r="K29" s="15">
        <f>$F$18</f>
        <v>5000</v>
      </c>
      <c r="L29" s="16">
        <f t="shared" si="1"/>
        <v>62.523412722894228</v>
      </c>
      <c r="M29" s="28"/>
      <c r="N29" s="149">
        <f t="shared" si="2"/>
        <v>10.023412722894228</v>
      </c>
      <c r="O29" s="18">
        <f t="shared" si="3"/>
        <v>0.19092214710274721</v>
      </c>
    </row>
    <row r="30" spans="1:15">
      <c r="A30" s="19"/>
      <c r="B30" s="145" t="s">
        <v>22</v>
      </c>
      <c r="C30" s="20"/>
      <c r="D30" s="146" t="s">
        <v>24</v>
      </c>
      <c r="E30" s="14"/>
      <c r="F30" s="150"/>
      <c r="G30" s="15">
        <f t="shared" si="4"/>
        <v>5000</v>
      </c>
      <c r="H30" s="16">
        <f t="shared" si="0"/>
        <v>0</v>
      </c>
      <c r="I30" s="28"/>
      <c r="J30" s="31"/>
      <c r="K30" s="15">
        <f t="shared" ref="K30:K38" si="5">$F$18</f>
        <v>5000</v>
      </c>
      <c r="L30" s="16">
        <f t="shared" si="1"/>
        <v>0</v>
      </c>
      <c r="M30" s="28"/>
      <c r="N30" s="149">
        <f t="shared" si="2"/>
        <v>0</v>
      </c>
      <c r="O30" s="18" t="str">
        <f t="shared" si="3"/>
        <v/>
      </c>
    </row>
    <row r="31" spans="1:15">
      <c r="A31" s="19"/>
      <c r="B31" s="145" t="s">
        <v>25</v>
      </c>
      <c r="C31" s="20"/>
      <c r="D31" s="146" t="s">
        <v>24</v>
      </c>
      <c r="E31" s="14"/>
      <c r="F31" s="150"/>
      <c r="G31" s="15">
        <f t="shared" si="4"/>
        <v>5000</v>
      </c>
      <c r="H31" s="16">
        <f t="shared" si="0"/>
        <v>0</v>
      </c>
      <c r="I31" s="28"/>
      <c r="J31" s="31"/>
      <c r="K31" s="15">
        <f t="shared" si="5"/>
        <v>5000</v>
      </c>
      <c r="L31" s="16">
        <f t="shared" si="1"/>
        <v>0</v>
      </c>
      <c r="M31" s="28"/>
      <c r="N31" s="149">
        <f t="shared" si="2"/>
        <v>0</v>
      </c>
      <c r="O31" s="18" t="str">
        <f t="shared" si="3"/>
        <v/>
      </c>
    </row>
    <row r="32" spans="1:15">
      <c r="A32" s="19"/>
      <c r="B32" s="151"/>
      <c r="C32" s="20"/>
      <c r="D32" s="146"/>
      <c r="E32" s="14"/>
      <c r="F32" s="150"/>
      <c r="G32" s="15">
        <f t="shared" si="4"/>
        <v>5000</v>
      </c>
      <c r="H32" s="16">
        <f>G32*F32</f>
        <v>0</v>
      </c>
      <c r="I32" s="28"/>
      <c r="J32" s="31"/>
      <c r="K32" s="15">
        <f t="shared" si="5"/>
        <v>5000</v>
      </c>
      <c r="L32" s="16">
        <f>K32*J32</f>
        <v>0</v>
      </c>
      <c r="M32" s="28"/>
      <c r="N32" s="149">
        <f>L32-H32</f>
        <v>0</v>
      </c>
      <c r="O32" s="18" t="str">
        <f>IF((H32)=0,"",(N32/H32))</f>
        <v/>
      </c>
    </row>
    <row r="33" spans="1:15">
      <c r="A33" s="19"/>
      <c r="B33" s="151"/>
      <c r="C33" s="20"/>
      <c r="D33" s="146"/>
      <c r="E33" s="14"/>
      <c r="F33" s="150"/>
      <c r="G33" s="15">
        <f t="shared" si="4"/>
        <v>5000</v>
      </c>
      <c r="H33" s="16">
        <f>G33*F33</f>
        <v>0</v>
      </c>
      <c r="I33" s="28"/>
      <c r="J33" s="31"/>
      <c r="K33" s="15">
        <f t="shared" si="5"/>
        <v>5000</v>
      </c>
      <c r="L33" s="16">
        <f>K33*J33</f>
        <v>0</v>
      </c>
      <c r="M33" s="28"/>
      <c r="N33" s="149">
        <f>L33-H33</f>
        <v>0</v>
      </c>
      <c r="O33" s="18" t="str">
        <f>IF((H33)=0,"",(N33/H33))</f>
        <v/>
      </c>
    </row>
    <row r="34" spans="1:15">
      <c r="A34" s="19"/>
      <c r="B34" s="151"/>
      <c r="C34" s="20"/>
      <c r="D34" s="146"/>
      <c r="E34" s="14"/>
      <c r="F34" s="150"/>
      <c r="G34" s="15">
        <f t="shared" si="4"/>
        <v>5000</v>
      </c>
      <c r="H34" s="16">
        <f>G34*F34</f>
        <v>0</v>
      </c>
      <c r="I34" s="28"/>
      <c r="J34" s="31"/>
      <c r="K34" s="15">
        <f t="shared" si="5"/>
        <v>5000</v>
      </c>
      <c r="L34" s="16">
        <f>K34*J34</f>
        <v>0</v>
      </c>
      <c r="M34" s="28"/>
      <c r="N34" s="149">
        <f>L34-H34</f>
        <v>0</v>
      </c>
      <c r="O34" s="18" t="str">
        <f>IF((H34)=0,"",(N34/H34))</f>
        <v/>
      </c>
    </row>
    <row r="35" spans="1:15">
      <c r="A35" s="19"/>
      <c r="B35" s="151"/>
      <c r="C35" s="20"/>
      <c r="D35" s="146"/>
      <c r="E35" s="14"/>
      <c r="F35" s="150"/>
      <c r="G35" s="15">
        <f t="shared" si="4"/>
        <v>5000</v>
      </c>
      <c r="H35" s="16">
        <f t="shared" si="0"/>
        <v>0</v>
      </c>
      <c r="I35" s="28"/>
      <c r="J35" s="31"/>
      <c r="K35" s="15">
        <f t="shared" si="5"/>
        <v>5000</v>
      </c>
      <c r="L35" s="16">
        <f t="shared" si="1"/>
        <v>0</v>
      </c>
      <c r="M35" s="28"/>
      <c r="N35" s="149">
        <f t="shared" si="2"/>
        <v>0</v>
      </c>
      <c r="O35" s="18" t="str">
        <f t="shared" si="3"/>
        <v/>
      </c>
    </row>
    <row r="36" spans="1:15">
      <c r="A36" s="19"/>
      <c r="B36" s="151"/>
      <c r="C36" s="20"/>
      <c r="D36" s="146"/>
      <c r="E36" s="14"/>
      <c r="F36" s="150"/>
      <c r="G36" s="15">
        <f t="shared" si="4"/>
        <v>5000</v>
      </c>
      <c r="H36" s="16">
        <f t="shared" si="0"/>
        <v>0</v>
      </c>
      <c r="I36" s="28"/>
      <c r="J36" s="31"/>
      <c r="K36" s="15">
        <f t="shared" si="5"/>
        <v>5000</v>
      </c>
      <c r="L36" s="16">
        <f t="shared" si="1"/>
        <v>0</v>
      </c>
      <c r="M36" s="28"/>
      <c r="N36" s="149">
        <f t="shared" si="2"/>
        <v>0</v>
      </c>
      <c r="O36" s="18" t="str">
        <f t="shared" si="3"/>
        <v/>
      </c>
    </row>
    <row r="37" spans="1:15">
      <c r="A37" s="19"/>
      <c r="B37" s="151"/>
      <c r="C37" s="20"/>
      <c r="D37" s="146"/>
      <c r="E37" s="14"/>
      <c r="F37" s="150"/>
      <c r="G37" s="15">
        <f t="shared" si="4"/>
        <v>5000</v>
      </c>
      <c r="H37" s="16">
        <f t="shared" si="0"/>
        <v>0</v>
      </c>
      <c r="I37" s="28"/>
      <c r="J37" s="31"/>
      <c r="K37" s="15">
        <f t="shared" si="5"/>
        <v>5000</v>
      </c>
      <c r="L37" s="16">
        <f t="shared" si="1"/>
        <v>0</v>
      </c>
      <c r="M37" s="28"/>
      <c r="N37" s="149">
        <f t="shared" si="2"/>
        <v>0</v>
      </c>
      <c r="O37" s="18" t="str">
        <f t="shared" si="3"/>
        <v/>
      </c>
    </row>
    <row r="38" spans="1:15">
      <c r="A38" s="19"/>
      <c r="B38" s="151"/>
      <c r="C38" s="20"/>
      <c r="D38" s="146"/>
      <c r="E38" s="14"/>
      <c r="F38" s="150"/>
      <c r="G38" s="15">
        <f t="shared" si="4"/>
        <v>5000</v>
      </c>
      <c r="H38" s="16">
        <f t="shared" si="0"/>
        <v>0</v>
      </c>
      <c r="I38" s="28"/>
      <c r="J38" s="31"/>
      <c r="K38" s="15">
        <f t="shared" si="5"/>
        <v>5000</v>
      </c>
      <c r="L38" s="16">
        <f t="shared" si="1"/>
        <v>0</v>
      </c>
      <c r="M38" s="28"/>
      <c r="N38" s="149">
        <f t="shared" si="2"/>
        <v>0</v>
      </c>
      <c r="O38" s="18" t="str">
        <f t="shared" si="3"/>
        <v/>
      </c>
    </row>
    <row r="39" spans="1:15">
      <c r="A39" s="19"/>
      <c r="B39" s="153" t="s">
        <v>26</v>
      </c>
      <c r="C39" s="154"/>
      <c r="D39" s="155"/>
      <c r="E39" s="154"/>
      <c r="F39" s="156"/>
      <c r="G39" s="157"/>
      <c r="H39" s="158">
        <f>SUM(H23:H38)</f>
        <v>75.47</v>
      </c>
      <c r="I39" s="28"/>
      <c r="J39" s="159"/>
      <c r="K39" s="160"/>
      <c r="L39" s="158">
        <f>SUM(L23:L38)</f>
        <v>101.57660977164934</v>
      </c>
      <c r="M39" s="28"/>
      <c r="N39" s="161">
        <f t="shared" si="2"/>
        <v>26.106609771649346</v>
      </c>
      <c r="O39" s="162">
        <f t="shared" si="3"/>
        <v>0.34592036268251419</v>
      </c>
    </row>
    <row r="40" spans="1:15" ht="51">
      <c r="A40" s="163"/>
      <c r="B40" s="164" t="str">
        <f>'[1]J. DVA'!$B$16</f>
        <v>Rate Rider Calculation for Deferral / Variance Accounts Balances (excluding Global Adj.)</v>
      </c>
      <c r="C40" s="20"/>
      <c r="D40" s="165" t="s">
        <v>24</v>
      </c>
      <c r="E40" s="20"/>
      <c r="F40" s="166"/>
      <c r="G40" s="21">
        <f>$F$18</f>
        <v>5000</v>
      </c>
      <c r="H40" s="22">
        <f t="shared" ref="H40:H48" si="6">G40*F40</f>
        <v>0</v>
      </c>
      <c r="I40" s="167"/>
      <c r="J40" s="166">
        <f>'[1]J. DVA'!F21</f>
        <v>-8.2471767600577684E-4</v>
      </c>
      <c r="K40" s="21">
        <f t="shared" ref="K40:K46" si="7">$F$18</f>
        <v>5000</v>
      </c>
      <c r="L40" s="22">
        <f t="shared" ref="L40:L48" si="8">K40*J40</f>
        <v>-4.1235883800288846</v>
      </c>
      <c r="M40" s="167"/>
      <c r="N40" s="168">
        <f>L40-H40</f>
        <v>-4.1235883800288846</v>
      </c>
      <c r="O40" s="24" t="str">
        <f>IF((H40)=0,"",(N40/H40))</f>
        <v/>
      </c>
    </row>
    <row r="41" spans="1:15" ht="51">
      <c r="A41" s="169"/>
      <c r="B41" s="164" t="str">
        <f>'[1]J. DVA'!$B$42</f>
        <v>Rate Rider Calculation for Deferral / Variance Accounts Balances (excluding Global Adj.) - NON-WMP</v>
      </c>
      <c r="C41" s="20"/>
      <c r="D41" s="165" t="s">
        <v>24</v>
      </c>
      <c r="E41" s="20"/>
      <c r="F41" s="166"/>
      <c r="G41" s="21">
        <f>$F$18</f>
        <v>5000</v>
      </c>
      <c r="H41" s="22">
        <f t="shared" si="6"/>
        <v>0</v>
      </c>
      <c r="I41" s="167"/>
      <c r="J41" s="166">
        <f>'[1]J. DVA'!F47</f>
        <v>-2.646861822728247E-3</v>
      </c>
      <c r="K41" s="21">
        <f t="shared" si="7"/>
        <v>5000</v>
      </c>
      <c r="L41" s="22">
        <f t="shared" si="8"/>
        <v>-13.234309113641235</v>
      </c>
      <c r="M41" s="167"/>
      <c r="N41" s="168">
        <f>L41-H41</f>
        <v>-13.234309113641235</v>
      </c>
      <c r="O41" s="24" t="str">
        <f>IF((H41)=0,"",(N41/H41))</f>
        <v/>
      </c>
    </row>
    <row r="42" spans="1:15" ht="38.25">
      <c r="A42" s="169"/>
      <c r="B42" s="164" t="str">
        <f>'[1]J. DVA'!$B$68</f>
        <v>Rate Rider Calculation for RSVA - Power - Global Adjustment</v>
      </c>
      <c r="C42" s="20"/>
      <c r="D42" s="165"/>
      <c r="E42" s="20"/>
      <c r="F42" s="166"/>
      <c r="G42" s="21">
        <f t="shared" ref="G42:G43" si="9">$F$18</f>
        <v>5000</v>
      </c>
      <c r="H42" s="22"/>
      <c r="I42" s="167"/>
      <c r="J42" s="166">
        <v>0</v>
      </c>
      <c r="K42" s="21">
        <f t="shared" si="7"/>
        <v>5000</v>
      </c>
      <c r="L42" s="22">
        <f t="shared" si="8"/>
        <v>0</v>
      </c>
      <c r="M42" s="167"/>
      <c r="N42" s="168">
        <f t="shared" ref="N42:N43" si="10">L42-H42</f>
        <v>0</v>
      </c>
      <c r="O42" s="24"/>
    </row>
    <row r="43" spans="1:15" ht="25.5">
      <c r="A43" s="169"/>
      <c r="B43" s="164" t="str">
        <f>'[1]J. DVA'!$B$121</f>
        <v>Rate Rider Calculation for Group 2 Accounts</v>
      </c>
      <c r="C43" s="20"/>
      <c r="D43" s="165"/>
      <c r="E43" s="20"/>
      <c r="F43" s="166"/>
      <c r="G43" s="21">
        <f t="shared" si="9"/>
        <v>5000</v>
      </c>
      <c r="H43" s="22"/>
      <c r="I43" s="167"/>
      <c r="J43" s="166">
        <f>'[1]J. DVA'!F126</f>
        <v>8.0305657896044972E-5</v>
      </c>
      <c r="K43" s="21">
        <f t="shared" si="7"/>
        <v>5000</v>
      </c>
      <c r="L43" s="22">
        <f t="shared" si="8"/>
        <v>0.40152828948022484</v>
      </c>
      <c r="M43" s="167"/>
      <c r="N43" s="168">
        <f t="shared" si="10"/>
        <v>0.40152828948022484</v>
      </c>
      <c r="O43" s="24"/>
    </row>
    <row r="44" spans="1:15" ht="25.5">
      <c r="A44" s="163"/>
      <c r="B44" s="164" t="str">
        <f>'[1]J. DVA'!$B$147</f>
        <v>Rate Rider Calculation for Accounts 1575 and 1576</v>
      </c>
      <c r="C44" s="20"/>
      <c r="D44" s="165" t="s">
        <v>24</v>
      </c>
      <c r="E44" s="20"/>
      <c r="F44" s="166"/>
      <c r="G44" s="21">
        <f>$F$18</f>
        <v>5000</v>
      </c>
      <c r="H44" s="22">
        <f t="shared" si="6"/>
        <v>0</v>
      </c>
      <c r="I44" s="167"/>
      <c r="J44" s="166">
        <f>'[1]J. DVA'!F154</f>
        <v>2.3455444818976223E-4</v>
      </c>
      <c r="K44" s="21">
        <f t="shared" si="7"/>
        <v>5000</v>
      </c>
      <c r="L44" s="22">
        <f t="shared" si="8"/>
        <v>1.1727722409488111</v>
      </c>
      <c r="M44" s="167"/>
      <c r="N44" s="168">
        <f>L44-H44</f>
        <v>1.1727722409488111</v>
      </c>
      <c r="O44" s="24" t="str">
        <f>IF((H44)=0,"",(N44/H44))</f>
        <v/>
      </c>
    </row>
    <row r="45" spans="1:15" ht="25.5">
      <c r="A45" s="163"/>
      <c r="B45" s="164" t="str">
        <f>'[1]J. DVA'!$B$175</f>
        <v>Rate Rider Calculation for Accounts 1568</v>
      </c>
      <c r="C45" s="20"/>
      <c r="D45" s="165" t="s">
        <v>24</v>
      </c>
      <c r="E45" s="20"/>
      <c r="F45" s="166"/>
      <c r="G45" s="21">
        <f>$F$18</f>
        <v>5000</v>
      </c>
      <c r="H45" s="22">
        <f t="shared" si="6"/>
        <v>0</v>
      </c>
      <c r="I45" s="167"/>
      <c r="J45" s="166">
        <f>'[1]J. DVA'!F182</f>
        <v>6.2210617557952952E-4</v>
      </c>
      <c r="K45" s="21">
        <f t="shared" si="7"/>
        <v>5000</v>
      </c>
      <c r="L45" s="22">
        <f t="shared" si="8"/>
        <v>3.1105308778976477</v>
      </c>
      <c r="M45" s="167"/>
      <c r="N45" s="168">
        <f>L45-H45</f>
        <v>3.1105308778976477</v>
      </c>
      <c r="O45" s="24" t="str">
        <f>IF((H45)=0,"",(N45/H45))</f>
        <v/>
      </c>
    </row>
    <row r="46" spans="1:15">
      <c r="A46" s="163" t="s">
        <v>63</v>
      </c>
      <c r="B46" s="164" t="s">
        <v>27</v>
      </c>
      <c r="C46" s="20"/>
      <c r="D46" s="165" t="s">
        <v>24</v>
      </c>
      <c r="E46" s="20"/>
      <c r="F46" s="166">
        <v>1E-3</v>
      </c>
      <c r="G46" s="21">
        <f>$F$18</f>
        <v>5000</v>
      </c>
      <c r="H46" s="22">
        <f t="shared" si="6"/>
        <v>5</v>
      </c>
      <c r="I46" s="167"/>
      <c r="J46" s="166">
        <f>'[2]4.12 PowerSupplExp'!$I$172</f>
        <v>6.9999999999999999E-4</v>
      </c>
      <c r="K46" s="21">
        <f t="shared" si="7"/>
        <v>5000</v>
      </c>
      <c r="L46" s="22">
        <f t="shared" si="8"/>
        <v>3.5</v>
      </c>
      <c r="M46" s="167"/>
      <c r="N46" s="168">
        <f>L46-H46</f>
        <v>-1.5</v>
      </c>
      <c r="O46" s="24">
        <f>IF((H46)=0,"",(N46/H46))</f>
        <v>-0.3</v>
      </c>
    </row>
    <row r="47" spans="1:15">
      <c r="A47" s="19"/>
      <c r="B47" s="145" t="s">
        <v>28</v>
      </c>
      <c r="C47" s="20"/>
      <c r="D47" s="165" t="s">
        <v>24</v>
      </c>
      <c r="E47" s="20"/>
      <c r="F47" s="166">
        <f>IF(ISBLANK(D16)=1, 0, IF(D16="TOU", 0.64*$F$57+0.18*$F$58+0.18*$F$59, IF(AND(D16="non-TOU", G61&gt;0), F61,F60)))</f>
        <v>9.5000000000000001E-2</v>
      </c>
      <c r="G47" s="21">
        <f>$F$18*(1+$F$76)-$F$18</f>
        <v>195</v>
      </c>
      <c r="H47" s="22">
        <f t="shared" si="6"/>
        <v>18.524999999999999</v>
      </c>
      <c r="I47" s="167"/>
      <c r="J47" s="166">
        <f>0.64*$F$57+0.18*$F$58+0.18*$F$59</f>
        <v>9.5000000000000001E-2</v>
      </c>
      <c r="K47" s="21">
        <f>$F$18*(1+$J$76)-$F$18</f>
        <v>228.5</v>
      </c>
      <c r="L47" s="22">
        <f t="shared" si="8"/>
        <v>21.7075</v>
      </c>
      <c r="M47" s="167"/>
      <c r="N47" s="168">
        <f t="shared" si="2"/>
        <v>3.182500000000001</v>
      </c>
      <c r="O47" s="24">
        <f t="shared" si="3"/>
        <v>0.17179487179487185</v>
      </c>
    </row>
    <row r="48" spans="1:15">
      <c r="A48" s="19"/>
      <c r="B48" s="170" t="s">
        <v>29</v>
      </c>
      <c r="C48" s="20"/>
      <c r="D48" s="171" t="s">
        <v>24</v>
      </c>
      <c r="E48" s="14"/>
      <c r="F48" s="172">
        <v>0.79</v>
      </c>
      <c r="G48" s="25">
        <v>1</v>
      </c>
      <c r="H48" s="26">
        <f t="shared" si="6"/>
        <v>0.79</v>
      </c>
      <c r="I48" s="173"/>
      <c r="J48" s="172">
        <v>0.79</v>
      </c>
      <c r="K48" s="25">
        <v>1</v>
      </c>
      <c r="L48" s="26">
        <f t="shared" si="8"/>
        <v>0.79</v>
      </c>
      <c r="M48" s="173"/>
      <c r="N48" s="174">
        <f t="shared" si="2"/>
        <v>0</v>
      </c>
      <c r="O48" s="27"/>
    </row>
    <row r="49" spans="2:19" ht="25.5">
      <c r="B49" s="175" t="s">
        <v>30</v>
      </c>
      <c r="C49" s="176"/>
      <c r="D49" s="176"/>
      <c r="E49" s="176"/>
      <c r="F49" s="177"/>
      <c r="G49" s="178"/>
      <c r="H49" s="179">
        <f>SUM(H40:H48)+H39</f>
        <v>99.784999999999997</v>
      </c>
      <c r="I49" s="28"/>
      <c r="J49" s="178"/>
      <c r="K49" s="180"/>
      <c r="L49" s="179">
        <f>SUM(L40:L48)+L39</f>
        <v>114.90104368630591</v>
      </c>
      <c r="M49" s="28"/>
      <c r="N49" s="161">
        <f t="shared" si="2"/>
        <v>15.116043686305915</v>
      </c>
      <c r="O49" s="162">
        <f t="shared" ref="O49:O67" si="11">IF((H49)=0,"",(N49/H49))</f>
        <v>0.15148613204696013</v>
      </c>
    </row>
    <row r="50" spans="2:19">
      <c r="B50" s="181" t="s">
        <v>31</v>
      </c>
      <c r="C50" s="28"/>
      <c r="D50" s="182" t="s">
        <v>24</v>
      </c>
      <c r="E50" s="28"/>
      <c r="F50" s="31">
        <v>5.7999999999999996E-3</v>
      </c>
      <c r="G50" s="29">
        <f>F18*(1+F76)</f>
        <v>5195</v>
      </c>
      <c r="H50" s="16">
        <f>G50*F50</f>
        <v>30.130999999999997</v>
      </c>
      <c r="I50" s="28"/>
      <c r="J50" s="31">
        <f>'[2]4.12 PowerSupplExp'!$N$59</f>
        <v>5.5533911754495633E-3</v>
      </c>
      <c r="K50" s="30">
        <f>F18*(1+J76)</f>
        <v>5228.5</v>
      </c>
      <c r="L50" s="16">
        <f>K50*J50</f>
        <v>29.035905760838041</v>
      </c>
      <c r="M50" s="28"/>
      <c r="N50" s="149">
        <f t="shared" si="2"/>
        <v>-1.0950942391619556</v>
      </c>
      <c r="O50" s="18">
        <f t="shared" si="11"/>
        <v>-3.6344437262684798E-2</v>
      </c>
    </row>
    <row r="51" spans="2:19" ht="25.5">
      <c r="B51" s="183" t="s">
        <v>32</v>
      </c>
      <c r="C51" s="28"/>
      <c r="D51" s="182" t="s">
        <v>24</v>
      </c>
      <c r="E51" s="28"/>
      <c r="F51" s="31">
        <v>4.0000000000000001E-3</v>
      </c>
      <c r="G51" s="29">
        <f>G50</f>
        <v>5195</v>
      </c>
      <c r="H51" s="16">
        <f>G51*F51</f>
        <v>20.78</v>
      </c>
      <c r="I51" s="28"/>
      <c r="J51" s="31">
        <f>'[2]4.12 PowerSupplExp'!$N$75</f>
        <v>4.088451920223014E-3</v>
      </c>
      <c r="K51" s="30">
        <f>K50</f>
        <v>5228.5</v>
      </c>
      <c r="L51" s="16">
        <f>K51*J51</f>
        <v>21.376470864886027</v>
      </c>
      <c r="M51" s="28"/>
      <c r="N51" s="149">
        <f t="shared" si="2"/>
        <v>0.59647086488602596</v>
      </c>
      <c r="O51" s="18">
        <f t="shared" si="11"/>
        <v>2.8704083969491142E-2</v>
      </c>
    </row>
    <row r="52" spans="2:19" ht="25.5">
      <c r="B52" s="175" t="s">
        <v>33</v>
      </c>
      <c r="C52" s="154"/>
      <c r="D52" s="154"/>
      <c r="E52" s="154"/>
      <c r="F52" s="184"/>
      <c r="G52" s="178"/>
      <c r="H52" s="179">
        <f>SUM(H49:H51)</f>
        <v>150.696</v>
      </c>
      <c r="I52" s="185"/>
      <c r="J52" s="186"/>
      <c r="K52" s="187"/>
      <c r="L52" s="179">
        <f>SUM(L49:L51)</f>
        <v>165.31342031202996</v>
      </c>
      <c r="M52" s="185"/>
      <c r="N52" s="161">
        <f t="shared" si="2"/>
        <v>14.617420312029964</v>
      </c>
      <c r="O52" s="162">
        <f t="shared" si="11"/>
        <v>9.6999391569981705E-2</v>
      </c>
    </row>
    <row r="53" spans="2:19" ht="25.5">
      <c r="B53" s="145" t="s">
        <v>34</v>
      </c>
      <c r="C53" s="20"/>
      <c r="D53" s="188" t="s">
        <v>24</v>
      </c>
      <c r="E53" s="14"/>
      <c r="F53" s="84">
        <v>4.4000000000000003E-3</v>
      </c>
      <c r="G53" s="82">
        <f>G51</f>
        <v>5195</v>
      </c>
      <c r="H53" s="78">
        <f t="shared" ref="H53:H59" si="12">G53*F53</f>
        <v>22.858000000000001</v>
      </c>
      <c r="I53" s="234"/>
      <c r="J53" s="84">
        <v>4.4000000000000003E-3</v>
      </c>
      <c r="K53" s="83">
        <f>K51</f>
        <v>5228.5</v>
      </c>
      <c r="L53" s="78">
        <f t="shared" ref="L53:L59" si="13">K53*J53</f>
        <v>23.005400000000002</v>
      </c>
      <c r="M53" s="234"/>
      <c r="N53" s="235">
        <f t="shared" si="2"/>
        <v>0.14740000000000109</v>
      </c>
      <c r="O53" s="79">
        <f t="shared" si="11"/>
        <v>6.4485081809432616E-3</v>
      </c>
    </row>
    <row r="54" spans="2:19" ht="25.5">
      <c r="B54" s="145" t="s">
        <v>35</v>
      </c>
      <c r="C54" s="20"/>
      <c r="D54" s="188" t="s">
        <v>24</v>
      </c>
      <c r="E54" s="14"/>
      <c r="F54" s="84">
        <v>1.1999999999999999E-3</v>
      </c>
      <c r="G54" s="82">
        <f>G51</f>
        <v>5195</v>
      </c>
      <c r="H54" s="78">
        <f t="shared" si="12"/>
        <v>6.2339999999999991</v>
      </c>
      <c r="I54" s="234"/>
      <c r="J54" s="84">
        <v>1.1999999999999999E-3</v>
      </c>
      <c r="K54" s="83">
        <f>K51</f>
        <v>5228.5</v>
      </c>
      <c r="L54" s="78">
        <f t="shared" si="13"/>
        <v>6.2741999999999996</v>
      </c>
      <c r="M54" s="234"/>
      <c r="N54" s="235">
        <f t="shared" si="2"/>
        <v>4.0200000000000458E-2</v>
      </c>
      <c r="O54" s="79">
        <f t="shared" si="11"/>
        <v>6.4485081809432894E-3</v>
      </c>
    </row>
    <row r="55" spans="2:19" ht="25.5">
      <c r="B55" s="145" t="s">
        <v>36</v>
      </c>
      <c r="C55" s="20"/>
      <c r="D55" s="188" t="s">
        <v>19</v>
      </c>
      <c r="E55" s="14"/>
      <c r="F55" s="84">
        <v>0.25</v>
      </c>
      <c r="G55" s="80">
        <v>1</v>
      </c>
      <c r="H55" s="78">
        <f t="shared" si="12"/>
        <v>0.25</v>
      </c>
      <c r="I55" s="234"/>
      <c r="J55" s="84">
        <v>0.25</v>
      </c>
      <c r="K55" s="81">
        <v>1</v>
      </c>
      <c r="L55" s="78">
        <f t="shared" si="13"/>
        <v>0.25</v>
      </c>
      <c r="M55" s="234"/>
      <c r="N55" s="235">
        <f t="shared" si="2"/>
        <v>0</v>
      </c>
      <c r="O55" s="79">
        <f t="shared" si="11"/>
        <v>0</v>
      </c>
    </row>
    <row r="56" spans="2:19" ht="25.5">
      <c r="B56" s="145" t="s">
        <v>37</v>
      </c>
      <c r="C56" s="20"/>
      <c r="D56" s="188" t="s">
        <v>24</v>
      </c>
      <c r="E56" s="14"/>
      <c r="F56" s="31">
        <v>4.8999999999999998E-3</v>
      </c>
      <c r="G56" s="82">
        <f>F18</f>
        <v>5000</v>
      </c>
      <c r="H56" s="78">
        <f t="shared" si="12"/>
        <v>24.5</v>
      </c>
      <c r="I56" s="234"/>
      <c r="J56" s="31">
        <v>4.8999999999999998E-3</v>
      </c>
      <c r="K56" s="83">
        <f>F18</f>
        <v>5000</v>
      </c>
      <c r="L56" s="78">
        <f t="shared" si="13"/>
        <v>24.5</v>
      </c>
      <c r="M56" s="234"/>
      <c r="N56" s="235">
        <f t="shared" si="2"/>
        <v>0</v>
      </c>
      <c r="O56" s="79">
        <f t="shared" si="11"/>
        <v>0</v>
      </c>
    </row>
    <row r="57" spans="2:19">
      <c r="B57" s="170" t="s">
        <v>38</v>
      </c>
      <c r="C57" s="20"/>
      <c r="D57" s="188" t="s">
        <v>24</v>
      </c>
      <c r="E57" s="14"/>
      <c r="F57" s="84">
        <v>7.6999999999999999E-2</v>
      </c>
      <c r="G57" s="236">
        <f>0.64*$F$18</f>
        <v>3200</v>
      </c>
      <c r="H57" s="78">
        <f t="shared" si="12"/>
        <v>246.4</v>
      </c>
      <c r="I57" s="234"/>
      <c r="J57" s="84">
        <v>7.6999999999999999E-2</v>
      </c>
      <c r="K57" s="236">
        <f>G57</f>
        <v>3200</v>
      </c>
      <c r="L57" s="78">
        <f t="shared" si="13"/>
        <v>246.4</v>
      </c>
      <c r="M57" s="234"/>
      <c r="N57" s="235">
        <f t="shared" si="2"/>
        <v>0</v>
      </c>
      <c r="O57" s="79">
        <f t="shared" si="11"/>
        <v>0</v>
      </c>
      <c r="S57" s="190"/>
    </row>
    <row r="58" spans="2:19">
      <c r="B58" s="170" t="s">
        <v>39</v>
      </c>
      <c r="C58" s="20"/>
      <c r="D58" s="188" t="s">
        <v>24</v>
      </c>
      <c r="E58" s="14"/>
      <c r="F58" s="84">
        <v>0.114</v>
      </c>
      <c r="G58" s="236">
        <f>0.18*$F$18</f>
        <v>900</v>
      </c>
      <c r="H58" s="78">
        <f t="shared" si="12"/>
        <v>102.60000000000001</v>
      </c>
      <c r="I58" s="234"/>
      <c r="J58" s="84">
        <v>0.114</v>
      </c>
      <c r="K58" s="236">
        <f>G58</f>
        <v>900</v>
      </c>
      <c r="L58" s="78">
        <f t="shared" si="13"/>
        <v>102.60000000000001</v>
      </c>
      <c r="M58" s="234"/>
      <c r="N58" s="235">
        <f t="shared" si="2"/>
        <v>0</v>
      </c>
      <c r="O58" s="79">
        <f t="shared" si="11"/>
        <v>0</v>
      </c>
      <c r="S58" s="190"/>
    </row>
    <row r="59" spans="2:19">
      <c r="B59" s="135" t="s">
        <v>40</v>
      </c>
      <c r="C59" s="20"/>
      <c r="D59" s="188" t="s">
        <v>24</v>
      </c>
      <c r="E59" s="14"/>
      <c r="F59" s="84">
        <v>0.14000000000000001</v>
      </c>
      <c r="G59" s="236">
        <f>0.18*$F$18</f>
        <v>900</v>
      </c>
      <c r="H59" s="78">
        <f t="shared" si="12"/>
        <v>126.00000000000001</v>
      </c>
      <c r="I59" s="234"/>
      <c r="J59" s="84">
        <v>0.14000000000000001</v>
      </c>
      <c r="K59" s="236">
        <f>G59</f>
        <v>900</v>
      </c>
      <c r="L59" s="78">
        <f t="shared" si="13"/>
        <v>126.00000000000001</v>
      </c>
      <c r="M59" s="234"/>
      <c r="N59" s="235">
        <f t="shared" si="2"/>
        <v>0</v>
      </c>
      <c r="O59" s="79">
        <f t="shared" si="11"/>
        <v>0</v>
      </c>
      <c r="S59" s="190"/>
    </row>
    <row r="60" spans="2:19" s="195" customFormat="1">
      <c r="B60" s="191" t="s">
        <v>41</v>
      </c>
      <c r="C60" s="32"/>
      <c r="D60" s="188" t="s">
        <v>24</v>
      </c>
      <c r="E60" s="32"/>
      <c r="F60" s="84">
        <v>8.5999999999999993E-2</v>
      </c>
      <c r="G60" s="237">
        <f>IF(AND($T$1=1, F18&gt;=600), 600, IF(AND($T$1=1, AND(F18&lt;600, F18&gt;=0)), F18, IF(AND($T$1=2, F18&gt;=1000), 1000, IF(AND($T$1=2, AND(F18&lt;1000, F18&gt;=0)), F18))))</f>
        <v>600</v>
      </c>
      <c r="H60" s="78">
        <f>G60*F60</f>
        <v>51.599999999999994</v>
      </c>
      <c r="I60" s="238"/>
      <c r="J60" s="84">
        <v>8.5999999999999993E-2</v>
      </c>
      <c r="K60" s="237">
        <f>G60</f>
        <v>600</v>
      </c>
      <c r="L60" s="78">
        <f>K60*J60</f>
        <v>51.599999999999994</v>
      </c>
      <c r="M60" s="238"/>
      <c r="N60" s="239">
        <f t="shared" si="2"/>
        <v>0</v>
      </c>
      <c r="O60" s="79">
        <f t="shared" si="11"/>
        <v>0</v>
      </c>
    </row>
    <row r="61" spans="2:19" s="195" customFormat="1" ht="13.5" thickBot="1">
      <c r="B61" s="191" t="s">
        <v>42</v>
      </c>
      <c r="C61" s="32"/>
      <c r="D61" s="188" t="s">
        <v>24</v>
      </c>
      <c r="E61" s="32"/>
      <c r="F61" s="84">
        <v>0.10100000000000001</v>
      </c>
      <c r="G61" s="237">
        <f>IF(AND($T$1=1, F18&gt;=600), F18-600, IF(AND($T$1=1, AND(F18&lt;600, F18&gt;=0)), 0, IF(AND($T$1=2, F18&gt;=1000), F18-1000, IF(AND($T$1=2, AND(F18&lt;1000, F18&gt;=0)), 0))))</f>
        <v>4400</v>
      </c>
      <c r="H61" s="78">
        <f>G61*F61</f>
        <v>444.40000000000003</v>
      </c>
      <c r="I61" s="238"/>
      <c r="J61" s="84">
        <v>0.10100000000000001</v>
      </c>
      <c r="K61" s="237">
        <f>G61</f>
        <v>4400</v>
      </c>
      <c r="L61" s="78">
        <f>K61*J61</f>
        <v>444.40000000000003</v>
      </c>
      <c r="M61" s="238"/>
      <c r="N61" s="239">
        <f t="shared" si="2"/>
        <v>0</v>
      </c>
      <c r="O61" s="79">
        <f t="shared" si="11"/>
        <v>0</v>
      </c>
    </row>
    <row r="62" spans="2:19" ht="13.5" thickBot="1">
      <c r="B62" s="196"/>
      <c r="C62" s="197"/>
      <c r="D62" s="198"/>
      <c r="E62" s="197"/>
      <c r="F62" s="199"/>
      <c r="G62" s="200"/>
      <c r="H62" s="201"/>
      <c r="I62" s="202"/>
      <c r="J62" s="199"/>
      <c r="K62" s="203"/>
      <c r="L62" s="201"/>
      <c r="M62" s="202"/>
      <c r="N62" s="204"/>
      <c r="O62" s="205"/>
    </row>
    <row r="63" spans="2:19" ht="25.5">
      <c r="B63" s="33" t="s">
        <v>43</v>
      </c>
      <c r="C63" s="20"/>
      <c r="D63" s="20"/>
      <c r="E63" s="20"/>
      <c r="F63" s="34"/>
      <c r="G63" s="35"/>
      <c r="H63" s="36">
        <f>SUM(H53:H59,H52)</f>
        <v>679.53800000000012</v>
      </c>
      <c r="I63" s="37"/>
      <c r="J63" s="38"/>
      <c r="K63" s="38"/>
      <c r="L63" s="36">
        <f>SUM(L53:L59,L52)</f>
        <v>694.34302031203003</v>
      </c>
      <c r="M63" s="39"/>
      <c r="N63" s="40">
        <f>L63-H63</f>
        <v>14.80502031202991</v>
      </c>
      <c r="O63" s="41">
        <f>IF((H63)=0,"",(N63/H63))</f>
        <v>2.1786890964199071E-2</v>
      </c>
      <c r="S63" s="190"/>
    </row>
    <row r="64" spans="2:19">
      <c r="B64" s="42" t="s">
        <v>44</v>
      </c>
      <c r="C64" s="20"/>
      <c r="D64" s="20"/>
      <c r="E64" s="20"/>
      <c r="F64" s="43">
        <v>0.13</v>
      </c>
      <c r="G64" s="44"/>
      <c r="H64" s="45">
        <f>H63*F64</f>
        <v>88.339940000000013</v>
      </c>
      <c r="I64" s="46"/>
      <c r="J64" s="47">
        <v>0.13</v>
      </c>
      <c r="K64" s="46"/>
      <c r="L64" s="48">
        <f>L63*J64</f>
        <v>90.264592640563905</v>
      </c>
      <c r="M64" s="49"/>
      <c r="N64" s="50">
        <f t="shared" si="2"/>
        <v>1.9246526405638917</v>
      </c>
      <c r="O64" s="18">
        <f t="shared" si="11"/>
        <v>2.1786890964199109E-2</v>
      </c>
      <c r="S64" s="190"/>
    </row>
    <row r="65" spans="1:19">
      <c r="B65" s="206" t="s">
        <v>45</v>
      </c>
      <c r="C65" s="20"/>
      <c r="D65" s="20"/>
      <c r="E65" s="20"/>
      <c r="F65" s="51"/>
      <c r="G65" s="44"/>
      <c r="H65" s="45">
        <f>H63+H64</f>
        <v>767.87794000000008</v>
      </c>
      <c r="I65" s="46"/>
      <c r="J65" s="46"/>
      <c r="K65" s="46"/>
      <c r="L65" s="48">
        <f>L63+L64</f>
        <v>784.60761295259397</v>
      </c>
      <c r="M65" s="49"/>
      <c r="N65" s="50">
        <f t="shared" si="2"/>
        <v>16.729672952593887</v>
      </c>
      <c r="O65" s="18">
        <f t="shared" si="11"/>
        <v>2.1786890964199185E-2</v>
      </c>
      <c r="S65" s="190"/>
    </row>
    <row r="66" spans="1:19">
      <c r="B66" s="292" t="s">
        <v>46</v>
      </c>
      <c r="C66" s="292"/>
      <c r="D66" s="292"/>
      <c r="E66" s="20"/>
      <c r="F66" s="51"/>
      <c r="G66" s="44"/>
      <c r="H66" s="52">
        <f>ROUND(-H65*0.1,2)</f>
        <v>-76.790000000000006</v>
      </c>
      <c r="I66" s="46"/>
      <c r="J66" s="46"/>
      <c r="K66" s="46"/>
      <c r="L66" s="53">
        <f>ROUND(-L65*0.1,2)</f>
        <v>-78.459999999999994</v>
      </c>
      <c r="M66" s="49"/>
      <c r="N66" s="54">
        <f t="shared" si="2"/>
        <v>-1.6699999999999875</v>
      </c>
      <c r="O66" s="55">
        <f t="shared" si="11"/>
        <v>2.1747623388461874E-2</v>
      </c>
    </row>
    <row r="67" spans="1:19" ht="13.5" thickBot="1">
      <c r="B67" s="293" t="s">
        <v>47</v>
      </c>
      <c r="C67" s="293"/>
      <c r="D67" s="293"/>
      <c r="E67" s="14"/>
      <c r="F67" s="207"/>
      <c r="G67" s="208"/>
      <c r="H67" s="209">
        <f>H65+H66</f>
        <v>691.08794000000012</v>
      </c>
      <c r="I67" s="210"/>
      <c r="J67" s="210"/>
      <c r="K67" s="210"/>
      <c r="L67" s="211">
        <f>L65+L66</f>
        <v>706.14761295259393</v>
      </c>
      <c r="M67" s="212"/>
      <c r="N67" s="213">
        <f t="shared" si="2"/>
        <v>15.059672952593814</v>
      </c>
      <c r="O67" s="214">
        <f t="shared" si="11"/>
        <v>2.1791254167441862E-2</v>
      </c>
    </row>
    <row r="68" spans="1:19" s="195" customFormat="1" ht="13.5" thickBot="1">
      <c r="B68" s="215"/>
      <c r="C68" s="216"/>
      <c r="D68" s="217"/>
      <c r="E68" s="216"/>
      <c r="F68" s="199"/>
      <c r="G68" s="218"/>
      <c r="H68" s="201"/>
      <c r="I68" s="219"/>
      <c r="J68" s="199"/>
      <c r="K68" s="220"/>
      <c r="L68" s="201"/>
      <c r="M68" s="219"/>
      <c r="N68" s="221"/>
      <c r="O68" s="205"/>
    </row>
    <row r="69" spans="1:19" s="195" customFormat="1" ht="25.5">
      <c r="B69" s="56" t="s">
        <v>48</v>
      </c>
      <c r="C69" s="32"/>
      <c r="D69" s="32"/>
      <c r="E69" s="32"/>
      <c r="F69" s="57"/>
      <c r="G69" s="58"/>
      <c r="H69" s="59">
        <f>SUM(H60:H61,H52,H53:H56)</f>
        <v>700.53800000000001</v>
      </c>
      <c r="I69" s="60"/>
      <c r="J69" s="61"/>
      <c r="K69" s="61"/>
      <c r="L69" s="59">
        <f>SUM(L60:L61,L52,L53:L56)</f>
        <v>715.34302031202992</v>
      </c>
      <c r="M69" s="62"/>
      <c r="N69" s="63">
        <f>L69-H69</f>
        <v>14.80502031202991</v>
      </c>
      <c r="O69" s="41">
        <f>IF((H69)=0,"",(N69/H69))</f>
        <v>2.1133786192940155E-2</v>
      </c>
    </row>
    <row r="70" spans="1:19" s="195" customFormat="1">
      <c r="B70" s="64" t="s">
        <v>44</v>
      </c>
      <c r="C70" s="32"/>
      <c r="D70" s="32"/>
      <c r="E70" s="32"/>
      <c r="F70" s="65">
        <v>0.13</v>
      </c>
      <c r="G70" s="58"/>
      <c r="H70" s="66">
        <f>H69*F70</f>
        <v>91.069940000000003</v>
      </c>
      <c r="I70" s="67"/>
      <c r="J70" s="68">
        <v>0.13</v>
      </c>
      <c r="K70" s="69"/>
      <c r="L70" s="70">
        <f>L69*J70</f>
        <v>92.994592640563894</v>
      </c>
      <c r="M70" s="71"/>
      <c r="N70" s="72">
        <f>L70-H70</f>
        <v>1.9246526405638917</v>
      </c>
      <c r="O70" s="18">
        <f>IF((H70)=0,"",(N70/H70))</f>
        <v>2.1133786192940193E-2</v>
      </c>
    </row>
    <row r="71" spans="1:19" s="195" customFormat="1">
      <c r="B71" s="222" t="s">
        <v>45</v>
      </c>
      <c r="C71" s="32"/>
      <c r="D71" s="32"/>
      <c r="E71" s="32"/>
      <c r="F71" s="73"/>
      <c r="G71" s="74"/>
      <c r="H71" s="66">
        <f>H69+H70</f>
        <v>791.60793999999999</v>
      </c>
      <c r="I71" s="67"/>
      <c r="J71" s="67"/>
      <c r="K71" s="67"/>
      <c r="L71" s="70">
        <f>L69+L70</f>
        <v>808.33761295259387</v>
      </c>
      <c r="M71" s="71"/>
      <c r="N71" s="72">
        <f>L71-H71</f>
        <v>16.729672952593887</v>
      </c>
      <c r="O71" s="18">
        <f>IF((H71)=0,"",(N71/H71))</f>
        <v>2.1133786192940266E-2</v>
      </c>
    </row>
    <row r="72" spans="1:19" s="195" customFormat="1">
      <c r="B72" s="294" t="s">
        <v>46</v>
      </c>
      <c r="C72" s="294"/>
      <c r="D72" s="294"/>
      <c r="E72" s="32"/>
      <c r="F72" s="73"/>
      <c r="G72" s="74"/>
      <c r="H72" s="75">
        <f>ROUND(-H71*0.1,2)</f>
        <v>-79.16</v>
      </c>
      <c r="I72" s="67"/>
      <c r="J72" s="67"/>
      <c r="K72" s="67"/>
      <c r="L72" s="76">
        <f>ROUND(-L71*0.1,2)</f>
        <v>-80.83</v>
      </c>
      <c r="M72" s="71"/>
      <c r="N72" s="77">
        <f>L72-H72</f>
        <v>-1.6700000000000017</v>
      </c>
      <c r="O72" s="55">
        <f>IF((H72)=0,"",(N72/H72))</f>
        <v>2.1096513390601337E-2</v>
      </c>
    </row>
    <row r="73" spans="1:19" s="195" customFormat="1" ht="13.5" thickBot="1">
      <c r="B73" s="288" t="s">
        <v>49</v>
      </c>
      <c r="C73" s="288"/>
      <c r="D73" s="288"/>
      <c r="E73" s="32"/>
      <c r="F73" s="73"/>
      <c r="G73" s="74"/>
      <c r="H73" s="59">
        <f>SUM(H71:H72)</f>
        <v>712.44794000000002</v>
      </c>
      <c r="I73" s="60"/>
      <c r="J73" s="60"/>
      <c r="K73" s="60"/>
      <c r="L73" s="223">
        <f>SUM(L71:L72)</f>
        <v>727.50761295259383</v>
      </c>
      <c r="M73" s="62"/>
      <c r="N73" s="63">
        <f>L73-H73</f>
        <v>15.059672952593814</v>
      </c>
      <c r="O73" s="41">
        <f>IF((H73)=0,"",(N73/H73))</f>
        <v>2.1137927569267467E-2</v>
      </c>
    </row>
    <row r="74" spans="1:19" s="195" customFormat="1" ht="13.5" thickBot="1">
      <c r="B74" s="215"/>
      <c r="C74" s="216"/>
      <c r="D74" s="217"/>
      <c r="E74" s="216"/>
      <c r="F74" s="224"/>
      <c r="G74" s="225"/>
      <c r="H74" s="226"/>
      <c r="I74" s="227"/>
      <c r="J74" s="224"/>
      <c r="K74" s="218"/>
      <c r="L74" s="228"/>
      <c r="M74" s="219"/>
      <c r="N74" s="229"/>
      <c r="O74" s="205"/>
    </row>
    <row r="75" spans="1:19">
      <c r="L75" s="190"/>
    </row>
    <row r="76" spans="1:19">
      <c r="B76" s="230" t="s">
        <v>50</v>
      </c>
      <c r="F76" s="231">
        <v>3.9E-2</v>
      </c>
      <c r="J76" s="231">
        <v>4.5699999999999998E-2</v>
      </c>
    </row>
    <row r="78" spans="1:19" ht="14.25">
      <c r="A78" s="232" t="s">
        <v>51</v>
      </c>
    </row>
    <row r="80" spans="1:19">
      <c r="A80" s="12" t="s">
        <v>52</v>
      </c>
    </row>
    <row r="81" spans="1:2">
      <c r="A81" s="12" t="s">
        <v>53</v>
      </c>
    </row>
    <row r="83" spans="1:2">
      <c r="A83" s="233" t="s">
        <v>54</v>
      </c>
    </row>
    <row r="84" spans="1:2">
      <c r="A84" s="233" t="s">
        <v>55</v>
      </c>
    </row>
    <row r="86" spans="1:2">
      <c r="A86" s="12" t="s">
        <v>56</v>
      </c>
    </row>
    <row r="87" spans="1:2">
      <c r="A87" s="12" t="s">
        <v>57</v>
      </c>
    </row>
    <row r="88" spans="1:2">
      <c r="A88" s="12" t="s">
        <v>58</v>
      </c>
    </row>
    <row r="89" spans="1:2">
      <c r="A89" s="12" t="s">
        <v>59</v>
      </c>
    </row>
    <row r="90" spans="1:2">
      <c r="A90" s="12" t="s">
        <v>60</v>
      </c>
    </row>
    <row r="92" spans="1:2" ht="51">
      <c r="B92" s="13" t="s">
        <v>61</v>
      </c>
    </row>
  </sheetData>
  <mergeCells count="14">
    <mergeCell ref="A3:K3"/>
    <mergeCell ref="B10:O10"/>
    <mergeCell ref="B11:O11"/>
    <mergeCell ref="D14:O14"/>
    <mergeCell ref="F20:H20"/>
    <mergeCell ref="J20:L20"/>
    <mergeCell ref="N20:O20"/>
    <mergeCell ref="B73:D73"/>
    <mergeCell ref="D21:D22"/>
    <mergeCell ref="N21:N22"/>
    <mergeCell ref="O21:O22"/>
    <mergeCell ref="B66:D66"/>
    <mergeCell ref="B67:D67"/>
    <mergeCell ref="B72:D72"/>
  </mergeCells>
  <dataValidations count="3">
    <dataValidation type="list" allowBlank="1" showInputMessage="1" showErrorMessage="1" sqref="D16">
      <formula1>"TOU,non-TOU"</formula1>
      <formula2>0</formula2>
    </dataValidation>
    <dataValidation type="list" allowBlank="1" showInputMessage="1" showErrorMessage="1" prompt="Select Charge Unit - monthly, per kWh, per kW" sqref="D74 D23:D38 D50:D51 D68 D53:D62 D40:D48">
      <formula1>"Monthly,per kWh,per kW"</formula1>
      <formula2>0</formula2>
    </dataValidation>
    <dataValidation type="list" allowBlank="1" showInputMessage="1" showErrorMessage="1" sqref="E23:E38 E74 E50:E51 E53:E62 E68 E40:E48">
      <formula1>"#REF!"</formula1>
      <formula2>0</formula2>
    </dataValidation>
  </dataValidations>
  <pageMargins left="0.7" right="0.7" top="0.75" bottom="0.75" header="0.3" footer="0.3"/>
  <pageSetup paperSize="9" scale="4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Option Button 44">
              <controlPr defaultSize="0" autoFill="0" autoLine="0" autoPict="0">
                <anchor moveWithCells="1" sizeWithCells="1">
                  <from>
                    <xdr:col>6</xdr:col>
                    <xdr:colOff>476250</xdr:colOff>
                    <xdr:row>17</xdr:row>
                    <xdr:rowOff>0</xdr:rowOff>
                  </from>
                  <to>
                    <xdr:col>9</xdr:col>
                    <xdr:colOff>733425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Option Button 45">
              <controlPr defaultSize="0" autoFill="0" autoLine="0" autoPict="0">
                <anchor moveWithCells="1" sizeWithCells="1">
                  <from>
                    <xdr:col>9</xdr:col>
                    <xdr:colOff>371475</xdr:colOff>
                    <xdr:row>16</xdr:row>
                    <xdr:rowOff>104775</xdr:rowOff>
                  </from>
                  <to>
                    <xdr:col>16</xdr:col>
                    <xdr:colOff>257175</xdr:colOff>
                    <xdr:row>18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92"/>
  <sheetViews>
    <sheetView showGridLines="0" workbookViewId="0">
      <selection activeCell="B10" sqref="B10:O10"/>
    </sheetView>
  </sheetViews>
  <sheetFormatPr defaultRowHeight="12.75"/>
  <cols>
    <col min="1" max="1" width="11.28515625" style="12" customWidth="1"/>
    <col min="2" max="2" width="26.5703125" style="13" customWidth="1"/>
    <col min="3" max="3" width="1.28515625" style="12" customWidth="1"/>
    <col min="4" max="4" width="11.28515625" style="12" customWidth="1"/>
    <col min="5" max="5" width="1.28515625" style="12" customWidth="1"/>
    <col min="6" max="6" width="12.28515625" style="12" customWidth="1"/>
    <col min="7" max="7" width="8.5703125" style="12" customWidth="1"/>
    <col min="8" max="8" width="11.140625" style="12" customWidth="1"/>
    <col min="9" max="9" width="2.85546875" style="12" customWidth="1"/>
    <col min="10" max="10" width="17" style="12" bestFit="1" customWidth="1"/>
    <col min="11" max="11" width="8.5703125" style="12" customWidth="1"/>
    <col min="12" max="12" width="10.28515625" style="12" bestFit="1" customWidth="1"/>
    <col min="13" max="13" width="2.85546875" style="12" customWidth="1"/>
    <col min="14" max="14" width="12.7109375" style="12" customWidth="1"/>
    <col min="15" max="15" width="10.85546875" style="12" customWidth="1"/>
    <col min="16" max="16" width="3.85546875" style="12" customWidth="1"/>
    <col min="17" max="16384" width="9.140625" style="12"/>
  </cols>
  <sheetData>
    <row r="1" spans="1:20" s="2" customFormat="1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/>
      <c r="O1" s="4"/>
      <c r="T1" s="2">
        <v>1</v>
      </c>
    </row>
    <row r="2" spans="1:20" s="2" customFormat="1" ht="12.75" customHeight="1">
      <c r="A2" s="5"/>
      <c r="B2" s="6"/>
      <c r="C2" s="5"/>
      <c r="D2" s="5"/>
      <c r="E2" s="5"/>
      <c r="F2" s="5"/>
      <c r="G2" s="5"/>
      <c r="H2" s="5"/>
      <c r="I2" s="5"/>
      <c r="J2" s="5"/>
      <c r="K2" s="5"/>
      <c r="N2" s="3"/>
      <c r="O2" s="7"/>
    </row>
    <row r="3" spans="1:20" s="2" customFormat="1" ht="12.75" customHeight="1">
      <c r="A3" s="295"/>
      <c r="B3" s="295"/>
      <c r="C3" s="295"/>
      <c r="D3" s="295"/>
      <c r="E3" s="295"/>
      <c r="F3" s="295"/>
      <c r="G3" s="295"/>
      <c r="H3" s="295"/>
      <c r="I3" s="295"/>
      <c r="J3" s="295"/>
      <c r="K3" s="295"/>
      <c r="N3" s="3"/>
      <c r="O3" s="7"/>
    </row>
    <row r="4" spans="1:20" s="2" customFormat="1" ht="12.75" customHeight="1">
      <c r="A4" s="5"/>
      <c r="B4" s="6"/>
      <c r="C4" s="5"/>
      <c r="D4" s="5"/>
      <c r="E4" s="5"/>
      <c r="F4" s="5"/>
      <c r="G4" s="5"/>
      <c r="H4" s="5"/>
      <c r="I4" s="8"/>
      <c r="J4" s="8"/>
      <c r="K4" s="8"/>
      <c r="N4" s="3"/>
      <c r="O4" s="7"/>
    </row>
    <row r="5" spans="1:20" s="2" customFormat="1" ht="12.75" customHeight="1">
      <c r="B5" s="9"/>
      <c r="C5" s="10"/>
      <c r="D5" s="10"/>
      <c r="E5" s="10"/>
      <c r="N5" s="3"/>
      <c r="O5" s="4"/>
    </row>
    <row r="6" spans="1:20" s="2" customFormat="1" ht="12.75" customHeight="1">
      <c r="B6" s="9"/>
      <c r="N6" s="3"/>
      <c r="O6" s="11"/>
    </row>
    <row r="7" spans="1:20" s="2" customFormat="1" ht="12.75" customHeight="1">
      <c r="B7" s="9"/>
      <c r="N7" s="3"/>
      <c r="O7" s="4"/>
    </row>
    <row r="8" spans="1:20" s="2" customFormat="1" ht="12.75" customHeight="1">
      <c r="B8" s="9"/>
    </row>
    <row r="9" spans="1:20" ht="12.75" customHeight="1"/>
    <row r="10" spans="1:20" s="130" customFormat="1" ht="18.75" customHeight="1">
      <c r="B10" s="299" t="s">
        <v>0</v>
      </c>
      <c r="C10" s="299"/>
      <c r="D10" s="299"/>
      <c r="E10" s="299"/>
      <c r="F10" s="299"/>
      <c r="G10" s="299"/>
      <c r="H10" s="299"/>
      <c r="I10" s="299"/>
      <c r="J10" s="299"/>
      <c r="K10" s="299"/>
      <c r="L10" s="299"/>
      <c r="M10" s="299"/>
      <c r="N10" s="299"/>
      <c r="O10" s="299"/>
    </row>
    <row r="11" spans="1:20" ht="18.75" customHeight="1">
      <c r="B11" s="296" t="s">
        <v>1</v>
      </c>
      <c r="C11" s="296"/>
      <c r="D11" s="296"/>
      <c r="E11" s="296"/>
      <c r="F11" s="296"/>
      <c r="G11" s="296"/>
      <c r="H11" s="296"/>
      <c r="I11" s="296"/>
      <c r="J11" s="296"/>
      <c r="K11" s="296"/>
      <c r="L11" s="296"/>
      <c r="M11" s="296"/>
      <c r="N11" s="296"/>
      <c r="O11" s="296"/>
    </row>
    <row r="12" spans="1:20" ht="7.5" customHeight="1"/>
    <row r="13" spans="1:20" ht="7.5" customHeight="1"/>
    <row r="14" spans="1:20" ht="15.75">
      <c r="B14" s="131" t="s">
        <v>2</v>
      </c>
      <c r="D14" s="297" t="s">
        <v>62</v>
      </c>
      <c r="E14" s="297"/>
      <c r="F14" s="297"/>
      <c r="G14" s="297"/>
      <c r="H14" s="297"/>
      <c r="I14" s="297"/>
      <c r="J14" s="297"/>
      <c r="K14" s="297"/>
      <c r="L14" s="297"/>
      <c r="M14" s="297"/>
      <c r="N14" s="297"/>
      <c r="O14" s="297"/>
    </row>
    <row r="15" spans="1:20" ht="7.5" customHeight="1">
      <c r="B15" s="132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</row>
    <row r="16" spans="1:20" ht="15.75">
      <c r="B16" s="131" t="s">
        <v>4</v>
      </c>
      <c r="D16" s="134" t="s">
        <v>5</v>
      </c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</row>
    <row r="17" spans="1:15" ht="15.75">
      <c r="B17" s="132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</row>
    <row r="18" spans="1:15">
      <c r="B18" s="135"/>
      <c r="D18" s="136" t="s">
        <v>6</v>
      </c>
      <c r="E18" s="136"/>
      <c r="F18" s="137">
        <v>10000</v>
      </c>
      <c r="G18" s="136" t="s">
        <v>7</v>
      </c>
    </row>
    <row r="19" spans="1:15">
      <c r="B19" s="135"/>
    </row>
    <row r="20" spans="1:15">
      <c r="B20" s="135"/>
      <c r="D20" s="138"/>
      <c r="E20" s="138"/>
      <c r="F20" s="298" t="s">
        <v>8</v>
      </c>
      <c r="G20" s="298"/>
      <c r="H20" s="298"/>
      <c r="J20" s="298" t="s">
        <v>9</v>
      </c>
      <c r="K20" s="298"/>
      <c r="L20" s="298"/>
      <c r="N20" s="298" t="s">
        <v>10</v>
      </c>
      <c r="O20" s="298"/>
    </row>
    <row r="21" spans="1:15">
      <c r="B21" s="135"/>
      <c r="D21" s="289" t="s">
        <v>11</v>
      </c>
      <c r="E21" s="139"/>
      <c r="F21" s="140" t="s">
        <v>12</v>
      </c>
      <c r="G21" s="140" t="s">
        <v>13</v>
      </c>
      <c r="H21" s="141" t="s">
        <v>14</v>
      </c>
      <c r="J21" s="140" t="s">
        <v>12</v>
      </c>
      <c r="K21" s="142" t="s">
        <v>13</v>
      </c>
      <c r="L21" s="141" t="s">
        <v>14</v>
      </c>
      <c r="N21" s="290" t="s">
        <v>15</v>
      </c>
      <c r="O21" s="291" t="s">
        <v>16</v>
      </c>
    </row>
    <row r="22" spans="1:15">
      <c r="B22" s="135"/>
      <c r="D22" s="289"/>
      <c r="E22" s="139"/>
      <c r="F22" s="143" t="s">
        <v>17</v>
      </c>
      <c r="G22" s="143"/>
      <c r="H22" s="144" t="s">
        <v>17</v>
      </c>
      <c r="J22" s="143" t="s">
        <v>17</v>
      </c>
      <c r="K22" s="144"/>
      <c r="L22" s="144" t="s">
        <v>17</v>
      </c>
      <c r="N22" s="290"/>
      <c r="O22" s="291"/>
    </row>
    <row r="23" spans="1:15">
      <c r="B23" s="145" t="s">
        <v>18</v>
      </c>
      <c r="C23" s="20"/>
      <c r="D23" s="146" t="s">
        <v>19</v>
      </c>
      <c r="E23" s="14"/>
      <c r="F23" s="147">
        <f>'[1]B. CurrentTariff'!C53</f>
        <v>22.97</v>
      </c>
      <c r="G23" s="15">
        <v>1</v>
      </c>
      <c r="H23" s="16">
        <f>G23*F23</f>
        <v>22.97</v>
      </c>
      <c r="I23" s="28"/>
      <c r="J23" s="148">
        <f>'[1]G. RateDesign'!B47</f>
        <v>27.35</v>
      </c>
      <c r="K23" s="17">
        <v>1</v>
      </c>
      <c r="L23" s="16">
        <f>K23*J23</f>
        <v>27.35</v>
      </c>
      <c r="M23" s="28"/>
      <c r="N23" s="149">
        <f>L23-H23</f>
        <v>4.3800000000000026</v>
      </c>
      <c r="O23" s="18">
        <f>IF((H23)=0,"",(N23/H23))</f>
        <v>0.19068350021767536</v>
      </c>
    </row>
    <row r="24" spans="1:15">
      <c r="A24" s="19"/>
      <c r="B24" s="145" t="s">
        <v>20</v>
      </c>
      <c r="C24" s="20"/>
      <c r="D24" s="146"/>
      <c r="E24" s="14"/>
      <c r="F24" s="150"/>
      <c r="G24" s="15">
        <v>1</v>
      </c>
      <c r="H24" s="16">
        <f t="shared" ref="H24:H38" si="0">G24*F24</f>
        <v>0</v>
      </c>
      <c r="I24" s="28"/>
      <c r="J24" s="148"/>
      <c r="K24" s="17">
        <v>1</v>
      </c>
      <c r="L24" s="16">
        <f>K24*J24</f>
        <v>0</v>
      </c>
      <c r="M24" s="28"/>
      <c r="N24" s="149">
        <f>L24-H24</f>
        <v>0</v>
      </c>
      <c r="O24" s="18" t="str">
        <f>IF((H24)=0,"",(N24/H24))</f>
        <v/>
      </c>
    </row>
    <row r="25" spans="1:15">
      <c r="A25" s="19"/>
      <c r="B25" s="151" t="s">
        <v>21</v>
      </c>
      <c r="C25" s="20"/>
      <c r="D25" s="146" t="s">
        <v>19</v>
      </c>
      <c r="E25" s="14"/>
      <c r="F25" s="150"/>
      <c r="G25" s="15">
        <v>1</v>
      </c>
      <c r="H25" s="16">
        <f t="shared" si="0"/>
        <v>0</v>
      </c>
      <c r="I25" s="28"/>
      <c r="J25" s="148">
        <f>'[1]I. SMRR'!G14</f>
        <v>2.8831970487551146</v>
      </c>
      <c r="K25" s="17">
        <v>1</v>
      </c>
      <c r="L25" s="16">
        <f t="shared" ref="L25:L38" si="1">K25*J25</f>
        <v>2.8831970487551146</v>
      </c>
      <c r="M25" s="28"/>
      <c r="N25" s="149">
        <f t="shared" ref="N25:N67" si="2">L25-H25</f>
        <v>2.8831970487551146</v>
      </c>
      <c r="O25" s="18" t="str">
        <f t="shared" ref="O25:O47" si="3">IF((H25)=0,"",(N25/H25))</f>
        <v/>
      </c>
    </row>
    <row r="26" spans="1:15">
      <c r="A26" s="19"/>
      <c r="B26" s="145" t="s">
        <v>22</v>
      </c>
      <c r="C26" s="20"/>
      <c r="D26" s="146" t="s">
        <v>19</v>
      </c>
      <c r="E26" s="14"/>
      <c r="F26" s="150"/>
      <c r="G26" s="15">
        <v>1</v>
      </c>
      <c r="H26" s="16">
        <f t="shared" si="0"/>
        <v>0</v>
      </c>
      <c r="I26" s="28"/>
      <c r="J26" s="148">
        <v>8.82</v>
      </c>
      <c r="K26" s="17">
        <v>1</v>
      </c>
      <c r="L26" s="16">
        <f t="shared" si="1"/>
        <v>8.82</v>
      </c>
      <c r="M26" s="28"/>
      <c r="N26" s="149">
        <f t="shared" si="2"/>
        <v>8.82</v>
      </c>
      <c r="O26" s="18" t="str">
        <f t="shared" si="3"/>
        <v/>
      </c>
    </row>
    <row r="27" spans="1:15">
      <c r="A27" s="19"/>
      <c r="B27" s="152"/>
      <c r="C27" s="20"/>
      <c r="D27" s="146"/>
      <c r="E27" s="14"/>
      <c r="F27" s="150"/>
      <c r="G27" s="15">
        <v>1</v>
      </c>
      <c r="H27" s="16">
        <f t="shared" si="0"/>
        <v>0</v>
      </c>
      <c r="I27" s="28"/>
      <c r="J27" s="31"/>
      <c r="K27" s="17">
        <v>1</v>
      </c>
      <c r="L27" s="16">
        <f t="shared" si="1"/>
        <v>0</v>
      </c>
      <c r="M27" s="28"/>
      <c r="N27" s="149">
        <f t="shared" si="2"/>
        <v>0</v>
      </c>
      <c r="O27" s="18" t="str">
        <f t="shared" si="3"/>
        <v/>
      </c>
    </row>
    <row r="28" spans="1:15">
      <c r="A28" s="19"/>
      <c r="B28" s="152"/>
      <c r="C28" s="20"/>
      <c r="D28" s="146"/>
      <c r="E28" s="14"/>
      <c r="F28" s="150"/>
      <c r="G28" s="15">
        <v>1</v>
      </c>
      <c r="H28" s="16">
        <f t="shared" si="0"/>
        <v>0</v>
      </c>
      <c r="I28" s="28"/>
      <c r="J28" s="31"/>
      <c r="K28" s="17">
        <v>1</v>
      </c>
      <c r="L28" s="16">
        <f t="shared" si="1"/>
        <v>0</v>
      </c>
      <c r="M28" s="28"/>
      <c r="N28" s="149">
        <f t="shared" si="2"/>
        <v>0</v>
      </c>
      <c r="O28" s="18" t="str">
        <f t="shared" si="3"/>
        <v/>
      </c>
    </row>
    <row r="29" spans="1:15">
      <c r="A29" s="19"/>
      <c r="B29" s="145" t="s">
        <v>23</v>
      </c>
      <c r="C29" s="20"/>
      <c r="D29" s="146" t="s">
        <v>24</v>
      </c>
      <c r="E29" s="14"/>
      <c r="F29" s="150">
        <f>'[1]B. CurrentTariff'!C54</f>
        <v>1.0500000000000001E-2</v>
      </c>
      <c r="G29" s="15">
        <f t="shared" ref="G29:G38" si="4">$F$18</f>
        <v>10000</v>
      </c>
      <c r="H29" s="16">
        <f t="shared" si="0"/>
        <v>105</v>
      </c>
      <c r="I29" s="28"/>
      <c r="J29" s="31">
        <f>'[1]G. RateDesign'!G47</f>
        <v>1.2504682544578845E-2</v>
      </c>
      <c r="K29" s="15">
        <f>$F$18</f>
        <v>10000</v>
      </c>
      <c r="L29" s="16">
        <f t="shared" si="1"/>
        <v>125.04682544578846</v>
      </c>
      <c r="M29" s="28"/>
      <c r="N29" s="149">
        <f t="shared" si="2"/>
        <v>20.046825445788457</v>
      </c>
      <c r="O29" s="18">
        <f t="shared" si="3"/>
        <v>0.19092214710274721</v>
      </c>
    </row>
    <row r="30" spans="1:15">
      <c r="A30" s="19"/>
      <c r="B30" s="145" t="s">
        <v>22</v>
      </c>
      <c r="C30" s="20"/>
      <c r="D30" s="146" t="s">
        <v>24</v>
      </c>
      <c r="E30" s="14"/>
      <c r="F30" s="150"/>
      <c r="G30" s="15">
        <f t="shared" si="4"/>
        <v>10000</v>
      </c>
      <c r="H30" s="16">
        <f t="shared" si="0"/>
        <v>0</v>
      </c>
      <c r="I30" s="28"/>
      <c r="J30" s="31"/>
      <c r="K30" s="15">
        <f t="shared" ref="K30:K38" si="5">$F$18</f>
        <v>10000</v>
      </c>
      <c r="L30" s="16">
        <f t="shared" si="1"/>
        <v>0</v>
      </c>
      <c r="M30" s="28"/>
      <c r="N30" s="149">
        <f t="shared" si="2"/>
        <v>0</v>
      </c>
      <c r="O30" s="18" t="str">
        <f t="shared" si="3"/>
        <v/>
      </c>
    </row>
    <row r="31" spans="1:15">
      <c r="A31" s="19"/>
      <c r="B31" s="145" t="s">
        <v>25</v>
      </c>
      <c r="C31" s="20"/>
      <c r="D31" s="146" t="s">
        <v>24</v>
      </c>
      <c r="E31" s="14"/>
      <c r="F31" s="150"/>
      <c r="G31" s="15">
        <f t="shared" si="4"/>
        <v>10000</v>
      </c>
      <c r="H31" s="16">
        <f t="shared" si="0"/>
        <v>0</v>
      </c>
      <c r="I31" s="28"/>
      <c r="J31" s="31"/>
      <c r="K31" s="15">
        <f t="shared" si="5"/>
        <v>10000</v>
      </c>
      <c r="L31" s="16">
        <f t="shared" si="1"/>
        <v>0</v>
      </c>
      <c r="M31" s="28"/>
      <c r="N31" s="149">
        <f t="shared" si="2"/>
        <v>0</v>
      </c>
      <c r="O31" s="18" t="str">
        <f t="shared" si="3"/>
        <v/>
      </c>
    </row>
    <row r="32" spans="1:15">
      <c r="A32" s="19"/>
      <c r="B32" s="151"/>
      <c r="C32" s="20"/>
      <c r="D32" s="146"/>
      <c r="E32" s="14"/>
      <c r="F32" s="150"/>
      <c r="G32" s="15">
        <f t="shared" si="4"/>
        <v>10000</v>
      </c>
      <c r="H32" s="16">
        <f>G32*F32</f>
        <v>0</v>
      </c>
      <c r="I32" s="28"/>
      <c r="J32" s="31"/>
      <c r="K32" s="15">
        <f t="shared" si="5"/>
        <v>10000</v>
      </c>
      <c r="L32" s="16">
        <f>K32*J32</f>
        <v>0</v>
      </c>
      <c r="M32" s="28"/>
      <c r="N32" s="149">
        <f>L32-H32</f>
        <v>0</v>
      </c>
      <c r="O32" s="18" t="str">
        <f>IF((H32)=0,"",(N32/H32))</f>
        <v/>
      </c>
    </row>
    <row r="33" spans="1:15">
      <c r="A33" s="19"/>
      <c r="B33" s="151"/>
      <c r="C33" s="20"/>
      <c r="D33" s="146"/>
      <c r="E33" s="14"/>
      <c r="F33" s="150"/>
      <c r="G33" s="15">
        <f t="shared" si="4"/>
        <v>10000</v>
      </c>
      <c r="H33" s="16">
        <f>G33*F33</f>
        <v>0</v>
      </c>
      <c r="I33" s="28"/>
      <c r="J33" s="31"/>
      <c r="K33" s="15">
        <f t="shared" si="5"/>
        <v>10000</v>
      </c>
      <c r="L33" s="16">
        <f>K33*J33</f>
        <v>0</v>
      </c>
      <c r="M33" s="28"/>
      <c r="N33" s="149">
        <f>L33-H33</f>
        <v>0</v>
      </c>
      <c r="O33" s="18" t="str">
        <f>IF((H33)=0,"",(N33/H33))</f>
        <v/>
      </c>
    </row>
    <row r="34" spans="1:15">
      <c r="A34" s="19"/>
      <c r="B34" s="151"/>
      <c r="C34" s="20"/>
      <c r="D34" s="146"/>
      <c r="E34" s="14"/>
      <c r="F34" s="150"/>
      <c r="G34" s="15">
        <f t="shared" si="4"/>
        <v>10000</v>
      </c>
      <c r="H34" s="16">
        <f>G34*F34</f>
        <v>0</v>
      </c>
      <c r="I34" s="28"/>
      <c r="J34" s="31"/>
      <c r="K34" s="15">
        <f t="shared" si="5"/>
        <v>10000</v>
      </c>
      <c r="L34" s="16">
        <f>K34*J34</f>
        <v>0</v>
      </c>
      <c r="M34" s="28"/>
      <c r="N34" s="149">
        <f>L34-H34</f>
        <v>0</v>
      </c>
      <c r="O34" s="18" t="str">
        <f>IF((H34)=0,"",(N34/H34))</f>
        <v/>
      </c>
    </row>
    <row r="35" spans="1:15">
      <c r="A35" s="19"/>
      <c r="B35" s="151"/>
      <c r="C35" s="20"/>
      <c r="D35" s="146"/>
      <c r="E35" s="14"/>
      <c r="F35" s="150"/>
      <c r="G35" s="15">
        <f t="shared" si="4"/>
        <v>10000</v>
      </c>
      <c r="H35" s="16">
        <f t="shared" si="0"/>
        <v>0</v>
      </c>
      <c r="I35" s="28"/>
      <c r="J35" s="31"/>
      <c r="K35" s="15">
        <f t="shared" si="5"/>
        <v>10000</v>
      </c>
      <c r="L35" s="16">
        <f t="shared" si="1"/>
        <v>0</v>
      </c>
      <c r="M35" s="28"/>
      <c r="N35" s="149">
        <f t="shared" si="2"/>
        <v>0</v>
      </c>
      <c r="O35" s="18" t="str">
        <f t="shared" si="3"/>
        <v/>
      </c>
    </row>
    <row r="36" spans="1:15">
      <c r="A36" s="19"/>
      <c r="B36" s="151"/>
      <c r="C36" s="20"/>
      <c r="D36" s="146"/>
      <c r="E36" s="14"/>
      <c r="F36" s="150"/>
      <c r="G36" s="15">
        <f t="shared" si="4"/>
        <v>10000</v>
      </c>
      <c r="H36" s="16">
        <f t="shared" si="0"/>
        <v>0</v>
      </c>
      <c r="I36" s="28"/>
      <c r="J36" s="31"/>
      <c r="K36" s="15">
        <f t="shared" si="5"/>
        <v>10000</v>
      </c>
      <c r="L36" s="16">
        <f t="shared" si="1"/>
        <v>0</v>
      </c>
      <c r="M36" s="28"/>
      <c r="N36" s="149">
        <f t="shared" si="2"/>
        <v>0</v>
      </c>
      <c r="O36" s="18" t="str">
        <f t="shared" si="3"/>
        <v/>
      </c>
    </row>
    <row r="37" spans="1:15">
      <c r="A37" s="19"/>
      <c r="B37" s="151"/>
      <c r="C37" s="20"/>
      <c r="D37" s="146"/>
      <c r="E37" s="14"/>
      <c r="F37" s="150"/>
      <c r="G37" s="15">
        <f t="shared" si="4"/>
        <v>10000</v>
      </c>
      <c r="H37" s="16">
        <f t="shared" si="0"/>
        <v>0</v>
      </c>
      <c r="I37" s="28"/>
      <c r="J37" s="31"/>
      <c r="K37" s="15">
        <f t="shared" si="5"/>
        <v>10000</v>
      </c>
      <c r="L37" s="16">
        <f t="shared" si="1"/>
        <v>0</v>
      </c>
      <c r="M37" s="28"/>
      <c r="N37" s="149">
        <f t="shared" si="2"/>
        <v>0</v>
      </c>
      <c r="O37" s="18" t="str">
        <f t="shared" si="3"/>
        <v/>
      </c>
    </row>
    <row r="38" spans="1:15">
      <c r="A38" s="19"/>
      <c r="B38" s="151"/>
      <c r="C38" s="20"/>
      <c r="D38" s="146"/>
      <c r="E38" s="14"/>
      <c r="F38" s="150"/>
      <c r="G38" s="15">
        <f t="shared" si="4"/>
        <v>10000</v>
      </c>
      <c r="H38" s="16">
        <f t="shared" si="0"/>
        <v>0</v>
      </c>
      <c r="I38" s="28"/>
      <c r="J38" s="31"/>
      <c r="K38" s="15">
        <f t="shared" si="5"/>
        <v>10000</v>
      </c>
      <c r="L38" s="16">
        <f t="shared" si="1"/>
        <v>0</v>
      </c>
      <c r="M38" s="28"/>
      <c r="N38" s="149">
        <f t="shared" si="2"/>
        <v>0</v>
      </c>
      <c r="O38" s="18" t="str">
        <f t="shared" si="3"/>
        <v/>
      </c>
    </row>
    <row r="39" spans="1:15">
      <c r="A39" s="19"/>
      <c r="B39" s="153" t="s">
        <v>26</v>
      </c>
      <c r="C39" s="154"/>
      <c r="D39" s="155"/>
      <c r="E39" s="154"/>
      <c r="F39" s="156"/>
      <c r="G39" s="157"/>
      <c r="H39" s="158">
        <f>SUM(H23:H38)</f>
        <v>127.97</v>
      </c>
      <c r="I39" s="28"/>
      <c r="J39" s="159"/>
      <c r="K39" s="160"/>
      <c r="L39" s="158">
        <f>SUM(L23:L38)</f>
        <v>164.10002249454357</v>
      </c>
      <c r="M39" s="28"/>
      <c r="N39" s="161">
        <f t="shared" si="2"/>
        <v>36.130022494543567</v>
      </c>
      <c r="O39" s="162">
        <f t="shared" si="3"/>
        <v>0.2823319722946282</v>
      </c>
    </row>
    <row r="40" spans="1:15" ht="51">
      <c r="A40" s="163"/>
      <c r="B40" s="164" t="str">
        <f>'[1]J. DVA'!$B$16</f>
        <v>Rate Rider Calculation for Deferral / Variance Accounts Balances (excluding Global Adj.)</v>
      </c>
      <c r="C40" s="20"/>
      <c r="D40" s="165" t="s">
        <v>24</v>
      </c>
      <c r="E40" s="20"/>
      <c r="F40" s="166"/>
      <c r="G40" s="21">
        <f>$F$18</f>
        <v>10000</v>
      </c>
      <c r="H40" s="22">
        <f t="shared" ref="H40:H48" si="6">G40*F40</f>
        <v>0</v>
      </c>
      <c r="I40" s="167"/>
      <c r="J40" s="166">
        <f>'[1]J. DVA'!F21</f>
        <v>-8.2471767600577684E-4</v>
      </c>
      <c r="K40" s="21">
        <f t="shared" ref="K40:K46" si="7">$F$18</f>
        <v>10000</v>
      </c>
      <c r="L40" s="22">
        <f t="shared" ref="L40:L48" si="8">K40*J40</f>
        <v>-8.2471767600577692</v>
      </c>
      <c r="M40" s="167"/>
      <c r="N40" s="168">
        <f>L40-H40</f>
        <v>-8.2471767600577692</v>
      </c>
      <c r="O40" s="24" t="str">
        <f>IF((H40)=0,"",(N40/H40))</f>
        <v/>
      </c>
    </row>
    <row r="41" spans="1:15" ht="51">
      <c r="A41" s="169"/>
      <c r="B41" s="164" t="str">
        <f>'[1]J. DVA'!$B$42</f>
        <v>Rate Rider Calculation for Deferral / Variance Accounts Balances (excluding Global Adj.) - NON-WMP</v>
      </c>
      <c r="C41" s="20"/>
      <c r="D41" s="165" t="s">
        <v>24</v>
      </c>
      <c r="E41" s="20"/>
      <c r="F41" s="166"/>
      <c r="G41" s="21">
        <f>$F$18</f>
        <v>10000</v>
      </c>
      <c r="H41" s="22">
        <f t="shared" si="6"/>
        <v>0</v>
      </c>
      <c r="I41" s="167"/>
      <c r="J41" s="166">
        <f>'[1]J. DVA'!F47</f>
        <v>-2.646861822728247E-3</v>
      </c>
      <c r="K41" s="21">
        <f t="shared" si="7"/>
        <v>10000</v>
      </c>
      <c r="L41" s="22">
        <f t="shared" si="8"/>
        <v>-26.468618227282469</v>
      </c>
      <c r="M41" s="167"/>
      <c r="N41" s="168">
        <f>L41-H41</f>
        <v>-26.468618227282469</v>
      </c>
      <c r="O41" s="24" t="str">
        <f>IF((H41)=0,"",(N41/H41))</f>
        <v/>
      </c>
    </row>
    <row r="42" spans="1:15" ht="38.25">
      <c r="A42" s="169"/>
      <c r="B42" s="164" t="str">
        <f>'[1]J. DVA'!$B$68</f>
        <v>Rate Rider Calculation for RSVA - Power - Global Adjustment</v>
      </c>
      <c r="C42" s="20"/>
      <c r="D42" s="165"/>
      <c r="E42" s="20"/>
      <c r="F42" s="166"/>
      <c r="G42" s="21">
        <f t="shared" ref="G42:G43" si="9">$F$18</f>
        <v>10000</v>
      </c>
      <c r="H42" s="22"/>
      <c r="I42" s="167"/>
      <c r="J42" s="166">
        <v>0</v>
      </c>
      <c r="K42" s="21">
        <f t="shared" si="7"/>
        <v>10000</v>
      </c>
      <c r="L42" s="22">
        <f t="shared" si="8"/>
        <v>0</v>
      </c>
      <c r="M42" s="167"/>
      <c r="N42" s="168">
        <f t="shared" ref="N42:N43" si="10">L42-H42</f>
        <v>0</v>
      </c>
      <c r="O42" s="24"/>
    </row>
    <row r="43" spans="1:15" ht="25.5">
      <c r="A43" s="169"/>
      <c r="B43" s="164" t="str">
        <f>'[1]J. DVA'!$B$121</f>
        <v>Rate Rider Calculation for Group 2 Accounts</v>
      </c>
      <c r="C43" s="20"/>
      <c r="D43" s="165"/>
      <c r="E43" s="20"/>
      <c r="F43" s="166"/>
      <c r="G43" s="21">
        <f t="shared" si="9"/>
        <v>10000</v>
      </c>
      <c r="H43" s="22"/>
      <c r="I43" s="167"/>
      <c r="J43" s="166">
        <f>'[1]J. DVA'!F126</f>
        <v>8.0305657896044972E-5</v>
      </c>
      <c r="K43" s="21">
        <f t="shared" si="7"/>
        <v>10000</v>
      </c>
      <c r="L43" s="22">
        <f t="shared" si="8"/>
        <v>0.80305657896044969</v>
      </c>
      <c r="M43" s="167"/>
      <c r="N43" s="168">
        <f t="shared" si="10"/>
        <v>0.80305657896044969</v>
      </c>
      <c r="O43" s="24"/>
    </row>
    <row r="44" spans="1:15" ht="25.5">
      <c r="A44" s="163"/>
      <c r="B44" s="164" t="str">
        <f>'[1]J. DVA'!$B$147</f>
        <v>Rate Rider Calculation for Accounts 1575 and 1576</v>
      </c>
      <c r="C44" s="20"/>
      <c r="D44" s="165" t="s">
        <v>24</v>
      </c>
      <c r="E44" s="20"/>
      <c r="F44" s="166"/>
      <c r="G44" s="21">
        <f>$F$18</f>
        <v>10000</v>
      </c>
      <c r="H44" s="22">
        <f t="shared" si="6"/>
        <v>0</v>
      </c>
      <c r="I44" s="167"/>
      <c r="J44" s="166">
        <f>'[1]J. DVA'!F154</f>
        <v>2.3455444818976223E-4</v>
      </c>
      <c r="K44" s="21">
        <f t="shared" si="7"/>
        <v>10000</v>
      </c>
      <c r="L44" s="22">
        <f t="shared" si="8"/>
        <v>2.3455444818976221</v>
      </c>
      <c r="M44" s="167"/>
      <c r="N44" s="168">
        <f>L44-H44</f>
        <v>2.3455444818976221</v>
      </c>
      <c r="O44" s="24" t="str">
        <f>IF((H44)=0,"",(N44/H44))</f>
        <v/>
      </c>
    </row>
    <row r="45" spans="1:15" ht="25.5">
      <c r="A45" s="163"/>
      <c r="B45" s="164" t="str">
        <f>'[1]J. DVA'!$B$175</f>
        <v>Rate Rider Calculation for Accounts 1568</v>
      </c>
      <c r="C45" s="20"/>
      <c r="D45" s="165" t="s">
        <v>24</v>
      </c>
      <c r="E45" s="20"/>
      <c r="F45" s="166"/>
      <c r="G45" s="21">
        <f>$F$18</f>
        <v>10000</v>
      </c>
      <c r="H45" s="22">
        <f t="shared" si="6"/>
        <v>0</v>
      </c>
      <c r="I45" s="167"/>
      <c r="J45" s="166">
        <f>'[1]J. DVA'!F182</f>
        <v>6.2210617557952952E-4</v>
      </c>
      <c r="K45" s="21">
        <f t="shared" si="7"/>
        <v>10000</v>
      </c>
      <c r="L45" s="22">
        <f t="shared" si="8"/>
        <v>6.2210617557952954</v>
      </c>
      <c r="M45" s="167"/>
      <c r="N45" s="168">
        <f>L45-H45</f>
        <v>6.2210617557952954</v>
      </c>
      <c r="O45" s="24" t="str">
        <f>IF((H45)=0,"",(N45/H45))</f>
        <v/>
      </c>
    </row>
    <row r="46" spans="1:15">
      <c r="A46" s="163" t="s">
        <v>63</v>
      </c>
      <c r="B46" s="164" t="s">
        <v>27</v>
      </c>
      <c r="C46" s="20"/>
      <c r="D46" s="165" t="s">
        <v>24</v>
      </c>
      <c r="E46" s="20"/>
      <c r="F46" s="166">
        <v>1E-3</v>
      </c>
      <c r="G46" s="21">
        <f>$F$18</f>
        <v>10000</v>
      </c>
      <c r="H46" s="22">
        <f t="shared" si="6"/>
        <v>10</v>
      </c>
      <c r="I46" s="167"/>
      <c r="J46" s="166">
        <f>'[2]4.12 PowerSupplExp'!$I$172</f>
        <v>6.9999999999999999E-4</v>
      </c>
      <c r="K46" s="21">
        <f t="shared" si="7"/>
        <v>10000</v>
      </c>
      <c r="L46" s="22">
        <f t="shared" si="8"/>
        <v>7</v>
      </c>
      <c r="M46" s="167"/>
      <c r="N46" s="168">
        <f>L46-H46</f>
        <v>-3</v>
      </c>
      <c r="O46" s="24">
        <f>IF((H46)=0,"",(N46/H46))</f>
        <v>-0.3</v>
      </c>
    </row>
    <row r="47" spans="1:15">
      <c r="A47" s="19"/>
      <c r="B47" s="145" t="s">
        <v>28</v>
      </c>
      <c r="C47" s="20"/>
      <c r="D47" s="165" t="s">
        <v>24</v>
      </c>
      <c r="E47" s="20"/>
      <c r="F47" s="166">
        <f>IF(ISBLANK(D16)=1, 0, IF(D16="TOU", 0.64*$F$57+0.18*$F$58+0.18*$F$59, IF(AND(D16="non-TOU", G61&gt;0), F61,F60)))</f>
        <v>9.5000000000000001E-2</v>
      </c>
      <c r="G47" s="21">
        <f>$F$18*(1+$F$76)-$F$18</f>
        <v>390</v>
      </c>
      <c r="H47" s="22">
        <f t="shared" si="6"/>
        <v>37.049999999999997</v>
      </c>
      <c r="I47" s="167"/>
      <c r="J47" s="166">
        <f>0.64*$F$57+0.18*$F$58+0.18*$F$59</f>
        <v>9.5000000000000001E-2</v>
      </c>
      <c r="K47" s="21">
        <f>$F$18*(1+$J$76)-$F$18</f>
        <v>457</v>
      </c>
      <c r="L47" s="22">
        <f t="shared" si="8"/>
        <v>43.414999999999999</v>
      </c>
      <c r="M47" s="167"/>
      <c r="N47" s="168">
        <f t="shared" si="2"/>
        <v>6.365000000000002</v>
      </c>
      <c r="O47" s="24">
        <f t="shared" si="3"/>
        <v>0.17179487179487185</v>
      </c>
    </row>
    <row r="48" spans="1:15">
      <c r="A48" s="19"/>
      <c r="B48" s="170" t="s">
        <v>29</v>
      </c>
      <c r="C48" s="20"/>
      <c r="D48" s="171" t="s">
        <v>24</v>
      </c>
      <c r="E48" s="14"/>
      <c r="F48" s="172">
        <v>0.79</v>
      </c>
      <c r="G48" s="25">
        <v>1</v>
      </c>
      <c r="H48" s="26">
        <f t="shared" si="6"/>
        <v>0.79</v>
      </c>
      <c r="I48" s="173"/>
      <c r="J48" s="172">
        <v>0.79</v>
      </c>
      <c r="K48" s="25">
        <v>1</v>
      </c>
      <c r="L48" s="26">
        <f t="shared" si="8"/>
        <v>0.79</v>
      </c>
      <c r="M48" s="173"/>
      <c r="N48" s="174">
        <f t="shared" si="2"/>
        <v>0</v>
      </c>
      <c r="O48" s="27"/>
    </row>
    <row r="49" spans="2:19" ht="25.5">
      <c r="B49" s="175" t="s">
        <v>30</v>
      </c>
      <c r="C49" s="176"/>
      <c r="D49" s="176"/>
      <c r="E49" s="176"/>
      <c r="F49" s="177"/>
      <c r="G49" s="178"/>
      <c r="H49" s="179">
        <f>SUM(H40:H48)+H39</f>
        <v>175.81</v>
      </c>
      <c r="I49" s="28"/>
      <c r="J49" s="178"/>
      <c r="K49" s="180"/>
      <c r="L49" s="179">
        <f>SUM(L40:L48)+L39</f>
        <v>189.95889032385668</v>
      </c>
      <c r="M49" s="28"/>
      <c r="N49" s="161">
        <f t="shared" si="2"/>
        <v>14.148890323856676</v>
      </c>
      <c r="O49" s="162">
        <f t="shared" ref="O49:O67" si="11">IF((H49)=0,"",(N49/H49))</f>
        <v>8.0478302280056174E-2</v>
      </c>
    </row>
    <row r="50" spans="2:19">
      <c r="B50" s="181" t="s">
        <v>31</v>
      </c>
      <c r="C50" s="28"/>
      <c r="D50" s="182" t="s">
        <v>24</v>
      </c>
      <c r="E50" s="28"/>
      <c r="F50" s="31">
        <v>5.7999999999999996E-3</v>
      </c>
      <c r="G50" s="29">
        <f>F18*(1+F76)</f>
        <v>10390</v>
      </c>
      <c r="H50" s="16">
        <f>G50*F50</f>
        <v>60.261999999999993</v>
      </c>
      <c r="I50" s="28"/>
      <c r="J50" s="31">
        <f>'[2]4.12 PowerSupplExp'!$N$59</f>
        <v>5.5533911754495633E-3</v>
      </c>
      <c r="K50" s="30">
        <f>F18*(1+J76)</f>
        <v>10457</v>
      </c>
      <c r="L50" s="16">
        <f>K50*J50</f>
        <v>58.071811521676082</v>
      </c>
      <c r="M50" s="28"/>
      <c r="N50" s="149">
        <f t="shared" si="2"/>
        <v>-2.1901884783239112</v>
      </c>
      <c r="O50" s="18">
        <f t="shared" si="11"/>
        <v>-3.6344437262684798E-2</v>
      </c>
    </row>
    <row r="51" spans="2:19" ht="25.5">
      <c r="B51" s="183" t="s">
        <v>32</v>
      </c>
      <c r="C51" s="28"/>
      <c r="D51" s="182" t="s">
        <v>24</v>
      </c>
      <c r="E51" s="28"/>
      <c r="F51" s="31">
        <v>4.0000000000000001E-3</v>
      </c>
      <c r="G51" s="29">
        <f>G50</f>
        <v>10390</v>
      </c>
      <c r="H51" s="16">
        <f>G51*F51</f>
        <v>41.56</v>
      </c>
      <c r="I51" s="28"/>
      <c r="J51" s="31">
        <f>'[2]4.12 PowerSupplExp'!$N$75</f>
        <v>4.088451920223014E-3</v>
      </c>
      <c r="K51" s="30">
        <f>K50</f>
        <v>10457</v>
      </c>
      <c r="L51" s="16">
        <f>K51*J51</f>
        <v>42.752941729772054</v>
      </c>
      <c r="M51" s="28"/>
      <c r="N51" s="149">
        <f t="shared" si="2"/>
        <v>1.1929417297720519</v>
      </c>
      <c r="O51" s="18">
        <f t="shared" si="11"/>
        <v>2.8704083969491142E-2</v>
      </c>
    </row>
    <row r="52" spans="2:19" ht="25.5">
      <c r="B52" s="175" t="s">
        <v>33</v>
      </c>
      <c r="C52" s="154"/>
      <c r="D52" s="154"/>
      <c r="E52" s="154"/>
      <c r="F52" s="184"/>
      <c r="G52" s="178"/>
      <c r="H52" s="179">
        <f>SUM(H49:H51)</f>
        <v>277.63200000000001</v>
      </c>
      <c r="I52" s="185"/>
      <c r="J52" s="186"/>
      <c r="K52" s="187"/>
      <c r="L52" s="179">
        <f>SUM(L49:L51)</f>
        <v>290.78364357530478</v>
      </c>
      <c r="M52" s="185"/>
      <c r="N52" s="161">
        <f t="shared" si="2"/>
        <v>13.151643575304774</v>
      </c>
      <c r="O52" s="162">
        <f t="shared" si="11"/>
        <v>4.7370777054895598E-2</v>
      </c>
    </row>
    <row r="53" spans="2:19" ht="25.5">
      <c r="B53" s="145" t="s">
        <v>34</v>
      </c>
      <c r="C53" s="20"/>
      <c r="D53" s="188" t="s">
        <v>24</v>
      </c>
      <c r="E53" s="14"/>
      <c r="F53" s="84">
        <v>4.4000000000000003E-3</v>
      </c>
      <c r="G53" s="82">
        <f>G51</f>
        <v>10390</v>
      </c>
      <c r="H53" s="78">
        <f t="shared" ref="H53:H59" si="12">G53*F53</f>
        <v>45.716000000000001</v>
      </c>
      <c r="I53" s="234"/>
      <c r="J53" s="84">
        <v>4.4000000000000003E-3</v>
      </c>
      <c r="K53" s="83">
        <f>K51</f>
        <v>10457</v>
      </c>
      <c r="L53" s="78">
        <f t="shared" ref="L53:L59" si="13">K53*J53</f>
        <v>46.010800000000003</v>
      </c>
      <c r="M53" s="234"/>
      <c r="N53" s="235">
        <f t="shared" si="2"/>
        <v>0.29480000000000217</v>
      </c>
      <c r="O53" s="79">
        <f t="shared" si="11"/>
        <v>6.4485081809432616E-3</v>
      </c>
    </row>
    <row r="54" spans="2:19" ht="25.5">
      <c r="B54" s="145" t="s">
        <v>35</v>
      </c>
      <c r="C54" s="20"/>
      <c r="D54" s="188" t="s">
        <v>24</v>
      </c>
      <c r="E54" s="14"/>
      <c r="F54" s="84">
        <v>1.1999999999999999E-3</v>
      </c>
      <c r="G54" s="82">
        <f>G51</f>
        <v>10390</v>
      </c>
      <c r="H54" s="78">
        <f t="shared" si="12"/>
        <v>12.467999999999998</v>
      </c>
      <c r="I54" s="234"/>
      <c r="J54" s="84">
        <v>1.1999999999999999E-3</v>
      </c>
      <c r="K54" s="83">
        <f>K51</f>
        <v>10457</v>
      </c>
      <c r="L54" s="78">
        <f t="shared" si="13"/>
        <v>12.548399999999999</v>
      </c>
      <c r="M54" s="234"/>
      <c r="N54" s="235">
        <f t="shared" si="2"/>
        <v>8.0400000000000915E-2</v>
      </c>
      <c r="O54" s="79">
        <f t="shared" si="11"/>
        <v>6.4485081809432894E-3</v>
      </c>
    </row>
    <row r="55" spans="2:19" ht="25.5">
      <c r="B55" s="145" t="s">
        <v>36</v>
      </c>
      <c r="C55" s="20"/>
      <c r="D55" s="188" t="s">
        <v>19</v>
      </c>
      <c r="E55" s="14"/>
      <c r="F55" s="84">
        <v>0.25</v>
      </c>
      <c r="G55" s="80">
        <v>1</v>
      </c>
      <c r="H55" s="78">
        <f t="shared" si="12"/>
        <v>0.25</v>
      </c>
      <c r="I55" s="234"/>
      <c r="J55" s="84">
        <v>0.25</v>
      </c>
      <c r="K55" s="81">
        <v>1</v>
      </c>
      <c r="L55" s="78">
        <f t="shared" si="13"/>
        <v>0.25</v>
      </c>
      <c r="M55" s="234"/>
      <c r="N55" s="235">
        <f t="shared" si="2"/>
        <v>0</v>
      </c>
      <c r="O55" s="79">
        <f t="shared" si="11"/>
        <v>0</v>
      </c>
    </row>
    <row r="56" spans="2:19" ht="25.5">
      <c r="B56" s="145" t="s">
        <v>37</v>
      </c>
      <c r="C56" s="20"/>
      <c r="D56" s="188" t="s">
        <v>24</v>
      </c>
      <c r="E56" s="14"/>
      <c r="F56" s="31">
        <v>4.8999999999999998E-3</v>
      </c>
      <c r="G56" s="82">
        <f>F18</f>
        <v>10000</v>
      </c>
      <c r="H56" s="78">
        <f t="shared" si="12"/>
        <v>49</v>
      </c>
      <c r="I56" s="234"/>
      <c r="J56" s="31">
        <v>4.8999999999999998E-3</v>
      </c>
      <c r="K56" s="83">
        <f>F18</f>
        <v>10000</v>
      </c>
      <c r="L56" s="78">
        <f t="shared" si="13"/>
        <v>49</v>
      </c>
      <c r="M56" s="234"/>
      <c r="N56" s="235">
        <f t="shared" si="2"/>
        <v>0</v>
      </c>
      <c r="O56" s="79">
        <f t="shared" si="11"/>
        <v>0</v>
      </c>
    </row>
    <row r="57" spans="2:19">
      <c r="B57" s="170" t="s">
        <v>38</v>
      </c>
      <c r="C57" s="20"/>
      <c r="D57" s="188" t="s">
        <v>24</v>
      </c>
      <c r="E57" s="14"/>
      <c r="F57" s="84">
        <v>7.6999999999999999E-2</v>
      </c>
      <c r="G57" s="236">
        <f>0.64*$F$18</f>
        <v>6400</v>
      </c>
      <c r="H57" s="78">
        <f t="shared" si="12"/>
        <v>492.8</v>
      </c>
      <c r="I57" s="234"/>
      <c r="J57" s="84">
        <v>7.6999999999999999E-2</v>
      </c>
      <c r="K57" s="236">
        <f>G57</f>
        <v>6400</v>
      </c>
      <c r="L57" s="78">
        <f t="shared" si="13"/>
        <v>492.8</v>
      </c>
      <c r="M57" s="234"/>
      <c r="N57" s="235">
        <f t="shared" si="2"/>
        <v>0</v>
      </c>
      <c r="O57" s="79">
        <f t="shared" si="11"/>
        <v>0</v>
      </c>
      <c r="S57" s="190"/>
    </row>
    <row r="58" spans="2:19">
      <c r="B58" s="170" t="s">
        <v>39</v>
      </c>
      <c r="C58" s="20"/>
      <c r="D58" s="188" t="s">
        <v>24</v>
      </c>
      <c r="E58" s="14"/>
      <c r="F58" s="84">
        <v>0.114</v>
      </c>
      <c r="G58" s="236">
        <f>0.18*$F$18</f>
        <v>1800</v>
      </c>
      <c r="H58" s="78">
        <f t="shared" si="12"/>
        <v>205.20000000000002</v>
      </c>
      <c r="I58" s="234"/>
      <c r="J58" s="84">
        <v>0.114</v>
      </c>
      <c r="K58" s="236">
        <f>G58</f>
        <v>1800</v>
      </c>
      <c r="L58" s="78">
        <f t="shared" si="13"/>
        <v>205.20000000000002</v>
      </c>
      <c r="M58" s="234"/>
      <c r="N58" s="235">
        <f t="shared" si="2"/>
        <v>0</v>
      </c>
      <c r="O58" s="79">
        <f t="shared" si="11"/>
        <v>0</v>
      </c>
      <c r="S58" s="190"/>
    </row>
    <row r="59" spans="2:19">
      <c r="B59" s="135" t="s">
        <v>40</v>
      </c>
      <c r="C59" s="20"/>
      <c r="D59" s="188" t="s">
        <v>24</v>
      </c>
      <c r="E59" s="14"/>
      <c r="F59" s="84">
        <v>0.14000000000000001</v>
      </c>
      <c r="G59" s="236">
        <f>0.18*$F$18</f>
        <v>1800</v>
      </c>
      <c r="H59" s="78">
        <f t="shared" si="12"/>
        <v>252.00000000000003</v>
      </c>
      <c r="I59" s="234"/>
      <c r="J59" s="84">
        <v>0.14000000000000001</v>
      </c>
      <c r="K59" s="236">
        <f>G59</f>
        <v>1800</v>
      </c>
      <c r="L59" s="78">
        <f t="shared" si="13"/>
        <v>252.00000000000003</v>
      </c>
      <c r="M59" s="234"/>
      <c r="N59" s="235">
        <f t="shared" si="2"/>
        <v>0</v>
      </c>
      <c r="O59" s="79">
        <f t="shared" si="11"/>
        <v>0</v>
      </c>
      <c r="S59" s="190"/>
    </row>
    <row r="60" spans="2:19" s="195" customFormat="1">
      <c r="B60" s="191" t="s">
        <v>41</v>
      </c>
      <c r="C60" s="32"/>
      <c r="D60" s="188" t="s">
        <v>24</v>
      </c>
      <c r="E60" s="32"/>
      <c r="F60" s="84">
        <v>8.5999999999999993E-2</v>
      </c>
      <c r="G60" s="237">
        <f>IF(AND($T$1=1, F18&gt;=600), 600, IF(AND($T$1=1, AND(F18&lt;600, F18&gt;=0)), F18, IF(AND($T$1=2, F18&gt;=1000), 1000, IF(AND($T$1=2, AND(F18&lt;1000, F18&gt;=0)), F18))))</f>
        <v>600</v>
      </c>
      <c r="H60" s="78">
        <f>G60*F60</f>
        <v>51.599999999999994</v>
      </c>
      <c r="I60" s="238"/>
      <c r="J60" s="84">
        <v>8.5999999999999993E-2</v>
      </c>
      <c r="K60" s="237">
        <f>G60</f>
        <v>600</v>
      </c>
      <c r="L60" s="78">
        <f>K60*J60</f>
        <v>51.599999999999994</v>
      </c>
      <c r="M60" s="238"/>
      <c r="N60" s="239">
        <f t="shared" si="2"/>
        <v>0</v>
      </c>
      <c r="O60" s="79">
        <f t="shared" si="11"/>
        <v>0</v>
      </c>
    </row>
    <row r="61" spans="2:19" s="195" customFormat="1" ht="13.5" thickBot="1">
      <c r="B61" s="191" t="s">
        <v>42</v>
      </c>
      <c r="C61" s="32"/>
      <c r="D61" s="188" t="s">
        <v>24</v>
      </c>
      <c r="E61" s="32"/>
      <c r="F61" s="84">
        <v>0.10100000000000001</v>
      </c>
      <c r="G61" s="237">
        <f>IF(AND($T$1=1, F18&gt;=600), F18-600, IF(AND($T$1=1, AND(F18&lt;600, F18&gt;=0)), 0, IF(AND($T$1=2, F18&gt;=1000), F18-1000, IF(AND($T$1=2, AND(F18&lt;1000, F18&gt;=0)), 0))))</f>
        <v>9400</v>
      </c>
      <c r="H61" s="78">
        <f>G61*F61</f>
        <v>949.40000000000009</v>
      </c>
      <c r="I61" s="238"/>
      <c r="J61" s="84">
        <v>0.10100000000000001</v>
      </c>
      <c r="K61" s="237">
        <f>G61</f>
        <v>9400</v>
      </c>
      <c r="L61" s="78">
        <f>K61*J61</f>
        <v>949.40000000000009</v>
      </c>
      <c r="M61" s="238"/>
      <c r="N61" s="239">
        <f t="shared" si="2"/>
        <v>0</v>
      </c>
      <c r="O61" s="79">
        <f t="shared" si="11"/>
        <v>0</v>
      </c>
    </row>
    <row r="62" spans="2:19" ht="13.5" thickBot="1">
      <c r="B62" s="196"/>
      <c r="C62" s="197"/>
      <c r="D62" s="198"/>
      <c r="E62" s="197"/>
      <c r="F62" s="199"/>
      <c r="G62" s="200"/>
      <c r="H62" s="201"/>
      <c r="I62" s="202"/>
      <c r="J62" s="199"/>
      <c r="K62" s="203"/>
      <c r="L62" s="201"/>
      <c r="M62" s="202"/>
      <c r="N62" s="204"/>
      <c r="O62" s="205"/>
    </row>
    <row r="63" spans="2:19" ht="25.5">
      <c r="B63" s="33" t="s">
        <v>43</v>
      </c>
      <c r="C63" s="20"/>
      <c r="D63" s="20"/>
      <c r="E63" s="20"/>
      <c r="F63" s="34"/>
      <c r="G63" s="35"/>
      <c r="H63" s="36">
        <f>SUM(H53:H59,H52)</f>
        <v>1335.0660000000003</v>
      </c>
      <c r="I63" s="37"/>
      <c r="J63" s="38"/>
      <c r="K63" s="38"/>
      <c r="L63" s="36">
        <f>SUM(L53:L59,L52)</f>
        <v>1348.5928435753049</v>
      </c>
      <c r="M63" s="39"/>
      <c r="N63" s="40">
        <f>L63-H63</f>
        <v>13.526843575304611</v>
      </c>
      <c r="O63" s="41">
        <f>IF((H63)=0,"",(N63/H63))</f>
        <v>1.0131966191412715E-2</v>
      </c>
      <c r="S63" s="190"/>
    </row>
    <row r="64" spans="2:19">
      <c r="B64" s="42" t="s">
        <v>44</v>
      </c>
      <c r="C64" s="20"/>
      <c r="D64" s="20"/>
      <c r="E64" s="20"/>
      <c r="F64" s="43">
        <v>0.13</v>
      </c>
      <c r="G64" s="44"/>
      <c r="H64" s="45">
        <f>H63*F64</f>
        <v>173.55858000000003</v>
      </c>
      <c r="I64" s="46"/>
      <c r="J64" s="47">
        <v>0.13</v>
      </c>
      <c r="K64" s="46"/>
      <c r="L64" s="48">
        <f>L63*J64</f>
        <v>175.31706966478964</v>
      </c>
      <c r="M64" s="49"/>
      <c r="N64" s="50">
        <f t="shared" si="2"/>
        <v>1.7584896647896073</v>
      </c>
      <c r="O64" s="18">
        <f t="shared" si="11"/>
        <v>1.0131966191412762E-2</v>
      </c>
      <c r="S64" s="190"/>
    </row>
    <row r="65" spans="1:19">
      <c r="B65" s="206" t="s">
        <v>45</v>
      </c>
      <c r="C65" s="20"/>
      <c r="D65" s="20"/>
      <c r="E65" s="20"/>
      <c r="F65" s="51"/>
      <c r="G65" s="44"/>
      <c r="H65" s="45">
        <f>H63+H64</f>
        <v>1508.6245800000004</v>
      </c>
      <c r="I65" s="46"/>
      <c r="J65" s="46"/>
      <c r="K65" s="46"/>
      <c r="L65" s="48">
        <f>L63+L64</f>
        <v>1523.9099132400945</v>
      </c>
      <c r="M65" s="49"/>
      <c r="N65" s="50">
        <f t="shared" si="2"/>
        <v>15.285333240094133</v>
      </c>
      <c r="O65" s="18">
        <f t="shared" si="11"/>
        <v>1.0131966191412663E-2</v>
      </c>
      <c r="S65" s="190"/>
    </row>
    <row r="66" spans="1:19">
      <c r="B66" s="292" t="s">
        <v>46</v>
      </c>
      <c r="C66" s="292"/>
      <c r="D66" s="292"/>
      <c r="E66" s="20"/>
      <c r="F66" s="51"/>
      <c r="G66" s="44"/>
      <c r="H66" s="52">
        <f>ROUND(-H65*0.1,2)</f>
        <v>-150.86000000000001</v>
      </c>
      <c r="I66" s="46"/>
      <c r="J66" s="46"/>
      <c r="K66" s="46"/>
      <c r="L66" s="53">
        <f>ROUND(-L65*0.1,2)</f>
        <v>-152.38999999999999</v>
      </c>
      <c r="M66" s="49"/>
      <c r="N66" s="54">
        <f t="shared" si="2"/>
        <v>-1.5299999999999727</v>
      </c>
      <c r="O66" s="55">
        <f t="shared" si="11"/>
        <v>1.0141853373988947E-2</v>
      </c>
    </row>
    <row r="67" spans="1:19" ht="13.5" thickBot="1">
      <c r="B67" s="293" t="s">
        <v>47</v>
      </c>
      <c r="C67" s="293"/>
      <c r="D67" s="293"/>
      <c r="E67" s="14"/>
      <c r="F67" s="207"/>
      <c r="G67" s="208"/>
      <c r="H67" s="209">
        <f>H65+H66</f>
        <v>1357.7645800000005</v>
      </c>
      <c r="I67" s="210"/>
      <c r="J67" s="210"/>
      <c r="K67" s="210"/>
      <c r="L67" s="211">
        <f>L65+L66</f>
        <v>1371.5199132400944</v>
      </c>
      <c r="M67" s="212"/>
      <c r="N67" s="213">
        <f t="shared" si="2"/>
        <v>13.755333240093933</v>
      </c>
      <c r="O67" s="214">
        <f t="shared" si="11"/>
        <v>1.0130867635458517E-2</v>
      </c>
    </row>
    <row r="68" spans="1:19" s="195" customFormat="1" ht="13.5" thickBot="1">
      <c r="B68" s="215"/>
      <c r="C68" s="216"/>
      <c r="D68" s="217"/>
      <c r="E68" s="216"/>
      <c r="F68" s="199"/>
      <c r="G68" s="218"/>
      <c r="H68" s="201"/>
      <c r="I68" s="219"/>
      <c r="J68" s="199"/>
      <c r="K68" s="220"/>
      <c r="L68" s="201"/>
      <c r="M68" s="219"/>
      <c r="N68" s="221"/>
      <c r="O68" s="205"/>
    </row>
    <row r="69" spans="1:19" s="195" customFormat="1" ht="25.5">
      <c r="B69" s="56" t="s">
        <v>48</v>
      </c>
      <c r="C69" s="32"/>
      <c r="D69" s="32"/>
      <c r="E69" s="32"/>
      <c r="F69" s="57"/>
      <c r="G69" s="58"/>
      <c r="H69" s="59">
        <f>SUM(H60:H61,H52,H53:H56)</f>
        <v>1386.066</v>
      </c>
      <c r="I69" s="60"/>
      <c r="J69" s="61"/>
      <c r="K69" s="61"/>
      <c r="L69" s="59">
        <f>SUM(L60:L61,L52,L53:L56)</f>
        <v>1399.5928435753049</v>
      </c>
      <c r="M69" s="62"/>
      <c r="N69" s="63">
        <f>L69-H69</f>
        <v>13.526843575304838</v>
      </c>
      <c r="O69" s="41">
        <f>IF((H69)=0,"",(N69/H69))</f>
        <v>9.7591626771775936E-3</v>
      </c>
    </row>
    <row r="70" spans="1:19" s="195" customFormat="1">
      <c r="B70" s="64" t="s">
        <v>44</v>
      </c>
      <c r="C70" s="32"/>
      <c r="D70" s="32"/>
      <c r="E70" s="32"/>
      <c r="F70" s="65">
        <v>0.13</v>
      </c>
      <c r="G70" s="58"/>
      <c r="H70" s="66">
        <f>H69*F70</f>
        <v>180.18858</v>
      </c>
      <c r="I70" s="67"/>
      <c r="J70" s="68">
        <v>0.13</v>
      </c>
      <c r="K70" s="69"/>
      <c r="L70" s="70">
        <f>L69*J70</f>
        <v>181.94706966478964</v>
      </c>
      <c r="M70" s="71"/>
      <c r="N70" s="72">
        <f>L70-H70</f>
        <v>1.7584896647896358</v>
      </c>
      <c r="O70" s="18">
        <f>IF((H70)=0,"",(N70/H70))</f>
        <v>9.7591626771776317E-3</v>
      </c>
    </row>
    <row r="71" spans="1:19" s="195" customFormat="1">
      <c r="B71" s="222" t="s">
        <v>45</v>
      </c>
      <c r="C71" s="32"/>
      <c r="D71" s="32"/>
      <c r="E71" s="32"/>
      <c r="F71" s="73"/>
      <c r="G71" s="74"/>
      <c r="H71" s="66">
        <f>H69+H70</f>
        <v>1566.25458</v>
      </c>
      <c r="I71" s="67"/>
      <c r="J71" s="67"/>
      <c r="K71" s="67"/>
      <c r="L71" s="70">
        <f>L69+L70</f>
        <v>1581.5399132400944</v>
      </c>
      <c r="M71" s="71"/>
      <c r="N71" s="72">
        <f>L71-H71</f>
        <v>15.28533324009436</v>
      </c>
      <c r="O71" s="18">
        <f>IF((H71)=0,"",(N71/H71))</f>
        <v>9.7591626771775242E-3</v>
      </c>
    </row>
    <row r="72" spans="1:19" s="195" customFormat="1">
      <c r="B72" s="294" t="s">
        <v>46</v>
      </c>
      <c r="C72" s="294"/>
      <c r="D72" s="294"/>
      <c r="E72" s="32"/>
      <c r="F72" s="73"/>
      <c r="G72" s="74"/>
      <c r="H72" s="75">
        <f>ROUND(-H71*0.1,2)</f>
        <v>-156.63</v>
      </c>
      <c r="I72" s="67"/>
      <c r="J72" s="67"/>
      <c r="K72" s="67"/>
      <c r="L72" s="76">
        <f>ROUND(-L71*0.1,2)</f>
        <v>-158.15</v>
      </c>
      <c r="M72" s="71"/>
      <c r="N72" s="77">
        <f>L72-H72</f>
        <v>-1.5200000000000102</v>
      </c>
      <c r="O72" s="55">
        <f>IF((H72)=0,"",(N72/H72))</f>
        <v>9.7043989018707165E-3</v>
      </c>
    </row>
    <row r="73" spans="1:19" s="195" customFormat="1" ht="13.5" thickBot="1">
      <c r="B73" s="288" t="s">
        <v>49</v>
      </c>
      <c r="C73" s="288"/>
      <c r="D73" s="288"/>
      <c r="E73" s="32"/>
      <c r="F73" s="73"/>
      <c r="G73" s="74"/>
      <c r="H73" s="59">
        <f>SUM(H71:H72)</f>
        <v>1409.6245800000002</v>
      </c>
      <c r="I73" s="60"/>
      <c r="J73" s="60"/>
      <c r="K73" s="60"/>
      <c r="L73" s="223">
        <f>SUM(L71:L72)</f>
        <v>1423.3899132400943</v>
      </c>
      <c r="M73" s="62"/>
      <c r="N73" s="63">
        <f>L73-H73</f>
        <v>13.765333240094151</v>
      </c>
      <c r="O73" s="41">
        <f>IF((H73)=0,"",(N73/H73))</f>
        <v>9.7652477371628615E-3</v>
      </c>
    </row>
    <row r="74" spans="1:19" s="195" customFormat="1" ht="13.5" thickBot="1">
      <c r="B74" s="215"/>
      <c r="C74" s="216"/>
      <c r="D74" s="217"/>
      <c r="E74" s="216"/>
      <c r="F74" s="224"/>
      <c r="G74" s="225"/>
      <c r="H74" s="226"/>
      <c r="I74" s="227"/>
      <c r="J74" s="224"/>
      <c r="K74" s="218"/>
      <c r="L74" s="228"/>
      <c r="M74" s="219"/>
      <c r="N74" s="229"/>
      <c r="O74" s="205"/>
    </row>
    <row r="75" spans="1:19">
      <c r="L75" s="190"/>
    </row>
    <row r="76" spans="1:19">
      <c r="B76" s="230" t="s">
        <v>50</v>
      </c>
      <c r="F76" s="231">
        <v>3.9E-2</v>
      </c>
      <c r="J76" s="231">
        <v>4.5699999999999998E-2</v>
      </c>
    </row>
    <row r="78" spans="1:19" ht="14.25">
      <c r="A78" s="232" t="s">
        <v>51</v>
      </c>
    </row>
    <row r="80" spans="1:19">
      <c r="A80" s="12" t="s">
        <v>52</v>
      </c>
    </row>
    <row r="81" spans="1:2">
      <c r="A81" s="12" t="s">
        <v>53</v>
      </c>
    </row>
    <row r="83" spans="1:2">
      <c r="A83" s="233" t="s">
        <v>54</v>
      </c>
    </row>
    <row r="84" spans="1:2">
      <c r="A84" s="233" t="s">
        <v>55</v>
      </c>
    </row>
    <row r="86" spans="1:2">
      <c r="A86" s="12" t="s">
        <v>56</v>
      </c>
    </row>
    <row r="87" spans="1:2">
      <c r="A87" s="12" t="s">
        <v>57</v>
      </c>
    </row>
    <row r="88" spans="1:2">
      <c r="A88" s="12" t="s">
        <v>58</v>
      </c>
    </row>
    <row r="89" spans="1:2">
      <c r="A89" s="12" t="s">
        <v>59</v>
      </c>
    </row>
    <row r="90" spans="1:2">
      <c r="A90" s="12" t="s">
        <v>60</v>
      </c>
    </row>
    <row r="92" spans="1:2" ht="51">
      <c r="B92" s="13" t="s">
        <v>61</v>
      </c>
    </row>
  </sheetData>
  <mergeCells count="14">
    <mergeCell ref="A3:K3"/>
    <mergeCell ref="B10:O10"/>
    <mergeCell ref="B11:O11"/>
    <mergeCell ref="D14:O14"/>
    <mergeCell ref="F20:H20"/>
    <mergeCell ref="J20:L20"/>
    <mergeCell ref="N20:O20"/>
    <mergeCell ref="B73:D73"/>
    <mergeCell ref="D21:D22"/>
    <mergeCell ref="N21:N22"/>
    <mergeCell ref="O21:O22"/>
    <mergeCell ref="B66:D66"/>
    <mergeCell ref="B67:D67"/>
    <mergeCell ref="B72:D72"/>
  </mergeCells>
  <dataValidations disablePrompts="1" count="3">
    <dataValidation type="list" allowBlank="1" showInputMessage="1" showErrorMessage="1" sqref="E23:E38 E74 E50:E51 E53:E62 E68 E40:E48">
      <formula1>"#REF!"</formula1>
      <formula2>0</formula2>
    </dataValidation>
    <dataValidation type="list" allowBlank="1" showInputMessage="1" showErrorMessage="1" prompt="Select Charge Unit - monthly, per kWh, per kW" sqref="D74 D23:D38 D50:D51 D68 D53:D62 D40:D48">
      <formula1>"Monthly,per kWh,per kW"</formula1>
      <formula2>0</formula2>
    </dataValidation>
    <dataValidation type="list" allowBlank="1" showInputMessage="1" showErrorMessage="1" sqref="D16">
      <formula1>"TOU,non-TOU"</formula1>
      <formula2>0</formula2>
    </dataValidation>
  </dataValidations>
  <pageMargins left="0.7" right="0.7" top="0.75" bottom="0.75" header="0.3" footer="0.3"/>
  <pageSetup paperSize="9" scale="4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Option Button 44">
              <controlPr defaultSize="0" autoFill="0" autoLine="0" autoPict="0">
                <anchor moveWithCells="1" sizeWithCells="1">
                  <from>
                    <xdr:col>6</xdr:col>
                    <xdr:colOff>476250</xdr:colOff>
                    <xdr:row>17</xdr:row>
                    <xdr:rowOff>0</xdr:rowOff>
                  </from>
                  <to>
                    <xdr:col>9</xdr:col>
                    <xdr:colOff>733425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45">
              <controlPr defaultSize="0" autoFill="0" autoLine="0" autoPict="0">
                <anchor moveWithCells="1" sizeWithCells="1">
                  <from>
                    <xdr:col>9</xdr:col>
                    <xdr:colOff>371475</xdr:colOff>
                    <xdr:row>16</xdr:row>
                    <xdr:rowOff>104775</xdr:rowOff>
                  </from>
                  <to>
                    <xdr:col>16</xdr:col>
                    <xdr:colOff>257175</xdr:colOff>
                    <xdr:row>18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92"/>
  <sheetViews>
    <sheetView showGridLines="0" topLeftCell="A49" workbookViewId="0">
      <selection activeCell="U85" sqref="U85"/>
    </sheetView>
  </sheetViews>
  <sheetFormatPr defaultRowHeight="12.75"/>
  <cols>
    <col min="1" max="1" width="11.28515625" style="12" customWidth="1"/>
    <col min="2" max="2" width="26.5703125" style="13" customWidth="1"/>
    <col min="3" max="3" width="1.28515625" style="12" customWidth="1"/>
    <col min="4" max="4" width="11.28515625" style="12" customWidth="1"/>
    <col min="5" max="5" width="1.28515625" style="12" customWidth="1"/>
    <col min="6" max="6" width="12.28515625" style="12" customWidth="1"/>
    <col min="7" max="7" width="8.5703125" style="12" customWidth="1"/>
    <col min="8" max="8" width="11.140625" style="12" customWidth="1"/>
    <col min="9" max="9" width="2.85546875" style="12" customWidth="1"/>
    <col min="10" max="10" width="12.140625" style="12" customWidth="1"/>
    <col min="11" max="11" width="8.5703125" style="12" customWidth="1"/>
    <col min="12" max="12" width="10.28515625" style="12" bestFit="1" customWidth="1"/>
    <col min="13" max="13" width="2.85546875" style="12" customWidth="1"/>
    <col min="14" max="14" width="12.7109375" style="12" customWidth="1"/>
    <col min="15" max="15" width="10.85546875" style="12" customWidth="1"/>
    <col min="16" max="16" width="3.85546875" style="12" customWidth="1"/>
    <col min="17" max="16384" width="9.140625" style="12"/>
  </cols>
  <sheetData>
    <row r="1" spans="1:20" s="2" customFormat="1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/>
      <c r="O1" s="4"/>
      <c r="T1" s="2">
        <v>1</v>
      </c>
    </row>
    <row r="2" spans="1:20" s="2" customFormat="1" ht="12.75" customHeight="1">
      <c r="A2" s="5"/>
      <c r="B2" s="6"/>
      <c r="C2" s="5"/>
      <c r="D2" s="5"/>
      <c r="E2" s="5"/>
      <c r="F2" s="5"/>
      <c r="G2" s="5"/>
      <c r="H2" s="5"/>
      <c r="I2" s="5"/>
      <c r="J2" s="5"/>
      <c r="K2" s="5"/>
      <c r="N2" s="3"/>
      <c r="O2" s="7"/>
    </row>
    <row r="3" spans="1:20" s="2" customFormat="1" ht="12.75" customHeight="1">
      <c r="A3" s="295"/>
      <c r="B3" s="295"/>
      <c r="C3" s="295"/>
      <c r="D3" s="295"/>
      <c r="E3" s="295"/>
      <c r="F3" s="295"/>
      <c r="G3" s="295"/>
      <c r="H3" s="295"/>
      <c r="I3" s="295"/>
      <c r="J3" s="295"/>
      <c r="K3" s="295"/>
      <c r="N3" s="3"/>
      <c r="O3" s="7"/>
    </row>
    <row r="4" spans="1:20" s="2" customFormat="1" ht="12.75" customHeight="1">
      <c r="A4" s="5"/>
      <c r="B4" s="6"/>
      <c r="C4" s="5"/>
      <c r="D4" s="5"/>
      <c r="E4" s="5"/>
      <c r="F4" s="5"/>
      <c r="G4" s="5"/>
      <c r="H4" s="5"/>
      <c r="I4" s="8"/>
      <c r="J4" s="8"/>
      <c r="K4" s="8"/>
      <c r="N4" s="3"/>
      <c r="O4" s="7"/>
    </row>
    <row r="5" spans="1:20" s="2" customFormat="1" ht="12.75" customHeight="1">
      <c r="B5" s="9"/>
      <c r="C5" s="10"/>
      <c r="D5" s="10"/>
      <c r="E5" s="10"/>
      <c r="N5" s="3"/>
      <c r="O5" s="4"/>
    </row>
    <row r="6" spans="1:20" s="2" customFormat="1" ht="12.75" customHeight="1">
      <c r="B6" s="9"/>
      <c r="N6" s="3"/>
      <c r="O6" s="11"/>
    </row>
    <row r="7" spans="1:20" s="2" customFormat="1" ht="12.75" customHeight="1">
      <c r="B7" s="9"/>
      <c r="N7" s="3"/>
      <c r="O7" s="4"/>
    </row>
    <row r="8" spans="1:20" s="2" customFormat="1" ht="12.75" customHeight="1">
      <c r="B8" s="9"/>
    </row>
    <row r="9" spans="1:20" ht="12.75" customHeight="1"/>
    <row r="10" spans="1:20" s="130" customFormat="1" ht="18.75" customHeight="1">
      <c r="B10" s="299" t="s">
        <v>0</v>
      </c>
      <c r="C10" s="299"/>
      <c r="D10" s="299"/>
      <c r="E10" s="299"/>
      <c r="F10" s="299"/>
      <c r="G10" s="299"/>
      <c r="H10" s="299"/>
      <c r="I10" s="299"/>
      <c r="J10" s="299"/>
      <c r="K10" s="299"/>
      <c r="L10" s="299"/>
      <c r="M10" s="299"/>
      <c r="N10" s="299"/>
      <c r="O10" s="299"/>
    </row>
    <row r="11" spans="1:20" ht="18.75" customHeight="1">
      <c r="B11" s="296" t="s">
        <v>1</v>
      </c>
      <c r="C11" s="296"/>
      <c r="D11" s="296"/>
      <c r="E11" s="296"/>
      <c r="F11" s="296"/>
      <c r="G11" s="296"/>
      <c r="H11" s="296"/>
      <c r="I11" s="296"/>
      <c r="J11" s="296"/>
      <c r="K11" s="296"/>
      <c r="L11" s="296"/>
      <c r="M11" s="296"/>
      <c r="N11" s="296"/>
      <c r="O11" s="296"/>
    </row>
    <row r="12" spans="1:20" ht="7.5" customHeight="1"/>
    <row r="13" spans="1:20" ht="7.5" customHeight="1"/>
    <row r="14" spans="1:20" ht="15.75">
      <c r="B14" s="131" t="s">
        <v>2</v>
      </c>
      <c r="D14" s="297" t="s">
        <v>64</v>
      </c>
      <c r="E14" s="297"/>
      <c r="F14" s="297"/>
      <c r="G14" s="297"/>
      <c r="H14" s="297"/>
      <c r="I14" s="297"/>
      <c r="J14" s="297"/>
      <c r="K14" s="297"/>
      <c r="L14" s="297"/>
      <c r="M14" s="297"/>
      <c r="N14" s="297"/>
      <c r="O14" s="297"/>
    </row>
    <row r="15" spans="1:20" ht="7.5" customHeight="1">
      <c r="B15" s="132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</row>
    <row r="16" spans="1:20" ht="15.75">
      <c r="B16" s="131" t="s">
        <v>4</v>
      </c>
      <c r="D16" s="134" t="s">
        <v>5</v>
      </c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</row>
    <row r="17" spans="1:15" ht="15.75">
      <c r="B17" s="132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</row>
    <row r="18" spans="1:15">
      <c r="B18" s="135"/>
      <c r="D18" s="136" t="s">
        <v>6</v>
      </c>
      <c r="E18" s="136"/>
      <c r="F18" s="137">
        <v>60</v>
      </c>
      <c r="G18" s="136" t="s">
        <v>7</v>
      </c>
    </row>
    <row r="19" spans="1:15">
      <c r="B19" s="135"/>
    </row>
    <row r="20" spans="1:15">
      <c r="B20" s="135"/>
      <c r="D20" s="138"/>
      <c r="E20" s="138"/>
      <c r="F20" s="298" t="s">
        <v>8</v>
      </c>
      <c r="G20" s="298"/>
      <c r="H20" s="298"/>
      <c r="J20" s="298" t="s">
        <v>9</v>
      </c>
      <c r="K20" s="298"/>
      <c r="L20" s="298"/>
      <c r="N20" s="298" t="s">
        <v>10</v>
      </c>
      <c r="O20" s="298"/>
    </row>
    <row r="21" spans="1:15">
      <c r="B21" s="135"/>
      <c r="D21" s="289" t="s">
        <v>11</v>
      </c>
      <c r="E21" s="139"/>
      <c r="F21" s="140" t="s">
        <v>12</v>
      </c>
      <c r="G21" s="140" t="s">
        <v>13</v>
      </c>
      <c r="H21" s="141" t="s">
        <v>14</v>
      </c>
      <c r="J21" s="140" t="s">
        <v>12</v>
      </c>
      <c r="K21" s="142" t="s">
        <v>13</v>
      </c>
      <c r="L21" s="141" t="s">
        <v>14</v>
      </c>
      <c r="N21" s="290" t="s">
        <v>15</v>
      </c>
      <c r="O21" s="291" t="s">
        <v>16</v>
      </c>
    </row>
    <row r="22" spans="1:15">
      <c r="B22" s="135"/>
      <c r="D22" s="289"/>
      <c r="E22" s="139"/>
      <c r="F22" s="143" t="s">
        <v>17</v>
      </c>
      <c r="G22" s="143"/>
      <c r="H22" s="144" t="s">
        <v>17</v>
      </c>
      <c r="J22" s="143" t="s">
        <v>17</v>
      </c>
      <c r="K22" s="144"/>
      <c r="L22" s="144" t="s">
        <v>17</v>
      </c>
      <c r="N22" s="290"/>
      <c r="O22" s="291"/>
    </row>
    <row r="23" spans="1:15">
      <c r="B23" s="145" t="s">
        <v>18</v>
      </c>
      <c r="C23" s="20"/>
      <c r="D23" s="146" t="s">
        <v>19</v>
      </c>
      <c r="E23" s="14"/>
      <c r="F23" s="147">
        <f>'[1]B. CurrentTariff'!C74</f>
        <v>378.72</v>
      </c>
      <c r="G23" s="15">
        <v>1</v>
      </c>
      <c r="H23" s="16">
        <f>G23*F23</f>
        <v>378.72</v>
      </c>
      <c r="I23" s="28"/>
      <c r="J23" s="148">
        <f>'[1]G. RateDesign'!B48</f>
        <v>378.72</v>
      </c>
      <c r="K23" s="17">
        <v>1</v>
      </c>
      <c r="L23" s="16">
        <f>K23*J23</f>
        <v>378.72</v>
      </c>
      <c r="M23" s="28"/>
      <c r="N23" s="149">
        <f>L23-H23</f>
        <v>0</v>
      </c>
      <c r="O23" s="18">
        <f>IF((H23)=0,"",(N23/H23))</f>
        <v>0</v>
      </c>
    </row>
    <row r="24" spans="1:15">
      <c r="A24" s="19"/>
      <c r="B24" s="145" t="s">
        <v>20</v>
      </c>
      <c r="C24" s="20"/>
      <c r="D24" s="146"/>
      <c r="E24" s="14"/>
      <c r="F24" s="150"/>
      <c r="G24" s="15">
        <v>1</v>
      </c>
      <c r="H24" s="16">
        <f t="shared" ref="H24:H38" si="0">G24*F24</f>
        <v>0</v>
      </c>
      <c r="I24" s="28"/>
      <c r="J24" s="31"/>
      <c r="K24" s="17">
        <v>1</v>
      </c>
      <c r="L24" s="16">
        <f>K24*J24</f>
        <v>0</v>
      </c>
      <c r="M24" s="28"/>
      <c r="N24" s="149">
        <f>L24-H24</f>
        <v>0</v>
      </c>
      <c r="O24" s="18" t="str">
        <f>IF((H24)=0,"",(N24/H24))</f>
        <v/>
      </c>
    </row>
    <row r="25" spans="1:15">
      <c r="A25" s="19"/>
      <c r="B25" s="151" t="s">
        <v>21</v>
      </c>
      <c r="C25" s="20"/>
      <c r="D25" s="146" t="s">
        <v>19</v>
      </c>
      <c r="E25" s="14"/>
      <c r="F25" s="150"/>
      <c r="G25" s="15">
        <v>1</v>
      </c>
      <c r="H25" s="16">
        <f t="shared" si="0"/>
        <v>0</v>
      </c>
      <c r="I25" s="28"/>
      <c r="J25" s="148">
        <f>'[1]I. SMRR'!G15</f>
        <v>0</v>
      </c>
      <c r="K25" s="17">
        <v>1</v>
      </c>
      <c r="L25" s="16">
        <f t="shared" ref="L25:L38" si="1">K25*J25</f>
        <v>0</v>
      </c>
      <c r="M25" s="28"/>
      <c r="N25" s="149">
        <f t="shared" ref="N25:N67" si="2">L25-H25</f>
        <v>0</v>
      </c>
      <c r="O25" s="18" t="str">
        <f t="shared" ref="O25:O47" si="3">IF((H25)=0,"",(N25/H25))</f>
        <v/>
      </c>
    </row>
    <row r="26" spans="1:15">
      <c r="A26" s="19"/>
      <c r="B26" s="152"/>
      <c r="C26" s="20"/>
      <c r="D26" s="146"/>
      <c r="E26" s="14"/>
      <c r="F26" s="150"/>
      <c r="G26" s="15">
        <v>1</v>
      </c>
      <c r="H26" s="16">
        <f t="shared" si="0"/>
        <v>0</v>
      </c>
      <c r="I26" s="28"/>
      <c r="J26" s="31"/>
      <c r="K26" s="17">
        <v>1</v>
      </c>
      <c r="L26" s="16">
        <f t="shared" si="1"/>
        <v>0</v>
      </c>
      <c r="M26" s="28"/>
      <c r="N26" s="149">
        <f t="shared" si="2"/>
        <v>0</v>
      </c>
      <c r="O26" s="18" t="str">
        <f t="shared" si="3"/>
        <v/>
      </c>
    </row>
    <row r="27" spans="1:15">
      <c r="A27" s="19"/>
      <c r="B27" s="152"/>
      <c r="C27" s="20"/>
      <c r="D27" s="146"/>
      <c r="E27" s="14"/>
      <c r="F27" s="150"/>
      <c r="G27" s="15">
        <v>1</v>
      </c>
      <c r="H27" s="16">
        <f t="shared" si="0"/>
        <v>0</v>
      </c>
      <c r="I27" s="28"/>
      <c r="J27" s="31"/>
      <c r="K27" s="17">
        <v>1</v>
      </c>
      <c r="L27" s="16">
        <f t="shared" si="1"/>
        <v>0</v>
      </c>
      <c r="M27" s="28"/>
      <c r="N27" s="149">
        <f t="shared" si="2"/>
        <v>0</v>
      </c>
      <c r="O27" s="18" t="str">
        <f t="shared" si="3"/>
        <v/>
      </c>
    </row>
    <row r="28" spans="1:15">
      <c r="A28" s="19"/>
      <c r="B28" s="152"/>
      <c r="C28" s="20"/>
      <c r="D28" s="146"/>
      <c r="E28" s="14"/>
      <c r="F28" s="150"/>
      <c r="G28" s="15">
        <v>1</v>
      </c>
      <c r="H28" s="16">
        <f t="shared" si="0"/>
        <v>0</v>
      </c>
      <c r="I28" s="28"/>
      <c r="J28" s="31"/>
      <c r="K28" s="17">
        <v>1</v>
      </c>
      <c r="L28" s="16">
        <f t="shared" si="1"/>
        <v>0</v>
      </c>
      <c r="M28" s="28"/>
      <c r="N28" s="149">
        <f t="shared" si="2"/>
        <v>0</v>
      </c>
      <c r="O28" s="18" t="str">
        <f t="shared" si="3"/>
        <v/>
      </c>
    </row>
    <row r="29" spans="1:15">
      <c r="A29" s="19"/>
      <c r="B29" s="145" t="s">
        <v>23</v>
      </c>
      <c r="C29" s="20"/>
      <c r="D29" s="146" t="s">
        <v>65</v>
      </c>
      <c r="E29" s="14"/>
      <c r="F29" s="150">
        <f>'[1]B. CurrentTariff'!C75</f>
        <v>0.64890000000000003</v>
      </c>
      <c r="G29" s="15">
        <f t="shared" ref="G29:G38" si="4">$F$18</f>
        <v>60</v>
      </c>
      <c r="H29" s="16">
        <f t="shared" si="0"/>
        <v>38.934000000000005</v>
      </c>
      <c r="I29" s="28"/>
      <c r="J29" s="31">
        <f>'[1]G. RateDesign'!G48</f>
        <v>1.113958109377494</v>
      </c>
      <c r="K29" s="15">
        <f>$F$18</f>
        <v>60</v>
      </c>
      <c r="L29" s="16">
        <f t="shared" si="1"/>
        <v>66.837486562649644</v>
      </c>
      <c r="M29" s="28"/>
      <c r="N29" s="149">
        <f t="shared" si="2"/>
        <v>27.90348656264964</v>
      </c>
      <c r="O29" s="18">
        <f t="shared" si="3"/>
        <v>0.71668686912851587</v>
      </c>
    </row>
    <row r="30" spans="1:15">
      <c r="A30" s="19"/>
      <c r="B30" s="145" t="s">
        <v>22</v>
      </c>
      <c r="C30" s="20"/>
      <c r="D30" s="146" t="s">
        <v>65</v>
      </c>
      <c r="E30" s="14"/>
      <c r="F30" s="150"/>
      <c r="G30" s="15">
        <f t="shared" si="4"/>
        <v>60</v>
      </c>
      <c r="H30" s="16">
        <f t="shared" si="0"/>
        <v>0</v>
      </c>
      <c r="I30" s="28"/>
      <c r="J30" s="31"/>
      <c r="K30" s="15">
        <f t="shared" ref="K30:K38" si="5">$F$18</f>
        <v>60</v>
      </c>
      <c r="L30" s="16">
        <f t="shared" si="1"/>
        <v>0</v>
      </c>
      <c r="M30" s="28"/>
      <c r="N30" s="149">
        <f t="shared" si="2"/>
        <v>0</v>
      </c>
      <c r="O30" s="18" t="str">
        <f t="shared" si="3"/>
        <v/>
      </c>
    </row>
    <row r="31" spans="1:15">
      <c r="A31" s="19"/>
      <c r="B31" s="145" t="s">
        <v>25</v>
      </c>
      <c r="C31" s="20"/>
      <c r="D31" s="146" t="s">
        <v>65</v>
      </c>
      <c r="E31" s="14"/>
      <c r="F31" s="150"/>
      <c r="G31" s="15">
        <f t="shared" si="4"/>
        <v>60</v>
      </c>
      <c r="H31" s="16">
        <f t="shared" si="0"/>
        <v>0</v>
      </c>
      <c r="I31" s="28"/>
      <c r="J31" s="31"/>
      <c r="K31" s="15">
        <f t="shared" si="5"/>
        <v>60</v>
      </c>
      <c r="L31" s="16">
        <f t="shared" si="1"/>
        <v>0</v>
      </c>
      <c r="M31" s="28"/>
      <c r="N31" s="149">
        <f t="shared" si="2"/>
        <v>0</v>
      </c>
      <c r="O31" s="18" t="str">
        <f t="shared" si="3"/>
        <v/>
      </c>
    </row>
    <row r="32" spans="1:15">
      <c r="A32" s="19"/>
      <c r="B32" s="151"/>
      <c r="C32" s="20"/>
      <c r="D32" s="146"/>
      <c r="E32" s="14"/>
      <c r="F32" s="150"/>
      <c r="G32" s="15">
        <f t="shared" si="4"/>
        <v>60</v>
      </c>
      <c r="H32" s="16">
        <f>G32*F32</f>
        <v>0</v>
      </c>
      <c r="I32" s="28"/>
      <c r="J32" s="31"/>
      <c r="K32" s="15">
        <f t="shared" si="5"/>
        <v>60</v>
      </c>
      <c r="L32" s="16">
        <f>K32*J32</f>
        <v>0</v>
      </c>
      <c r="M32" s="28"/>
      <c r="N32" s="149">
        <f>L32-H32</f>
        <v>0</v>
      </c>
      <c r="O32" s="18" t="str">
        <f>IF((H32)=0,"",(N32/H32))</f>
        <v/>
      </c>
    </row>
    <row r="33" spans="1:15">
      <c r="A33" s="19"/>
      <c r="B33" s="151"/>
      <c r="C33" s="20"/>
      <c r="D33" s="146"/>
      <c r="E33" s="14"/>
      <c r="F33" s="150"/>
      <c r="G33" s="15">
        <f t="shared" si="4"/>
        <v>60</v>
      </c>
      <c r="H33" s="16">
        <f>G33*F33</f>
        <v>0</v>
      </c>
      <c r="I33" s="28"/>
      <c r="J33" s="31"/>
      <c r="K33" s="15">
        <f t="shared" si="5"/>
        <v>60</v>
      </c>
      <c r="L33" s="16">
        <f>K33*J33</f>
        <v>0</v>
      </c>
      <c r="M33" s="28"/>
      <c r="N33" s="149">
        <f>L33-H33</f>
        <v>0</v>
      </c>
      <c r="O33" s="18" t="str">
        <f>IF((H33)=0,"",(N33/H33))</f>
        <v/>
      </c>
    </row>
    <row r="34" spans="1:15">
      <c r="A34" s="19"/>
      <c r="B34" s="151"/>
      <c r="C34" s="20"/>
      <c r="D34" s="146"/>
      <c r="E34" s="14"/>
      <c r="F34" s="150"/>
      <c r="G34" s="15">
        <f t="shared" si="4"/>
        <v>60</v>
      </c>
      <c r="H34" s="16">
        <f>G34*F34</f>
        <v>0</v>
      </c>
      <c r="I34" s="28"/>
      <c r="J34" s="31"/>
      <c r="K34" s="15">
        <f t="shared" si="5"/>
        <v>60</v>
      </c>
      <c r="L34" s="16">
        <f>K34*J34</f>
        <v>0</v>
      </c>
      <c r="M34" s="28"/>
      <c r="N34" s="149">
        <f>L34-H34</f>
        <v>0</v>
      </c>
      <c r="O34" s="18" t="str">
        <f>IF((H34)=0,"",(N34/H34))</f>
        <v/>
      </c>
    </row>
    <row r="35" spans="1:15">
      <c r="A35" s="19"/>
      <c r="B35" s="151"/>
      <c r="C35" s="20"/>
      <c r="D35" s="146"/>
      <c r="E35" s="14"/>
      <c r="F35" s="150"/>
      <c r="G35" s="15">
        <f t="shared" si="4"/>
        <v>60</v>
      </c>
      <c r="H35" s="16">
        <f t="shared" si="0"/>
        <v>0</v>
      </c>
      <c r="I35" s="28"/>
      <c r="J35" s="31"/>
      <c r="K35" s="15">
        <f t="shared" si="5"/>
        <v>60</v>
      </c>
      <c r="L35" s="16">
        <f t="shared" si="1"/>
        <v>0</v>
      </c>
      <c r="M35" s="28"/>
      <c r="N35" s="149">
        <f t="shared" si="2"/>
        <v>0</v>
      </c>
      <c r="O35" s="18" t="str">
        <f t="shared" si="3"/>
        <v/>
      </c>
    </row>
    <row r="36" spans="1:15">
      <c r="A36" s="19"/>
      <c r="B36" s="151"/>
      <c r="C36" s="20"/>
      <c r="D36" s="146"/>
      <c r="E36" s="14"/>
      <c r="F36" s="150"/>
      <c r="G36" s="15">
        <f t="shared" si="4"/>
        <v>60</v>
      </c>
      <c r="H36" s="16">
        <f t="shared" si="0"/>
        <v>0</v>
      </c>
      <c r="I36" s="28"/>
      <c r="J36" s="31"/>
      <c r="K36" s="15">
        <f t="shared" si="5"/>
        <v>60</v>
      </c>
      <c r="L36" s="16">
        <f t="shared" si="1"/>
        <v>0</v>
      </c>
      <c r="M36" s="28"/>
      <c r="N36" s="149">
        <f t="shared" si="2"/>
        <v>0</v>
      </c>
      <c r="O36" s="18" t="str">
        <f t="shared" si="3"/>
        <v/>
      </c>
    </row>
    <row r="37" spans="1:15">
      <c r="A37" s="19"/>
      <c r="B37" s="151"/>
      <c r="C37" s="20"/>
      <c r="D37" s="146"/>
      <c r="E37" s="14"/>
      <c r="F37" s="150"/>
      <c r="G37" s="15">
        <f t="shared" si="4"/>
        <v>60</v>
      </c>
      <c r="H37" s="16">
        <f t="shared" si="0"/>
        <v>0</v>
      </c>
      <c r="I37" s="28"/>
      <c r="J37" s="31"/>
      <c r="K37" s="15">
        <f t="shared" si="5"/>
        <v>60</v>
      </c>
      <c r="L37" s="16">
        <f t="shared" si="1"/>
        <v>0</v>
      </c>
      <c r="M37" s="28"/>
      <c r="N37" s="149">
        <f t="shared" si="2"/>
        <v>0</v>
      </c>
      <c r="O37" s="18" t="str">
        <f t="shared" si="3"/>
        <v/>
      </c>
    </row>
    <row r="38" spans="1:15">
      <c r="A38" s="19"/>
      <c r="B38" s="151"/>
      <c r="C38" s="20"/>
      <c r="D38" s="146"/>
      <c r="E38" s="14"/>
      <c r="F38" s="150"/>
      <c r="G38" s="15">
        <f t="shared" si="4"/>
        <v>60</v>
      </c>
      <c r="H38" s="16">
        <f t="shared" si="0"/>
        <v>0</v>
      </c>
      <c r="I38" s="28"/>
      <c r="J38" s="31"/>
      <c r="K38" s="15">
        <f t="shared" si="5"/>
        <v>60</v>
      </c>
      <c r="L38" s="16">
        <f t="shared" si="1"/>
        <v>0</v>
      </c>
      <c r="M38" s="28"/>
      <c r="N38" s="149">
        <f t="shared" si="2"/>
        <v>0</v>
      </c>
      <c r="O38" s="18" t="str">
        <f t="shared" si="3"/>
        <v/>
      </c>
    </row>
    <row r="39" spans="1:15">
      <c r="A39" s="19"/>
      <c r="B39" s="153" t="s">
        <v>26</v>
      </c>
      <c r="C39" s="154"/>
      <c r="D39" s="155"/>
      <c r="E39" s="154"/>
      <c r="F39" s="156"/>
      <c r="G39" s="157"/>
      <c r="H39" s="158">
        <f>SUM(H23:H38)</f>
        <v>417.65400000000005</v>
      </c>
      <c r="I39" s="28"/>
      <c r="J39" s="159"/>
      <c r="K39" s="160"/>
      <c r="L39" s="158">
        <f>SUM(L23:L38)</f>
        <v>445.55748656264967</v>
      </c>
      <c r="M39" s="28"/>
      <c r="N39" s="161">
        <f t="shared" si="2"/>
        <v>27.903486562649618</v>
      </c>
      <c r="O39" s="162">
        <f t="shared" si="3"/>
        <v>6.681005464487258E-2</v>
      </c>
    </row>
    <row r="40" spans="1:15" ht="51">
      <c r="A40" s="163"/>
      <c r="B40" s="164" t="str">
        <f>'[1]J. DVA'!$B$16</f>
        <v>Rate Rider Calculation for Deferral / Variance Accounts Balances (excluding Global Adj.)</v>
      </c>
      <c r="C40" s="20"/>
      <c r="D40" s="248" t="s">
        <v>65</v>
      </c>
      <c r="E40" s="20"/>
      <c r="F40" s="166"/>
      <c r="G40" s="21">
        <f>$F$18</f>
        <v>60</v>
      </c>
      <c r="H40" s="22">
        <f t="shared" ref="H40:H48" si="6">G40*F40</f>
        <v>0</v>
      </c>
      <c r="I40" s="167"/>
      <c r="J40" s="166">
        <f>'[1]J. DVA'!F22</f>
        <v>-0.2881086467416501</v>
      </c>
      <c r="K40" s="21">
        <f t="shared" ref="K40:K46" si="7">$F$18</f>
        <v>60</v>
      </c>
      <c r="L40" s="22">
        <f>K40*J40</f>
        <v>-17.286518804499007</v>
      </c>
      <c r="M40" s="167"/>
      <c r="N40" s="168">
        <f>L40-H40</f>
        <v>-17.286518804499007</v>
      </c>
      <c r="O40" s="24" t="str">
        <f>IF((H40)=0,"",(N40/H40))</f>
        <v/>
      </c>
    </row>
    <row r="41" spans="1:15" ht="51">
      <c r="A41" s="169"/>
      <c r="B41" s="164" t="str">
        <f>'[1]J. DVA'!$B$42</f>
        <v>Rate Rider Calculation for Deferral / Variance Accounts Balances (excluding Global Adj.) - NON-WMP</v>
      </c>
      <c r="C41" s="20"/>
      <c r="D41" s="248" t="s">
        <v>65</v>
      </c>
      <c r="E41" s="20"/>
      <c r="F41" s="166"/>
      <c r="G41" s="21">
        <f>$F$18</f>
        <v>60</v>
      </c>
      <c r="H41" s="22">
        <f t="shared" si="6"/>
        <v>0</v>
      </c>
      <c r="I41" s="167"/>
      <c r="J41" s="166">
        <f>'[1]J. DVA'!F48</f>
        <v>-0.92990514331638319</v>
      </c>
      <c r="K41" s="21">
        <f t="shared" si="7"/>
        <v>60</v>
      </c>
      <c r="L41" s="22">
        <f>K41*J41</f>
        <v>-55.794308598982994</v>
      </c>
      <c r="M41" s="167"/>
      <c r="N41" s="168">
        <f>L41-H41</f>
        <v>-55.794308598982994</v>
      </c>
      <c r="O41" s="24" t="str">
        <f>IF((H41)=0,"",(N41/H41))</f>
        <v/>
      </c>
    </row>
    <row r="42" spans="1:15" ht="38.25">
      <c r="A42" s="169"/>
      <c r="B42" s="164" t="str">
        <f>'[1]J. DVA'!$B$68</f>
        <v>Rate Rider Calculation for RSVA - Power - Global Adjustment</v>
      </c>
      <c r="C42" s="20"/>
      <c r="D42" s="248" t="s">
        <v>24</v>
      </c>
      <c r="E42" s="20"/>
      <c r="F42" s="166"/>
      <c r="G42" s="21">
        <f t="shared" ref="G42:G43" si="8">$F$18</f>
        <v>60</v>
      </c>
      <c r="H42" s="22"/>
      <c r="I42" s="167"/>
      <c r="J42" s="166">
        <f>'[1]J. DVA'!F74</f>
        <v>1.716429835341269</v>
      </c>
      <c r="K42" s="21">
        <f t="shared" si="7"/>
        <v>60</v>
      </c>
      <c r="L42" s="22">
        <f t="shared" ref="L42:L45" si="9">K42*J42</f>
        <v>102.98579012047614</v>
      </c>
      <c r="M42" s="167"/>
      <c r="N42" s="168">
        <f t="shared" ref="N42:N45" si="10">L42-H42</f>
        <v>102.98579012047614</v>
      </c>
      <c r="O42" s="24" t="str">
        <f t="shared" ref="O42:O45" si="11">IF((H42)=0,"",(N42/H42))</f>
        <v/>
      </c>
    </row>
    <row r="43" spans="1:15" ht="25.5">
      <c r="A43" s="169"/>
      <c r="B43" s="164" t="str">
        <f>'[1]J. DVA'!$B$121</f>
        <v>Rate Rider Calculation for Group 2 Accounts</v>
      </c>
      <c r="C43" s="20"/>
      <c r="D43" s="248" t="s">
        <v>24</v>
      </c>
      <c r="E43" s="20"/>
      <c r="F43" s="166"/>
      <c r="G43" s="21">
        <f t="shared" si="8"/>
        <v>60</v>
      </c>
      <c r="H43" s="22"/>
      <c r="I43" s="167"/>
      <c r="J43" s="166">
        <f>'[1]J. DVA'!F127</f>
        <v>2.8213276444467111E-2</v>
      </c>
      <c r="K43" s="21">
        <f t="shared" si="7"/>
        <v>60</v>
      </c>
      <c r="L43" s="22">
        <f t="shared" si="9"/>
        <v>1.6927965866680266</v>
      </c>
      <c r="M43" s="167"/>
      <c r="N43" s="168">
        <f t="shared" si="10"/>
        <v>1.6927965866680266</v>
      </c>
      <c r="O43" s="24" t="str">
        <f t="shared" si="11"/>
        <v/>
      </c>
    </row>
    <row r="44" spans="1:15" ht="25.5">
      <c r="A44" s="163"/>
      <c r="B44" s="164" t="str">
        <f>'[1]J. DVA'!$B$147</f>
        <v>Rate Rider Calculation for Accounts 1575 and 1576</v>
      </c>
      <c r="C44" s="20"/>
      <c r="D44" s="248" t="s">
        <v>65</v>
      </c>
      <c r="E44" s="20"/>
      <c r="F44" s="166"/>
      <c r="G44" s="21">
        <f>$F$18</f>
        <v>60</v>
      </c>
      <c r="H44" s="22">
        <f t="shared" si="6"/>
        <v>0</v>
      </c>
      <c r="I44" s="167"/>
      <c r="J44" s="166">
        <f>'[1]J. DVA'!F155</f>
        <v>8.240452368404183E-2</v>
      </c>
      <c r="K44" s="21">
        <f t="shared" si="7"/>
        <v>60</v>
      </c>
      <c r="L44" s="22">
        <f t="shared" si="9"/>
        <v>4.9442714210425098</v>
      </c>
      <c r="M44" s="167"/>
      <c r="N44" s="168">
        <f t="shared" si="10"/>
        <v>4.9442714210425098</v>
      </c>
      <c r="O44" s="24" t="str">
        <f t="shared" si="11"/>
        <v/>
      </c>
    </row>
    <row r="45" spans="1:15" ht="25.5">
      <c r="A45" s="163"/>
      <c r="B45" s="164" t="str">
        <f>'[1]J. DVA'!$B$175</f>
        <v>Rate Rider Calculation for Accounts 1568</v>
      </c>
      <c r="C45" s="20"/>
      <c r="D45" s="248" t="s">
        <v>65</v>
      </c>
      <c r="E45" s="20"/>
      <c r="F45" s="166"/>
      <c r="G45" s="21">
        <f>$F$18</f>
        <v>60</v>
      </c>
      <c r="H45" s="22">
        <f t="shared" si="6"/>
        <v>0</v>
      </c>
      <c r="I45" s="167"/>
      <c r="J45" s="166">
        <f>'[1]J. DVA'!F183</f>
        <v>5.684378315786414E-2</v>
      </c>
      <c r="K45" s="21">
        <f t="shared" si="7"/>
        <v>60</v>
      </c>
      <c r="L45" s="22">
        <f t="shared" si="9"/>
        <v>3.4106269894718486</v>
      </c>
      <c r="M45" s="167"/>
      <c r="N45" s="168">
        <f t="shared" si="10"/>
        <v>3.4106269894718486</v>
      </c>
      <c r="O45" s="24" t="str">
        <f t="shared" si="11"/>
        <v/>
      </c>
    </row>
    <row r="46" spans="1:15">
      <c r="A46" s="163"/>
      <c r="B46" s="164" t="s">
        <v>27</v>
      </c>
      <c r="C46" s="20"/>
      <c r="D46" s="248" t="s">
        <v>65</v>
      </c>
      <c r="E46" s="20"/>
      <c r="F46" s="166">
        <v>0.39539999999999997</v>
      </c>
      <c r="G46" s="21">
        <f>$F$18</f>
        <v>60</v>
      </c>
      <c r="H46" s="22">
        <f t="shared" si="6"/>
        <v>23.723999999999997</v>
      </c>
      <c r="I46" s="167"/>
      <c r="J46" s="166">
        <f>'[2]4.12 PowerSupplExp'!$I$173</f>
        <v>0.28549999999999998</v>
      </c>
      <c r="K46" s="21">
        <f t="shared" si="7"/>
        <v>60</v>
      </c>
      <c r="L46" s="22">
        <f>K46*J46</f>
        <v>17.13</v>
      </c>
      <c r="M46" s="167"/>
      <c r="N46" s="168">
        <f>L46-H46</f>
        <v>-6.5939999999999976</v>
      </c>
      <c r="O46" s="24">
        <f>IF((H46)=0,"",(N46/H46))</f>
        <v>-0.2779463834092058</v>
      </c>
    </row>
    <row r="47" spans="1:15">
      <c r="A47" s="19"/>
      <c r="B47" s="145" t="s">
        <v>28</v>
      </c>
      <c r="C47" s="20"/>
      <c r="D47" s="248" t="s">
        <v>65</v>
      </c>
      <c r="E47" s="20"/>
      <c r="F47" s="166">
        <f>IF(ISBLANK(D16)=1, 0, IF(D16="TOU", 0.64*$F$57+0.18*$F$58+0.18*$F$59, IF(AND(D16="non-TOU", G61&gt;0), F61,F60)))</f>
        <v>9.5000000000000001E-2</v>
      </c>
      <c r="G47" s="21">
        <f>$F$18*(1+$F$76)-$F$18</f>
        <v>2.3399999999999963</v>
      </c>
      <c r="H47" s="22">
        <f t="shared" si="6"/>
        <v>0.22229999999999966</v>
      </c>
      <c r="I47" s="167"/>
      <c r="J47" s="166">
        <f>0.64*$F$57+0.18*$F$58+0.18*$F$59</f>
        <v>9.5000000000000001E-2</v>
      </c>
      <c r="K47" s="21">
        <f>$F$18*(1+$J$76)-$F$18</f>
        <v>2.7420000000000044</v>
      </c>
      <c r="L47" s="22">
        <f t="shared" ref="L47:L48" si="12">K47*J47</f>
        <v>0.26049000000000044</v>
      </c>
      <c r="M47" s="167"/>
      <c r="N47" s="168">
        <f t="shared" si="2"/>
        <v>3.8190000000000779E-2</v>
      </c>
      <c r="O47" s="24">
        <f t="shared" si="3"/>
        <v>0.17179487179487557</v>
      </c>
    </row>
    <row r="48" spans="1:15">
      <c r="A48" s="19"/>
      <c r="B48" s="145" t="s">
        <v>29</v>
      </c>
      <c r="C48" s="20"/>
      <c r="D48" s="248" t="s">
        <v>65</v>
      </c>
      <c r="E48" s="20"/>
      <c r="F48" s="166">
        <v>0.79</v>
      </c>
      <c r="G48" s="21">
        <v>1</v>
      </c>
      <c r="H48" s="22">
        <f t="shared" si="6"/>
        <v>0.79</v>
      </c>
      <c r="I48" s="167"/>
      <c r="J48" s="166">
        <v>0.79</v>
      </c>
      <c r="K48" s="21">
        <v>1</v>
      </c>
      <c r="L48" s="22">
        <f t="shared" si="12"/>
        <v>0.79</v>
      </c>
      <c r="M48" s="167"/>
      <c r="N48" s="168">
        <f t="shared" si="2"/>
        <v>0</v>
      </c>
      <c r="O48" s="24"/>
    </row>
    <row r="49" spans="2:19" ht="25.5">
      <c r="B49" s="175" t="s">
        <v>30</v>
      </c>
      <c r="C49" s="176"/>
      <c r="D49" s="176"/>
      <c r="E49" s="176"/>
      <c r="F49" s="177"/>
      <c r="G49" s="178"/>
      <c r="H49" s="179">
        <f>SUM(H40:H48)+H39</f>
        <v>442.39030000000002</v>
      </c>
      <c r="I49" s="28"/>
      <c r="J49" s="178"/>
      <c r="K49" s="180"/>
      <c r="L49" s="179">
        <f>SUM(L40:L48)+L39</f>
        <v>503.69063427682619</v>
      </c>
      <c r="M49" s="28"/>
      <c r="N49" s="161">
        <f t="shared" si="2"/>
        <v>61.300334276826163</v>
      </c>
      <c r="O49" s="162">
        <f t="shared" ref="O49:O67" si="13">IF((H49)=0,"",(N49/H49))</f>
        <v>0.13856618076125576</v>
      </c>
    </row>
    <row r="50" spans="2:19">
      <c r="B50" s="181" t="s">
        <v>31</v>
      </c>
      <c r="C50" s="28"/>
      <c r="D50" s="146" t="s">
        <v>65</v>
      </c>
      <c r="E50" s="28"/>
      <c r="F50" s="31">
        <v>2.3683000000000001</v>
      </c>
      <c r="G50" s="29">
        <f>F18*(1+F76)</f>
        <v>62.339999999999996</v>
      </c>
      <c r="H50" s="16">
        <f>G50*F50</f>
        <v>147.63982200000001</v>
      </c>
      <c r="I50" s="28"/>
      <c r="J50" s="31">
        <f>'[2]4.12 PowerSupplExp'!$N$60</f>
        <v>2.2676027838117778</v>
      </c>
      <c r="K50" s="30">
        <f>F18*(1+J76)</f>
        <v>62.742000000000004</v>
      </c>
      <c r="L50" s="16">
        <f>K50*J50</f>
        <v>142.27393386191858</v>
      </c>
      <c r="M50" s="28"/>
      <c r="N50" s="149">
        <f t="shared" si="2"/>
        <v>-5.3658881380814307</v>
      </c>
      <c r="O50" s="18">
        <f t="shared" si="13"/>
        <v>-3.6344450063624641E-2</v>
      </c>
    </row>
    <row r="51" spans="2:19" ht="25.5">
      <c r="B51" s="183" t="s">
        <v>32</v>
      </c>
      <c r="C51" s="28"/>
      <c r="D51" s="146" t="s">
        <v>65</v>
      </c>
      <c r="E51" s="28"/>
      <c r="F51" s="31">
        <v>1.5959000000000001</v>
      </c>
      <c r="G51" s="29">
        <f>G50</f>
        <v>62.339999999999996</v>
      </c>
      <c r="H51" s="16">
        <f>G51*F51</f>
        <v>99.488405999999998</v>
      </c>
      <c r="I51" s="28"/>
      <c r="J51" s="31">
        <f>'[2]4.12 PowerSupplExp'!$N$76</f>
        <v>1.6311900310603258</v>
      </c>
      <c r="K51" s="30">
        <f>K50</f>
        <v>62.742000000000004</v>
      </c>
      <c r="L51" s="16">
        <f>K51*J51</f>
        <v>102.34412492878697</v>
      </c>
      <c r="M51" s="28"/>
      <c r="N51" s="149">
        <f t="shared" si="2"/>
        <v>2.8557189287869704</v>
      </c>
      <c r="O51" s="18">
        <f t="shared" si="13"/>
        <v>2.8704037421073674E-2</v>
      </c>
    </row>
    <row r="52" spans="2:19" ht="25.5">
      <c r="B52" s="175" t="s">
        <v>33</v>
      </c>
      <c r="C52" s="154"/>
      <c r="D52" s="154"/>
      <c r="E52" s="154"/>
      <c r="F52" s="184"/>
      <c r="G52" s="178"/>
      <c r="H52" s="179">
        <f>SUM(H49:H51)</f>
        <v>689.51852800000006</v>
      </c>
      <c r="I52" s="185"/>
      <c r="J52" s="186"/>
      <c r="K52" s="187"/>
      <c r="L52" s="179">
        <f>SUM(L49:L51)</f>
        <v>748.30869306753175</v>
      </c>
      <c r="M52" s="185"/>
      <c r="N52" s="161">
        <f t="shared" si="2"/>
        <v>58.790165067531689</v>
      </c>
      <c r="O52" s="162">
        <f t="shared" si="13"/>
        <v>8.5262632808514871E-2</v>
      </c>
    </row>
    <row r="53" spans="2:19" ht="25.5">
      <c r="B53" s="145" t="s">
        <v>34</v>
      </c>
      <c r="C53" s="20"/>
      <c r="D53" s="188" t="s">
        <v>24</v>
      </c>
      <c r="E53" s="14"/>
      <c r="F53" s="31">
        <v>4.4000000000000003E-3</v>
      </c>
      <c r="G53" s="29">
        <f>G51</f>
        <v>62.339999999999996</v>
      </c>
      <c r="H53" s="16">
        <f t="shared" ref="H53:H59" si="14">G53*F53</f>
        <v>0.27429599999999998</v>
      </c>
      <c r="I53" s="28"/>
      <c r="J53" s="31">
        <v>4.4000000000000003E-3</v>
      </c>
      <c r="K53" s="30">
        <f>K51</f>
        <v>62.742000000000004</v>
      </c>
      <c r="L53" s="16">
        <f t="shared" ref="L53:L59" si="15">K53*J53</f>
        <v>0.27606480000000005</v>
      </c>
      <c r="M53" s="28"/>
      <c r="N53" s="149">
        <f t="shared" si="2"/>
        <v>1.7688000000000703E-3</v>
      </c>
      <c r="O53" s="18">
        <f t="shared" si="13"/>
        <v>6.4485081809434715E-3</v>
      </c>
    </row>
    <row r="54" spans="2:19" ht="25.5">
      <c r="B54" s="145" t="s">
        <v>35</v>
      </c>
      <c r="C54" s="20"/>
      <c r="D54" s="188" t="s">
        <v>24</v>
      </c>
      <c r="E54" s="14"/>
      <c r="F54" s="31">
        <v>1.1999999999999999E-3</v>
      </c>
      <c r="G54" s="29">
        <f>G51</f>
        <v>62.339999999999996</v>
      </c>
      <c r="H54" s="16">
        <f t="shared" si="14"/>
        <v>7.4807999999999986E-2</v>
      </c>
      <c r="I54" s="28"/>
      <c r="J54" s="31">
        <v>1.1999999999999999E-3</v>
      </c>
      <c r="K54" s="30">
        <f>K51</f>
        <v>62.742000000000004</v>
      </c>
      <c r="L54" s="16">
        <f t="shared" si="15"/>
        <v>7.5290399999999993E-2</v>
      </c>
      <c r="M54" s="28"/>
      <c r="N54" s="149">
        <f t="shared" si="2"/>
        <v>4.8240000000000782E-4</v>
      </c>
      <c r="O54" s="18">
        <f t="shared" si="13"/>
        <v>6.4485081809433206E-3</v>
      </c>
    </row>
    <row r="55" spans="2:19" ht="25.5">
      <c r="B55" s="145" t="s">
        <v>36</v>
      </c>
      <c r="C55" s="20"/>
      <c r="D55" s="188" t="s">
        <v>19</v>
      </c>
      <c r="E55" s="14"/>
      <c r="F55" s="31">
        <v>0.25</v>
      </c>
      <c r="G55" s="15">
        <v>1</v>
      </c>
      <c r="H55" s="16">
        <f t="shared" si="14"/>
        <v>0.25</v>
      </c>
      <c r="I55" s="28"/>
      <c r="J55" s="31">
        <v>0.25</v>
      </c>
      <c r="K55" s="17">
        <v>1</v>
      </c>
      <c r="L55" s="16">
        <f t="shared" si="15"/>
        <v>0.25</v>
      </c>
      <c r="M55" s="28"/>
      <c r="N55" s="149">
        <f t="shared" si="2"/>
        <v>0</v>
      </c>
      <c r="O55" s="18">
        <f t="shared" si="13"/>
        <v>0</v>
      </c>
    </row>
    <row r="56" spans="2:19" ht="25.5">
      <c r="B56" s="145" t="s">
        <v>37</v>
      </c>
      <c r="C56" s="20"/>
      <c r="D56" s="188" t="s">
        <v>24</v>
      </c>
      <c r="E56" s="14"/>
      <c r="F56" s="31">
        <v>4.8999999999999998E-3</v>
      </c>
      <c r="G56" s="29">
        <f>F18</f>
        <v>60</v>
      </c>
      <c r="H56" s="16">
        <f t="shared" si="14"/>
        <v>0.29399999999999998</v>
      </c>
      <c r="I56" s="28"/>
      <c r="J56" s="31">
        <v>4.8999999999999998E-3</v>
      </c>
      <c r="K56" s="30">
        <f>F18</f>
        <v>60</v>
      </c>
      <c r="L56" s="16">
        <f t="shared" si="15"/>
        <v>0.29399999999999998</v>
      </c>
      <c r="M56" s="28"/>
      <c r="N56" s="149">
        <f t="shared" si="2"/>
        <v>0</v>
      </c>
      <c r="O56" s="18">
        <f t="shared" si="13"/>
        <v>0</v>
      </c>
    </row>
    <row r="57" spans="2:19">
      <c r="B57" s="170" t="s">
        <v>38</v>
      </c>
      <c r="C57" s="20"/>
      <c r="D57" s="188" t="s">
        <v>24</v>
      </c>
      <c r="E57" s="14"/>
      <c r="F57" s="31">
        <v>7.6999999999999999E-2</v>
      </c>
      <c r="G57" s="189">
        <f>0.64*$F$18</f>
        <v>38.4</v>
      </c>
      <c r="H57" s="16">
        <f t="shared" si="14"/>
        <v>2.9567999999999999</v>
      </c>
      <c r="I57" s="28"/>
      <c r="J57" s="31">
        <v>7.6999999999999999E-2</v>
      </c>
      <c r="K57" s="189">
        <f>G57</f>
        <v>38.4</v>
      </c>
      <c r="L57" s="16">
        <f t="shared" si="15"/>
        <v>2.9567999999999999</v>
      </c>
      <c r="M57" s="28"/>
      <c r="N57" s="149">
        <f t="shared" si="2"/>
        <v>0</v>
      </c>
      <c r="O57" s="18">
        <f t="shared" si="13"/>
        <v>0</v>
      </c>
      <c r="S57" s="190"/>
    </row>
    <row r="58" spans="2:19">
      <c r="B58" s="170" t="s">
        <v>39</v>
      </c>
      <c r="C58" s="20"/>
      <c r="D58" s="188" t="s">
        <v>24</v>
      </c>
      <c r="E58" s="14"/>
      <c r="F58" s="31">
        <v>0.114</v>
      </c>
      <c r="G58" s="189">
        <f>0.18*$F$18</f>
        <v>10.799999999999999</v>
      </c>
      <c r="H58" s="16">
        <f t="shared" si="14"/>
        <v>1.2311999999999999</v>
      </c>
      <c r="I58" s="28"/>
      <c r="J58" s="31">
        <v>0.114</v>
      </c>
      <c r="K58" s="189">
        <f>G58</f>
        <v>10.799999999999999</v>
      </c>
      <c r="L58" s="16">
        <f t="shared" si="15"/>
        <v>1.2311999999999999</v>
      </c>
      <c r="M58" s="28"/>
      <c r="N58" s="149">
        <f t="shared" si="2"/>
        <v>0</v>
      </c>
      <c r="O58" s="18">
        <f t="shared" si="13"/>
        <v>0</v>
      </c>
      <c r="S58" s="190"/>
    </row>
    <row r="59" spans="2:19">
      <c r="B59" s="135" t="s">
        <v>40</v>
      </c>
      <c r="C59" s="20"/>
      <c r="D59" s="188" t="s">
        <v>24</v>
      </c>
      <c r="E59" s="14"/>
      <c r="F59" s="31">
        <v>0.14000000000000001</v>
      </c>
      <c r="G59" s="189">
        <f>0.18*$F$18</f>
        <v>10.799999999999999</v>
      </c>
      <c r="H59" s="16">
        <f t="shared" si="14"/>
        <v>1.512</v>
      </c>
      <c r="I59" s="28"/>
      <c r="J59" s="31">
        <v>0.14000000000000001</v>
      </c>
      <c r="K59" s="189">
        <f>G59</f>
        <v>10.799999999999999</v>
      </c>
      <c r="L59" s="16">
        <f t="shared" si="15"/>
        <v>1.512</v>
      </c>
      <c r="M59" s="28"/>
      <c r="N59" s="149">
        <f t="shared" si="2"/>
        <v>0</v>
      </c>
      <c r="O59" s="18">
        <f t="shared" si="13"/>
        <v>0</v>
      </c>
      <c r="S59" s="190"/>
    </row>
    <row r="60" spans="2:19" s="195" customFormat="1">
      <c r="B60" s="191" t="s">
        <v>41</v>
      </c>
      <c r="C60" s="32"/>
      <c r="D60" s="188" t="s">
        <v>24</v>
      </c>
      <c r="E60" s="32"/>
      <c r="F60" s="31">
        <v>8.5999999999999993E-2</v>
      </c>
      <c r="G60" s="192">
        <f>IF(AND($T$1=1, F18&gt;=600), 600, IF(AND($T$1=1, AND(F18&lt;600, F18&gt;=0)), F18, IF(AND($T$1=2, F18&gt;=1000), 1000, IF(AND($T$1=2, AND(F18&lt;1000, F18&gt;=0)), F18))))</f>
        <v>60</v>
      </c>
      <c r="H60" s="16">
        <f>G60*F60</f>
        <v>5.1599999999999993</v>
      </c>
      <c r="I60" s="193"/>
      <c r="J60" s="31">
        <v>8.5999999999999993E-2</v>
      </c>
      <c r="K60" s="192">
        <f>G60</f>
        <v>60</v>
      </c>
      <c r="L60" s="16">
        <f>K60*J60</f>
        <v>5.1599999999999993</v>
      </c>
      <c r="M60" s="193"/>
      <c r="N60" s="194">
        <f t="shared" si="2"/>
        <v>0</v>
      </c>
      <c r="O60" s="18">
        <f t="shared" si="13"/>
        <v>0</v>
      </c>
    </row>
    <row r="61" spans="2:19" s="195" customFormat="1" ht="13.5" thickBot="1">
      <c r="B61" s="191" t="s">
        <v>42</v>
      </c>
      <c r="C61" s="32"/>
      <c r="D61" s="188" t="s">
        <v>24</v>
      </c>
      <c r="E61" s="32"/>
      <c r="F61" s="31">
        <v>0.10100000000000001</v>
      </c>
      <c r="G61" s="192">
        <f>IF(AND($T$1=1, F18&gt;=600), F18-600, IF(AND($T$1=1, AND(F18&lt;600, F18&gt;=0)), 0, IF(AND($T$1=2, F18&gt;=1000), F18-1000, IF(AND($T$1=2, AND(F18&lt;1000, F18&gt;=0)), 0))))</f>
        <v>0</v>
      </c>
      <c r="H61" s="16">
        <f>G61*F61</f>
        <v>0</v>
      </c>
      <c r="I61" s="193"/>
      <c r="J61" s="31">
        <v>0.10100000000000001</v>
      </c>
      <c r="K61" s="192">
        <f>G61</f>
        <v>0</v>
      </c>
      <c r="L61" s="16">
        <f>K61*J61</f>
        <v>0</v>
      </c>
      <c r="M61" s="193"/>
      <c r="N61" s="194">
        <f t="shared" si="2"/>
        <v>0</v>
      </c>
      <c r="O61" s="18" t="str">
        <f t="shared" si="13"/>
        <v/>
      </c>
    </row>
    <row r="62" spans="2:19" ht="13.5" thickBot="1">
      <c r="B62" s="196"/>
      <c r="C62" s="197"/>
      <c r="D62" s="198"/>
      <c r="E62" s="197"/>
      <c r="F62" s="199"/>
      <c r="G62" s="200"/>
      <c r="H62" s="201"/>
      <c r="I62" s="202"/>
      <c r="J62" s="199"/>
      <c r="K62" s="203"/>
      <c r="L62" s="201"/>
      <c r="M62" s="202"/>
      <c r="N62" s="204"/>
      <c r="O62" s="205"/>
    </row>
    <row r="63" spans="2:19" ht="25.5">
      <c r="B63" s="33" t="s">
        <v>43</v>
      </c>
      <c r="C63" s="20"/>
      <c r="D63" s="20"/>
      <c r="E63" s="20"/>
      <c r="F63" s="34"/>
      <c r="G63" s="35"/>
      <c r="H63" s="36">
        <f>SUM(H53:H59,H52)</f>
        <v>696.1116320000001</v>
      </c>
      <c r="I63" s="37"/>
      <c r="J63" s="38"/>
      <c r="K63" s="38"/>
      <c r="L63" s="36">
        <f>SUM(L53:L59,L52)</f>
        <v>754.90404826753172</v>
      </c>
      <c r="M63" s="39"/>
      <c r="N63" s="40">
        <f>L63-H63</f>
        <v>58.792416267531621</v>
      </c>
      <c r="O63" s="41">
        <f>IF((H63)=0,"",(N63/H63))</f>
        <v>8.4458316116073198E-2</v>
      </c>
      <c r="S63" s="190"/>
    </row>
    <row r="64" spans="2:19">
      <c r="B64" s="42" t="s">
        <v>44</v>
      </c>
      <c r="C64" s="20"/>
      <c r="D64" s="20"/>
      <c r="E64" s="20"/>
      <c r="F64" s="43">
        <v>0.13</v>
      </c>
      <c r="G64" s="44"/>
      <c r="H64" s="45">
        <f>H63*F64</f>
        <v>90.494512160000014</v>
      </c>
      <c r="I64" s="46"/>
      <c r="J64" s="47">
        <v>0.13</v>
      </c>
      <c r="K64" s="46"/>
      <c r="L64" s="48">
        <f>L63*J64</f>
        <v>98.137526274779134</v>
      </c>
      <c r="M64" s="49"/>
      <c r="N64" s="50">
        <f t="shared" si="2"/>
        <v>7.6430141147791204</v>
      </c>
      <c r="O64" s="18">
        <f t="shared" si="13"/>
        <v>8.4458316116073295E-2</v>
      </c>
      <c r="S64" s="190"/>
    </row>
    <row r="65" spans="1:19">
      <c r="B65" s="206" t="s">
        <v>45</v>
      </c>
      <c r="C65" s="20"/>
      <c r="D65" s="20"/>
      <c r="E65" s="20"/>
      <c r="F65" s="51"/>
      <c r="G65" s="44"/>
      <c r="H65" s="45">
        <f>H63+H64</f>
        <v>786.6061441600001</v>
      </c>
      <c r="I65" s="46"/>
      <c r="J65" s="46"/>
      <c r="K65" s="46"/>
      <c r="L65" s="48">
        <f>L63+L64</f>
        <v>853.04157454231085</v>
      </c>
      <c r="M65" s="49"/>
      <c r="N65" s="50">
        <f t="shared" si="2"/>
        <v>66.435430382310756</v>
      </c>
      <c r="O65" s="18">
        <f t="shared" si="13"/>
        <v>8.4458316116073226E-2</v>
      </c>
      <c r="S65" s="190"/>
    </row>
    <row r="66" spans="1:19">
      <c r="B66" s="292" t="s">
        <v>46</v>
      </c>
      <c r="C66" s="292"/>
      <c r="D66" s="292"/>
      <c r="E66" s="20"/>
      <c r="F66" s="51"/>
      <c r="G66" s="44"/>
      <c r="H66" s="52">
        <f>ROUND(-H65*0.1,2)</f>
        <v>-78.66</v>
      </c>
      <c r="I66" s="46"/>
      <c r="J66" s="46"/>
      <c r="K66" s="46"/>
      <c r="L66" s="53">
        <f>ROUND(-L65*0.1,2)</f>
        <v>-85.3</v>
      </c>
      <c r="M66" s="49"/>
      <c r="N66" s="54">
        <f t="shared" si="2"/>
        <v>-6.6400000000000006</v>
      </c>
      <c r="O66" s="55">
        <f t="shared" si="13"/>
        <v>8.4413933384185111E-2</v>
      </c>
    </row>
    <row r="67" spans="1:19" ht="13.5" thickBot="1">
      <c r="B67" s="293" t="s">
        <v>47</v>
      </c>
      <c r="C67" s="293"/>
      <c r="D67" s="293"/>
      <c r="E67" s="14"/>
      <c r="F67" s="207"/>
      <c r="G67" s="208"/>
      <c r="H67" s="209">
        <f>H65+H66</f>
        <v>707.94614416000013</v>
      </c>
      <c r="I67" s="210"/>
      <c r="J67" s="210"/>
      <c r="K67" s="210"/>
      <c r="L67" s="211">
        <f>L65+L66</f>
        <v>767.7415745423109</v>
      </c>
      <c r="M67" s="212"/>
      <c r="N67" s="213">
        <f t="shared" si="2"/>
        <v>59.795430382310769</v>
      </c>
      <c r="O67" s="214">
        <f t="shared" si="13"/>
        <v>8.4463247487928453E-2</v>
      </c>
    </row>
    <row r="68" spans="1:19" s="195" customFormat="1" ht="13.5" thickBot="1">
      <c r="B68" s="215"/>
      <c r="C68" s="216"/>
      <c r="D68" s="217"/>
      <c r="E68" s="216"/>
      <c r="F68" s="199"/>
      <c r="G68" s="218"/>
      <c r="H68" s="201"/>
      <c r="I68" s="219"/>
      <c r="J68" s="199"/>
      <c r="K68" s="220"/>
      <c r="L68" s="201"/>
      <c r="M68" s="219"/>
      <c r="N68" s="221"/>
      <c r="O68" s="205"/>
    </row>
    <row r="69" spans="1:19" s="195" customFormat="1" ht="25.5">
      <c r="B69" s="56" t="s">
        <v>48</v>
      </c>
      <c r="C69" s="32"/>
      <c r="D69" s="32"/>
      <c r="E69" s="32"/>
      <c r="F69" s="57"/>
      <c r="G69" s="58"/>
      <c r="H69" s="59">
        <f>SUM(H60:H61,H52,H53:H56)</f>
        <v>695.57163200000002</v>
      </c>
      <c r="I69" s="60"/>
      <c r="J69" s="61"/>
      <c r="K69" s="61"/>
      <c r="L69" s="59">
        <f>SUM(L60:L61,L52,L53:L56)</f>
        <v>754.36404826753164</v>
      </c>
      <c r="M69" s="62"/>
      <c r="N69" s="63">
        <f>L69-H69</f>
        <v>58.792416267531621</v>
      </c>
      <c r="O69" s="41">
        <f>IF((H69)=0,"",(N69/H69))</f>
        <v>8.4523884475397382E-2</v>
      </c>
    </row>
    <row r="70" spans="1:19" s="195" customFormat="1">
      <c r="B70" s="64" t="s">
        <v>44</v>
      </c>
      <c r="C70" s="32"/>
      <c r="D70" s="32"/>
      <c r="E70" s="32"/>
      <c r="F70" s="65">
        <v>0.13</v>
      </c>
      <c r="G70" s="58"/>
      <c r="H70" s="66">
        <f>H69*F70</f>
        <v>90.424312159999999</v>
      </c>
      <c r="I70" s="67"/>
      <c r="J70" s="68">
        <v>0.13</v>
      </c>
      <c r="K70" s="69"/>
      <c r="L70" s="70">
        <f>L69*J70</f>
        <v>98.06732627477912</v>
      </c>
      <c r="M70" s="71"/>
      <c r="N70" s="72">
        <f>L70-H70</f>
        <v>7.6430141147791204</v>
      </c>
      <c r="O70" s="18">
        <f>IF((H70)=0,"",(N70/H70))</f>
        <v>8.4523884475397493E-2</v>
      </c>
    </row>
    <row r="71" spans="1:19" s="195" customFormat="1">
      <c r="B71" s="222" t="s">
        <v>45</v>
      </c>
      <c r="C71" s="32"/>
      <c r="D71" s="32"/>
      <c r="E71" s="32"/>
      <c r="F71" s="73"/>
      <c r="G71" s="74"/>
      <c r="H71" s="66">
        <f>H69+H70</f>
        <v>785.99594416000002</v>
      </c>
      <c r="I71" s="67"/>
      <c r="J71" s="67"/>
      <c r="K71" s="67"/>
      <c r="L71" s="70">
        <f>L69+L70</f>
        <v>852.43137454231078</v>
      </c>
      <c r="M71" s="71"/>
      <c r="N71" s="72">
        <f>L71-H71</f>
        <v>66.435430382310756</v>
      </c>
      <c r="O71" s="18">
        <f>IF((H71)=0,"",(N71/H71))</f>
        <v>8.4523884475397409E-2</v>
      </c>
    </row>
    <row r="72" spans="1:19" s="195" customFormat="1">
      <c r="B72" s="294" t="s">
        <v>46</v>
      </c>
      <c r="C72" s="294"/>
      <c r="D72" s="294"/>
      <c r="E72" s="32"/>
      <c r="F72" s="73"/>
      <c r="G72" s="74"/>
      <c r="H72" s="75">
        <f>ROUND(-H71*0.1,2)</f>
        <v>-78.599999999999994</v>
      </c>
      <c r="I72" s="67"/>
      <c r="J72" s="67"/>
      <c r="K72" s="67"/>
      <c r="L72" s="76">
        <f>ROUND(-L71*0.1,2)</f>
        <v>-85.24</v>
      </c>
      <c r="M72" s="71"/>
      <c r="N72" s="77">
        <f>L72-H72</f>
        <v>-6.6400000000000006</v>
      </c>
      <c r="O72" s="55">
        <f>IF((H72)=0,"",(N72/H72))</f>
        <v>8.4478371501272284E-2</v>
      </c>
    </row>
    <row r="73" spans="1:19" s="195" customFormat="1" ht="13.5" thickBot="1">
      <c r="B73" s="288" t="s">
        <v>49</v>
      </c>
      <c r="C73" s="288"/>
      <c r="D73" s="288"/>
      <c r="E73" s="32"/>
      <c r="F73" s="73"/>
      <c r="G73" s="74"/>
      <c r="H73" s="59">
        <f>SUM(H71:H72)</f>
        <v>707.39594416</v>
      </c>
      <c r="I73" s="60"/>
      <c r="J73" s="60"/>
      <c r="K73" s="60"/>
      <c r="L73" s="223">
        <f>SUM(L71:L72)</f>
        <v>767.19137454231077</v>
      </c>
      <c r="M73" s="62"/>
      <c r="N73" s="63">
        <f>L73-H73</f>
        <v>59.795430382310769</v>
      </c>
      <c r="O73" s="41">
        <f>IF((H73)=0,"",(N73/H73))</f>
        <v>8.452894150151663E-2</v>
      </c>
    </row>
    <row r="74" spans="1:19" s="195" customFormat="1" ht="13.5" thickBot="1">
      <c r="B74" s="215"/>
      <c r="C74" s="216"/>
      <c r="D74" s="217"/>
      <c r="E74" s="216"/>
      <c r="F74" s="224"/>
      <c r="G74" s="225"/>
      <c r="H74" s="226"/>
      <c r="I74" s="227"/>
      <c r="J74" s="224"/>
      <c r="K74" s="218"/>
      <c r="L74" s="228"/>
      <c r="M74" s="219"/>
      <c r="N74" s="229"/>
      <c r="O74" s="205"/>
    </row>
    <row r="75" spans="1:19">
      <c r="L75" s="190"/>
    </row>
    <row r="76" spans="1:19">
      <c r="B76" s="230" t="s">
        <v>50</v>
      </c>
      <c r="F76" s="231">
        <v>3.9E-2</v>
      </c>
      <c r="J76" s="231">
        <v>4.5699999999999998E-2</v>
      </c>
    </row>
    <row r="78" spans="1:19" ht="14.25">
      <c r="A78" s="232" t="s">
        <v>51</v>
      </c>
    </row>
    <row r="80" spans="1:19">
      <c r="A80" s="12" t="s">
        <v>52</v>
      </c>
    </row>
    <row r="81" spans="1:2">
      <c r="A81" s="12" t="s">
        <v>53</v>
      </c>
    </row>
    <row r="83" spans="1:2">
      <c r="A83" s="233" t="s">
        <v>54</v>
      </c>
    </row>
    <row r="84" spans="1:2">
      <c r="A84" s="233" t="s">
        <v>55</v>
      </c>
    </row>
    <row r="86" spans="1:2">
      <c r="A86" s="12" t="s">
        <v>56</v>
      </c>
    </row>
    <row r="87" spans="1:2">
      <c r="A87" s="12" t="s">
        <v>57</v>
      </c>
    </row>
    <row r="88" spans="1:2">
      <c r="A88" s="12" t="s">
        <v>58</v>
      </c>
    </row>
    <row r="89" spans="1:2">
      <c r="A89" s="12" t="s">
        <v>59</v>
      </c>
    </row>
    <row r="90" spans="1:2">
      <c r="A90" s="12" t="s">
        <v>60</v>
      </c>
    </row>
    <row r="92" spans="1:2" ht="51">
      <c r="B92" s="13" t="s">
        <v>61</v>
      </c>
    </row>
  </sheetData>
  <mergeCells count="14">
    <mergeCell ref="A3:K3"/>
    <mergeCell ref="B10:O10"/>
    <mergeCell ref="B11:O11"/>
    <mergeCell ref="D14:O14"/>
    <mergeCell ref="F20:H20"/>
    <mergeCell ref="J20:L20"/>
    <mergeCell ref="N20:O20"/>
    <mergeCell ref="B73:D73"/>
    <mergeCell ref="D21:D22"/>
    <mergeCell ref="N21:N22"/>
    <mergeCell ref="O21:O22"/>
    <mergeCell ref="B66:D66"/>
    <mergeCell ref="B67:D67"/>
    <mergeCell ref="B72:D72"/>
  </mergeCells>
  <dataValidations count="3">
    <dataValidation type="list" allowBlank="1" showInputMessage="1" showErrorMessage="1" sqref="E23:E38 E74 E50:E51 E53:E62 E68 E40:E48">
      <formula1>"#REF!"</formula1>
      <formula2>0</formula2>
    </dataValidation>
    <dataValidation type="list" allowBlank="1" showInputMessage="1" showErrorMessage="1" prompt="Select Charge Unit - monthly, per kWh, per kW" sqref="D74 D23:D38 D50:D51 D68 D53:D62 D40:D48">
      <formula1>"Monthly,per kWh,per kW"</formula1>
      <formula2>0</formula2>
    </dataValidation>
    <dataValidation type="list" allowBlank="1" showInputMessage="1" showErrorMessage="1" sqref="D16">
      <formula1>"TOU,non-TOU"</formula1>
      <formula2>0</formula2>
    </dataValidation>
  </dataValidations>
  <pageMargins left="0.7" right="0.7" top="0.75" bottom="0.75" header="0.3" footer="0.3"/>
  <pageSetup paperSize="9" scale="4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Option Button 44">
              <controlPr defaultSize="0" autoFill="0" autoLine="0" autoPict="0">
                <anchor moveWithCells="1" sizeWithCells="1">
                  <from>
                    <xdr:col>6</xdr:col>
                    <xdr:colOff>476250</xdr:colOff>
                    <xdr:row>17</xdr:row>
                    <xdr:rowOff>0</xdr:rowOff>
                  </from>
                  <to>
                    <xdr:col>9</xdr:col>
                    <xdr:colOff>733425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Option Button 45">
              <controlPr defaultSize="0" autoFill="0" autoLine="0" autoPict="0">
                <anchor moveWithCells="1" sizeWithCells="1">
                  <from>
                    <xdr:col>9</xdr:col>
                    <xdr:colOff>371475</xdr:colOff>
                    <xdr:row>16</xdr:row>
                    <xdr:rowOff>104775</xdr:rowOff>
                  </from>
                  <to>
                    <xdr:col>16</xdr:col>
                    <xdr:colOff>257175</xdr:colOff>
                    <xdr:row>18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92"/>
  <sheetViews>
    <sheetView showGridLines="0" topLeftCell="A52" workbookViewId="0">
      <selection activeCell="B10" sqref="B10:O10"/>
    </sheetView>
  </sheetViews>
  <sheetFormatPr defaultRowHeight="12.75"/>
  <cols>
    <col min="1" max="1" width="11.28515625" style="12" customWidth="1"/>
    <col min="2" max="2" width="26.5703125" style="13" customWidth="1"/>
    <col min="3" max="3" width="1.28515625" style="12" customWidth="1"/>
    <col min="4" max="4" width="11.28515625" style="12" customWidth="1"/>
    <col min="5" max="5" width="1.28515625" style="12" customWidth="1"/>
    <col min="6" max="6" width="12.28515625" style="12" customWidth="1"/>
    <col min="7" max="7" width="8.5703125" style="12" customWidth="1"/>
    <col min="8" max="8" width="11.140625" style="12" customWidth="1"/>
    <col min="9" max="9" width="2.85546875" style="12" customWidth="1"/>
    <col min="10" max="10" width="12.140625" style="12" customWidth="1"/>
    <col min="11" max="11" width="8.5703125" style="12" customWidth="1"/>
    <col min="12" max="12" width="10.28515625" style="12" bestFit="1" customWidth="1"/>
    <col min="13" max="13" width="2.85546875" style="12" customWidth="1"/>
    <col min="14" max="14" width="12.7109375" style="12" customWidth="1"/>
    <col min="15" max="15" width="10.85546875" style="12" customWidth="1"/>
    <col min="16" max="16" width="3.85546875" style="12" customWidth="1"/>
    <col min="17" max="16384" width="9.140625" style="12"/>
  </cols>
  <sheetData>
    <row r="1" spans="1:20" s="2" customFormat="1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/>
      <c r="O1" s="4"/>
      <c r="T1" s="2">
        <v>1</v>
      </c>
    </row>
    <row r="2" spans="1:20" s="2" customFormat="1" ht="12.75" customHeight="1">
      <c r="A2" s="5"/>
      <c r="B2" s="6"/>
      <c r="C2" s="5"/>
      <c r="D2" s="5"/>
      <c r="E2" s="5"/>
      <c r="F2" s="5"/>
      <c r="G2" s="5"/>
      <c r="H2" s="5"/>
      <c r="I2" s="5"/>
      <c r="J2" s="5"/>
      <c r="K2" s="5"/>
      <c r="N2" s="3"/>
      <c r="O2" s="7"/>
    </row>
    <row r="3" spans="1:20" s="2" customFormat="1" ht="12.75" customHeight="1">
      <c r="A3" s="295"/>
      <c r="B3" s="295"/>
      <c r="C3" s="295"/>
      <c r="D3" s="295"/>
      <c r="E3" s="295"/>
      <c r="F3" s="295"/>
      <c r="G3" s="295"/>
      <c r="H3" s="295"/>
      <c r="I3" s="295"/>
      <c r="J3" s="295"/>
      <c r="K3" s="295"/>
      <c r="N3" s="3"/>
      <c r="O3" s="7"/>
    </row>
    <row r="4" spans="1:20" s="2" customFormat="1" ht="12.75" customHeight="1">
      <c r="A4" s="5"/>
      <c r="B4" s="6"/>
      <c r="C4" s="5"/>
      <c r="D4" s="5"/>
      <c r="E4" s="5"/>
      <c r="F4" s="5"/>
      <c r="G4" s="5"/>
      <c r="H4" s="5"/>
      <c r="I4" s="8"/>
      <c r="J4" s="8"/>
      <c r="K4" s="8"/>
      <c r="N4" s="3"/>
      <c r="O4" s="7"/>
    </row>
    <row r="5" spans="1:20" s="2" customFormat="1" ht="12.75" customHeight="1">
      <c r="B5" s="9"/>
      <c r="C5" s="10"/>
      <c r="D5" s="10"/>
      <c r="E5" s="10"/>
      <c r="N5" s="3"/>
      <c r="O5" s="4"/>
    </row>
    <row r="6" spans="1:20" s="2" customFormat="1" ht="12.75" customHeight="1">
      <c r="B6" s="9"/>
      <c r="N6" s="3"/>
      <c r="O6" s="11"/>
    </row>
    <row r="7" spans="1:20" s="2" customFormat="1" ht="12.75" customHeight="1">
      <c r="B7" s="9"/>
      <c r="N7" s="3"/>
      <c r="O7" s="4"/>
    </row>
    <row r="8" spans="1:20" s="2" customFormat="1" ht="12.75" customHeight="1">
      <c r="B8" s="9"/>
    </row>
    <row r="9" spans="1:20" ht="12.75" customHeight="1"/>
    <row r="10" spans="1:20" s="130" customFormat="1" ht="18.75" customHeight="1">
      <c r="B10" s="299" t="s">
        <v>0</v>
      </c>
      <c r="C10" s="299"/>
      <c r="D10" s="299"/>
      <c r="E10" s="299"/>
      <c r="F10" s="299"/>
      <c r="G10" s="299"/>
      <c r="H10" s="299"/>
      <c r="I10" s="299"/>
      <c r="J10" s="299"/>
      <c r="K10" s="299"/>
      <c r="L10" s="299"/>
      <c r="M10" s="299"/>
      <c r="N10" s="299"/>
      <c r="O10" s="299"/>
    </row>
    <row r="11" spans="1:20" ht="18.75" customHeight="1">
      <c r="B11" s="296" t="s">
        <v>1</v>
      </c>
      <c r="C11" s="296"/>
      <c r="D11" s="296"/>
      <c r="E11" s="296"/>
      <c r="F11" s="296"/>
      <c r="G11" s="296"/>
      <c r="H11" s="296"/>
      <c r="I11" s="296"/>
      <c r="J11" s="296"/>
      <c r="K11" s="296"/>
      <c r="L11" s="296"/>
      <c r="M11" s="296"/>
      <c r="N11" s="296"/>
      <c r="O11" s="296"/>
    </row>
    <row r="12" spans="1:20" ht="7.5" customHeight="1"/>
    <row r="13" spans="1:20" ht="7.5" customHeight="1"/>
    <row r="14" spans="1:20" ht="15.75">
      <c r="B14" s="131" t="s">
        <v>2</v>
      </c>
      <c r="D14" s="297" t="s">
        <v>64</v>
      </c>
      <c r="E14" s="297"/>
      <c r="F14" s="297"/>
      <c r="G14" s="297"/>
      <c r="H14" s="297"/>
      <c r="I14" s="297"/>
      <c r="J14" s="297"/>
      <c r="K14" s="297"/>
      <c r="L14" s="297"/>
      <c r="M14" s="297"/>
      <c r="N14" s="297"/>
      <c r="O14" s="297"/>
    </row>
    <row r="15" spans="1:20" ht="7.5" customHeight="1">
      <c r="B15" s="132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</row>
    <row r="16" spans="1:20" ht="15.75">
      <c r="B16" s="131" t="s">
        <v>4</v>
      </c>
      <c r="D16" s="134" t="s">
        <v>5</v>
      </c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</row>
    <row r="17" spans="1:15" ht="15.75">
      <c r="B17" s="132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</row>
    <row r="18" spans="1:15">
      <c r="B18" s="135"/>
      <c r="D18" s="136" t="s">
        <v>6</v>
      </c>
      <c r="E18" s="136"/>
      <c r="F18" s="137">
        <v>100</v>
      </c>
      <c r="G18" s="136" t="s">
        <v>7</v>
      </c>
    </row>
    <row r="19" spans="1:15">
      <c r="B19" s="135"/>
    </row>
    <row r="20" spans="1:15">
      <c r="B20" s="135"/>
      <c r="D20" s="138"/>
      <c r="E20" s="138"/>
      <c r="F20" s="298" t="s">
        <v>8</v>
      </c>
      <c r="G20" s="298"/>
      <c r="H20" s="298"/>
      <c r="J20" s="298" t="s">
        <v>9</v>
      </c>
      <c r="K20" s="298"/>
      <c r="L20" s="298"/>
      <c r="N20" s="298" t="s">
        <v>10</v>
      </c>
      <c r="O20" s="298"/>
    </row>
    <row r="21" spans="1:15">
      <c r="B21" s="135"/>
      <c r="D21" s="289" t="s">
        <v>11</v>
      </c>
      <c r="E21" s="139"/>
      <c r="F21" s="140" t="s">
        <v>12</v>
      </c>
      <c r="G21" s="140" t="s">
        <v>13</v>
      </c>
      <c r="H21" s="141" t="s">
        <v>14</v>
      </c>
      <c r="J21" s="140" t="s">
        <v>12</v>
      </c>
      <c r="K21" s="142" t="s">
        <v>13</v>
      </c>
      <c r="L21" s="141" t="s">
        <v>14</v>
      </c>
      <c r="N21" s="290" t="s">
        <v>15</v>
      </c>
      <c r="O21" s="291" t="s">
        <v>16</v>
      </c>
    </row>
    <row r="22" spans="1:15">
      <c r="B22" s="135"/>
      <c r="D22" s="289"/>
      <c r="E22" s="139"/>
      <c r="F22" s="143" t="s">
        <v>17</v>
      </c>
      <c r="G22" s="143"/>
      <c r="H22" s="144" t="s">
        <v>17</v>
      </c>
      <c r="J22" s="143" t="s">
        <v>17</v>
      </c>
      <c r="K22" s="144"/>
      <c r="L22" s="144" t="s">
        <v>17</v>
      </c>
      <c r="N22" s="290"/>
      <c r="O22" s="291"/>
    </row>
    <row r="23" spans="1:15">
      <c r="B23" s="145" t="s">
        <v>18</v>
      </c>
      <c r="C23" s="20"/>
      <c r="D23" s="146" t="s">
        <v>19</v>
      </c>
      <c r="E23" s="14"/>
      <c r="F23" s="147">
        <f>'[1]B. CurrentTariff'!C74</f>
        <v>378.72</v>
      </c>
      <c r="G23" s="15">
        <v>1</v>
      </c>
      <c r="H23" s="16">
        <f>G23*F23</f>
        <v>378.72</v>
      </c>
      <c r="I23" s="28"/>
      <c r="J23" s="148">
        <f>'[1]G. RateDesign'!B48</f>
        <v>378.72</v>
      </c>
      <c r="K23" s="17">
        <v>1</v>
      </c>
      <c r="L23" s="16">
        <f>K23*J23</f>
        <v>378.72</v>
      </c>
      <c r="M23" s="28"/>
      <c r="N23" s="149">
        <f>L23-H23</f>
        <v>0</v>
      </c>
      <c r="O23" s="18">
        <f>IF((H23)=0,"",(N23/H23))</f>
        <v>0</v>
      </c>
    </row>
    <row r="24" spans="1:15">
      <c r="A24" s="19"/>
      <c r="B24" s="145" t="s">
        <v>20</v>
      </c>
      <c r="C24" s="20"/>
      <c r="D24" s="146"/>
      <c r="E24" s="14"/>
      <c r="F24" s="150"/>
      <c r="G24" s="15">
        <v>1</v>
      </c>
      <c r="H24" s="16">
        <f t="shared" ref="H24:H38" si="0">G24*F24</f>
        <v>0</v>
      </c>
      <c r="I24" s="28"/>
      <c r="J24" s="31"/>
      <c r="K24" s="17">
        <v>1</v>
      </c>
      <c r="L24" s="16">
        <f>K24*J24</f>
        <v>0</v>
      </c>
      <c r="M24" s="28"/>
      <c r="N24" s="149">
        <f>L24-H24</f>
        <v>0</v>
      </c>
      <c r="O24" s="18" t="str">
        <f>IF((H24)=0,"",(N24/H24))</f>
        <v/>
      </c>
    </row>
    <row r="25" spans="1:15">
      <c r="A25" s="19"/>
      <c r="B25" s="151" t="s">
        <v>21</v>
      </c>
      <c r="C25" s="20"/>
      <c r="D25" s="146" t="s">
        <v>19</v>
      </c>
      <c r="E25" s="14"/>
      <c r="F25" s="150"/>
      <c r="G25" s="15">
        <v>1</v>
      </c>
      <c r="H25" s="16">
        <f t="shared" si="0"/>
        <v>0</v>
      </c>
      <c r="I25" s="28"/>
      <c r="J25" s="148">
        <f>'[1]I. SMRR'!G15</f>
        <v>0</v>
      </c>
      <c r="K25" s="17">
        <v>1</v>
      </c>
      <c r="L25" s="16">
        <f t="shared" ref="L25:L38" si="1">K25*J25</f>
        <v>0</v>
      </c>
      <c r="M25" s="28"/>
      <c r="N25" s="149">
        <f t="shared" ref="N25:N67" si="2">L25-H25</f>
        <v>0</v>
      </c>
      <c r="O25" s="18" t="str">
        <f t="shared" ref="O25:O47" si="3">IF((H25)=0,"",(N25/H25))</f>
        <v/>
      </c>
    </row>
    <row r="26" spans="1:15">
      <c r="A26" s="19"/>
      <c r="B26" s="152"/>
      <c r="C26" s="20"/>
      <c r="D26" s="146"/>
      <c r="E26" s="14"/>
      <c r="F26" s="150"/>
      <c r="G26" s="15">
        <v>1</v>
      </c>
      <c r="H26" s="16">
        <f t="shared" si="0"/>
        <v>0</v>
      </c>
      <c r="I26" s="28"/>
      <c r="J26" s="31"/>
      <c r="K26" s="17">
        <v>1</v>
      </c>
      <c r="L26" s="16">
        <f t="shared" si="1"/>
        <v>0</v>
      </c>
      <c r="M26" s="28"/>
      <c r="N26" s="149">
        <f t="shared" si="2"/>
        <v>0</v>
      </c>
      <c r="O26" s="18" t="str">
        <f t="shared" si="3"/>
        <v/>
      </c>
    </row>
    <row r="27" spans="1:15">
      <c r="A27" s="19"/>
      <c r="B27" s="152"/>
      <c r="C27" s="20"/>
      <c r="D27" s="146"/>
      <c r="E27" s="14"/>
      <c r="F27" s="150"/>
      <c r="G27" s="15">
        <v>1</v>
      </c>
      <c r="H27" s="16">
        <f t="shared" si="0"/>
        <v>0</v>
      </c>
      <c r="I27" s="28"/>
      <c r="J27" s="31"/>
      <c r="K27" s="17">
        <v>1</v>
      </c>
      <c r="L27" s="16">
        <f t="shared" si="1"/>
        <v>0</v>
      </c>
      <c r="M27" s="28"/>
      <c r="N27" s="149">
        <f t="shared" si="2"/>
        <v>0</v>
      </c>
      <c r="O27" s="18" t="str">
        <f t="shared" si="3"/>
        <v/>
      </c>
    </row>
    <row r="28" spans="1:15">
      <c r="A28" s="19"/>
      <c r="B28" s="152"/>
      <c r="C28" s="20"/>
      <c r="D28" s="146"/>
      <c r="E28" s="14"/>
      <c r="F28" s="150"/>
      <c r="G28" s="15">
        <v>1</v>
      </c>
      <c r="H28" s="16">
        <f t="shared" si="0"/>
        <v>0</v>
      </c>
      <c r="I28" s="28"/>
      <c r="J28" s="31"/>
      <c r="K28" s="17">
        <v>1</v>
      </c>
      <c r="L28" s="16">
        <f t="shared" si="1"/>
        <v>0</v>
      </c>
      <c r="M28" s="28"/>
      <c r="N28" s="149">
        <f t="shared" si="2"/>
        <v>0</v>
      </c>
      <c r="O28" s="18" t="str">
        <f t="shared" si="3"/>
        <v/>
      </c>
    </row>
    <row r="29" spans="1:15">
      <c r="A29" s="19"/>
      <c r="B29" s="145" t="s">
        <v>23</v>
      </c>
      <c r="C29" s="20"/>
      <c r="D29" s="146" t="s">
        <v>65</v>
      </c>
      <c r="E29" s="14"/>
      <c r="F29" s="150">
        <f>'[1]B. CurrentTariff'!C75</f>
        <v>0.64890000000000003</v>
      </c>
      <c r="G29" s="15">
        <f t="shared" ref="G29:G38" si="4">$F$18</f>
        <v>100</v>
      </c>
      <c r="H29" s="16">
        <f t="shared" si="0"/>
        <v>64.89</v>
      </c>
      <c r="I29" s="28"/>
      <c r="J29" s="31">
        <f>'[1]G. RateDesign'!G48</f>
        <v>1.113958109377494</v>
      </c>
      <c r="K29" s="15">
        <f>$F$18</f>
        <v>100</v>
      </c>
      <c r="L29" s="16">
        <f t="shared" si="1"/>
        <v>111.39581093774939</v>
      </c>
      <c r="M29" s="28"/>
      <c r="N29" s="149">
        <f t="shared" si="2"/>
        <v>46.505810937749388</v>
      </c>
      <c r="O29" s="18">
        <f t="shared" si="3"/>
        <v>0.71668686912851576</v>
      </c>
    </row>
    <row r="30" spans="1:15">
      <c r="A30" s="19"/>
      <c r="B30" s="145" t="s">
        <v>22</v>
      </c>
      <c r="C30" s="20"/>
      <c r="D30" s="146" t="s">
        <v>65</v>
      </c>
      <c r="E30" s="14"/>
      <c r="F30" s="150"/>
      <c r="G30" s="15">
        <f t="shared" si="4"/>
        <v>100</v>
      </c>
      <c r="H30" s="16">
        <f t="shared" si="0"/>
        <v>0</v>
      </c>
      <c r="I30" s="28"/>
      <c r="J30" s="31"/>
      <c r="K30" s="15">
        <f t="shared" ref="K30:K38" si="5">$F$18</f>
        <v>100</v>
      </c>
      <c r="L30" s="16">
        <f t="shared" si="1"/>
        <v>0</v>
      </c>
      <c r="M30" s="28"/>
      <c r="N30" s="149">
        <f t="shared" si="2"/>
        <v>0</v>
      </c>
      <c r="O30" s="18" t="str">
        <f t="shared" si="3"/>
        <v/>
      </c>
    </row>
    <row r="31" spans="1:15">
      <c r="A31" s="19"/>
      <c r="B31" s="145" t="s">
        <v>25</v>
      </c>
      <c r="C31" s="20"/>
      <c r="D31" s="146" t="s">
        <v>65</v>
      </c>
      <c r="E31" s="14"/>
      <c r="F31" s="150"/>
      <c r="G31" s="15">
        <f t="shared" si="4"/>
        <v>100</v>
      </c>
      <c r="H31" s="16">
        <f t="shared" si="0"/>
        <v>0</v>
      </c>
      <c r="I31" s="28"/>
      <c r="J31" s="31"/>
      <c r="K31" s="15">
        <f t="shared" si="5"/>
        <v>100</v>
      </c>
      <c r="L31" s="16">
        <f t="shared" si="1"/>
        <v>0</v>
      </c>
      <c r="M31" s="28"/>
      <c r="N31" s="149">
        <f t="shared" si="2"/>
        <v>0</v>
      </c>
      <c r="O31" s="18" t="str">
        <f t="shared" si="3"/>
        <v/>
      </c>
    </row>
    <row r="32" spans="1:15">
      <c r="A32" s="19"/>
      <c r="B32" s="151"/>
      <c r="C32" s="20"/>
      <c r="D32" s="146"/>
      <c r="E32" s="14"/>
      <c r="F32" s="150"/>
      <c r="G32" s="15">
        <f t="shared" si="4"/>
        <v>100</v>
      </c>
      <c r="H32" s="16">
        <f>G32*F32</f>
        <v>0</v>
      </c>
      <c r="I32" s="28"/>
      <c r="J32" s="31"/>
      <c r="K32" s="15">
        <f t="shared" si="5"/>
        <v>100</v>
      </c>
      <c r="L32" s="16">
        <f>K32*J32</f>
        <v>0</v>
      </c>
      <c r="M32" s="28"/>
      <c r="N32" s="149">
        <f>L32-H32</f>
        <v>0</v>
      </c>
      <c r="O32" s="18" t="str">
        <f>IF((H32)=0,"",(N32/H32))</f>
        <v/>
      </c>
    </row>
    <row r="33" spans="1:15">
      <c r="A33" s="19"/>
      <c r="B33" s="151"/>
      <c r="C33" s="20"/>
      <c r="D33" s="146"/>
      <c r="E33" s="14"/>
      <c r="F33" s="150"/>
      <c r="G33" s="15">
        <f t="shared" si="4"/>
        <v>100</v>
      </c>
      <c r="H33" s="16">
        <f>G33*F33</f>
        <v>0</v>
      </c>
      <c r="I33" s="28"/>
      <c r="J33" s="31"/>
      <c r="K33" s="15">
        <f t="shared" si="5"/>
        <v>100</v>
      </c>
      <c r="L33" s="16">
        <f>K33*J33</f>
        <v>0</v>
      </c>
      <c r="M33" s="28"/>
      <c r="N33" s="149">
        <f>L33-H33</f>
        <v>0</v>
      </c>
      <c r="O33" s="18" t="str">
        <f>IF((H33)=0,"",(N33/H33))</f>
        <v/>
      </c>
    </row>
    <row r="34" spans="1:15">
      <c r="A34" s="19"/>
      <c r="B34" s="151"/>
      <c r="C34" s="20"/>
      <c r="D34" s="146"/>
      <c r="E34" s="14"/>
      <c r="F34" s="150"/>
      <c r="G34" s="15">
        <f t="shared" si="4"/>
        <v>100</v>
      </c>
      <c r="H34" s="16">
        <f>G34*F34</f>
        <v>0</v>
      </c>
      <c r="I34" s="28"/>
      <c r="J34" s="31"/>
      <c r="K34" s="15">
        <f t="shared" si="5"/>
        <v>100</v>
      </c>
      <c r="L34" s="16">
        <f>K34*J34</f>
        <v>0</v>
      </c>
      <c r="M34" s="28"/>
      <c r="N34" s="149">
        <f>L34-H34</f>
        <v>0</v>
      </c>
      <c r="O34" s="18" t="str">
        <f>IF((H34)=0,"",(N34/H34))</f>
        <v/>
      </c>
    </row>
    <row r="35" spans="1:15">
      <c r="A35" s="19"/>
      <c r="B35" s="151"/>
      <c r="C35" s="20"/>
      <c r="D35" s="146"/>
      <c r="E35" s="14"/>
      <c r="F35" s="150"/>
      <c r="G35" s="15">
        <f t="shared" si="4"/>
        <v>100</v>
      </c>
      <c r="H35" s="16">
        <f t="shared" si="0"/>
        <v>0</v>
      </c>
      <c r="I35" s="28"/>
      <c r="J35" s="31"/>
      <c r="K35" s="15">
        <f t="shared" si="5"/>
        <v>100</v>
      </c>
      <c r="L35" s="16">
        <f t="shared" si="1"/>
        <v>0</v>
      </c>
      <c r="M35" s="28"/>
      <c r="N35" s="149">
        <f t="shared" si="2"/>
        <v>0</v>
      </c>
      <c r="O35" s="18" t="str">
        <f t="shared" si="3"/>
        <v/>
      </c>
    </row>
    <row r="36" spans="1:15">
      <c r="A36" s="19"/>
      <c r="B36" s="151"/>
      <c r="C36" s="20"/>
      <c r="D36" s="146"/>
      <c r="E36" s="14"/>
      <c r="F36" s="150"/>
      <c r="G36" s="15">
        <f t="shared" si="4"/>
        <v>100</v>
      </c>
      <c r="H36" s="16">
        <f t="shared" si="0"/>
        <v>0</v>
      </c>
      <c r="I36" s="28"/>
      <c r="J36" s="31"/>
      <c r="K36" s="15">
        <f t="shared" si="5"/>
        <v>100</v>
      </c>
      <c r="L36" s="16">
        <f t="shared" si="1"/>
        <v>0</v>
      </c>
      <c r="M36" s="28"/>
      <c r="N36" s="149">
        <f t="shared" si="2"/>
        <v>0</v>
      </c>
      <c r="O36" s="18" t="str">
        <f t="shared" si="3"/>
        <v/>
      </c>
    </row>
    <row r="37" spans="1:15">
      <c r="A37" s="19"/>
      <c r="B37" s="151"/>
      <c r="C37" s="20"/>
      <c r="D37" s="146"/>
      <c r="E37" s="14"/>
      <c r="F37" s="150"/>
      <c r="G37" s="15">
        <f t="shared" si="4"/>
        <v>100</v>
      </c>
      <c r="H37" s="16">
        <f t="shared" si="0"/>
        <v>0</v>
      </c>
      <c r="I37" s="28"/>
      <c r="J37" s="31"/>
      <c r="K37" s="15">
        <f t="shared" si="5"/>
        <v>100</v>
      </c>
      <c r="L37" s="16">
        <f t="shared" si="1"/>
        <v>0</v>
      </c>
      <c r="M37" s="28"/>
      <c r="N37" s="149">
        <f t="shared" si="2"/>
        <v>0</v>
      </c>
      <c r="O37" s="18" t="str">
        <f t="shared" si="3"/>
        <v/>
      </c>
    </row>
    <row r="38" spans="1:15">
      <c r="A38" s="19"/>
      <c r="B38" s="151"/>
      <c r="C38" s="20"/>
      <c r="D38" s="146"/>
      <c r="E38" s="14"/>
      <c r="F38" s="150"/>
      <c r="G38" s="15">
        <f t="shared" si="4"/>
        <v>100</v>
      </c>
      <c r="H38" s="16">
        <f t="shared" si="0"/>
        <v>0</v>
      </c>
      <c r="I38" s="28"/>
      <c r="J38" s="31"/>
      <c r="K38" s="15">
        <f t="shared" si="5"/>
        <v>100</v>
      </c>
      <c r="L38" s="16">
        <f t="shared" si="1"/>
        <v>0</v>
      </c>
      <c r="M38" s="28"/>
      <c r="N38" s="149">
        <f t="shared" si="2"/>
        <v>0</v>
      </c>
      <c r="O38" s="18" t="str">
        <f t="shared" si="3"/>
        <v/>
      </c>
    </row>
    <row r="39" spans="1:15">
      <c r="A39" s="19"/>
      <c r="B39" s="153" t="s">
        <v>26</v>
      </c>
      <c r="C39" s="154"/>
      <c r="D39" s="155"/>
      <c r="E39" s="154"/>
      <c r="F39" s="156"/>
      <c r="G39" s="157"/>
      <c r="H39" s="158">
        <f>SUM(H23:H38)</f>
        <v>443.61</v>
      </c>
      <c r="I39" s="28"/>
      <c r="J39" s="159"/>
      <c r="K39" s="160"/>
      <c r="L39" s="158">
        <f>SUM(L23:L38)</f>
        <v>490.11581093774942</v>
      </c>
      <c r="M39" s="28"/>
      <c r="N39" s="161">
        <f t="shared" si="2"/>
        <v>46.505810937749402</v>
      </c>
      <c r="O39" s="162">
        <f t="shared" si="3"/>
        <v>0.10483490213870156</v>
      </c>
    </row>
    <row r="40" spans="1:15" ht="51">
      <c r="A40" s="163"/>
      <c r="B40" s="164" t="str">
        <f>'[1]J. DVA'!$B$16</f>
        <v>Rate Rider Calculation for Deferral / Variance Accounts Balances (excluding Global Adj.)</v>
      </c>
      <c r="C40" s="20"/>
      <c r="D40" s="248" t="s">
        <v>65</v>
      </c>
      <c r="E40" s="20"/>
      <c r="F40" s="166"/>
      <c r="G40" s="21">
        <f>$F$18</f>
        <v>100</v>
      </c>
      <c r="H40" s="22">
        <f t="shared" ref="H40:H48" si="6">G40*F40</f>
        <v>0</v>
      </c>
      <c r="I40" s="167"/>
      <c r="J40" s="166">
        <f>'[1]J. DVA'!F22</f>
        <v>-0.2881086467416501</v>
      </c>
      <c r="K40" s="21">
        <f t="shared" ref="K40:K46" si="7">$F$18</f>
        <v>100</v>
      </c>
      <c r="L40" s="22">
        <f>K40*J40</f>
        <v>-28.810864674165011</v>
      </c>
      <c r="M40" s="167"/>
      <c r="N40" s="168">
        <f>L40-H40</f>
        <v>-28.810864674165011</v>
      </c>
      <c r="O40" s="24" t="str">
        <f>IF((H40)=0,"",(N40/H40))</f>
        <v/>
      </c>
    </row>
    <row r="41" spans="1:15" ht="51">
      <c r="A41" s="169"/>
      <c r="B41" s="164" t="str">
        <f>'[1]J. DVA'!$B$42</f>
        <v>Rate Rider Calculation for Deferral / Variance Accounts Balances (excluding Global Adj.) - NON-WMP</v>
      </c>
      <c r="C41" s="20"/>
      <c r="D41" s="248" t="s">
        <v>65</v>
      </c>
      <c r="E41" s="20"/>
      <c r="F41" s="166"/>
      <c r="G41" s="21">
        <f>$F$18</f>
        <v>100</v>
      </c>
      <c r="H41" s="22">
        <f t="shared" si="6"/>
        <v>0</v>
      </c>
      <c r="I41" s="167"/>
      <c r="J41" s="166">
        <f>'[1]J. DVA'!F48</f>
        <v>-0.92990514331638319</v>
      </c>
      <c r="K41" s="21">
        <f t="shared" si="7"/>
        <v>100</v>
      </c>
      <c r="L41" s="22">
        <f>K41*J41</f>
        <v>-92.990514331638323</v>
      </c>
      <c r="M41" s="167"/>
      <c r="N41" s="168">
        <f>L41-H41</f>
        <v>-92.990514331638323</v>
      </c>
      <c r="O41" s="24" t="str">
        <f>IF((H41)=0,"",(N41/H41))</f>
        <v/>
      </c>
    </row>
    <row r="42" spans="1:15" ht="38.25">
      <c r="A42" s="169"/>
      <c r="B42" s="164" t="str">
        <f>'[1]J. DVA'!$B$68</f>
        <v>Rate Rider Calculation for RSVA - Power - Global Adjustment</v>
      </c>
      <c r="C42" s="20"/>
      <c r="D42" s="248" t="s">
        <v>24</v>
      </c>
      <c r="E42" s="20"/>
      <c r="F42" s="166"/>
      <c r="G42" s="21">
        <f t="shared" ref="G42:G43" si="8">$F$18</f>
        <v>100</v>
      </c>
      <c r="H42" s="22"/>
      <c r="I42" s="167"/>
      <c r="J42" s="166">
        <f>'[1]J. DVA'!F74</f>
        <v>1.716429835341269</v>
      </c>
      <c r="K42" s="21">
        <f t="shared" si="7"/>
        <v>100</v>
      </c>
      <c r="L42" s="22">
        <f t="shared" ref="L42:L45" si="9">K42*J42</f>
        <v>171.6429835341269</v>
      </c>
      <c r="M42" s="167"/>
      <c r="N42" s="168">
        <f t="shared" ref="N42:N45" si="10">L42-H42</f>
        <v>171.6429835341269</v>
      </c>
      <c r="O42" s="24" t="str">
        <f t="shared" ref="O42:O45" si="11">IF((H42)=0,"",(N42/H42))</f>
        <v/>
      </c>
    </row>
    <row r="43" spans="1:15" ht="25.5">
      <c r="A43" s="169"/>
      <c r="B43" s="164" t="str">
        <f>'[1]J. DVA'!$B$121</f>
        <v>Rate Rider Calculation for Group 2 Accounts</v>
      </c>
      <c r="C43" s="20"/>
      <c r="D43" s="248" t="s">
        <v>24</v>
      </c>
      <c r="E43" s="20"/>
      <c r="F43" s="166"/>
      <c r="G43" s="21">
        <f t="shared" si="8"/>
        <v>100</v>
      </c>
      <c r="H43" s="22"/>
      <c r="I43" s="167"/>
      <c r="J43" s="166">
        <f>'[1]J. DVA'!F127</f>
        <v>2.8213276444467111E-2</v>
      </c>
      <c r="K43" s="21">
        <f t="shared" si="7"/>
        <v>100</v>
      </c>
      <c r="L43" s="22">
        <f t="shared" si="9"/>
        <v>2.8213276444467112</v>
      </c>
      <c r="M43" s="167"/>
      <c r="N43" s="168">
        <f t="shared" si="10"/>
        <v>2.8213276444467112</v>
      </c>
      <c r="O43" s="24" t="str">
        <f t="shared" si="11"/>
        <v/>
      </c>
    </row>
    <row r="44" spans="1:15" ht="25.5">
      <c r="A44" s="163"/>
      <c r="B44" s="164" t="str">
        <f>'[1]J. DVA'!$B$147</f>
        <v>Rate Rider Calculation for Accounts 1575 and 1576</v>
      </c>
      <c r="C44" s="20"/>
      <c r="D44" s="248" t="s">
        <v>65</v>
      </c>
      <c r="E44" s="20"/>
      <c r="F44" s="166"/>
      <c r="G44" s="21">
        <f>$F$18</f>
        <v>100</v>
      </c>
      <c r="H44" s="22">
        <f t="shared" si="6"/>
        <v>0</v>
      </c>
      <c r="I44" s="167"/>
      <c r="J44" s="166">
        <f>'[1]J. DVA'!F155</f>
        <v>8.240452368404183E-2</v>
      </c>
      <c r="K44" s="21">
        <f t="shared" si="7"/>
        <v>100</v>
      </c>
      <c r="L44" s="22">
        <f t="shared" si="9"/>
        <v>8.240452368404183</v>
      </c>
      <c r="M44" s="167"/>
      <c r="N44" s="168">
        <f t="shared" si="10"/>
        <v>8.240452368404183</v>
      </c>
      <c r="O44" s="24" t="str">
        <f t="shared" si="11"/>
        <v/>
      </c>
    </row>
    <row r="45" spans="1:15" ht="25.5">
      <c r="A45" s="163"/>
      <c r="B45" s="164" t="str">
        <f>'[1]J. DVA'!$B$175</f>
        <v>Rate Rider Calculation for Accounts 1568</v>
      </c>
      <c r="C45" s="20"/>
      <c r="D45" s="248" t="s">
        <v>65</v>
      </c>
      <c r="E45" s="20"/>
      <c r="F45" s="166"/>
      <c r="G45" s="21">
        <f>$F$18</f>
        <v>100</v>
      </c>
      <c r="H45" s="22">
        <f t="shared" si="6"/>
        <v>0</v>
      </c>
      <c r="I45" s="167"/>
      <c r="J45" s="166">
        <f>'[1]J. DVA'!F183</f>
        <v>5.684378315786414E-2</v>
      </c>
      <c r="K45" s="21">
        <f t="shared" si="7"/>
        <v>100</v>
      </c>
      <c r="L45" s="22">
        <f t="shared" si="9"/>
        <v>5.6843783157864136</v>
      </c>
      <c r="M45" s="167"/>
      <c r="N45" s="168">
        <f t="shared" si="10"/>
        <v>5.6843783157864136</v>
      </c>
      <c r="O45" s="24" t="str">
        <f t="shared" si="11"/>
        <v/>
      </c>
    </row>
    <row r="46" spans="1:15">
      <c r="A46" s="163"/>
      <c r="B46" s="164" t="s">
        <v>27</v>
      </c>
      <c r="C46" s="20"/>
      <c r="D46" s="248" t="s">
        <v>65</v>
      </c>
      <c r="E46" s="20"/>
      <c r="F46" s="166">
        <v>0.39539999999999997</v>
      </c>
      <c r="G46" s="21">
        <f>$F$18</f>
        <v>100</v>
      </c>
      <c r="H46" s="22">
        <f t="shared" si="6"/>
        <v>39.54</v>
      </c>
      <c r="I46" s="167"/>
      <c r="J46" s="166">
        <f>'[2]4.12 PowerSupplExp'!$I$173</f>
        <v>0.28549999999999998</v>
      </c>
      <c r="K46" s="21">
        <f t="shared" si="7"/>
        <v>100</v>
      </c>
      <c r="L46" s="22">
        <f>K46*J46</f>
        <v>28.549999999999997</v>
      </c>
      <c r="M46" s="167"/>
      <c r="N46" s="168">
        <f>L46-H46</f>
        <v>-10.990000000000002</v>
      </c>
      <c r="O46" s="24">
        <f>IF((H46)=0,"",(N46/H46))</f>
        <v>-0.27794638340920591</v>
      </c>
    </row>
    <row r="47" spans="1:15">
      <c r="A47" s="19"/>
      <c r="B47" s="145" t="s">
        <v>28</v>
      </c>
      <c r="C47" s="20"/>
      <c r="D47" s="248" t="s">
        <v>65</v>
      </c>
      <c r="E47" s="20"/>
      <c r="F47" s="166">
        <f>IF(ISBLANK(D16)=1, 0, IF(D16="TOU", 0.64*$F$57+0.18*$F$58+0.18*$F$59, IF(AND(D16="non-TOU", G61&gt;0), F61,F60)))</f>
        <v>9.5000000000000001E-2</v>
      </c>
      <c r="G47" s="21">
        <f>$F$18*(1+$F$76)-$F$18</f>
        <v>3.8999999999999915</v>
      </c>
      <c r="H47" s="22">
        <f t="shared" si="6"/>
        <v>0.37049999999999922</v>
      </c>
      <c r="I47" s="167"/>
      <c r="J47" s="166">
        <f>0.64*$F$57+0.18*$F$58+0.18*$F$59</f>
        <v>9.5000000000000001E-2</v>
      </c>
      <c r="K47" s="21">
        <f>$F$18*(1+$J$76)-$F$18</f>
        <v>4.5700000000000074</v>
      </c>
      <c r="L47" s="22">
        <f t="shared" ref="L47:L48" si="12">K47*J47</f>
        <v>0.4341500000000007</v>
      </c>
      <c r="M47" s="167"/>
      <c r="N47" s="168">
        <f t="shared" si="2"/>
        <v>6.3650000000001483E-2</v>
      </c>
      <c r="O47" s="24">
        <f t="shared" si="3"/>
        <v>0.17179487179487615</v>
      </c>
    </row>
    <row r="48" spans="1:15">
      <c r="A48" s="19"/>
      <c r="B48" s="145" t="s">
        <v>29</v>
      </c>
      <c r="C48" s="20"/>
      <c r="D48" s="248" t="s">
        <v>65</v>
      </c>
      <c r="E48" s="20"/>
      <c r="F48" s="166">
        <v>0.79</v>
      </c>
      <c r="G48" s="21">
        <v>1</v>
      </c>
      <c r="H48" s="22">
        <f t="shared" si="6"/>
        <v>0.79</v>
      </c>
      <c r="I48" s="167"/>
      <c r="J48" s="166">
        <v>0.79</v>
      </c>
      <c r="K48" s="21">
        <v>1</v>
      </c>
      <c r="L48" s="22">
        <f t="shared" si="12"/>
        <v>0.79</v>
      </c>
      <c r="M48" s="167"/>
      <c r="N48" s="168">
        <f t="shared" si="2"/>
        <v>0</v>
      </c>
      <c r="O48" s="24"/>
    </row>
    <row r="49" spans="2:19" ht="25.5">
      <c r="B49" s="175" t="s">
        <v>30</v>
      </c>
      <c r="C49" s="176"/>
      <c r="D49" s="176"/>
      <c r="E49" s="176"/>
      <c r="F49" s="177"/>
      <c r="G49" s="178"/>
      <c r="H49" s="179">
        <f>SUM(H40:H48)+H39</f>
        <v>484.31049999999999</v>
      </c>
      <c r="I49" s="28"/>
      <c r="J49" s="178"/>
      <c r="K49" s="180"/>
      <c r="L49" s="179">
        <f>SUM(L40:L48)+L39</f>
        <v>586.4777237947103</v>
      </c>
      <c r="M49" s="28"/>
      <c r="N49" s="161">
        <f t="shared" si="2"/>
        <v>102.16722379471031</v>
      </c>
      <c r="O49" s="162">
        <f t="shared" ref="O49:O67" si="13">IF((H49)=0,"",(N49/H49))</f>
        <v>0.21095397228577598</v>
      </c>
    </row>
    <row r="50" spans="2:19">
      <c r="B50" s="181" t="s">
        <v>31</v>
      </c>
      <c r="C50" s="28"/>
      <c r="D50" s="146" t="s">
        <v>65</v>
      </c>
      <c r="E50" s="28"/>
      <c r="F50" s="31">
        <v>2.3683000000000001</v>
      </c>
      <c r="G50" s="29">
        <f>F18*(1+F76)</f>
        <v>103.89999999999999</v>
      </c>
      <c r="H50" s="16">
        <f>G50*F50</f>
        <v>246.06636999999998</v>
      </c>
      <c r="I50" s="28"/>
      <c r="J50" s="31">
        <f>'[2]4.12 PowerSupplExp'!$N$60</f>
        <v>2.2676027838117778</v>
      </c>
      <c r="K50" s="30">
        <f>F18*(1+J76)</f>
        <v>104.57000000000001</v>
      </c>
      <c r="L50" s="16">
        <f>K50*J50</f>
        <v>237.12322310319763</v>
      </c>
      <c r="M50" s="28"/>
      <c r="N50" s="149">
        <f t="shared" si="2"/>
        <v>-8.9431468968023466</v>
      </c>
      <c r="O50" s="18">
        <f t="shared" si="13"/>
        <v>-3.6344450063624488E-2</v>
      </c>
    </row>
    <row r="51" spans="2:19" ht="25.5">
      <c r="B51" s="183" t="s">
        <v>32</v>
      </c>
      <c r="C51" s="28"/>
      <c r="D51" s="146" t="s">
        <v>65</v>
      </c>
      <c r="E51" s="28"/>
      <c r="F51" s="31">
        <v>1.5959000000000001</v>
      </c>
      <c r="G51" s="29">
        <f>G50</f>
        <v>103.89999999999999</v>
      </c>
      <c r="H51" s="16">
        <f>G51*F51</f>
        <v>165.81401</v>
      </c>
      <c r="I51" s="28"/>
      <c r="J51" s="31">
        <f>'[2]4.12 PowerSupplExp'!$N$76</f>
        <v>1.6311900310603258</v>
      </c>
      <c r="K51" s="30">
        <f>K50</f>
        <v>104.57000000000001</v>
      </c>
      <c r="L51" s="16">
        <f>K51*J51</f>
        <v>170.57354154797827</v>
      </c>
      <c r="M51" s="28"/>
      <c r="N51" s="149">
        <f t="shared" si="2"/>
        <v>4.7595315479782698</v>
      </c>
      <c r="O51" s="18">
        <f t="shared" si="13"/>
        <v>2.8704037421073587E-2</v>
      </c>
    </row>
    <row r="52" spans="2:19" ht="25.5">
      <c r="B52" s="175" t="s">
        <v>33</v>
      </c>
      <c r="C52" s="154"/>
      <c r="D52" s="154"/>
      <c r="E52" s="154"/>
      <c r="F52" s="184"/>
      <c r="G52" s="178"/>
      <c r="H52" s="179">
        <f>SUM(H49:H51)</f>
        <v>896.19087999999988</v>
      </c>
      <c r="I52" s="185"/>
      <c r="J52" s="186"/>
      <c r="K52" s="187"/>
      <c r="L52" s="179">
        <f>SUM(L49:L51)</f>
        <v>994.17448844588625</v>
      </c>
      <c r="M52" s="185"/>
      <c r="N52" s="161">
        <f t="shared" si="2"/>
        <v>97.983608445886375</v>
      </c>
      <c r="O52" s="162">
        <f t="shared" si="13"/>
        <v>0.10933341393285144</v>
      </c>
    </row>
    <row r="53" spans="2:19" ht="25.5">
      <c r="B53" s="145" t="s">
        <v>34</v>
      </c>
      <c r="C53" s="20"/>
      <c r="D53" s="188" t="s">
        <v>24</v>
      </c>
      <c r="E53" s="14"/>
      <c r="F53" s="31">
        <v>4.4000000000000003E-3</v>
      </c>
      <c r="G53" s="29">
        <f>G51</f>
        <v>103.89999999999999</v>
      </c>
      <c r="H53" s="16">
        <f t="shared" ref="H53:H59" si="14">G53*F53</f>
        <v>0.45716000000000001</v>
      </c>
      <c r="I53" s="28"/>
      <c r="J53" s="31">
        <v>4.4000000000000003E-3</v>
      </c>
      <c r="K53" s="30">
        <f>K51</f>
        <v>104.57000000000001</v>
      </c>
      <c r="L53" s="16">
        <f t="shared" ref="L53:L59" si="15">K53*J53</f>
        <v>0.46010800000000007</v>
      </c>
      <c r="M53" s="28"/>
      <c r="N53" s="149">
        <f t="shared" si="2"/>
        <v>2.9480000000000617E-3</v>
      </c>
      <c r="O53" s="18">
        <f t="shared" si="13"/>
        <v>6.4485081809433492E-3</v>
      </c>
    </row>
    <row r="54" spans="2:19" ht="25.5">
      <c r="B54" s="145" t="s">
        <v>35</v>
      </c>
      <c r="C54" s="20"/>
      <c r="D54" s="188" t="s">
        <v>24</v>
      </c>
      <c r="E54" s="14"/>
      <c r="F54" s="31">
        <v>1.1999999999999999E-3</v>
      </c>
      <c r="G54" s="29">
        <f>G51</f>
        <v>103.89999999999999</v>
      </c>
      <c r="H54" s="16">
        <f t="shared" si="14"/>
        <v>0.12467999999999999</v>
      </c>
      <c r="I54" s="28"/>
      <c r="J54" s="31">
        <v>1.1999999999999999E-3</v>
      </c>
      <c r="K54" s="30">
        <f>K51</f>
        <v>104.57000000000001</v>
      </c>
      <c r="L54" s="16">
        <f t="shared" si="15"/>
        <v>0.12548399999999998</v>
      </c>
      <c r="M54" s="28"/>
      <c r="N54" s="149">
        <f t="shared" si="2"/>
        <v>8.0399999999999916E-4</v>
      </c>
      <c r="O54" s="18">
        <f t="shared" si="13"/>
        <v>6.4485081809432087E-3</v>
      </c>
    </row>
    <row r="55" spans="2:19" ht="25.5">
      <c r="B55" s="145" t="s">
        <v>36</v>
      </c>
      <c r="C55" s="20"/>
      <c r="D55" s="188" t="s">
        <v>19</v>
      </c>
      <c r="E55" s="14"/>
      <c r="F55" s="31">
        <v>0.25</v>
      </c>
      <c r="G55" s="15">
        <v>1</v>
      </c>
      <c r="H55" s="16">
        <f t="shared" si="14"/>
        <v>0.25</v>
      </c>
      <c r="I55" s="28"/>
      <c r="J55" s="31">
        <v>0.25</v>
      </c>
      <c r="K55" s="17">
        <v>1</v>
      </c>
      <c r="L55" s="16">
        <f t="shared" si="15"/>
        <v>0.25</v>
      </c>
      <c r="M55" s="28"/>
      <c r="N55" s="149">
        <f t="shared" si="2"/>
        <v>0</v>
      </c>
      <c r="O55" s="18">
        <f t="shared" si="13"/>
        <v>0</v>
      </c>
    </row>
    <row r="56" spans="2:19" ht="25.5">
      <c r="B56" s="145" t="s">
        <v>37</v>
      </c>
      <c r="C56" s="20"/>
      <c r="D56" s="188" t="s">
        <v>24</v>
      </c>
      <c r="E56" s="14"/>
      <c r="F56" s="31">
        <v>4.8999999999999998E-3</v>
      </c>
      <c r="G56" s="29">
        <f>F18</f>
        <v>100</v>
      </c>
      <c r="H56" s="16">
        <f t="shared" si="14"/>
        <v>0.49</v>
      </c>
      <c r="I56" s="28"/>
      <c r="J56" s="31">
        <v>4.8999999999999998E-3</v>
      </c>
      <c r="K56" s="30">
        <f>F18</f>
        <v>100</v>
      </c>
      <c r="L56" s="16">
        <f t="shared" si="15"/>
        <v>0.49</v>
      </c>
      <c r="M56" s="28"/>
      <c r="N56" s="149">
        <f t="shared" si="2"/>
        <v>0</v>
      </c>
      <c r="O56" s="18">
        <f t="shared" si="13"/>
        <v>0</v>
      </c>
    </row>
    <row r="57" spans="2:19">
      <c r="B57" s="170" t="s">
        <v>38</v>
      </c>
      <c r="C57" s="20"/>
      <c r="D57" s="188" t="s">
        <v>24</v>
      </c>
      <c r="E57" s="14"/>
      <c r="F57" s="31">
        <v>7.6999999999999999E-2</v>
      </c>
      <c r="G57" s="189">
        <f>0.64*$F$18</f>
        <v>64</v>
      </c>
      <c r="H57" s="16">
        <f t="shared" si="14"/>
        <v>4.9279999999999999</v>
      </c>
      <c r="I57" s="28"/>
      <c r="J57" s="31">
        <v>7.6999999999999999E-2</v>
      </c>
      <c r="K57" s="189">
        <f>G57</f>
        <v>64</v>
      </c>
      <c r="L57" s="16">
        <f t="shared" si="15"/>
        <v>4.9279999999999999</v>
      </c>
      <c r="M57" s="28"/>
      <c r="N57" s="149">
        <f t="shared" si="2"/>
        <v>0</v>
      </c>
      <c r="O57" s="18">
        <f t="shared" si="13"/>
        <v>0</v>
      </c>
      <c r="S57" s="190"/>
    </row>
    <row r="58" spans="2:19">
      <c r="B58" s="170" t="s">
        <v>39</v>
      </c>
      <c r="C58" s="20"/>
      <c r="D58" s="188" t="s">
        <v>24</v>
      </c>
      <c r="E58" s="14"/>
      <c r="F58" s="31">
        <v>0.114</v>
      </c>
      <c r="G58" s="189">
        <f>0.18*$F$18</f>
        <v>18</v>
      </c>
      <c r="H58" s="16">
        <f t="shared" si="14"/>
        <v>2.052</v>
      </c>
      <c r="I58" s="28"/>
      <c r="J58" s="31">
        <v>0.114</v>
      </c>
      <c r="K58" s="189">
        <f>G58</f>
        <v>18</v>
      </c>
      <c r="L58" s="16">
        <f t="shared" si="15"/>
        <v>2.052</v>
      </c>
      <c r="M58" s="28"/>
      <c r="N58" s="149">
        <f t="shared" si="2"/>
        <v>0</v>
      </c>
      <c r="O58" s="18">
        <f t="shared" si="13"/>
        <v>0</v>
      </c>
      <c r="S58" s="190"/>
    </row>
    <row r="59" spans="2:19">
      <c r="B59" s="135" t="s">
        <v>40</v>
      </c>
      <c r="C59" s="20"/>
      <c r="D59" s="188" t="s">
        <v>24</v>
      </c>
      <c r="E59" s="14"/>
      <c r="F59" s="31">
        <v>0.14000000000000001</v>
      </c>
      <c r="G59" s="189">
        <f>0.18*$F$18</f>
        <v>18</v>
      </c>
      <c r="H59" s="16">
        <f t="shared" si="14"/>
        <v>2.5200000000000005</v>
      </c>
      <c r="I59" s="28"/>
      <c r="J59" s="31">
        <v>0.14000000000000001</v>
      </c>
      <c r="K59" s="189">
        <f>G59</f>
        <v>18</v>
      </c>
      <c r="L59" s="16">
        <f t="shared" si="15"/>
        <v>2.5200000000000005</v>
      </c>
      <c r="M59" s="28"/>
      <c r="N59" s="149">
        <f t="shared" si="2"/>
        <v>0</v>
      </c>
      <c r="O59" s="18">
        <f t="shared" si="13"/>
        <v>0</v>
      </c>
      <c r="S59" s="190"/>
    </row>
    <row r="60" spans="2:19" s="195" customFormat="1">
      <c r="B60" s="191" t="s">
        <v>41</v>
      </c>
      <c r="C60" s="32"/>
      <c r="D60" s="188" t="s">
        <v>24</v>
      </c>
      <c r="E60" s="32"/>
      <c r="F60" s="31">
        <v>8.5999999999999993E-2</v>
      </c>
      <c r="G60" s="192">
        <f>IF(AND($T$1=1, F18&gt;=600), 600, IF(AND($T$1=1, AND(F18&lt;600, F18&gt;=0)), F18, IF(AND($T$1=2, F18&gt;=1000), 1000, IF(AND($T$1=2, AND(F18&lt;1000, F18&gt;=0)), F18))))</f>
        <v>100</v>
      </c>
      <c r="H60" s="16">
        <f>G60*F60</f>
        <v>8.6</v>
      </c>
      <c r="I60" s="193"/>
      <c r="J60" s="31">
        <v>8.5999999999999993E-2</v>
      </c>
      <c r="K60" s="192">
        <f>G60</f>
        <v>100</v>
      </c>
      <c r="L60" s="16">
        <f>K60*J60</f>
        <v>8.6</v>
      </c>
      <c r="M60" s="193"/>
      <c r="N60" s="194">
        <f t="shared" si="2"/>
        <v>0</v>
      </c>
      <c r="O60" s="18">
        <f t="shared" si="13"/>
        <v>0</v>
      </c>
    </row>
    <row r="61" spans="2:19" s="195" customFormat="1" ht="13.5" thickBot="1">
      <c r="B61" s="191" t="s">
        <v>42</v>
      </c>
      <c r="C61" s="32"/>
      <c r="D61" s="188" t="s">
        <v>24</v>
      </c>
      <c r="E61" s="32"/>
      <c r="F61" s="31">
        <v>0.10100000000000001</v>
      </c>
      <c r="G61" s="192">
        <f>IF(AND($T$1=1, F18&gt;=600), F18-600, IF(AND($T$1=1, AND(F18&lt;600, F18&gt;=0)), 0, IF(AND($T$1=2, F18&gt;=1000), F18-1000, IF(AND($T$1=2, AND(F18&lt;1000, F18&gt;=0)), 0))))</f>
        <v>0</v>
      </c>
      <c r="H61" s="16">
        <f>G61*F61</f>
        <v>0</v>
      </c>
      <c r="I61" s="193"/>
      <c r="J61" s="31">
        <v>0.10100000000000001</v>
      </c>
      <c r="K61" s="192">
        <f>G61</f>
        <v>0</v>
      </c>
      <c r="L61" s="16">
        <f>K61*J61</f>
        <v>0</v>
      </c>
      <c r="M61" s="193"/>
      <c r="N61" s="194">
        <f t="shared" si="2"/>
        <v>0</v>
      </c>
      <c r="O61" s="18" t="str">
        <f t="shared" si="13"/>
        <v/>
      </c>
    </row>
    <row r="62" spans="2:19" ht="13.5" thickBot="1">
      <c r="B62" s="196"/>
      <c r="C62" s="197"/>
      <c r="D62" s="198"/>
      <c r="E62" s="197"/>
      <c r="F62" s="199"/>
      <c r="G62" s="200"/>
      <c r="H62" s="201"/>
      <c r="I62" s="202"/>
      <c r="J62" s="199"/>
      <c r="K62" s="203"/>
      <c r="L62" s="201"/>
      <c r="M62" s="202"/>
      <c r="N62" s="204"/>
      <c r="O62" s="205"/>
    </row>
    <row r="63" spans="2:19" ht="25.5">
      <c r="B63" s="33" t="s">
        <v>43</v>
      </c>
      <c r="C63" s="20"/>
      <c r="D63" s="20"/>
      <c r="E63" s="20"/>
      <c r="F63" s="34"/>
      <c r="G63" s="35"/>
      <c r="H63" s="36">
        <f>SUM(H53:H59,H52)</f>
        <v>907.01271999999983</v>
      </c>
      <c r="I63" s="37"/>
      <c r="J63" s="38"/>
      <c r="K63" s="38"/>
      <c r="L63" s="36">
        <f>SUM(L53:L59,L52)</f>
        <v>1005.0000804458863</v>
      </c>
      <c r="M63" s="39"/>
      <c r="N63" s="40">
        <f>L63-H63</f>
        <v>97.987360445886452</v>
      </c>
      <c r="O63" s="41">
        <f>IF((H63)=0,"",(N63/H63))</f>
        <v>0.10803306093203023</v>
      </c>
      <c r="S63" s="190"/>
    </row>
    <row r="64" spans="2:19">
      <c r="B64" s="42" t="s">
        <v>44</v>
      </c>
      <c r="C64" s="20"/>
      <c r="D64" s="20"/>
      <c r="E64" s="20"/>
      <c r="F64" s="43">
        <v>0.13</v>
      </c>
      <c r="G64" s="44"/>
      <c r="H64" s="45">
        <f>H63*F64</f>
        <v>117.91165359999998</v>
      </c>
      <c r="I64" s="46"/>
      <c r="J64" s="47">
        <v>0.13</v>
      </c>
      <c r="K64" s="46"/>
      <c r="L64" s="48">
        <f>L63*J64</f>
        <v>130.65001045796521</v>
      </c>
      <c r="M64" s="49"/>
      <c r="N64" s="50">
        <f t="shared" si="2"/>
        <v>12.738356857965229</v>
      </c>
      <c r="O64" s="18">
        <f t="shared" si="13"/>
        <v>0.10803306093203015</v>
      </c>
      <c r="S64" s="190"/>
    </row>
    <row r="65" spans="1:19">
      <c r="B65" s="206" t="s">
        <v>45</v>
      </c>
      <c r="C65" s="20"/>
      <c r="D65" s="20"/>
      <c r="E65" s="20"/>
      <c r="F65" s="51"/>
      <c r="G65" s="44"/>
      <c r="H65" s="45">
        <f>H63+H64</f>
        <v>1024.9243735999999</v>
      </c>
      <c r="I65" s="46"/>
      <c r="J65" s="46"/>
      <c r="K65" s="46"/>
      <c r="L65" s="48">
        <f>L63+L64</f>
        <v>1135.6500909038514</v>
      </c>
      <c r="M65" s="49"/>
      <c r="N65" s="50">
        <f t="shared" si="2"/>
        <v>110.72571730385152</v>
      </c>
      <c r="O65" s="18">
        <f t="shared" si="13"/>
        <v>0.10803306093203006</v>
      </c>
      <c r="S65" s="190"/>
    </row>
    <row r="66" spans="1:19">
      <c r="B66" s="292" t="s">
        <v>46</v>
      </c>
      <c r="C66" s="292"/>
      <c r="D66" s="292"/>
      <c r="E66" s="20"/>
      <c r="F66" s="51"/>
      <c r="G66" s="44"/>
      <c r="H66" s="52">
        <f>ROUND(-H65*0.1,2)</f>
        <v>-102.49</v>
      </c>
      <c r="I66" s="46"/>
      <c r="J66" s="46"/>
      <c r="K66" s="46"/>
      <c r="L66" s="53">
        <f>ROUND(-L65*0.1,2)</f>
        <v>-113.57</v>
      </c>
      <c r="M66" s="49"/>
      <c r="N66" s="54">
        <f t="shared" si="2"/>
        <v>-11.079999999999998</v>
      </c>
      <c r="O66" s="55">
        <f t="shared" si="13"/>
        <v>0.1081081081081081</v>
      </c>
    </row>
    <row r="67" spans="1:19" ht="13.5" thickBot="1">
      <c r="B67" s="293" t="s">
        <v>47</v>
      </c>
      <c r="C67" s="293"/>
      <c r="D67" s="293"/>
      <c r="E67" s="14"/>
      <c r="F67" s="207"/>
      <c r="G67" s="208"/>
      <c r="H67" s="209">
        <f>H65+H66</f>
        <v>922.43437359999984</v>
      </c>
      <c r="I67" s="210"/>
      <c r="J67" s="210"/>
      <c r="K67" s="210"/>
      <c r="L67" s="211">
        <f>L65+L66</f>
        <v>1022.0800909038514</v>
      </c>
      <c r="M67" s="212"/>
      <c r="N67" s="213">
        <f t="shared" si="2"/>
        <v>99.645717303851598</v>
      </c>
      <c r="O67" s="214">
        <f t="shared" si="13"/>
        <v>0.10802472257724158</v>
      </c>
    </row>
    <row r="68" spans="1:19" s="195" customFormat="1" ht="13.5" thickBot="1">
      <c r="B68" s="215"/>
      <c r="C68" s="216"/>
      <c r="D68" s="217"/>
      <c r="E68" s="216"/>
      <c r="F68" s="199"/>
      <c r="G68" s="218"/>
      <c r="H68" s="201"/>
      <c r="I68" s="219"/>
      <c r="J68" s="199"/>
      <c r="K68" s="220"/>
      <c r="L68" s="201"/>
      <c r="M68" s="219"/>
      <c r="N68" s="221"/>
      <c r="O68" s="205"/>
    </row>
    <row r="69" spans="1:19" s="195" customFormat="1" ht="25.5">
      <c r="B69" s="56" t="s">
        <v>48</v>
      </c>
      <c r="C69" s="32"/>
      <c r="D69" s="32"/>
      <c r="E69" s="32"/>
      <c r="F69" s="57"/>
      <c r="G69" s="58"/>
      <c r="H69" s="59">
        <f>SUM(H60:H61,H52,H53:H56)</f>
        <v>906.11271999999997</v>
      </c>
      <c r="I69" s="60"/>
      <c r="J69" s="61"/>
      <c r="K69" s="61"/>
      <c r="L69" s="59">
        <f>SUM(L60:L61,L52,L53:L56)</f>
        <v>1004.1000804458863</v>
      </c>
      <c r="M69" s="62"/>
      <c r="N69" s="63">
        <f>L69-H69</f>
        <v>97.987360445886338</v>
      </c>
      <c r="O69" s="41">
        <f>IF((H69)=0,"",(N69/H69))</f>
        <v>0.10814036519196678</v>
      </c>
    </row>
    <row r="70" spans="1:19" s="195" customFormat="1">
      <c r="B70" s="64" t="s">
        <v>44</v>
      </c>
      <c r="C70" s="32"/>
      <c r="D70" s="32"/>
      <c r="E70" s="32"/>
      <c r="F70" s="65">
        <v>0.13</v>
      </c>
      <c r="G70" s="58"/>
      <c r="H70" s="66">
        <f>H69*F70</f>
        <v>117.7946536</v>
      </c>
      <c r="I70" s="67"/>
      <c r="J70" s="68">
        <v>0.13</v>
      </c>
      <c r="K70" s="69"/>
      <c r="L70" s="70">
        <f>L69*J70</f>
        <v>130.53301045796522</v>
      </c>
      <c r="M70" s="71"/>
      <c r="N70" s="72">
        <f>L70-H70</f>
        <v>12.738356857965215</v>
      </c>
      <c r="O70" s="18">
        <f>IF((H70)=0,"",(N70/H70))</f>
        <v>0.10814036519196669</v>
      </c>
    </row>
    <row r="71" spans="1:19" s="195" customFormat="1">
      <c r="B71" s="222" t="s">
        <v>45</v>
      </c>
      <c r="C71" s="32"/>
      <c r="D71" s="32"/>
      <c r="E71" s="32"/>
      <c r="F71" s="73"/>
      <c r="G71" s="74"/>
      <c r="H71" s="66">
        <f>H69+H70</f>
        <v>1023.9073736</v>
      </c>
      <c r="I71" s="67"/>
      <c r="J71" s="67"/>
      <c r="K71" s="67"/>
      <c r="L71" s="70">
        <f>L69+L70</f>
        <v>1134.6330909038516</v>
      </c>
      <c r="M71" s="71"/>
      <c r="N71" s="72">
        <f>L71-H71</f>
        <v>110.72571730385152</v>
      </c>
      <c r="O71" s="18">
        <f>IF((H71)=0,"",(N71/H71))</f>
        <v>0.10814036519196674</v>
      </c>
    </row>
    <row r="72" spans="1:19" s="195" customFormat="1">
      <c r="B72" s="294" t="s">
        <v>46</v>
      </c>
      <c r="C72" s="294"/>
      <c r="D72" s="294"/>
      <c r="E72" s="32"/>
      <c r="F72" s="73"/>
      <c r="G72" s="74"/>
      <c r="H72" s="75">
        <f>ROUND(-H71*0.1,2)</f>
        <v>-102.39</v>
      </c>
      <c r="I72" s="67"/>
      <c r="J72" s="67"/>
      <c r="K72" s="67"/>
      <c r="L72" s="76">
        <f>ROUND(-L71*0.1,2)</f>
        <v>-113.46</v>
      </c>
      <c r="M72" s="71"/>
      <c r="N72" s="77">
        <f>L72-H72</f>
        <v>-11.069999999999993</v>
      </c>
      <c r="O72" s="55">
        <f>IF((H72)=0,"",(N72/H72))</f>
        <v>0.10811602695575732</v>
      </c>
    </row>
    <row r="73" spans="1:19" s="195" customFormat="1" ht="13.5" thickBot="1">
      <c r="B73" s="288" t="s">
        <v>49</v>
      </c>
      <c r="C73" s="288"/>
      <c r="D73" s="288"/>
      <c r="E73" s="32"/>
      <c r="F73" s="73"/>
      <c r="G73" s="74"/>
      <c r="H73" s="59">
        <f>SUM(H71:H72)</f>
        <v>921.51737360000004</v>
      </c>
      <c r="I73" s="60"/>
      <c r="J73" s="60"/>
      <c r="K73" s="60"/>
      <c r="L73" s="223">
        <f>SUM(L71:L72)</f>
        <v>1021.1730909038515</v>
      </c>
      <c r="M73" s="62"/>
      <c r="N73" s="63">
        <f>L73-H73</f>
        <v>99.655717303851475</v>
      </c>
      <c r="O73" s="41">
        <f>IF((H73)=0,"",(N73/H73))</f>
        <v>0.10814306941879612</v>
      </c>
    </row>
    <row r="74" spans="1:19" s="195" customFormat="1" ht="13.5" thickBot="1">
      <c r="B74" s="215"/>
      <c r="C74" s="216"/>
      <c r="D74" s="217"/>
      <c r="E74" s="216"/>
      <c r="F74" s="224"/>
      <c r="G74" s="225"/>
      <c r="H74" s="226"/>
      <c r="I74" s="227"/>
      <c r="J74" s="224"/>
      <c r="K74" s="218"/>
      <c r="L74" s="228"/>
      <c r="M74" s="219"/>
      <c r="N74" s="229"/>
      <c r="O74" s="205"/>
    </row>
    <row r="75" spans="1:19">
      <c r="L75" s="190"/>
    </row>
    <row r="76" spans="1:19">
      <c r="B76" s="230" t="s">
        <v>50</v>
      </c>
      <c r="F76" s="231">
        <v>3.9E-2</v>
      </c>
      <c r="J76" s="231">
        <v>4.5699999999999998E-2</v>
      </c>
    </row>
    <row r="78" spans="1:19" ht="14.25">
      <c r="A78" s="232" t="s">
        <v>51</v>
      </c>
    </row>
    <row r="80" spans="1:19">
      <c r="A80" s="12" t="s">
        <v>52</v>
      </c>
    </row>
    <row r="81" spans="1:2">
      <c r="A81" s="12" t="s">
        <v>53</v>
      </c>
    </row>
    <row r="83" spans="1:2">
      <c r="A83" s="233" t="s">
        <v>54</v>
      </c>
    </row>
    <row r="84" spans="1:2">
      <c r="A84" s="233" t="s">
        <v>55</v>
      </c>
    </row>
    <row r="86" spans="1:2">
      <c r="A86" s="12" t="s">
        <v>56</v>
      </c>
    </row>
    <row r="87" spans="1:2">
      <c r="A87" s="12" t="s">
        <v>57</v>
      </c>
    </row>
    <row r="88" spans="1:2">
      <c r="A88" s="12" t="s">
        <v>58</v>
      </c>
    </row>
    <row r="89" spans="1:2">
      <c r="A89" s="12" t="s">
        <v>59</v>
      </c>
    </row>
    <row r="90" spans="1:2">
      <c r="A90" s="12" t="s">
        <v>60</v>
      </c>
    </row>
    <row r="92" spans="1:2" ht="51">
      <c r="B92" s="13" t="s">
        <v>61</v>
      </c>
    </row>
  </sheetData>
  <mergeCells count="14">
    <mergeCell ref="A3:K3"/>
    <mergeCell ref="B10:O10"/>
    <mergeCell ref="B11:O11"/>
    <mergeCell ref="D14:O14"/>
    <mergeCell ref="F20:H20"/>
    <mergeCell ref="J20:L20"/>
    <mergeCell ref="N20:O20"/>
    <mergeCell ref="B73:D73"/>
    <mergeCell ref="D21:D22"/>
    <mergeCell ref="N21:N22"/>
    <mergeCell ref="O21:O22"/>
    <mergeCell ref="B66:D66"/>
    <mergeCell ref="B67:D67"/>
    <mergeCell ref="B72:D72"/>
  </mergeCells>
  <dataValidations count="3">
    <dataValidation type="list" allowBlank="1" showInputMessage="1" showErrorMessage="1" sqref="D16">
      <formula1>"TOU,non-TOU"</formula1>
      <formula2>0</formula2>
    </dataValidation>
    <dataValidation type="list" allowBlank="1" showInputMessage="1" showErrorMessage="1" prompt="Select Charge Unit - monthly, per kWh, per kW" sqref="D74 D23:D38 D50:D51 D68 D53:D62 D40:D48">
      <formula1>"Monthly,per kWh,per kW"</formula1>
      <formula2>0</formula2>
    </dataValidation>
    <dataValidation type="list" allowBlank="1" showInputMessage="1" showErrorMessage="1" sqref="E23:E38 E74 E50:E51 E53:E62 E68 E40:E48">
      <formula1>"#REF!"</formula1>
      <formula2>0</formula2>
    </dataValidation>
  </dataValidations>
  <pageMargins left="0.7" right="0.7" top="0.75" bottom="0.75" header="0.3" footer="0.3"/>
  <pageSetup paperSize="9" scale="4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Option Button 44">
              <controlPr defaultSize="0" autoFill="0" autoLine="0" autoPict="0">
                <anchor moveWithCells="1" sizeWithCells="1">
                  <from>
                    <xdr:col>6</xdr:col>
                    <xdr:colOff>476250</xdr:colOff>
                    <xdr:row>17</xdr:row>
                    <xdr:rowOff>0</xdr:rowOff>
                  </from>
                  <to>
                    <xdr:col>9</xdr:col>
                    <xdr:colOff>733425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Option Button 45">
              <controlPr defaultSize="0" autoFill="0" autoLine="0" autoPict="0">
                <anchor moveWithCells="1" sizeWithCells="1">
                  <from>
                    <xdr:col>9</xdr:col>
                    <xdr:colOff>371475</xdr:colOff>
                    <xdr:row>16</xdr:row>
                    <xdr:rowOff>104775</xdr:rowOff>
                  </from>
                  <to>
                    <xdr:col>16</xdr:col>
                    <xdr:colOff>257175</xdr:colOff>
                    <xdr:row>18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92"/>
  <sheetViews>
    <sheetView showGridLines="0" topLeftCell="A55" workbookViewId="0">
      <selection activeCell="B10" sqref="B10:O10"/>
    </sheetView>
  </sheetViews>
  <sheetFormatPr defaultRowHeight="12.75"/>
  <cols>
    <col min="1" max="1" width="11.28515625" style="12" customWidth="1"/>
    <col min="2" max="2" width="26.5703125" style="13" customWidth="1"/>
    <col min="3" max="3" width="1.28515625" style="12" customWidth="1"/>
    <col min="4" max="4" width="11.28515625" style="12" customWidth="1"/>
    <col min="5" max="5" width="1.28515625" style="12" customWidth="1"/>
    <col min="6" max="6" width="12.28515625" style="12" customWidth="1"/>
    <col min="7" max="7" width="8.5703125" style="12" customWidth="1"/>
    <col min="8" max="8" width="11.140625" style="12" customWidth="1"/>
    <col min="9" max="9" width="2.85546875" style="12" customWidth="1"/>
    <col min="10" max="10" width="12.140625" style="12" customWidth="1"/>
    <col min="11" max="11" width="8.5703125" style="12" customWidth="1"/>
    <col min="12" max="12" width="10.28515625" style="12" bestFit="1" customWidth="1"/>
    <col min="13" max="13" width="2.85546875" style="12" customWidth="1"/>
    <col min="14" max="14" width="12.7109375" style="12" customWidth="1"/>
    <col min="15" max="15" width="10.85546875" style="12" customWidth="1"/>
    <col min="16" max="16" width="3.85546875" style="12" customWidth="1"/>
    <col min="17" max="16384" width="9.140625" style="12"/>
  </cols>
  <sheetData>
    <row r="1" spans="1:20" s="2" customFormat="1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/>
      <c r="O1" s="4"/>
      <c r="T1" s="2">
        <v>1</v>
      </c>
    </row>
    <row r="2" spans="1:20" s="2" customFormat="1" ht="12.75" customHeight="1">
      <c r="A2" s="5"/>
      <c r="B2" s="6"/>
      <c r="C2" s="5"/>
      <c r="D2" s="5"/>
      <c r="E2" s="5"/>
      <c r="F2" s="5"/>
      <c r="G2" s="5"/>
      <c r="H2" s="5"/>
      <c r="I2" s="5"/>
      <c r="J2" s="5"/>
      <c r="K2" s="5"/>
      <c r="N2" s="3"/>
      <c r="O2" s="7"/>
    </row>
    <row r="3" spans="1:20" s="2" customFormat="1" ht="12.75" customHeight="1">
      <c r="A3" s="295"/>
      <c r="B3" s="295"/>
      <c r="C3" s="295"/>
      <c r="D3" s="295"/>
      <c r="E3" s="295"/>
      <c r="F3" s="295"/>
      <c r="G3" s="295"/>
      <c r="H3" s="295"/>
      <c r="I3" s="295"/>
      <c r="J3" s="295"/>
      <c r="K3" s="295"/>
      <c r="N3" s="3"/>
      <c r="O3" s="7"/>
    </row>
    <row r="4" spans="1:20" s="2" customFormat="1" ht="12.75" customHeight="1">
      <c r="A4" s="5"/>
      <c r="B4" s="6"/>
      <c r="C4" s="5"/>
      <c r="D4" s="5"/>
      <c r="E4" s="5"/>
      <c r="F4" s="5"/>
      <c r="G4" s="5"/>
      <c r="H4" s="5"/>
      <c r="I4" s="8"/>
      <c r="J4" s="8"/>
      <c r="K4" s="8"/>
      <c r="N4" s="3"/>
      <c r="O4" s="7"/>
    </row>
    <row r="5" spans="1:20" s="2" customFormat="1" ht="12.75" customHeight="1">
      <c r="B5" s="9"/>
      <c r="C5" s="10"/>
      <c r="D5" s="10"/>
      <c r="E5" s="10"/>
      <c r="N5" s="3"/>
      <c r="O5" s="4"/>
    </row>
    <row r="6" spans="1:20" s="2" customFormat="1" ht="12.75" customHeight="1">
      <c r="B6" s="9"/>
      <c r="N6" s="3"/>
      <c r="O6" s="11"/>
    </row>
    <row r="7" spans="1:20" s="2" customFormat="1" ht="12.75" customHeight="1">
      <c r="B7" s="9"/>
      <c r="N7" s="3"/>
      <c r="O7" s="4"/>
    </row>
    <row r="8" spans="1:20" s="2" customFormat="1" ht="12.75" customHeight="1">
      <c r="B8" s="9"/>
    </row>
    <row r="9" spans="1:20" ht="12.75" customHeight="1"/>
    <row r="10" spans="1:20" s="130" customFormat="1" ht="18.75" customHeight="1">
      <c r="B10" s="299" t="s">
        <v>0</v>
      </c>
      <c r="C10" s="299"/>
      <c r="D10" s="299"/>
      <c r="E10" s="299"/>
      <c r="F10" s="299"/>
      <c r="G10" s="299"/>
      <c r="H10" s="299"/>
      <c r="I10" s="299"/>
      <c r="J10" s="299"/>
      <c r="K10" s="299"/>
      <c r="L10" s="299"/>
      <c r="M10" s="299"/>
      <c r="N10" s="299"/>
      <c r="O10" s="299"/>
    </row>
    <row r="11" spans="1:20" ht="18.75" customHeight="1">
      <c r="B11" s="296" t="s">
        <v>1</v>
      </c>
      <c r="C11" s="296"/>
      <c r="D11" s="296"/>
      <c r="E11" s="296"/>
      <c r="F11" s="296"/>
      <c r="G11" s="296"/>
      <c r="H11" s="296"/>
      <c r="I11" s="296"/>
      <c r="J11" s="296"/>
      <c r="K11" s="296"/>
      <c r="L11" s="296"/>
      <c r="M11" s="296"/>
      <c r="N11" s="296"/>
      <c r="O11" s="296"/>
    </row>
    <row r="12" spans="1:20" ht="7.5" customHeight="1"/>
    <row r="13" spans="1:20" ht="7.5" customHeight="1"/>
    <row r="14" spans="1:20" ht="15.75">
      <c r="B14" s="131" t="s">
        <v>2</v>
      </c>
      <c r="D14" s="297" t="s">
        <v>64</v>
      </c>
      <c r="E14" s="297"/>
      <c r="F14" s="297"/>
      <c r="G14" s="297"/>
      <c r="H14" s="297"/>
      <c r="I14" s="297"/>
      <c r="J14" s="297"/>
      <c r="K14" s="297"/>
      <c r="L14" s="297"/>
      <c r="M14" s="297"/>
      <c r="N14" s="297"/>
      <c r="O14" s="297"/>
    </row>
    <row r="15" spans="1:20" ht="7.5" customHeight="1">
      <c r="B15" s="132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</row>
    <row r="16" spans="1:20" ht="15.75">
      <c r="B16" s="131" t="s">
        <v>4</v>
      </c>
      <c r="D16" s="134" t="s">
        <v>5</v>
      </c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</row>
    <row r="17" spans="1:15" ht="15.75">
      <c r="B17" s="132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</row>
    <row r="18" spans="1:15">
      <c r="B18" s="135"/>
      <c r="D18" s="136" t="s">
        <v>6</v>
      </c>
      <c r="E18" s="136"/>
      <c r="F18" s="137">
        <v>300</v>
      </c>
      <c r="G18" s="136" t="s">
        <v>7</v>
      </c>
    </row>
    <row r="19" spans="1:15">
      <c r="B19" s="135"/>
    </row>
    <row r="20" spans="1:15">
      <c r="B20" s="135"/>
      <c r="D20" s="138"/>
      <c r="E20" s="138"/>
      <c r="F20" s="298" t="s">
        <v>8</v>
      </c>
      <c r="G20" s="298"/>
      <c r="H20" s="298"/>
      <c r="J20" s="298" t="s">
        <v>9</v>
      </c>
      <c r="K20" s="298"/>
      <c r="L20" s="298"/>
      <c r="N20" s="298" t="s">
        <v>10</v>
      </c>
      <c r="O20" s="298"/>
    </row>
    <row r="21" spans="1:15">
      <c r="B21" s="135"/>
      <c r="D21" s="289" t="s">
        <v>11</v>
      </c>
      <c r="E21" s="139"/>
      <c r="F21" s="140" t="s">
        <v>12</v>
      </c>
      <c r="G21" s="140" t="s">
        <v>13</v>
      </c>
      <c r="H21" s="141" t="s">
        <v>14</v>
      </c>
      <c r="J21" s="140" t="s">
        <v>12</v>
      </c>
      <c r="K21" s="142" t="s">
        <v>13</v>
      </c>
      <c r="L21" s="141" t="s">
        <v>14</v>
      </c>
      <c r="N21" s="290" t="s">
        <v>15</v>
      </c>
      <c r="O21" s="291" t="s">
        <v>16</v>
      </c>
    </row>
    <row r="22" spans="1:15">
      <c r="B22" s="135"/>
      <c r="D22" s="289"/>
      <c r="E22" s="139"/>
      <c r="F22" s="143" t="s">
        <v>17</v>
      </c>
      <c r="G22" s="143"/>
      <c r="H22" s="144" t="s">
        <v>17</v>
      </c>
      <c r="J22" s="143" t="s">
        <v>17</v>
      </c>
      <c r="K22" s="144"/>
      <c r="L22" s="144" t="s">
        <v>17</v>
      </c>
      <c r="N22" s="290"/>
      <c r="O22" s="291"/>
    </row>
    <row r="23" spans="1:15">
      <c r="B23" s="145" t="s">
        <v>18</v>
      </c>
      <c r="C23" s="20"/>
      <c r="D23" s="146" t="s">
        <v>19</v>
      </c>
      <c r="E23" s="14"/>
      <c r="F23" s="147">
        <f>'[1]B. CurrentTariff'!C74</f>
        <v>378.72</v>
      </c>
      <c r="G23" s="15">
        <v>1</v>
      </c>
      <c r="H23" s="16">
        <f>G23*F23</f>
        <v>378.72</v>
      </c>
      <c r="I23" s="28"/>
      <c r="J23" s="148">
        <f>'[1]G. RateDesign'!B48</f>
        <v>378.72</v>
      </c>
      <c r="K23" s="17">
        <v>1</v>
      </c>
      <c r="L23" s="16">
        <f>K23*J23</f>
        <v>378.72</v>
      </c>
      <c r="M23" s="28"/>
      <c r="N23" s="149">
        <f>L23-H23</f>
        <v>0</v>
      </c>
      <c r="O23" s="18">
        <f>IF((H23)=0,"",(N23/H23))</f>
        <v>0</v>
      </c>
    </row>
    <row r="24" spans="1:15">
      <c r="A24" s="19"/>
      <c r="B24" s="145" t="s">
        <v>20</v>
      </c>
      <c r="C24" s="20"/>
      <c r="D24" s="146"/>
      <c r="E24" s="14"/>
      <c r="F24" s="150"/>
      <c r="G24" s="15">
        <v>1</v>
      </c>
      <c r="H24" s="16">
        <f t="shared" ref="H24:H38" si="0">G24*F24</f>
        <v>0</v>
      </c>
      <c r="I24" s="28"/>
      <c r="J24" s="31"/>
      <c r="K24" s="17">
        <v>1</v>
      </c>
      <c r="L24" s="16">
        <f>K24*J24</f>
        <v>0</v>
      </c>
      <c r="M24" s="28"/>
      <c r="N24" s="149">
        <f>L24-H24</f>
        <v>0</v>
      </c>
      <c r="O24" s="18" t="str">
        <f>IF((H24)=0,"",(N24/H24))</f>
        <v/>
      </c>
    </row>
    <row r="25" spans="1:15">
      <c r="A25" s="19"/>
      <c r="B25" s="151" t="s">
        <v>21</v>
      </c>
      <c r="C25" s="20"/>
      <c r="D25" s="146" t="s">
        <v>19</v>
      </c>
      <c r="E25" s="14"/>
      <c r="F25" s="150"/>
      <c r="G25" s="15">
        <v>1</v>
      </c>
      <c r="H25" s="16">
        <f t="shared" si="0"/>
        <v>0</v>
      </c>
      <c r="I25" s="28"/>
      <c r="J25" s="148">
        <f>'[1]I. SMRR'!G15</f>
        <v>0</v>
      </c>
      <c r="K25" s="17">
        <v>1</v>
      </c>
      <c r="L25" s="16">
        <f t="shared" ref="L25:L38" si="1">K25*J25</f>
        <v>0</v>
      </c>
      <c r="M25" s="28"/>
      <c r="N25" s="149">
        <f t="shared" ref="N25:N67" si="2">L25-H25</f>
        <v>0</v>
      </c>
      <c r="O25" s="18" t="str">
        <f t="shared" ref="O25:O47" si="3">IF((H25)=0,"",(N25/H25))</f>
        <v/>
      </c>
    </row>
    <row r="26" spans="1:15">
      <c r="A26" s="19"/>
      <c r="B26" s="152"/>
      <c r="C26" s="20"/>
      <c r="D26" s="146"/>
      <c r="E26" s="14"/>
      <c r="F26" s="150"/>
      <c r="G26" s="15">
        <v>1</v>
      </c>
      <c r="H26" s="16">
        <f t="shared" si="0"/>
        <v>0</v>
      </c>
      <c r="I26" s="28"/>
      <c r="J26" s="31"/>
      <c r="K26" s="17">
        <v>1</v>
      </c>
      <c r="L26" s="16">
        <f t="shared" si="1"/>
        <v>0</v>
      </c>
      <c r="M26" s="28"/>
      <c r="N26" s="149">
        <f t="shared" si="2"/>
        <v>0</v>
      </c>
      <c r="O26" s="18" t="str">
        <f t="shared" si="3"/>
        <v/>
      </c>
    </row>
    <row r="27" spans="1:15">
      <c r="A27" s="19"/>
      <c r="B27" s="152"/>
      <c r="C27" s="20"/>
      <c r="D27" s="146"/>
      <c r="E27" s="14"/>
      <c r="F27" s="150"/>
      <c r="G27" s="15">
        <v>1</v>
      </c>
      <c r="H27" s="16">
        <f t="shared" si="0"/>
        <v>0</v>
      </c>
      <c r="I27" s="28"/>
      <c r="J27" s="31"/>
      <c r="K27" s="17">
        <v>1</v>
      </c>
      <c r="L27" s="16">
        <f t="shared" si="1"/>
        <v>0</v>
      </c>
      <c r="M27" s="28"/>
      <c r="N27" s="149">
        <f t="shared" si="2"/>
        <v>0</v>
      </c>
      <c r="O27" s="18" t="str">
        <f t="shared" si="3"/>
        <v/>
      </c>
    </row>
    <row r="28" spans="1:15">
      <c r="A28" s="19"/>
      <c r="B28" s="152"/>
      <c r="C28" s="20"/>
      <c r="D28" s="146"/>
      <c r="E28" s="14"/>
      <c r="F28" s="150"/>
      <c r="G28" s="15">
        <v>1</v>
      </c>
      <c r="H28" s="16">
        <f t="shared" si="0"/>
        <v>0</v>
      </c>
      <c r="I28" s="28"/>
      <c r="J28" s="31"/>
      <c r="K28" s="17">
        <v>1</v>
      </c>
      <c r="L28" s="16">
        <f t="shared" si="1"/>
        <v>0</v>
      </c>
      <c r="M28" s="28"/>
      <c r="N28" s="149">
        <f t="shared" si="2"/>
        <v>0</v>
      </c>
      <c r="O28" s="18" t="str">
        <f t="shared" si="3"/>
        <v/>
      </c>
    </row>
    <row r="29" spans="1:15">
      <c r="A29" s="19"/>
      <c r="B29" s="145" t="s">
        <v>23</v>
      </c>
      <c r="C29" s="20"/>
      <c r="D29" s="146" t="s">
        <v>65</v>
      </c>
      <c r="E29" s="14"/>
      <c r="F29" s="150">
        <f>'[1]B. CurrentTariff'!C75</f>
        <v>0.64890000000000003</v>
      </c>
      <c r="G29" s="15">
        <f t="shared" ref="G29:G38" si="4">$F$18</f>
        <v>300</v>
      </c>
      <c r="H29" s="16">
        <f t="shared" si="0"/>
        <v>194.67000000000002</v>
      </c>
      <c r="I29" s="28"/>
      <c r="J29" s="31">
        <f>'[1]G. RateDesign'!G48</f>
        <v>1.113958109377494</v>
      </c>
      <c r="K29" s="15">
        <f>$F$18</f>
        <v>300</v>
      </c>
      <c r="L29" s="16">
        <f t="shared" si="1"/>
        <v>334.18743281324817</v>
      </c>
      <c r="M29" s="28"/>
      <c r="N29" s="149">
        <f t="shared" si="2"/>
        <v>139.51743281324815</v>
      </c>
      <c r="O29" s="18">
        <f t="shared" si="3"/>
        <v>0.71668686912851565</v>
      </c>
    </row>
    <row r="30" spans="1:15">
      <c r="A30" s="19"/>
      <c r="B30" s="145" t="s">
        <v>22</v>
      </c>
      <c r="C30" s="20"/>
      <c r="D30" s="146" t="s">
        <v>65</v>
      </c>
      <c r="E30" s="14"/>
      <c r="F30" s="150"/>
      <c r="G30" s="15">
        <f t="shared" si="4"/>
        <v>300</v>
      </c>
      <c r="H30" s="16">
        <f t="shared" si="0"/>
        <v>0</v>
      </c>
      <c r="I30" s="28"/>
      <c r="J30" s="31"/>
      <c r="K30" s="15">
        <f t="shared" ref="K30:K38" si="5">$F$18</f>
        <v>300</v>
      </c>
      <c r="L30" s="16">
        <f t="shared" si="1"/>
        <v>0</v>
      </c>
      <c r="M30" s="28"/>
      <c r="N30" s="149">
        <f t="shared" si="2"/>
        <v>0</v>
      </c>
      <c r="O30" s="18" t="str">
        <f t="shared" si="3"/>
        <v/>
      </c>
    </row>
    <row r="31" spans="1:15">
      <c r="A31" s="19"/>
      <c r="B31" s="145" t="s">
        <v>25</v>
      </c>
      <c r="C31" s="20"/>
      <c r="D31" s="146" t="s">
        <v>65</v>
      </c>
      <c r="E31" s="14"/>
      <c r="F31" s="150"/>
      <c r="G31" s="15">
        <f t="shared" si="4"/>
        <v>300</v>
      </c>
      <c r="H31" s="16">
        <f t="shared" si="0"/>
        <v>0</v>
      </c>
      <c r="I31" s="28"/>
      <c r="J31" s="31"/>
      <c r="K31" s="15">
        <f t="shared" si="5"/>
        <v>300</v>
      </c>
      <c r="L31" s="16">
        <f t="shared" si="1"/>
        <v>0</v>
      </c>
      <c r="M31" s="28"/>
      <c r="N31" s="149">
        <f t="shared" si="2"/>
        <v>0</v>
      </c>
      <c r="O31" s="18" t="str">
        <f t="shared" si="3"/>
        <v/>
      </c>
    </row>
    <row r="32" spans="1:15">
      <c r="A32" s="19"/>
      <c r="B32" s="151"/>
      <c r="C32" s="20"/>
      <c r="D32" s="146"/>
      <c r="E32" s="14"/>
      <c r="F32" s="150"/>
      <c r="G32" s="15">
        <f t="shared" si="4"/>
        <v>300</v>
      </c>
      <c r="H32" s="16">
        <f>G32*F32</f>
        <v>0</v>
      </c>
      <c r="I32" s="28"/>
      <c r="J32" s="31"/>
      <c r="K32" s="15">
        <f t="shared" si="5"/>
        <v>300</v>
      </c>
      <c r="L32" s="16">
        <f>K32*J32</f>
        <v>0</v>
      </c>
      <c r="M32" s="28"/>
      <c r="N32" s="149">
        <f>L32-H32</f>
        <v>0</v>
      </c>
      <c r="O32" s="18" t="str">
        <f>IF((H32)=0,"",(N32/H32))</f>
        <v/>
      </c>
    </row>
    <row r="33" spans="1:15">
      <c r="A33" s="19"/>
      <c r="B33" s="151"/>
      <c r="C33" s="20"/>
      <c r="D33" s="146"/>
      <c r="E33" s="14"/>
      <c r="F33" s="150"/>
      <c r="G33" s="15">
        <f t="shared" si="4"/>
        <v>300</v>
      </c>
      <c r="H33" s="16">
        <f>G33*F33</f>
        <v>0</v>
      </c>
      <c r="I33" s="28"/>
      <c r="J33" s="31"/>
      <c r="K33" s="15">
        <f t="shared" si="5"/>
        <v>300</v>
      </c>
      <c r="L33" s="16">
        <f>K33*J33</f>
        <v>0</v>
      </c>
      <c r="M33" s="28"/>
      <c r="N33" s="149">
        <f>L33-H33</f>
        <v>0</v>
      </c>
      <c r="O33" s="18" t="str">
        <f>IF((H33)=0,"",(N33/H33))</f>
        <v/>
      </c>
    </row>
    <row r="34" spans="1:15">
      <c r="A34" s="19"/>
      <c r="B34" s="151"/>
      <c r="C34" s="20"/>
      <c r="D34" s="146"/>
      <c r="E34" s="14"/>
      <c r="F34" s="150"/>
      <c r="G34" s="15">
        <f t="shared" si="4"/>
        <v>300</v>
      </c>
      <c r="H34" s="16">
        <f>G34*F34</f>
        <v>0</v>
      </c>
      <c r="I34" s="28"/>
      <c r="J34" s="31"/>
      <c r="K34" s="15">
        <f t="shared" si="5"/>
        <v>300</v>
      </c>
      <c r="L34" s="16">
        <f>K34*J34</f>
        <v>0</v>
      </c>
      <c r="M34" s="28"/>
      <c r="N34" s="149">
        <f>L34-H34</f>
        <v>0</v>
      </c>
      <c r="O34" s="18" t="str">
        <f>IF((H34)=0,"",(N34/H34))</f>
        <v/>
      </c>
    </row>
    <row r="35" spans="1:15">
      <c r="A35" s="19"/>
      <c r="B35" s="151"/>
      <c r="C35" s="20"/>
      <c r="D35" s="146"/>
      <c r="E35" s="14"/>
      <c r="F35" s="150"/>
      <c r="G35" s="15">
        <f t="shared" si="4"/>
        <v>300</v>
      </c>
      <c r="H35" s="16">
        <f t="shared" si="0"/>
        <v>0</v>
      </c>
      <c r="I35" s="28"/>
      <c r="J35" s="31"/>
      <c r="K35" s="15">
        <f t="shared" si="5"/>
        <v>300</v>
      </c>
      <c r="L35" s="16">
        <f t="shared" si="1"/>
        <v>0</v>
      </c>
      <c r="M35" s="28"/>
      <c r="N35" s="149">
        <f t="shared" si="2"/>
        <v>0</v>
      </c>
      <c r="O35" s="18" t="str">
        <f t="shared" si="3"/>
        <v/>
      </c>
    </row>
    <row r="36" spans="1:15">
      <c r="A36" s="19"/>
      <c r="B36" s="151"/>
      <c r="C36" s="20"/>
      <c r="D36" s="146"/>
      <c r="E36" s="14"/>
      <c r="F36" s="150"/>
      <c r="G36" s="15">
        <f t="shared" si="4"/>
        <v>300</v>
      </c>
      <c r="H36" s="16">
        <f t="shared" si="0"/>
        <v>0</v>
      </c>
      <c r="I36" s="28"/>
      <c r="J36" s="31"/>
      <c r="K36" s="15">
        <f t="shared" si="5"/>
        <v>300</v>
      </c>
      <c r="L36" s="16">
        <f t="shared" si="1"/>
        <v>0</v>
      </c>
      <c r="M36" s="28"/>
      <c r="N36" s="149">
        <f t="shared" si="2"/>
        <v>0</v>
      </c>
      <c r="O36" s="18" t="str">
        <f t="shared" si="3"/>
        <v/>
      </c>
    </row>
    <row r="37" spans="1:15">
      <c r="A37" s="19"/>
      <c r="B37" s="151"/>
      <c r="C37" s="20"/>
      <c r="D37" s="146"/>
      <c r="E37" s="14"/>
      <c r="F37" s="150"/>
      <c r="G37" s="15">
        <f t="shared" si="4"/>
        <v>300</v>
      </c>
      <c r="H37" s="16">
        <f t="shared" si="0"/>
        <v>0</v>
      </c>
      <c r="I37" s="28"/>
      <c r="J37" s="31"/>
      <c r="K37" s="15">
        <f t="shared" si="5"/>
        <v>300</v>
      </c>
      <c r="L37" s="16">
        <f t="shared" si="1"/>
        <v>0</v>
      </c>
      <c r="M37" s="28"/>
      <c r="N37" s="149">
        <f t="shared" si="2"/>
        <v>0</v>
      </c>
      <c r="O37" s="18" t="str">
        <f t="shared" si="3"/>
        <v/>
      </c>
    </row>
    <row r="38" spans="1:15">
      <c r="A38" s="19"/>
      <c r="B38" s="151"/>
      <c r="C38" s="20"/>
      <c r="D38" s="146"/>
      <c r="E38" s="14"/>
      <c r="F38" s="150"/>
      <c r="G38" s="15">
        <f t="shared" si="4"/>
        <v>300</v>
      </c>
      <c r="H38" s="16">
        <f t="shared" si="0"/>
        <v>0</v>
      </c>
      <c r="I38" s="28"/>
      <c r="J38" s="31"/>
      <c r="K38" s="15">
        <f t="shared" si="5"/>
        <v>300</v>
      </c>
      <c r="L38" s="16">
        <f t="shared" si="1"/>
        <v>0</v>
      </c>
      <c r="M38" s="28"/>
      <c r="N38" s="149">
        <f t="shared" si="2"/>
        <v>0</v>
      </c>
      <c r="O38" s="18" t="str">
        <f t="shared" si="3"/>
        <v/>
      </c>
    </row>
    <row r="39" spans="1:15">
      <c r="A39" s="19"/>
      <c r="B39" s="153" t="s">
        <v>26</v>
      </c>
      <c r="C39" s="154"/>
      <c r="D39" s="155"/>
      <c r="E39" s="154"/>
      <c r="F39" s="156"/>
      <c r="G39" s="157"/>
      <c r="H39" s="158">
        <f>SUM(H23:H38)</f>
        <v>573.3900000000001</v>
      </c>
      <c r="I39" s="28"/>
      <c r="J39" s="159"/>
      <c r="K39" s="160"/>
      <c r="L39" s="158">
        <f>SUM(L23:L38)</f>
        <v>712.90743281324819</v>
      </c>
      <c r="M39" s="28"/>
      <c r="N39" s="161">
        <f t="shared" si="2"/>
        <v>139.51743281324809</v>
      </c>
      <c r="O39" s="162">
        <f t="shared" si="3"/>
        <v>0.24332031045753863</v>
      </c>
    </row>
    <row r="40" spans="1:15" ht="51">
      <c r="A40" s="163"/>
      <c r="B40" s="164" t="str">
        <f>'[1]J. DVA'!$B$16</f>
        <v>Rate Rider Calculation for Deferral / Variance Accounts Balances (excluding Global Adj.)</v>
      </c>
      <c r="C40" s="20"/>
      <c r="D40" s="248" t="s">
        <v>65</v>
      </c>
      <c r="E40" s="20"/>
      <c r="F40" s="166"/>
      <c r="G40" s="21">
        <f>$F$18</f>
        <v>300</v>
      </c>
      <c r="H40" s="22">
        <f t="shared" ref="H40:H48" si="6">G40*F40</f>
        <v>0</v>
      </c>
      <c r="I40" s="167"/>
      <c r="J40" s="166">
        <f>'[1]J. DVA'!F22</f>
        <v>-0.2881086467416501</v>
      </c>
      <c r="K40" s="21">
        <f t="shared" ref="K40:K46" si="7">$F$18</f>
        <v>300</v>
      </c>
      <c r="L40" s="22">
        <f>K40*J40</f>
        <v>-86.432594022495024</v>
      </c>
      <c r="M40" s="167"/>
      <c r="N40" s="168">
        <f>L40-H40</f>
        <v>-86.432594022495024</v>
      </c>
      <c r="O40" s="24" t="str">
        <f>IF((H40)=0,"",(N40/H40))</f>
        <v/>
      </c>
    </row>
    <row r="41" spans="1:15" ht="51">
      <c r="A41" s="169"/>
      <c r="B41" s="164" t="str">
        <f>'[1]J. DVA'!$B$42</f>
        <v>Rate Rider Calculation for Deferral / Variance Accounts Balances (excluding Global Adj.) - NON-WMP</v>
      </c>
      <c r="C41" s="20"/>
      <c r="D41" s="248" t="s">
        <v>65</v>
      </c>
      <c r="E41" s="20"/>
      <c r="F41" s="166"/>
      <c r="G41" s="21">
        <f>$F$18</f>
        <v>300</v>
      </c>
      <c r="H41" s="22">
        <f t="shared" si="6"/>
        <v>0</v>
      </c>
      <c r="I41" s="167"/>
      <c r="J41" s="166">
        <f>'[1]J. DVA'!F48</f>
        <v>-0.92990514331638319</v>
      </c>
      <c r="K41" s="21">
        <f t="shared" si="7"/>
        <v>300</v>
      </c>
      <c r="L41" s="22">
        <f>K41*J41</f>
        <v>-278.97154299491496</v>
      </c>
      <c r="M41" s="167"/>
      <c r="N41" s="168">
        <f>L41-H41</f>
        <v>-278.97154299491496</v>
      </c>
      <c r="O41" s="24" t="str">
        <f>IF((H41)=0,"",(N41/H41))</f>
        <v/>
      </c>
    </row>
    <row r="42" spans="1:15" ht="38.25">
      <c r="A42" s="169"/>
      <c r="B42" s="164" t="str">
        <f>'[1]J. DVA'!$B$68</f>
        <v>Rate Rider Calculation for RSVA - Power - Global Adjustment</v>
      </c>
      <c r="C42" s="20"/>
      <c r="D42" s="248" t="s">
        <v>24</v>
      </c>
      <c r="E42" s="20"/>
      <c r="F42" s="166"/>
      <c r="G42" s="21">
        <f t="shared" ref="G42:G43" si="8">$F$18</f>
        <v>300</v>
      </c>
      <c r="H42" s="22"/>
      <c r="I42" s="167"/>
      <c r="J42" s="166">
        <f>'[1]J. DVA'!F74</f>
        <v>1.716429835341269</v>
      </c>
      <c r="K42" s="21">
        <f t="shared" si="7"/>
        <v>300</v>
      </c>
      <c r="L42" s="22">
        <f t="shared" ref="L42:L45" si="9">K42*J42</f>
        <v>514.92895060238072</v>
      </c>
      <c r="M42" s="167"/>
      <c r="N42" s="168">
        <f t="shared" ref="N42:N45" si="10">L42-H42</f>
        <v>514.92895060238072</v>
      </c>
      <c r="O42" s="24" t="str">
        <f t="shared" ref="O42:O45" si="11">IF((H42)=0,"",(N42/H42))</f>
        <v/>
      </c>
    </row>
    <row r="43" spans="1:15" ht="25.5">
      <c r="A43" s="169"/>
      <c r="B43" s="164" t="str">
        <f>'[1]J. DVA'!$B$121</f>
        <v>Rate Rider Calculation for Group 2 Accounts</v>
      </c>
      <c r="C43" s="20"/>
      <c r="D43" s="248" t="s">
        <v>24</v>
      </c>
      <c r="E43" s="20"/>
      <c r="F43" s="166"/>
      <c r="G43" s="21">
        <f t="shared" si="8"/>
        <v>300</v>
      </c>
      <c r="H43" s="22"/>
      <c r="I43" s="167"/>
      <c r="J43" s="166">
        <f>'[1]J. DVA'!F127</f>
        <v>2.8213276444467111E-2</v>
      </c>
      <c r="K43" s="21">
        <f t="shared" si="7"/>
        <v>300</v>
      </c>
      <c r="L43" s="22">
        <f t="shared" si="9"/>
        <v>8.4639829333401337</v>
      </c>
      <c r="M43" s="167"/>
      <c r="N43" s="168">
        <f t="shared" si="10"/>
        <v>8.4639829333401337</v>
      </c>
      <c r="O43" s="24" t="str">
        <f t="shared" si="11"/>
        <v/>
      </c>
    </row>
    <row r="44" spans="1:15" ht="25.5">
      <c r="A44" s="163"/>
      <c r="B44" s="164" t="str">
        <f>'[1]J. DVA'!$B$147</f>
        <v>Rate Rider Calculation for Accounts 1575 and 1576</v>
      </c>
      <c r="C44" s="20"/>
      <c r="D44" s="248" t="s">
        <v>65</v>
      </c>
      <c r="E44" s="20"/>
      <c r="F44" s="166"/>
      <c r="G44" s="21">
        <f>$F$18</f>
        <v>300</v>
      </c>
      <c r="H44" s="22">
        <f t="shared" si="6"/>
        <v>0</v>
      </c>
      <c r="I44" s="167"/>
      <c r="J44" s="166">
        <f>'[1]J. DVA'!F155</f>
        <v>8.240452368404183E-2</v>
      </c>
      <c r="K44" s="21">
        <f t="shared" si="7"/>
        <v>300</v>
      </c>
      <c r="L44" s="22">
        <f t="shared" si="9"/>
        <v>24.721357105212547</v>
      </c>
      <c r="M44" s="167"/>
      <c r="N44" s="168">
        <f t="shared" si="10"/>
        <v>24.721357105212547</v>
      </c>
      <c r="O44" s="24" t="str">
        <f t="shared" si="11"/>
        <v/>
      </c>
    </row>
    <row r="45" spans="1:15" ht="25.5">
      <c r="A45" s="163"/>
      <c r="B45" s="164" t="str">
        <f>'[1]J. DVA'!$B$175</f>
        <v>Rate Rider Calculation for Accounts 1568</v>
      </c>
      <c r="C45" s="20"/>
      <c r="D45" s="248" t="s">
        <v>65</v>
      </c>
      <c r="E45" s="20"/>
      <c r="F45" s="166"/>
      <c r="G45" s="21">
        <f>$F$18</f>
        <v>300</v>
      </c>
      <c r="H45" s="22">
        <f t="shared" si="6"/>
        <v>0</v>
      </c>
      <c r="I45" s="167"/>
      <c r="J45" s="166">
        <f>'[1]J. DVA'!F183</f>
        <v>5.684378315786414E-2</v>
      </c>
      <c r="K45" s="21">
        <f t="shared" si="7"/>
        <v>300</v>
      </c>
      <c r="L45" s="22">
        <f t="shared" si="9"/>
        <v>17.053134947359244</v>
      </c>
      <c r="M45" s="167"/>
      <c r="N45" s="168">
        <f t="shared" si="10"/>
        <v>17.053134947359244</v>
      </c>
      <c r="O45" s="24" t="str">
        <f t="shared" si="11"/>
        <v/>
      </c>
    </row>
    <row r="46" spans="1:15">
      <c r="A46" s="163"/>
      <c r="B46" s="164" t="s">
        <v>27</v>
      </c>
      <c r="C46" s="20"/>
      <c r="D46" s="248" t="s">
        <v>65</v>
      </c>
      <c r="E46" s="20"/>
      <c r="F46" s="166">
        <v>0.39539999999999997</v>
      </c>
      <c r="G46" s="21">
        <f>$F$18</f>
        <v>300</v>
      </c>
      <c r="H46" s="22">
        <f t="shared" si="6"/>
        <v>118.61999999999999</v>
      </c>
      <c r="I46" s="167"/>
      <c r="J46" s="166">
        <f>'[2]4.12 PowerSupplExp'!$I$173</f>
        <v>0.28549999999999998</v>
      </c>
      <c r="K46" s="21">
        <f t="shared" si="7"/>
        <v>300</v>
      </c>
      <c r="L46" s="22">
        <f>K46*J46</f>
        <v>85.649999999999991</v>
      </c>
      <c r="M46" s="167"/>
      <c r="N46" s="168">
        <f>L46-H46</f>
        <v>-32.97</v>
      </c>
      <c r="O46" s="24">
        <f>IF((H46)=0,"",(N46/H46))</f>
        <v>-0.27794638340920585</v>
      </c>
    </row>
    <row r="47" spans="1:15">
      <c r="A47" s="19"/>
      <c r="B47" s="145" t="s">
        <v>28</v>
      </c>
      <c r="C47" s="20"/>
      <c r="D47" s="248" t="s">
        <v>65</v>
      </c>
      <c r="E47" s="20"/>
      <c r="F47" s="166">
        <f>IF(ISBLANK(D16)=1, 0, IF(D16="TOU", 0.64*$F$57+0.18*$F$58+0.18*$F$59, IF(AND(D16="non-TOU", G61&gt;0), F61,F60)))</f>
        <v>9.5000000000000001E-2</v>
      </c>
      <c r="G47" s="21">
        <f>$F$18*(1+$F$76)-$F$18</f>
        <v>11.699999999999989</v>
      </c>
      <c r="H47" s="22">
        <f t="shared" si="6"/>
        <v>1.1114999999999988</v>
      </c>
      <c r="I47" s="167"/>
      <c r="J47" s="166">
        <f>0.64*$F$57+0.18*$F$58+0.18*$F$59</f>
        <v>9.5000000000000001E-2</v>
      </c>
      <c r="K47" s="21">
        <f>$F$18*(1+$J$76)-$F$18</f>
        <v>13.710000000000036</v>
      </c>
      <c r="L47" s="22">
        <f t="shared" ref="L47:L48" si="12">K47*J47</f>
        <v>1.3024500000000034</v>
      </c>
      <c r="M47" s="167"/>
      <c r="N47" s="168">
        <f t="shared" si="2"/>
        <v>0.19095000000000462</v>
      </c>
      <c r="O47" s="24">
        <f t="shared" si="3"/>
        <v>0.17179487179487613</v>
      </c>
    </row>
    <row r="48" spans="1:15">
      <c r="A48" s="19"/>
      <c r="B48" s="145" t="s">
        <v>29</v>
      </c>
      <c r="C48" s="20"/>
      <c r="D48" s="248" t="s">
        <v>65</v>
      </c>
      <c r="E48" s="20"/>
      <c r="F48" s="166">
        <v>0.79</v>
      </c>
      <c r="G48" s="21">
        <v>1</v>
      </c>
      <c r="H48" s="22">
        <f t="shared" si="6"/>
        <v>0.79</v>
      </c>
      <c r="I48" s="167"/>
      <c r="J48" s="166">
        <v>0.79</v>
      </c>
      <c r="K48" s="21">
        <v>1</v>
      </c>
      <c r="L48" s="22">
        <f t="shared" si="12"/>
        <v>0.79</v>
      </c>
      <c r="M48" s="167"/>
      <c r="N48" s="168">
        <f t="shared" si="2"/>
        <v>0</v>
      </c>
      <c r="O48" s="24"/>
    </row>
    <row r="49" spans="2:19" ht="25.5">
      <c r="B49" s="175" t="s">
        <v>30</v>
      </c>
      <c r="C49" s="176"/>
      <c r="D49" s="176"/>
      <c r="E49" s="176"/>
      <c r="F49" s="177"/>
      <c r="G49" s="178"/>
      <c r="H49" s="179">
        <f>SUM(H40:H48)+H39</f>
        <v>693.91150000000005</v>
      </c>
      <c r="I49" s="28"/>
      <c r="J49" s="178"/>
      <c r="K49" s="180"/>
      <c r="L49" s="179">
        <f>SUM(L40:L48)+L39</f>
        <v>1000.4131713841309</v>
      </c>
      <c r="M49" s="28"/>
      <c r="N49" s="161">
        <f t="shared" si="2"/>
        <v>306.50167138413087</v>
      </c>
      <c r="O49" s="162">
        <f t="shared" ref="O49:O67" si="13">IF((H49)=0,"",(N49/H49))</f>
        <v>0.44170138610490078</v>
      </c>
    </row>
    <row r="50" spans="2:19">
      <c r="B50" s="181" t="s">
        <v>31</v>
      </c>
      <c r="C50" s="28"/>
      <c r="D50" s="146" t="s">
        <v>65</v>
      </c>
      <c r="E50" s="28"/>
      <c r="F50" s="31">
        <v>2.3683000000000001</v>
      </c>
      <c r="G50" s="29">
        <f>F18*(1+F76)</f>
        <v>311.7</v>
      </c>
      <c r="H50" s="16">
        <f>G50*F50</f>
        <v>738.19911000000002</v>
      </c>
      <c r="I50" s="28"/>
      <c r="J50" s="31">
        <f>'[2]4.12 PowerSupplExp'!$N$60</f>
        <v>2.2676027838117778</v>
      </c>
      <c r="K50" s="30">
        <f>F18*(1+J76)</f>
        <v>313.71000000000004</v>
      </c>
      <c r="L50" s="16">
        <f>K50*J50</f>
        <v>711.36966930959295</v>
      </c>
      <c r="M50" s="28"/>
      <c r="N50" s="149">
        <f t="shared" si="2"/>
        <v>-26.829440690407068</v>
      </c>
      <c r="O50" s="18">
        <f t="shared" si="13"/>
        <v>-3.6344450063624523E-2</v>
      </c>
    </row>
    <row r="51" spans="2:19" ht="25.5">
      <c r="B51" s="183" t="s">
        <v>32</v>
      </c>
      <c r="C51" s="28"/>
      <c r="D51" s="146" t="s">
        <v>65</v>
      </c>
      <c r="E51" s="28"/>
      <c r="F51" s="31">
        <v>1.5959000000000001</v>
      </c>
      <c r="G51" s="29">
        <f>G50</f>
        <v>311.7</v>
      </c>
      <c r="H51" s="16">
        <f>G51*F51</f>
        <v>497.44202999999999</v>
      </c>
      <c r="I51" s="28"/>
      <c r="J51" s="31">
        <f>'[2]4.12 PowerSupplExp'!$N$76</f>
        <v>1.6311900310603258</v>
      </c>
      <c r="K51" s="30">
        <f>K50</f>
        <v>313.71000000000004</v>
      </c>
      <c r="L51" s="16">
        <f>K51*J51</f>
        <v>511.72062464393485</v>
      </c>
      <c r="M51" s="28"/>
      <c r="N51" s="149">
        <f t="shared" si="2"/>
        <v>14.278594643934866</v>
      </c>
      <c r="O51" s="18">
        <f t="shared" si="13"/>
        <v>2.8704037421073702E-2</v>
      </c>
    </row>
    <row r="52" spans="2:19" ht="25.5">
      <c r="B52" s="175" t="s">
        <v>33</v>
      </c>
      <c r="C52" s="154"/>
      <c r="D52" s="154"/>
      <c r="E52" s="154"/>
      <c r="F52" s="184"/>
      <c r="G52" s="178"/>
      <c r="H52" s="179">
        <f>SUM(H49:H51)</f>
        <v>1929.5526400000001</v>
      </c>
      <c r="I52" s="185"/>
      <c r="J52" s="186"/>
      <c r="K52" s="187"/>
      <c r="L52" s="179">
        <f>SUM(L49:L51)</f>
        <v>2223.5034653376588</v>
      </c>
      <c r="M52" s="185"/>
      <c r="N52" s="161">
        <f t="shared" si="2"/>
        <v>293.95082533765867</v>
      </c>
      <c r="O52" s="162">
        <f t="shared" si="13"/>
        <v>0.15234143875839462</v>
      </c>
    </row>
    <row r="53" spans="2:19" ht="25.5">
      <c r="B53" s="145" t="s">
        <v>34</v>
      </c>
      <c r="C53" s="20"/>
      <c r="D53" s="188" t="s">
        <v>24</v>
      </c>
      <c r="E53" s="14"/>
      <c r="F53" s="31">
        <v>4.4000000000000003E-3</v>
      </c>
      <c r="G53" s="29">
        <f>G51</f>
        <v>311.7</v>
      </c>
      <c r="H53" s="16">
        <f t="shared" ref="H53:H59" si="14">G53*F53</f>
        <v>1.37148</v>
      </c>
      <c r="I53" s="28"/>
      <c r="J53" s="31">
        <v>4.4000000000000003E-3</v>
      </c>
      <c r="K53" s="30">
        <f>K51</f>
        <v>313.71000000000004</v>
      </c>
      <c r="L53" s="16">
        <f t="shared" ref="L53:L59" si="15">K53*J53</f>
        <v>1.3803240000000003</v>
      </c>
      <c r="M53" s="28"/>
      <c r="N53" s="149">
        <f t="shared" si="2"/>
        <v>8.8440000000002961E-3</v>
      </c>
      <c r="O53" s="18">
        <f t="shared" si="13"/>
        <v>6.4485081809434307E-3</v>
      </c>
    </row>
    <row r="54" spans="2:19" ht="25.5">
      <c r="B54" s="145" t="s">
        <v>35</v>
      </c>
      <c r="C54" s="20"/>
      <c r="D54" s="188" t="s">
        <v>24</v>
      </c>
      <c r="E54" s="14"/>
      <c r="F54" s="31">
        <v>1.1999999999999999E-3</v>
      </c>
      <c r="G54" s="29">
        <f>G51</f>
        <v>311.7</v>
      </c>
      <c r="H54" s="16">
        <f t="shared" si="14"/>
        <v>0.37403999999999993</v>
      </c>
      <c r="I54" s="28"/>
      <c r="J54" s="31">
        <v>1.1999999999999999E-3</v>
      </c>
      <c r="K54" s="30">
        <f>K51</f>
        <v>313.71000000000004</v>
      </c>
      <c r="L54" s="16">
        <f t="shared" si="15"/>
        <v>0.37645200000000001</v>
      </c>
      <c r="M54" s="28"/>
      <c r="N54" s="149">
        <f t="shared" si="2"/>
        <v>2.4120000000000807E-3</v>
      </c>
      <c r="O54" s="18">
        <f t="shared" si="13"/>
        <v>6.4485081809434316E-3</v>
      </c>
    </row>
    <row r="55" spans="2:19" ht="25.5">
      <c r="B55" s="145" t="s">
        <v>36</v>
      </c>
      <c r="C55" s="20"/>
      <c r="D55" s="188" t="s">
        <v>19</v>
      </c>
      <c r="E55" s="14"/>
      <c r="F55" s="31">
        <v>0.25</v>
      </c>
      <c r="G55" s="15">
        <v>1</v>
      </c>
      <c r="H55" s="16">
        <f t="shared" si="14"/>
        <v>0.25</v>
      </c>
      <c r="I55" s="28"/>
      <c r="J55" s="31">
        <v>0.25</v>
      </c>
      <c r="K55" s="17">
        <v>1</v>
      </c>
      <c r="L55" s="16">
        <f t="shared" si="15"/>
        <v>0.25</v>
      </c>
      <c r="M55" s="28"/>
      <c r="N55" s="149">
        <f t="shared" si="2"/>
        <v>0</v>
      </c>
      <c r="O55" s="18">
        <f t="shared" si="13"/>
        <v>0</v>
      </c>
    </row>
    <row r="56" spans="2:19" ht="25.5">
      <c r="B56" s="145" t="s">
        <v>37</v>
      </c>
      <c r="C56" s="20"/>
      <c r="D56" s="188" t="s">
        <v>24</v>
      </c>
      <c r="E56" s="14"/>
      <c r="F56" s="31">
        <v>4.8999999999999998E-3</v>
      </c>
      <c r="G56" s="29">
        <f>F18</f>
        <v>300</v>
      </c>
      <c r="H56" s="16">
        <f t="shared" si="14"/>
        <v>1.47</v>
      </c>
      <c r="I56" s="28"/>
      <c r="J56" s="31">
        <v>4.8999999999999998E-3</v>
      </c>
      <c r="K56" s="30">
        <f>F18</f>
        <v>300</v>
      </c>
      <c r="L56" s="16">
        <f t="shared" si="15"/>
        <v>1.47</v>
      </c>
      <c r="M56" s="28"/>
      <c r="N56" s="149">
        <f t="shared" si="2"/>
        <v>0</v>
      </c>
      <c r="O56" s="18">
        <f t="shared" si="13"/>
        <v>0</v>
      </c>
    </row>
    <row r="57" spans="2:19">
      <c r="B57" s="170" t="s">
        <v>38</v>
      </c>
      <c r="C57" s="20"/>
      <c r="D57" s="188" t="s">
        <v>24</v>
      </c>
      <c r="E57" s="14"/>
      <c r="F57" s="31">
        <v>7.6999999999999999E-2</v>
      </c>
      <c r="G57" s="189">
        <f>0.64*$F$18</f>
        <v>192</v>
      </c>
      <c r="H57" s="16">
        <f t="shared" si="14"/>
        <v>14.783999999999999</v>
      </c>
      <c r="I57" s="28"/>
      <c r="J57" s="31">
        <v>7.6999999999999999E-2</v>
      </c>
      <c r="K57" s="189">
        <f>G57</f>
        <v>192</v>
      </c>
      <c r="L57" s="16">
        <f t="shared" si="15"/>
        <v>14.783999999999999</v>
      </c>
      <c r="M57" s="28"/>
      <c r="N57" s="149">
        <f t="shared" si="2"/>
        <v>0</v>
      </c>
      <c r="O57" s="18">
        <f t="shared" si="13"/>
        <v>0</v>
      </c>
      <c r="S57" s="190"/>
    </row>
    <row r="58" spans="2:19">
      <c r="B58" s="170" t="s">
        <v>39</v>
      </c>
      <c r="C58" s="20"/>
      <c r="D58" s="188" t="s">
        <v>24</v>
      </c>
      <c r="E58" s="14"/>
      <c r="F58" s="31">
        <v>0.114</v>
      </c>
      <c r="G58" s="189">
        <f>0.18*$F$18</f>
        <v>54</v>
      </c>
      <c r="H58" s="16">
        <f t="shared" si="14"/>
        <v>6.1560000000000006</v>
      </c>
      <c r="I58" s="28"/>
      <c r="J58" s="31">
        <v>0.114</v>
      </c>
      <c r="K58" s="189">
        <f>G58</f>
        <v>54</v>
      </c>
      <c r="L58" s="16">
        <f t="shared" si="15"/>
        <v>6.1560000000000006</v>
      </c>
      <c r="M58" s="28"/>
      <c r="N58" s="149">
        <f t="shared" si="2"/>
        <v>0</v>
      </c>
      <c r="O58" s="18">
        <f t="shared" si="13"/>
        <v>0</v>
      </c>
      <c r="S58" s="190"/>
    </row>
    <row r="59" spans="2:19">
      <c r="B59" s="135" t="s">
        <v>40</v>
      </c>
      <c r="C59" s="20"/>
      <c r="D59" s="188" t="s">
        <v>24</v>
      </c>
      <c r="E59" s="14"/>
      <c r="F59" s="31">
        <v>0.14000000000000001</v>
      </c>
      <c r="G59" s="189">
        <f>0.18*$F$18</f>
        <v>54</v>
      </c>
      <c r="H59" s="16">
        <f t="shared" si="14"/>
        <v>7.5600000000000005</v>
      </c>
      <c r="I59" s="28"/>
      <c r="J59" s="31">
        <v>0.14000000000000001</v>
      </c>
      <c r="K59" s="189">
        <f>G59</f>
        <v>54</v>
      </c>
      <c r="L59" s="16">
        <f t="shared" si="15"/>
        <v>7.5600000000000005</v>
      </c>
      <c r="M59" s="28"/>
      <c r="N59" s="149">
        <f t="shared" si="2"/>
        <v>0</v>
      </c>
      <c r="O59" s="18">
        <f t="shared" si="13"/>
        <v>0</v>
      </c>
      <c r="S59" s="190"/>
    </row>
    <row r="60" spans="2:19" s="195" customFormat="1">
      <c r="B60" s="191" t="s">
        <v>41</v>
      </c>
      <c r="C60" s="32"/>
      <c r="D60" s="188" t="s">
        <v>24</v>
      </c>
      <c r="E60" s="32"/>
      <c r="F60" s="31">
        <v>8.5999999999999993E-2</v>
      </c>
      <c r="G60" s="192">
        <f>IF(AND($T$1=1, F18&gt;=600), 600, IF(AND($T$1=1, AND(F18&lt;600, F18&gt;=0)), F18, IF(AND($T$1=2, F18&gt;=1000), 1000, IF(AND($T$1=2, AND(F18&lt;1000, F18&gt;=0)), F18))))</f>
        <v>300</v>
      </c>
      <c r="H60" s="16">
        <f>G60*F60</f>
        <v>25.799999999999997</v>
      </c>
      <c r="I60" s="193"/>
      <c r="J60" s="31">
        <v>8.5999999999999993E-2</v>
      </c>
      <c r="K60" s="192">
        <f>G60</f>
        <v>300</v>
      </c>
      <c r="L60" s="16">
        <f>K60*J60</f>
        <v>25.799999999999997</v>
      </c>
      <c r="M60" s="193"/>
      <c r="N60" s="194">
        <f t="shared" si="2"/>
        <v>0</v>
      </c>
      <c r="O60" s="18">
        <f t="shared" si="13"/>
        <v>0</v>
      </c>
    </row>
    <row r="61" spans="2:19" s="195" customFormat="1" ht="13.5" thickBot="1">
      <c r="B61" s="191" t="s">
        <v>42</v>
      </c>
      <c r="C61" s="32"/>
      <c r="D61" s="188" t="s">
        <v>24</v>
      </c>
      <c r="E61" s="32"/>
      <c r="F61" s="31">
        <v>0.10100000000000001</v>
      </c>
      <c r="G61" s="192">
        <f>IF(AND($T$1=1, F18&gt;=600), F18-600, IF(AND($T$1=1, AND(F18&lt;600, F18&gt;=0)), 0, IF(AND($T$1=2, F18&gt;=1000), F18-1000, IF(AND($T$1=2, AND(F18&lt;1000, F18&gt;=0)), 0))))</f>
        <v>0</v>
      </c>
      <c r="H61" s="16">
        <f>G61*F61</f>
        <v>0</v>
      </c>
      <c r="I61" s="193"/>
      <c r="J61" s="31">
        <v>0.10100000000000001</v>
      </c>
      <c r="K61" s="192">
        <f>G61</f>
        <v>0</v>
      </c>
      <c r="L61" s="16">
        <f>K61*J61</f>
        <v>0</v>
      </c>
      <c r="M61" s="193"/>
      <c r="N61" s="194">
        <f t="shared" si="2"/>
        <v>0</v>
      </c>
      <c r="O61" s="18" t="str">
        <f t="shared" si="13"/>
        <v/>
      </c>
    </row>
    <row r="62" spans="2:19" ht="13.5" thickBot="1">
      <c r="B62" s="196"/>
      <c r="C62" s="197"/>
      <c r="D62" s="198"/>
      <c r="E62" s="197"/>
      <c r="F62" s="199"/>
      <c r="G62" s="200"/>
      <c r="H62" s="201"/>
      <c r="I62" s="202"/>
      <c r="J62" s="199"/>
      <c r="K62" s="203"/>
      <c r="L62" s="201"/>
      <c r="M62" s="202"/>
      <c r="N62" s="204"/>
      <c r="O62" s="205"/>
    </row>
    <row r="63" spans="2:19" ht="25.5">
      <c r="B63" s="33" t="s">
        <v>43</v>
      </c>
      <c r="C63" s="20"/>
      <c r="D63" s="20"/>
      <c r="E63" s="20"/>
      <c r="F63" s="34"/>
      <c r="G63" s="35"/>
      <c r="H63" s="36">
        <f>SUM(H53:H59,H52)</f>
        <v>1961.5181600000001</v>
      </c>
      <c r="I63" s="37"/>
      <c r="J63" s="38"/>
      <c r="K63" s="38"/>
      <c r="L63" s="36">
        <f>SUM(L53:L59,L52)</f>
        <v>2255.4802413376588</v>
      </c>
      <c r="M63" s="39"/>
      <c r="N63" s="40">
        <f>L63-H63</f>
        <v>293.96208133765867</v>
      </c>
      <c r="O63" s="41">
        <f>IF((H63)=0,"",(N63/H63))</f>
        <v>0.1498645729273588</v>
      </c>
      <c r="S63" s="190"/>
    </row>
    <row r="64" spans="2:19">
      <c r="B64" s="42" t="s">
        <v>44</v>
      </c>
      <c r="C64" s="20"/>
      <c r="D64" s="20"/>
      <c r="E64" s="20"/>
      <c r="F64" s="43">
        <v>0.13</v>
      </c>
      <c r="G64" s="44"/>
      <c r="H64" s="45">
        <f>H63*F64</f>
        <v>254.99736080000002</v>
      </c>
      <c r="I64" s="46"/>
      <c r="J64" s="47">
        <v>0.13</v>
      </c>
      <c r="K64" s="46"/>
      <c r="L64" s="48">
        <f>L63*J64</f>
        <v>293.21243137389564</v>
      </c>
      <c r="M64" s="49"/>
      <c r="N64" s="50">
        <f t="shared" si="2"/>
        <v>38.215070573895616</v>
      </c>
      <c r="O64" s="18">
        <f t="shared" si="13"/>
        <v>0.14986457292735875</v>
      </c>
      <c r="S64" s="190"/>
    </row>
    <row r="65" spans="1:19">
      <c r="B65" s="206" t="s">
        <v>45</v>
      </c>
      <c r="C65" s="20"/>
      <c r="D65" s="20"/>
      <c r="E65" s="20"/>
      <c r="F65" s="51"/>
      <c r="G65" s="44"/>
      <c r="H65" s="45">
        <f>H63+H64</f>
        <v>2216.5155208000001</v>
      </c>
      <c r="I65" s="46"/>
      <c r="J65" s="46"/>
      <c r="K65" s="46"/>
      <c r="L65" s="48">
        <f>L63+L64</f>
        <v>2548.6926727115542</v>
      </c>
      <c r="M65" s="49"/>
      <c r="N65" s="50">
        <f t="shared" si="2"/>
        <v>332.17715191155412</v>
      </c>
      <c r="O65" s="18">
        <f t="shared" si="13"/>
        <v>0.14986457292735872</v>
      </c>
      <c r="S65" s="190"/>
    </row>
    <row r="66" spans="1:19">
      <c r="B66" s="292" t="s">
        <v>46</v>
      </c>
      <c r="C66" s="292"/>
      <c r="D66" s="292"/>
      <c r="E66" s="20"/>
      <c r="F66" s="51"/>
      <c r="G66" s="44"/>
      <c r="H66" s="52">
        <f>ROUND(-H65*0.1,2)</f>
        <v>-221.65</v>
      </c>
      <c r="I66" s="46"/>
      <c r="J66" s="46"/>
      <c r="K66" s="46"/>
      <c r="L66" s="53">
        <f>ROUND(-L65*0.1,2)</f>
        <v>-254.87</v>
      </c>
      <c r="M66" s="49"/>
      <c r="N66" s="54">
        <f t="shared" si="2"/>
        <v>-33.22</v>
      </c>
      <c r="O66" s="55">
        <f t="shared" si="13"/>
        <v>0.1498759305210918</v>
      </c>
    </row>
    <row r="67" spans="1:19" ht="13.5" thickBot="1">
      <c r="B67" s="293" t="s">
        <v>47</v>
      </c>
      <c r="C67" s="293"/>
      <c r="D67" s="293"/>
      <c r="E67" s="14"/>
      <c r="F67" s="207"/>
      <c r="G67" s="208"/>
      <c r="H67" s="209">
        <f>H65+H66</f>
        <v>1994.8655208</v>
      </c>
      <c r="I67" s="210"/>
      <c r="J67" s="210"/>
      <c r="K67" s="210"/>
      <c r="L67" s="211">
        <f>L65+L66</f>
        <v>2293.8226727115543</v>
      </c>
      <c r="M67" s="212"/>
      <c r="N67" s="213">
        <f t="shared" si="2"/>
        <v>298.95715191155432</v>
      </c>
      <c r="O67" s="214">
        <f t="shared" si="13"/>
        <v>0.14986331098231809</v>
      </c>
    </row>
    <row r="68" spans="1:19" s="195" customFormat="1" ht="13.5" thickBot="1">
      <c r="B68" s="215"/>
      <c r="C68" s="216"/>
      <c r="D68" s="217"/>
      <c r="E68" s="216"/>
      <c r="F68" s="199"/>
      <c r="G68" s="218"/>
      <c r="H68" s="201"/>
      <c r="I68" s="219"/>
      <c r="J68" s="199"/>
      <c r="K68" s="220"/>
      <c r="L68" s="201"/>
      <c r="M68" s="219"/>
      <c r="N68" s="221"/>
      <c r="O68" s="205"/>
    </row>
    <row r="69" spans="1:19" s="195" customFormat="1" ht="25.5">
      <c r="B69" s="56" t="s">
        <v>48</v>
      </c>
      <c r="C69" s="32"/>
      <c r="D69" s="32"/>
      <c r="E69" s="32"/>
      <c r="F69" s="57"/>
      <c r="G69" s="58"/>
      <c r="H69" s="59">
        <f>SUM(H60:H61,H52,H53:H56)</f>
        <v>1958.81816</v>
      </c>
      <c r="I69" s="60"/>
      <c r="J69" s="61"/>
      <c r="K69" s="61"/>
      <c r="L69" s="59">
        <f>SUM(L60:L61,L52,L53:L56)</f>
        <v>2252.7802413376589</v>
      </c>
      <c r="M69" s="62"/>
      <c r="N69" s="63">
        <f>L69-H69</f>
        <v>293.9620813376589</v>
      </c>
      <c r="O69" s="41">
        <f>IF((H69)=0,"",(N69/H69))</f>
        <v>0.15007114358060622</v>
      </c>
    </row>
    <row r="70" spans="1:19" s="195" customFormat="1">
      <c r="B70" s="64" t="s">
        <v>44</v>
      </c>
      <c r="C70" s="32"/>
      <c r="D70" s="32"/>
      <c r="E70" s="32"/>
      <c r="F70" s="65">
        <v>0.13</v>
      </c>
      <c r="G70" s="58"/>
      <c r="H70" s="66">
        <f>H69*F70</f>
        <v>254.64636080000002</v>
      </c>
      <c r="I70" s="67"/>
      <c r="J70" s="68">
        <v>0.13</v>
      </c>
      <c r="K70" s="69"/>
      <c r="L70" s="70">
        <f>L69*J70</f>
        <v>292.8614313738957</v>
      </c>
      <c r="M70" s="71"/>
      <c r="N70" s="72">
        <f>L70-H70</f>
        <v>38.215070573895673</v>
      </c>
      <c r="O70" s="18">
        <f>IF((H70)=0,"",(N70/H70))</f>
        <v>0.15007114358060628</v>
      </c>
    </row>
    <row r="71" spans="1:19" s="195" customFormat="1">
      <c r="B71" s="222" t="s">
        <v>45</v>
      </c>
      <c r="C71" s="32"/>
      <c r="D71" s="32"/>
      <c r="E71" s="32"/>
      <c r="F71" s="73"/>
      <c r="G71" s="74"/>
      <c r="H71" s="66">
        <f>H69+H70</f>
        <v>2213.4645208000002</v>
      </c>
      <c r="I71" s="67"/>
      <c r="J71" s="67"/>
      <c r="K71" s="67"/>
      <c r="L71" s="70">
        <f>L69+L70</f>
        <v>2545.6416727115547</v>
      </c>
      <c r="M71" s="71"/>
      <c r="N71" s="72">
        <f>L71-H71</f>
        <v>332.17715191155457</v>
      </c>
      <c r="O71" s="18">
        <f>IF((H71)=0,"",(N71/H71))</f>
        <v>0.15007114358060622</v>
      </c>
    </row>
    <row r="72" spans="1:19" s="195" customFormat="1">
      <c r="B72" s="294" t="s">
        <v>46</v>
      </c>
      <c r="C72" s="294"/>
      <c r="D72" s="294"/>
      <c r="E72" s="32"/>
      <c r="F72" s="73"/>
      <c r="G72" s="74"/>
      <c r="H72" s="75">
        <f>ROUND(-H71*0.1,2)</f>
        <v>-221.35</v>
      </c>
      <c r="I72" s="67"/>
      <c r="J72" s="67"/>
      <c r="K72" s="67"/>
      <c r="L72" s="76">
        <f>ROUND(-L71*0.1,2)</f>
        <v>-254.56</v>
      </c>
      <c r="M72" s="71"/>
      <c r="N72" s="77">
        <f>L72-H72</f>
        <v>-33.210000000000008</v>
      </c>
      <c r="O72" s="55">
        <f>IF((H72)=0,"",(N72/H72))</f>
        <v>0.15003388299073869</v>
      </c>
    </row>
    <row r="73" spans="1:19" s="195" customFormat="1" ht="13.5" thickBot="1">
      <c r="B73" s="288" t="s">
        <v>49</v>
      </c>
      <c r="C73" s="288"/>
      <c r="D73" s="288"/>
      <c r="E73" s="32"/>
      <c r="F73" s="73"/>
      <c r="G73" s="74"/>
      <c r="H73" s="59">
        <f>SUM(H71:H72)</f>
        <v>1992.1145208000003</v>
      </c>
      <c r="I73" s="60"/>
      <c r="J73" s="60"/>
      <c r="K73" s="60"/>
      <c r="L73" s="223">
        <f>SUM(L71:L72)</f>
        <v>2291.0816727115548</v>
      </c>
      <c r="M73" s="62"/>
      <c r="N73" s="63">
        <f>L73-H73</f>
        <v>298.96715191155454</v>
      </c>
      <c r="O73" s="41">
        <f>IF((H73)=0,"",(N73/H73))</f>
        <v>0.15007528371988085</v>
      </c>
    </row>
    <row r="74" spans="1:19" s="195" customFormat="1" ht="13.5" thickBot="1">
      <c r="B74" s="215"/>
      <c r="C74" s="216"/>
      <c r="D74" s="217"/>
      <c r="E74" s="216"/>
      <c r="F74" s="224"/>
      <c r="G74" s="225"/>
      <c r="H74" s="226"/>
      <c r="I74" s="227"/>
      <c r="J74" s="224"/>
      <c r="K74" s="218"/>
      <c r="L74" s="228"/>
      <c r="M74" s="219"/>
      <c r="N74" s="229"/>
      <c r="O74" s="205"/>
    </row>
    <row r="75" spans="1:19">
      <c r="L75" s="190"/>
    </row>
    <row r="76" spans="1:19">
      <c r="B76" s="230" t="s">
        <v>50</v>
      </c>
      <c r="F76" s="231">
        <v>3.9E-2</v>
      </c>
      <c r="J76" s="231">
        <v>4.5699999999999998E-2</v>
      </c>
    </row>
    <row r="78" spans="1:19" ht="14.25">
      <c r="A78" s="232" t="s">
        <v>51</v>
      </c>
    </row>
    <row r="80" spans="1:19">
      <c r="A80" s="12" t="s">
        <v>52</v>
      </c>
    </row>
    <row r="81" spans="1:2">
      <c r="A81" s="12" t="s">
        <v>53</v>
      </c>
    </row>
    <row r="83" spans="1:2">
      <c r="A83" s="233" t="s">
        <v>54</v>
      </c>
    </row>
    <row r="84" spans="1:2">
      <c r="A84" s="233" t="s">
        <v>55</v>
      </c>
    </row>
    <row r="86" spans="1:2">
      <c r="A86" s="12" t="s">
        <v>56</v>
      </c>
    </row>
    <row r="87" spans="1:2">
      <c r="A87" s="12" t="s">
        <v>57</v>
      </c>
    </row>
    <row r="88" spans="1:2">
      <c r="A88" s="12" t="s">
        <v>58</v>
      </c>
    </row>
    <row r="89" spans="1:2">
      <c r="A89" s="12" t="s">
        <v>59</v>
      </c>
    </row>
    <row r="90" spans="1:2">
      <c r="A90" s="12" t="s">
        <v>60</v>
      </c>
    </row>
    <row r="92" spans="1:2" ht="51">
      <c r="B92" s="13" t="s">
        <v>61</v>
      </c>
    </row>
  </sheetData>
  <mergeCells count="14">
    <mergeCell ref="A3:K3"/>
    <mergeCell ref="B10:O10"/>
    <mergeCell ref="B11:O11"/>
    <mergeCell ref="D14:O14"/>
    <mergeCell ref="F20:H20"/>
    <mergeCell ref="J20:L20"/>
    <mergeCell ref="N20:O20"/>
    <mergeCell ref="B73:D73"/>
    <mergeCell ref="D21:D22"/>
    <mergeCell ref="N21:N22"/>
    <mergeCell ref="O21:O22"/>
    <mergeCell ref="B66:D66"/>
    <mergeCell ref="B67:D67"/>
    <mergeCell ref="B72:D72"/>
  </mergeCells>
  <dataValidations count="3">
    <dataValidation type="list" allowBlank="1" showInputMessage="1" showErrorMessage="1" sqref="E23:E38 E74 E50:E51 E53:E62 E68 E40:E48">
      <formula1>"#REF!"</formula1>
      <formula2>0</formula2>
    </dataValidation>
    <dataValidation type="list" allowBlank="1" showInputMessage="1" showErrorMessage="1" prompt="Select Charge Unit - monthly, per kWh, per kW" sqref="D74 D23:D38 D50:D51 D68 D53:D62 D40:D48">
      <formula1>"Monthly,per kWh,per kW"</formula1>
      <formula2>0</formula2>
    </dataValidation>
    <dataValidation type="list" allowBlank="1" showInputMessage="1" showErrorMessage="1" sqref="D16">
      <formula1>"TOU,non-TOU"</formula1>
      <formula2>0</formula2>
    </dataValidation>
  </dataValidations>
  <pageMargins left="0.7" right="0.7" top="0.75" bottom="0.75" header="0.3" footer="0.3"/>
  <pageSetup paperSize="9" scale="4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44">
              <controlPr defaultSize="0" autoFill="0" autoLine="0" autoPict="0">
                <anchor moveWithCells="1" sizeWithCells="1">
                  <from>
                    <xdr:col>6</xdr:col>
                    <xdr:colOff>476250</xdr:colOff>
                    <xdr:row>17</xdr:row>
                    <xdr:rowOff>0</xdr:rowOff>
                  </from>
                  <to>
                    <xdr:col>9</xdr:col>
                    <xdr:colOff>733425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45">
              <controlPr defaultSize="0" autoFill="0" autoLine="0" autoPict="0">
                <anchor moveWithCells="1" sizeWithCells="1">
                  <from>
                    <xdr:col>9</xdr:col>
                    <xdr:colOff>371475</xdr:colOff>
                    <xdr:row>16</xdr:row>
                    <xdr:rowOff>104775</xdr:rowOff>
                  </from>
                  <to>
                    <xdr:col>16</xdr:col>
                    <xdr:colOff>257175</xdr:colOff>
                    <xdr:row>18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Bill Impact - Res 800</vt:lpstr>
      <vt:lpstr>Bill Impact - 1000</vt:lpstr>
      <vt:lpstr>Bill Impact - 3000</vt:lpstr>
      <vt:lpstr>Bill Impact - GS&lt;50 2000</vt:lpstr>
      <vt:lpstr>Bill Impact - GS&lt;50 5000</vt:lpstr>
      <vt:lpstr>Bill Impact - GS&lt;50 10000</vt:lpstr>
      <vt:lpstr>Bill Impact - GS&gt;50 60KW</vt:lpstr>
      <vt:lpstr>Bill Impact - GS&gt;50 100KW</vt:lpstr>
      <vt:lpstr>Bill Impact - GS&gt;50 300KW</vt:lpstr>
      <vt:lpstr>Bill Impact - Sentinel</vt:lpstr>
      <vt:lpstr>Bill Impact - StreetLight</vt:lpstr>
      <vt:lpstr>Bill Impact - USL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Manuela Ris-Schofield</dc:creator>
  <cp:lastModifiedBy>Manuela Ris-Schofield</cp:lastModifiedBy>
  <cp:lastPrinted>2015-08-30T00:59:37Z</cp:lastPrinted>
  <dcterms:created xsi:type="dcterms:W3CDTF">2015-08-28T00:37:18Z</dcterms:created>
  <dcterms:modified xsi:type="dcterms:W3CDTF">2015-08-30T01:01:33Z</dcterms:modified>
</cp:coreProperties>
</file>