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570" windowHeight="9795"/>
  </bookViews>
  <sheets>
    <sheet name="Res (100kWh)" sheetId="1" r:id="rId1"/>
    <sheet name="Res (250kWh)" sheetId="2" r:id="rId2"/>
    <sheet name="Res (500kWh)" sheetId="3" r:id="rId3"/>
    <sheet name="Res (800kWh)" sheetId="4" r:id="rId4"/>
    <sheet name="Res (1,000kWh)" sheetId="5" r:id="rId5"/>
    <sheet name="Res (1,500kWh)" sheetId="6" r:id="rId6"/>
    <sheet name="Res (2,000kWh)" sheetId="7" r:id="rId7"/>
    <sheet name="GS&lt;50 (1,000kWh)" sheetId="8" r:id="rId8"/>
    <sheet name="GS&lt;50 (2,000kWh)" sheetId="9" r:id="rId9"/>
    <sheet name="GS&lt;50 (5,000kWh)" sheetId="10" r:id="rId10"/>
    <sheet name="GS&lt;50 (10,000kWh)" sheetId="11" r:id="rId11"/>
    <sheet name="GS&lt;50 (15,000kWh)" sheetId="12" r:id="rId12"/>
    <sheet name="GS 50-4999 (60kW)" sheetId="13" r:id="rId13"/>
    <sheet name="GS 50-4999 (100kW)" sheetId="19" r:id="rId14"/>
    <sheet name="GS 50-4999 (250kW)" sheetId="25" r:id="rId15"/>
    <sheet name="GS 50-4999 (500kW)" sheetId="23" r:id="rId16"/>
    <sheet name="GS 50-4999 (1,000kW)" sheetId="14" r:id="rId17"/>
    <sheet name="LU (14,500kW)" sheetId="15" r:id="rId18"/>
    <sheet name="SL (1kW)" sheetId="16" r:id="rId19"/>
    <sheet name="SL (.14 kW)" sheetId="27" r:id="rId20"/>
    <sheet name="USL (150kWh)" sheetId="17" r:id="rId21"/>
    <sheet name="ED (6,000kW)" sheetId="26" r:id="rId22"/>
    <sheet name="Summary" sheetId="24" r:id="rId23"/>
    <sheet name="Sum Typical" sheetId="28" r:id="rId24"/>
  </sheets>
  <externalReferences>
    <externalReference r:id="rId25"/>
  </externalReferences>
  <definedNames>
    <definedName name="EBNUMBER">'[1]LDC Info'!$E$16</definedName>
    <definedName name="_xlnm.Print_Area" localSheetId="21">'ED (6,000kW)'!$A$1:$O$88</definedName>
    <definedName name="_xlnm.Print_Area" localSheetId="16">'GS 50-4999 (1,000kW)'!$A$1:$O$88</definedName>
    <definedName name="_xlnm.Print_Area" localSheetId="13">'GS 50-4999 (100kW)'!$A$1:$O$88</definedName>
    <definedName name="_xlnm.Print_Area" localSheetId="14">'GS 50-4999 (250kW)'!$A$1:$O$88</definedName>
    <definedName name="_xlnm.Print_Area" localSheetId="15">'GS 50-4999 (500kW)'!$A$1:$O$88</definedName>
    <definedName name="_xlnm.Print_Area" localSheetId="12">'GS 50-4999 (60kW)'!$A$1:$O$88</definedName>
    <definedName name="_xlnm.Print_Area" localSheetId="7">'GS&lt;50 (1,000kWh)'!$A$1:$O$89</definedName>
    <definedName name="_xlnm.Print_Area" localSheetId="10">'GS&lt;50 (10,000kWh)'!$A$1:$O$89</definedName>
    <definedName name="_xlnm.Print_Area" localSheetId="11">'GS&lt;50 (15,000kWh)'!$A$1:$O$89</definedName>
    <definedName name="_xlnm.Print_Area" localSheetId="8">'GS&lt;50 (2,000kWh)'!$A$1:$O$89</definedName>
    <definedName name="_xlnm.Print_Area" localSheetId="9">'GS&lt;50 (5,000kWh)'!$A$1:$O$89</definedName>
    <definedName name="_xlnm.Print_Area" localSheetId="17">'LU (14,500kW)'!$A$1:$O$88</definedName>
    <definedName name="_xlnm.Print_Area" localSheetId="4">'Res (1,000kWh)'!$A$1:$O$89</definedName>
    <definedName name="_xlnm.Print_Area" localSheetId="5">'Res (1,500kWh)'!$A$1:$O$89</definedName>
    <definedName name="_xlnm.Print_Area" localSheetId="0">'Res (100kWh)'!$A$1:$O$89</definedName>
    <definedName name="_xlnm.Print_Area" localSheetId="6">'Res (2,000kWh)'!$A$1:$O$89</definedName>
    <definedName name="_xlnm.Print_Area" localSheetId="1">'Res (250kWh)'!$A$1:$O$89</definedName>
    <definedName name="_xlnm.Print_Area" localSheetId="2">'Res (500kWh)'!$A$1:$O$89</definedName>
    <definedName name="_xlnm.Print_Area" localSheetId="3">'Res (800kWh)'!$A$1:$O$89</definedName>
    <definedName name="_xlnm.Print_Area" localSheetId="19">'SL (.14 kW)'!$A$1:$O$88</definedName>
    <definedName name="_xlnm.Print_Area" localSheetId="18">'SL (1kW)'!$A$1:$O$88</definedName>
    <definedName name="_xlnm.Print_Area" localSheetId="20">'USL (150kWh)'!$A$1:$O$88</definedName>
  </definedNames>
  <calcPr calcId="145621"/>
</workbook>
</file>

<file path=xl/calcChain.xml><?xml version="1.0" encoding="utf-8"?>
<calcChain xmlns="http://schemas.openxmlformats.org/spreadsheetml/2006/main">
  <c r="J27" i="27" l="1"/>
  <c r="J21" i="27"/>
  <c r="F53" i="17" l="1"/>
  <c r="J43" i="16"/>
  <c r="F43" i="16"/>
  <c r="J43" i="14"/>
  <c r="F43" i="14"/>
  <c r="J43" i="19"/>
  <c r="F43" i="19"/>
  <c r="J43" i="13"/>
  <c r="F43" i="13"/>
  <c r="J43" i="23"/>
  <c r="F43" i="23"/>
  <c r="F43" i="17" l="1"/>
  <c r="J38" i="26" l="1"/>
  <c r="J38" i="15"/>
  <c r="J38" i="13"/>
  <c r="J41" i="26" l="1"/>
  <c r="J41" i="27"/>
  <c r="J41" i="16"/>
  <c r="J38" i="27"/>
  <c r="J38" i="16"/>
  <c r="J38" i="17"/>
  <c r="J39" i="8"/>
  <c r="J39" i="1"/>
  <c r="J41" i="13" l="1"/>
  <c r="J27" i="19" l="1"/>
  <c r="J21" i="19"/>
  <c r="J57" i="15" l="1"/>
  <c r="J56" i="15"/>
  <c r="G6" i="28" l="1"/>
  <c r="G3" i="28"/>
  <c r="J72" i="27" l="1"/>
  <c r="F72" i="27"/>
  <c r="O68" i="27"/>
  <c r="N68" i="27"/>
  <c r="G57" i="27"/>
  <c r="K57" i="27" s="1"/>
  <c r="G56" i="27"/>
  <c r="K56" i="27" s="1"/>
  <c r="L56" i="27" s="1"/>
  <c r="L55" i="27"/>
  <c r="H55" i="27"/>
  <c r="O55" i="27" s="1"/>
  <c r="L54" i="27"/>
  <c r="N54" i="27" s="1"/>
  <c r="H54" i="27"/>
  <c r="O54" i="27" s="1"/>
  <c r="K53" i="27"/>
  <c r="G53" i="27"/>
  <c r="F53" i="27"/>
  <c r="K52" i="27"/>
  <c r="L52" i="27" s="1"/>
  <c r="J52" i="27"/>
  <c r="G52" i="27"/>
  <c r="H52" i="27" s="1"/>
  <c r="L51" i="27"/>
  <c r="N51" i="27" s="1"/>
  <c r="J51" i="27"/>
  <c r="H51" i="27"/>
  <c r="O51" i="27" s="1"/>
  <c r="J50" i="27"/>
  <c r="K49" i="27"/>
  <c r="L49" i="27" s="1"/>
  <c r="J49" i="27"/>
  <c r="G49" i="27"/>
  <c r="H49" i="27" s="1"/>
  <c r="G47" i="27"/>
  <c r="H47" i="27" s="1"/>
  <c r="G46" i="27"/>
  <c r="H46" i="27" s="1"/>
  <c r="L44" i="27"/>
  <c r="N44" i="27" s="1"/>
  <c r="H44" i="27"/>
  <c r="K43" i="27"/>
  <c r="G43" i="27"/>
  <c r="K42" i="27"/>
  <c r="L42" i="27" s="1"/>
  <c r="N42" i="27" s="1"/>
  <c r="O42" i="27" s="1"/>
  <c r="H42" i="27"/>
  <c r="G42" i="27"/>
  <c r="K41" i="27"/>
  <c r="L41" i="27" s="1"/>
  <c r="G41" i="27"/>
  <c r="H41" i="27" s="1"/>
  <c r="K40" i="27"/>
  <c r="L40" i="27" s="1"/>
  <c r="N40" i="27" s="1"/>
  <c r="H40" i="27"/>
  <c r="O40" i="27" s="1"/>
  <c r="G40" i="27"/>
  <c r="K39" i="27"/>
  <c r="L39" i="27" s="1"/>
  <c r="G39" i="27"/>
  <c r="H39" i="27" s="1"/>
  <c r="O39" i="27" s="1"/>
  <c r="K38" i="27"/>
  <c r="L38" i="27" s="1"/>
  <c r="K36" i="27"/>
  <c r="L36" i="27" s="1"/>
  <c r="G36" i="27"/>
  <c r="H36" i="27" s="1"/>
  <c r="O36" i="27" s="1"/>
  <c r="K35" i="27"/>
  <c r="L35" i="27" s="1"/>
  <c r="G35" i="27"/>
  <c r="H35" i="27" s="1"/>
  <c r="O35" i="27" s="1"/>
  <c r="K34" i="27"/>
  <c r="L34" i="27" s="1"/>
  <c r="N34" i="27" s="1"/>
  <c r="H34" i="27"/>
  <c r="O34" i="27" s="1"/>
  <c r="G34" i="27"/>
  <c r="L33" i="27"/>
  <c r="K33" i="27"/>
  <c r="G33" i="27"/>
  <c r="H33" i="27" s="1"/>
  <c r="O33" i="27" s="1"/>
  <c r="K32" i="27"/>
  <c r="L32" i="27" s="1"/>
  <c r="N32" i="27" s="1"/>
  <c r="H32" i="27"/>
  <c r="O32" i="27" s="1"/>
  <c r="G32" i="27"/>
  <c r="K31" i="27"/>
  <c r="L31" i="27" s="1"/>
  <c r="N31" i="27" s="1"/>
  <c r="G31" i="27"/>
  <c r="H31" i="27" s="1"/>
  <c r="O31" i="27" s="1"/>
  <c r="L30" i="27"/>
  <c r="N30" i="27" s="1"/>
  <c r="K30" i="27"/>
  <c r="H30" i="27"/>
  <c r="O30" i="27" s="1"/>
  <c r="G30" i="27"/>
  <c r="K29" i="27"/>
  <c r="L29" i="27" s="1"/>
  <c r="N29" i="27" s="1"/>
  <c r="G29" i="27"/>
  <c r="H29" i="27" s="1"/>
  <c r="O29" i="27" s="1"/>
  <c r="L28" i="27"/>
  <c r="K28" i="27"/>
  <c r="G28" i="27"/>
  <c r="H28" i="27" s="1"/>
  <c r="O28" i="27" s="1"/>
  <c r="L27" i="27"/>
  <c r="K27" i="27"/>
  <c r="G27" i="27"/>
  <c r="G38" i="27" s="1"/>
  <c r="H38" i="27" s="1"/>
  <c r="K26" i="27"/>
  <c r="L26" i="27" s="1"/>
  <c r="G26" i="27"/>
  <c r="H26" i="27" s="1"/>
  <c r="O26" i="27" s="1"/>
  <c r="L25" i="27"/>
  <c r="K25" i="27"/>
  <c r="G25" i="27"/>
  <c r="H25" i="27" s="1"/>
  <c r="O24" i="27"/>
  <c r="L24" i="27"/>
  <c r="N24" i="27" s="1"/>
  <c r="H24" i="27"/>
  <c r="O23" i="27"/>
  <c r="L23" i="27"/>
  <c r="N23" i="27" s="1"/>
  <c r="H23" i="27"/>
  <c r="O22" i="27"/>
  <c r="L22" i="27"/>
  <c r="N22" i="27" s="1"/>
  <c r="H22" i="27"/>
  <c r="L21" i="27"/>
  <c r="N21" i="27" s="1"/>
  <c r="O21" i="27" s="1"/>
  <c r="H21" i="27"/>
  <c r="J53" i="27" l="1"/>
  <c r="J43" i="27" s="1"/>
  <c r="F43" i="27"/>
  <c r="H53" i="27"/>
  <c r="N39" i="27"/>
  <c r="N26" i="27"/>
  <c r="N41" i="27"/>
  <c r="H27" i="27"/>
  <c r="N25" i="27"/>
  <c r="N27" i="27"/>
  <c r="O27" i="27" s="1"/>
  <c r="K46" i="27"/>
  <c r="L46" i="27" s="1"/>
  <c r="N46" i="27" s="1"/>
  <c r="O46" i="27" s="1"/>
  <c r="N35" i="27"/>
  <c r="N36" i="27"/>
  <c r="N28" i="27"/>
  <c r="K50" i="27"/>
  <c r="L50" i="27" s="1"/>
  <c r="H37" i="27"/>
  <c r="N33" i="27"/>
  <c r="O25" i="27"/>
  <c r="O41" i="27"/>
  <c r="N49" i="27"/>
  <c r="O49" i="27" s="1"/>
  <c r="N52" i="27"/>
  <c r="O52" i="27" s="1"/>
  <c r="L43" i="27"/>
  <c r="L57" i="27"/>
  <c r="L53" i="27"/>
  <c r="N38" i="27"/>
  <c r="O38" i="27" s="1"/>
  <c r="G50" i="27"/>
  <c r="H50" i="27" s="1"/>
  <c r="L37" i="27"/>
  <c r="N55" i="27"/>
  <c r="H43" i="27"/>
  <c r="H57" i="27"/>
  <c r="O57" i="27" s="1"/>
  <c r="H56" i="27"/>
  <c r="G46" i="17"/>
  <c r="H46" i="17" s="1"/>
  <c r="K47" i="27" l="1"/>
  <c r="L47" i="27" s="1"/>
  <c r="N47" i="27" s="1"/>
  <c r="O47" i="27" s="1"/>
  <c r="N50" i="27"/>
  <c r="H45" i="27"/>
  <c r="L45" i="27"/>
  <c r="N37" i="27"/>
  <c r="O37" i="27" s="1"/>
  <c r="K41" i="24" s="1"/>
  <c r="K18" i="28" s="1"/>
  <c r="N57" i="27"/>
  <c r="N43" i="27"/>
  <c r="O43" i="27" s="1"/>
  <c r="N56" i="27"/>
  <c r="O56" i="27" s="1"/>
  <c r="O50" i="27"/>
  <c r="N53" i="27"/>
  <c r="O53" i="27" s="1"/>
  <c r="G47" i="17"/>
  <c r="H47" i="17" s="1"/>
  <c r="L48" i="27" l="1"/>
  <c r="N45" i="27"/>
  <c r="O45" i="27" s="1"/>
  <c r="H48" i="27"/>
  <c r="F47" i="25"/>
  <c r="F46" i="25"/>
  <c r="H65" i="27" l="1"/>
  <c r="H59" i="27"/>
  <c r="N48" i="27"/>
  <c r="O48" i="27" s="1"/>
  <c r="L65" i="27"/>
  <c r="L59" i="27"/>
  <c r="H60" i="27" l="1"/>
  <c r="H61" i="27" s="1"/>
  <c r="N65" i="27"/>
  <c r="O65" i="27" s="1"/>
  <c r="L66" i="27"/>
  <c r="H66" i="27"/>
  <c r="H67" i="27" s="1"/>
  <c r="L60" i="27"/>
  <c r="N60" i="27" s="1"/>
  <c r="N59" i="27"/>
  <c r="O59" i="27" s="1"/>
  <c r="K46" i="26"/>
  <c r="G46" i="26"/>
  <c r="K46" i="16"/>
  <c r="G46" i="16"/>
  <c r="K46" i="15"/>
  <c r="G46" i="15"/>
  <c r="K46" i="14"/>
  <c r="G46" i="14"/>
  <c r="K46" i="23"/>
  <c r="G46" i="23"/>
  <c r="K46" i="25"/>
  <c r="G46" i="25"/>
  <c r="K46" i="19"/>
  <c r="G46" i="19"/>
  <c r="K46" i="13"/>
  <c r="G46" i="13"/>
  <c r="N66" i="27" l="1"/>
  <c r="L61" i="27"/>
  <c r="N61" i="27" s="1"/>
  <c r="O61" i="27" s="1"/>
  <c r="L67" i="27"/>
  <c r="H62" i="27"/>
  <c r="H69" i="27"/>
  <c r="G41" i="24" s="1"/>
  <c r="G18" i="28" s="1"/>
  <c r="O66" i="27"/>
  <c r="O60" i="27"/>
  <c r="L62" i="27" l="1"/>
  <c r="L63" i="27" s="1"/>
  <c r="H63" i="27"/>
  <c r="N67" i="27"/>
  <c r="O67" i="27" s="1"/>
  <c r="L69" i="27"/>
  <c r="N69" i="27" l="1"/>
  <c r="O69" i="27" s="1"/>
  <c r="H41" i="24"/>
  <c r="N62" i="27"/>
  <c r="O62" i="27" s="1"/>
  <c r="N63" i="27"/>
  <c r="O63" i="27" s="1"/>
  <c r="I41" i="24" l="1"/>
  <c r="H18" i="28"/>
  <c r="J22" i="14"/>
  <c r="J22" i="23"/>
  <c r="J22" i="25"/>
  <c r="J22" i="19"/>
  <c r="G22" i="13"/>
  <c r="J22" i="12"/>
  <c r="J22" i="11"/>
  <c r="J22" i="10"/>
  <c r="J22" i="9"/>
  <c r="K22" i="15"/>
  <c r="K22" i="14"/>
  <c r="K22" i="23"/>
  <c r="K22" i="25"/>
  <c r="K22" i="19"/>
  <c r="K22" i="13"/>
  <c r="K22" i="12"/>
  <c r="K22" i="11"/>
  <c r="K22" i="10"/>
  <c r="K22" i="9"/>
  <c r="G22" i="15"/>
  <c r="G22" i="14"/>
  <c r="G22" i="23"/>
  <c r="G22" i="25"/>
  <c r="G22" i="19"/>
  <c r="G25" i="13"/>
  <c r="G22" i="12"/>
  <c r="G22" i="11"/>
  <c r="G22" i="10"/>
  <c r="G22" i="9"/>
  <c r="O22" i="8"/>
  <c r="K22" i="8"/>
  <c r="G22" i="8"/>
  <c r="J41" i="24" l="1"/>
  <c r="J18" i="28" s="1"/>
  <c r="I18" i="28"/>
  <c r="F72" i="26"/>
  <c r="F72" i="17"/>
  <c r="F72" i="16"/>
  <c r="F72" i="14"/>
  <c r="F72" i="23"/>
  <c r="F72" i="25"/>
  <c r="F72" i="19"/>
  <c r="F72" i="13"/>
  <c r="F73" i="12"/>
  <c r="F73" i="11"/>
  <c r="F73" i="10"/>
  <c r="F73" i="9"/>
  <c r="O24" i="4"/>
  <c r="F53" i="25" l="1"/>
  <c r="F43" i="25" s="1"/>
  <c r="F53" i="26"/>
  <c r="F43" i="26" s="1"/>
  <c r="F53" i="16"/>
  <c r="F53" i="15"/>
  <c r="F43" i="15" s="1"/>
  <c r="O68" i="26" l="1"/>
  <c r="N68" i="26"/>
  <c r="K57" i="26"/>
  <c r="H56" i="26"/>
  <c r="L55" i="26"/>
  <c r="N55" i="26" s="1"/>
  <c r="H55" i="26"/>
  <c r="O55" i="26" s="1"/>
  <c r="L54" i="26"/>
  <c r="H54" i="26"/>
  <c r="O54" i="26" s="1"/>
  <c r="J53" i="26"/>
  <c r="J43" i="26" s="1"/>
  <c r="G53" i="26"/>
  <c r="H53" i="26" s="1"/>
  <c r="K52" i="26"/>
  <c r="L52" i="26" s="1"/>
  <c r="J52" i="26"/>
  <c r="G52" i="26"/>
  <c r="H52" i="26" s="1"/>
  <c r="J51" i="26"/>
  <c r="L51" i="26" s="1"/>
  <c r="N51" i="26" s="1"/>
  <c r="H51" i="26"/>
  <c r="O51" i="26" s="1"/>
  <c r="J50" i="26"/>
  <c r="K49" i="26"/>
  <c r="K50" i="26" s="1"/>
  <c r="L50" i="26" s="1"/>
  <c r="J49" i="26"/>
  <c r="G49" i="26"/>
  <c r="H49" i="26" s="1"/>
  <c r="G47" i="26"/>
  <c r="H47" i="26" s="1"/>
  <c r="N44" i="26"/>
  <c r="L44" i="26"/>
  <c r="H44" i="26"/>
  <c r="K43" i="26"/>
  <c r="G43" i="26"/>
  <c r="K42" i="26"/>
  <c r="L42" i="26"/>
  <c r="N42" i="26" s="1"/>
  <c r="H42" i="26"/>
  <c r="G42" i="26"/>
  <c r="K41" i="26"/>
  <c r="L41" i="26" s="1"/>
  <c r="G41" i="26"/>
  <c r="H41" i="26" s="1"/>
  <c r="L40" i="26"/>
  <c r="K40" i="26"/>
  <c r="G40" i="26"/>
  <c r="H40" i="26" s="1"/>
  <c r="O40" i="26" s="1"/>
  <c r="L39" i="26"/>
  <c r="K39" i="26"/>
  <c r="G39" i="26"/>
  <c r="H39" i="26" s="1"/>
  <c r="O39" i="26" s="1"/>
  <c r="K38" i="26"/>
  <c r="L38" i="26" s="1"/>
  <c r="K36" i="26"/>
  <c r="L36" i="26" s="1"/>
  <c r="G36" i="26"/>
  <c r="H36" i="26" s="1"/>
  <c r="O36" i="26" s="1"/>
  <c r="K35" i="26"/>
  <c r="L35" i="26" s="1"/>
  <c r="G35" i="26"/>
  <c r="H35" i="26" s="1"/>
  <c r="O35" i="26" s="1"/>
  <c r="K34" i="26"/>
  <c r="L34" i="26" s="1"/>
  <c r="G34" i="26"/>
  <c r="H34" i="26" s="1"/>
  <c r="O34" i="26" s="1"/>
  <c r="K33" i="26"/>
  <c r="L33" i="26" s="1"/>
  <c r="G33" i="26"/>
  <c r="H33" i="26" s="1"/>
  <c r="O33" i="26" s="1"/>
  <c r="K32" i="26"/>
  <c r="L32" i="26" s="1"/>
  <c r="G32" i="26"/>
  <c r="H32" i="26" s="1"/>
  <c r="O32" i="26" s="1"/>
  <c r="K31" i="26"/>
  <c r="L31" i="26" s="1"/>
  <c r="G31" i="26"/>
  <c r="H31" i="26" s="1"/>
  <c r="O31" i="26" s="1"/>
  <c r="K30" i="26"/>
  <c r="L30" i="26" s="1"/>
  <c r="G30" i="26"/>
  <c r="H30" i="26" s="1"/>
  <c r="O30" i="26" s="1"/>
  <c r="K29" i="26"/>
  <c r="L29" i="26" s="1"/>
  <c r="G29" i="26"/>
  <c r="H29" i="26" s="1"/>
  <c r="O29" i="26" s="1"/>
  <c r="K28" i="26"/>
  <c r="L28" i="26" s="1"/>
  <c r="H28" i="26"/>
  <c r="O28" i="26" s="1"/>
  <c r="G28" i="26"/>
  <c r="K27" i="26"/>
  <c r="L27" i="26" s="1"/>
  <c r="G27" i="26"/>
  <c r="G38" i="26" s="1"/>
  <c r="H38" i="26" s="1"/>
  <c r="K26" i="26"/>
  <c r="L26" i="26" s="1"/>
  <c r="G26" i="26"/>
  <c r="H26" i="26" s="1"/>
  <c r="O26" i="26" s="1"/>
  <c r="K25" i="26"/>
  <c r="L25" i="26" s="1"/>
  <c r="G25" i="26"/>
  <c r="H25" i="26" s="1"/>
  <c r="L24" i="26"/>
  <c r="N24" i="26" s="1"/>
  <c r="H24" i="26"/>
  <c r="O24" i="26" s="1"/>
  <c r="O23" i="26"/>
  <c r="N23" i="26"/>
  <c r="L23" i="26"/>
  <c r="H23" i="26"/>
  <c r="L22" i="26"/>
  <c r="N22" i="26" s="1"/>
  <c r="H22" i="26"/>
  <c r="O22" i="26" s="1"/>
  <c r="L21" i="26"/>
  <c r="H21" i="26"/>
  <c r="N54" i="26" l="1"/>
  <c r="H43" i="26"/>
  <c r="N41" i="26"/>
  <c r="O41" i="26" s="1"/>
  <c r="L46" i="26"/>
  <c r="N21" i="26"/>
  <c r="O21" i="26"/>
  <c r="N32" i="26"/>
  <c r="N36" i="26"/>
  <c r="N34" i="26"/>
  <c r="K53" i="26"/>
  <c r="L53" i="26" s="1"/>
  <c r="N53" i="26" s="1"/>
  <c r="O53" i="26" s="1"/>
  <c r="N52" i="26"/>
  <c r="O52" i="26" s="1"/>
  <c r="L49" i="26"/>
  <c r="N49" i="26" s="1"/>
  <c r="O49" i="26" s="1"/>
  <c r="N31" i="26"/>
  <c r="N35" i="26"/>
  <c r="G50" i="26"/>
  <c r="H50" i="26" s="1"/>
  <c r="N50" i="26" s="1"/>
  <c r="O50" i="26" s="1"/>
  <c r="N28" i="26"/>
  <c r="N39" i="26"/>
  <c r="H46" i="26"/>
  <c r="H27" i="26"/>
  <c r="N27" i="26" s="1"/>
  <c r="O27" i="26" s="1"/>
  <c r="O42" i="26"/>
  <c r="N25" i="26"/>
  <c r="O25" i="26" s="1"/>
  <c r="N33" i="26"/>
  <c r="N40" i="26"/>
  <c r="N38" i="26"/>
  <c r="O38" i="26" s="1"/>
  <c r="L57" i="26"/>
  <c r="L43" i="26"/>
  <c r="N43" i="26" s="1"/>
  <c r="O43" i="26" s="1"/>
  <c r="N26" i="26"/>
  <c r="L37" i="26"/>
  <c r="N30" i="26"/>
  <c r="N29" i="26"/>
  <c r="K56" i="26"/>
  <c r="L56" i="26" s="1"/>
  <c r="N56" i="26" s="1"/>
  <c r="O56" i="26" s="1"/>
  <c r="K47" i="26"/>
  <c r="L47" i="26" s="1"/>
  <c r="N47" i="26" s="1"/>
  <c r="O47" i="26" s="1"/>
  <c r="H57" i="26"/>
  <c r="N46" i="26" l="1"/>
  <c r="H37" i="26"/>
  <c r="H45" i="26" s="1"/>
  <c r="O46" i="26"/>
  <c r="N37" i="26"/>
  <c r="O37" i="26" s="1"/>
  <c r="K44" i="24" s="1"/>
  <c r="K21" i="28" s="1"/>
  <c r="L45" i="26"/>
  <c r="N57" i="26"/>
  <c r="O57" i="26" s="1"/>
  <c r="L48" i="26" l="1"/>
  <c r="N45" i="26"/>
  <c r="O45" i="26" s="1"/>
  <c r="H48" i="26"/>
  <c r="H65" i="26" l="1"/>
  <c r="H59" i="26"/>
  <c r="N48" i="26"/>
  <c r="O48" i="26" s="1"/>
  <c r="L59" i="26"/>
  <c r="L65" i="26"/>
  <c r="L60" i="26" l="1"/>
  <c r="L61" i="26" s="1"/>
  <c r="N59" i="26"/>
  <c r="L66" i="26"/>
  <c r="L67" i="26" s="1"/>
  <c r="N65" i="26"/>
  <c r="O65" i="26" s="1"/>
  <c r="H66" i="26"/>
  <c r="H67" i="26" s="1"/>
  <c r="H60" i="26"/>
  <c r="H61" i="26" s="1"/>
  <c r="O59" i="26"/>
  <c r="H69" i="26" l="1"/>
  <c r="G44" i="24" s="1"/>
  <c r="G21" i="28" s="1"/>
  <c r="L69" i="26"/>
  <c r="N67" i="26"/>
  <c r="O67" i="26" s="1"/>
  <c r="N61" i="26"/>
  <c r="O61" i="26" s="1"/>
  <c r="N66" i="26"/>
  <c r="O66" i="26" s="1"/>
  <c r="N60" i="26"/>
  <c r="O60" i="26" s="1"/>
  <c r="N69" i="26" l="1"/>
  <c r="H44" i="24"/>
  <c r="H21" i="28" s="1"/>
  <c r="N62" i="26"/>
  <c r="O62" i="26" s="1"/>
  <c r="H63" i="26"/>
  <c r="L63" i="26"/>
  <c r="O69" i="26"/>
  <c r="N63" i="26" l="1"/>
  <c r="O63" i="26"/>
  <c r="J53" i="17" l="1"/>
  <c r="J43" i="17" s="1"/>
  <c r="J52" i="17"/>
  <c r="J51" i="17"/>
  <c r="J50" i="17"/>
  <c r="J49" i="17"/>
  <c r="J53" i="16" l="1"/>
  <c r="J52" i="16"/>
  <c r="J51" i="16"/>
  <c r="J50" i="16"/>
  <c r="J49" i="16"/>
  <c r="J72" i="16"/>
  <c r="J52" i="15"/>
  <c r="J51" i="15"/>
  <c r="J50" i="15"/>
  <c r="J49" i="15"/>
  <c r="J52" i="14"/>
  <c r="J51" i="14"/>
  <c r="J50" i="14"/>
  <c r="J49" i="14"/>
  <c r="J47" i="14"/>
  <c r="J46" i="14"/>
  <c r="J52" i="23"/>
  <c r="J51" i="23"/>
  <c r="J50" i="23"/>
  <c r="J49" i="23"/>
  <c r="J47" i="23"/>
  <c r="J46" i="23"/>
  <c r="J52" i="25"/>
  <c r="J51" i="25"/>
  <c r="J50" i="25"/>
  <c r="J49" i="25"/>
  <c r="J47" i="25"/>
  <c r="J46" i="25"/>
  <c r="J42" i="14"/>
  <c r="J41" i="14"/>
  <c r="J38" i="14"/>
  <c r="J27" i="14"/>
  <c r="J26" i="14"/>
  <c r="J25" i="14"/>
  <c r="J21" i="14"/>
  <c r="J42" i="23"/>
  <c r="J41" i="23"/>
  <c r="J38" i="23"/>
  <c r="J27" i="23"/>
  <c r="J26" i="23"/>
  <c r="J25" i="23"/>
  <c r="J21" i="23"/>
  <c r="J42" i="25"/>
  <c r="J41" i="25"/>
  <c r="J38" i="25"/>
  <c r="J27" i="25"/>
  <c r="J26" i="25"/>
  <c r="J25" i="25"/>
  <c r="J21" i="25"/>
  <c r="J25" i="19"/>
  <c r="J26" i="19"/>
  <c r="J38" i="19"/>
  <c r="J41" i="19"/>
  <c r="J42" i="19"/>
  <c r="F53" i="14"/>
  <c r="F52" i="14"/>
  <c r="F51" i="14"/>
  <c r="F50" i="14"/>
  <c r="F49" i="14"/>
  <c r="F47" i="14"/>
  <c r="F46" i="14"/>
  <c r="F53" i="23"/>
  <c r="F52" i="23"/>
  <c r="F51" i="23"/>
  <c r="F50" i="23"/>
  <c r="F49" i="23"/>
  <c r="F47" i="23"/>
  <c r="F46" i="23"/>
  <c r="F38" i="25"/>
  <c r="F41" i="25"/>
  <c r="F42" i="25"/>
  <c r="F42" i="14"/>
  <c r="F41" i="14"/>
  <c r="F38" i="14"/>
  <c r="F27" i="14"/>
  <c r="F25" i="14"/>
  <c r="F21" i="14"/>
  <c r="F42" i="23"/>
  <c r="F41" i="23"/>
  <c r="F38" i="23"/>
  <c r="F27" i="23"/>
  <c r="F25" i="23"/>
  <c r="F21" i="23"/>
  <c r="F27" i="25"/>
  <c r="F25" i="25"/>
  <c r="F21" i="25"/>
  <c r="J52" i="19"/>
  <c r="J51" i="19"/>
  <c r="J50" i="19"/>
  <c r="J49" i="19"/>
  <c r="J47" i="19"/>
  <c r="J46" i="19"/>
  <c r="F53" i="19"/>
  <c r="F52" i="19"/>
  <c r="F51" i="19"/>
  <c r="F50" i="19"/>
  <c r="F49" i="19"/>
  <c r="F47" i="19"/>
  <c r="F46" i="19"/>
  <c r="F42" i="19"/>
  <c r="F41" i="19"/>
  <c r="F38" i="19"/>
  <c r="F27" i="19"/>
  <c r="F25" i="19"/>
  <c r="F21" i="19"/>
  <c r="J72" i="17" l="1"/>
  <c r="J72" i="14"/>
  <c r="J72" i="23"/>
  <c r="J72" i="25"/>
  <c r="J72" i="19"/>
  <c r="J72" i="13"/>
  <c r="J73" i="12"/>
  <c r="J73" i="11"/>
  <c r="J73" i="10"/>
  <c r="J73" i="9"/>
  <c r="J73" i="8"/>
  <c r="J52" i="13" l="1"/>
  <c r="J51" i="13"/>
  <c r="J50" i="13"/>
  <c r="J49" i="13"/>
  <c r="J53" i="13"/>
  <c r="J53" i="25" l="1"/>
  <c r="J43" i="25" s="1"/>
  <c r="J53" i="23"/>
  <c r="J53" i="14"/>
  <c r="J53" i="19"/>
  <c r="K57" i="25"/>
  <c r="L57" i="25" s="1"/>
  <c r="H57" i="25"/>
  <c r="O57" i="25" s="1"/>
  <c r="K56" i="25"/>
  <c r="L56" i="25" s="1"/>
  <c r="H56" i="25"/>
  <c r="O56" i="25" s="1"/>
  <c r="L55" i="25"/>
  <c r="H55" i="25"/>
  <c r="O55" i="25" s="1"/>
  <c r="L54" i="25"/>
  <c r="H54" i="25"/>
  <c r="O54" i="25" s="1"/>
  <c r="G53" i="25"/>
  <c r="K53" i="25" s="1"/>
  <c r="L53" i="25" s="1"/>
  <c r="L52" i="25"/>
  <c r="N52" i="25" s="1"/>
  <c r="K52" i="25"/>
  <c r="G52" i="25"/>
  <c r="H52" i="25" s="1"/>
  <c r="L51" i="25"/>
  <c r="H51" i="25"/>
  <c r="K49" i="25"/>
  <c r="K50" i="25" s="1"/>
  <c r="L50" i="25" s="1"/>
  <c r="G49" i="25"/>
  <c r="G50" i="25" s="1"/>
  <c r="H50" i="25" s="1"/>
  <c r="K47" i="25"/>
  <c r="L47" i="25" s="1"/>
  <c r="G47" i="25"/>
  <c r="H47" i="25" s="1"/>
  <c r="L44" i="25"/>
  <c r="H44" i="25"/>
  <c r="K43" i="25"/>
  <c r="G43" i="25"/>
  <c r="H43" i="25" s="1"/>
  <c r="K42" i="25"/>
  <c r="L42" i="25"/>
  <c r="G42" i="25"/>
  <c r="H42" i="25" s="1"/>
  <c r="K41" i="25"/>
  <c r="L41" i="25" s="1"/>
  <c r="G41" i="25"/>
  <c r="H41" i="25" s="1"/>
  <c r="K40" i="25"/>
  <c r="L40" i="25" s="1"/>
  <c r="G40" i="25"/>
  <c r="H40" i="25" s="1"/>
  <c r="O40" i="25" s="1"/>
  <c r="K39" i="25"/>
  <c r="L39" i="25" s="1"/>
  <c r="G39" i="25"/>
  <c r="H39" i="25" s="1"/>
  <c r="L38" i="25"/>
  <c r="K38" i="25"/>
  <c r="K36" i="25"/>
  <c r="L36" i="25" s="1"/>
  <c r="G36" i="25"/>
  <c r="H36" i="25" s="1"/>
  <c r="O36" i="25" s="1"/>
  <c r="K35" i="25"/>
  <c r="L35" i="25" s="1"/>
  <c r="G35" i="25"/>
  <c r="H35" i="25" s="1"/>
  <c r="O35" i="25" s="1"/>
  <c r="K34" i="25"/>
  <c r="L34" i="25" s="1"/>
  <c r="G34" i="25"/>
  <c r="H34" i="25" s="1"/>
  <c r="O34" i="25" s="1"/>
  <c r="K33" i="25"/>
  <c r="L33" i="25" s="1"/>
  <c r="G33" i="25"/>
  <c r="H33" i="25" s="1"/>
  <c r="O33" i="25" s="1"/>
  <c r="L32" i="25"/>
  <c r="K32" i="25"/>
  <c r="G32" i="25"/>
  <c r="H32" i="25" s="1"/>
  <c r="O32" i="25" s="1"/>
  <c r="K31" i="25"/>
  <c r="L31" i="25" s="1"/>
  <c r="G31" i="25"/>
  <c r="H31" i="25" s="1"/>
  <c r="O31" i="25" s="1"/>
  <c r="K30" i="25"/>
  <c r="L30" i="25" s="1"/>
  <c r="G30" i="25"/>
  <c r="H30" i="25" s="1"/>
  <c r="O30" i="25" s="1"/>
  <c r="K29" i="25"/>
  <c r="L29" i="25" s="1"/>
  <c r="N29" i="25" s="1"/>
  <c r="G29" i="25"/>
  <c r="H29" i="25" s="1"/>
  <c r="O29" i="25" s="1"/>
  <c r="L28" i="25"/>
  <c r="K28" i="25"/>
  <c r="G28" i="25"/>
  <c r="H28" i="25" s="1"/>
  <c r="O28" i="25" s="1"/>
  <c r="K27" i="25"/>
  <c r="L27" i="25" s="1"/>
  <c r="G27" i="25"/>
  <c r="G38" i="25" s="1"/>
  <c r="H38" i="25" s="1"/>
  <c r="K26" i="25"/>
  <c r="L26" i="25" s="1"/>
  <c r="G26" i="25"/>
  <c r="H26" i="25" s="1"/>
  <c r="O26" i="25" s="1"/>
  <c r="K25" i="25"/>
  <c r="L25" i="25" s="1"/>
  <c r="G25" i="25"/>
  <c r="H25" i="25" s="1"/>
  <c r="L24" i="25"/>
  <c r="N24" i="25" s="1"/>
  <c r="H24" i="25"/>
  <c r="O24" i="25" s="1"/>
  <c r="L23" i="25"/>
  <c r="H23" i="25"/>
  <c r="O23" i="25" s="1"/>
  <c r="L22" i="25"/>
  <c r="H22" i="25"/>
  <c r="O22" i="25" s="1"/>
  <c r="L21" i="25"/>
  <c r="H21" i="25"/>
  <c r="N56" i="25" l="1"/>
  <c r="N57" i="25"/>
  <c r="N55" i="25"/>
  <c r="N54" i="25"/>
  <c r="N50" i="25"/>
  <c r="N51" i="25"/>
  <c r="O51" i="25" s="1"/>
  <c r="N28" i="25"/>
  <c r="N32" i="25"/>
  <c r="N23" i="25"/>
  <c r="N22" i="25"/>
  <c r="N42" i="25"/>
  <c r="O42" i="25" s="1"/>
  <c r="N44" i="25"/>
  <c r="N41" i="25"/>
  <c r="N47" i="25"/>
  <c r="O47" i="25" s="1"/>
  <c r="H46" i="25"/>
  <c r="N26" i="25"/>
  <c r="N40" i="25"/>
  <c r="L46" i="25"/>
  <c r="L49" i="25"/>
  <c r="H53" i="25"/>
  <c r="L43" i="25"/>
  <c r="N43" i="25" s="1"/>
  <c r="O43" i="25" s="1"/>
  <c r="N31" i="25"/>
  <c r="N35" i="25"/>
  <c r="N53" i="25"/>
  <c r="O53" i="25" s="1"/>
  <c r="N33" i="25"/>
  <c r="N36" i="25"/>
  <c r="N30" i="25"/>
  <c r="N34" i="25"/>
  <c r="O41" i="25"/>
  <c r="L37" i="25"/>
  <c r="N21" i="25"/>
  <c r="O21" i="25" s="1"/>
  <c r="N25" i="25"/>
  <c r="O25" i="25" s="1"/>
  <c r="N38" i="25"/>
  <c r="O38" i="25" s="1"/>
  <c r="O52" i="25"/>
  <c r="N39" i="25"/>
  <c r="O39" i="25" s="1"/>
  <c r="O50" i="25"/>
  <c r="H49" i="25"/>
  <c r="H27" i="25"/>
  <c r="N46" i="25" l="1"/>
  <c r="O46" i="25" s="1"/>
  <c r="H37" i="25"/>
  <c r="H45" i="25" s="1"/>
  <c r="N49" i="25"/>
  <c r="O49" i="25" s="1"/>
  <c r="L45" i="25"/>
  <c r="N27" i="25"/>
  <c r="O27" i="25" s="1"/>
  <c r="N37" i="25" l="1"/>
  <c r="O37" i="25"/>
  <c r="K29" i="24" s="1"/>
  <c r="K9" i="28" s="1"/>
  <c r="H48" i="25"/>
  <c r="L48" i="25"/>
  <c r="N45" i="25"/>
  <c r="O45" i="25" s="1"/>
  <c r="N48" i="25" l="1"/>
  <c r="O48" i="25" s="1"/>
  <c r="L59" i="25"/>
  <c r="L65" i="25"/>
  <c r="H65" i="25"/>
  <c r="H59" i="25"/>
  <c r="H60" i="25" l="1"/>
  <c r="N65" i="25"/>
  <c r="L66" i="25"/>
  <c r="L60" i="25"/>
  <c r="N59" i="25"/>
  <c r="O59" i="25" s="1"/>
  <c r="O65" i="25"/>
  <c r="H66" i="25"/>
  <c r="N60" i="25" l="1"/>
  <c r="O60" i="25"/>
  <c r="H61" i="25"/>
  <c r="N66" i="25"/>
  <c r="O66" i="25" s="1"/>
  <c r="L67" i="25"/>
  <c r="H67" i="25"/>
  <c r="H62" i="25"/>
  <c r="L61" i="25"/>
  <c r="L62" i="25" l="1"/>
  <c r="N62" i="25" s="1"/>
  <c r="O62" i="25" s="1"/>
  <c r="N61" i="25"/>
  <c r="O61" i="25" s="1"/>
  <c r="H69" i="25"/>
  <c r="G29" i="24" s="1"/>
  <c r="G9" i="28" s="1"/>
  <c r="O68" i="25"/>
  <c r="H63" i="25"/>
  <c r="N67" i="25"/>
  <c r="O67" i="25" s="1"/>
  <c r="L69" i="25"/>
  <c r="H29" i="24" s="1"/>
  <c r="H9" i="28" s="1"/>
  <c r="I29" i="24" l="1"/>
  <c r="L63" i="25"/>
  <c r="N63" i="25" s="1"/>
  <c r="O63" i="25" s="1"/>
  <c r="N68" i="25"/>
  <c r="N69" i="25"/>
  <c r="O69" i="25" s="1"/>
  <c r="J29" i="24" l="1"/>
  <c r="J9" i="28" s="1"/>
  <c r="I9" i="28"/>
  <c r="J58" i="12"/>
  <c r="J57" i="12"/>
  <c r="J56" i="12"/>
  <c r="J55" i="12"/>
  <c r="J54" i="12"/>
  <c r="J53" i="12"/>
  <c r="J52" i="12"/>
  <c r="J51" i="12"/>
  <c r="J50" i="12"/>
  <c r="J48" i="12"/>
  <c r="J47" i="12"/>
  <c r="J45" i="12"/>
  <c r="J58" i="11"/>
  <c r="J57" i="11"/>
  <c r="J56" i="11"/>
  <c r="J55" i="11"/>
  <c r="J54" i="11"/>
  <c r="J53" i="11"/>
  <c r="J52" i="11"/>
  <c r="J51" i="11"/>
  <c r="J50" i="11"/>
  <c r="J48" i="11"/>
  <c r="J47" i="11"/>
  <c r="J45" i="11"/>
  <c r="J58" i="10"/>
  <c r="J57" i="10"/>
  <c r="J56" i="10"/>
  <c r="J55" i="10"/>
  <c r="J54" i="10"/>
  <c r="J53" i="10"/>
  <c r="J52" i="10"/>
  <c r="J51" i="10"/>
  <c r="J50" i="10"/>
  <c r="J48" i="10"/>
  <c r="J47" i="10"/>
  <c r="J45" i="10"/>
  <c r="J43" i="12"/>
  <c r="J39" i="12"/>
  <c r="J27" i="12"/>
  <c r="J26" i="12"/>
  <c r="J25" i="12"/>
  <c r="J24" i="12"/>
  <c r="J21" i="12"/>
  <c r="J43" i="11"/>
  <c r="J39" i="11"/>
  <c r="J27" i="11"/>
  <c r="J26" i="11"/>
  <c r="J25" i="11"/>
  <c r="J24" i="11"/>
  <c r="J21" i="11"/>
  <c r="J43" i="10"/>
  <c r="J39" i="10"/>
  <c r="J27" i="10"/>
  <c r="J26" i="10"/>
  <c r="J25" i="10"/>
  <c r="J24" i="10"/>
  <c r="J21" i="10"/>
  <c r="J58" i="9"/>
  <c r="J57" i="9"/>
  <c r="J56" i="9"/>
  <c r="J55" i="9"/>
  <c r="J54" i="9"/>
  <c r="J53" i="9"/>
  <c r="J52" i="9"/>
  <c r="J51" i="9"/>
  <c r="J50" i="9"/>
  <c r="J48" i="9"/>
  <c r="J47" i="9"/>
  <c r="J45" i="9"/>
  <c r="J43" i="9"/>
  <c r="J39" i="9"/>
  <c r="J27" i="9"/>
  <c r="J26" i="9"/>
  <c r="J25" i="9"/>
  <c r="J24" i="9"/>
  <c r="J21" i="9"/>
  <c r="F58" i="12"/>
  <c r="F57" i="12"/>
  <c r="F56" i="12"/>
  <c r="F55" i="12"/>
  <c r="F54" i="12"/>
  <c r="F53" i="12"/>
  <c r="F52" i="12"/>
  <c r="F51" i="12"/>
  <c r="F50" i="12"/>
  <c r="F48" i="12"/>
  <c r="F47" i="12"/>
  <c r="F45" i="12"/>
  <c r="F58" i="11"/>
  <c r="F57" i="11"/>
  <c r="F56" i="11"/>
  <c r="F55" i="11"/>
  <c r="F54" i="11"/>
  <c r="F53" i="11"/>
  <c r="F52" i="11"/>
  <c r="F51" i="11"/>
  <c r="F50" i="11"/>
  <c r="F48" i="11"/>
  <c r="F47" i="11"/>
  <c r="F45" i="11"/>
  <c r="F58" i="10"/>
  <c r="F57" i="10"/>
  <c r="F56" i="10"/>
  <c r="F55" i="10"/>
  <c r="F54" i="10"/>
  <c r="F53" i="10"/>
  <c r="F52" i="10"/>
  <c r="F51" i="10"/>
  <c r="F50" i="10"/>
  <c r="F48" i="10"/>
  <c r="F47" i="10"/>
  <c r="F45" i="10"/>
  <c r="F43" i="12"/>
  <c r="F39" i="12"/>
  <c r="F27" i="12"/>
  <c r="F25" i="12"/>
  <c r="F23" i="12"/>
  <c r="F21" i="12"/>
  <c r="F43" i="11"/>
  <c r="F39" i="11"/>
  <c r="F27" i="11"/>
  <c r="F25" i="11"/>
  <c r="F23" i="11"/>
  <c r="F21" i="11"/>
  <c r="F43" i="10"/>
  <c r="F39" i="10"/>
  <c r="F27" i="10"/>
  <c r="F25" i="10"/>
  <c r="F23" i="10"/>
  <c r="F21" i="10"/>
  <c r="F58" i="9"/>
  <c r="F57" i="9"/>
  <c r="F56" i="9"/>
  <c r="F55" i="9"/>
  <c r="F54" i="9"/>
  <c r="F53" i="9"/>
  <c r="F52" i="9"/>
  <c r="F51" i="9"/>
  <c r="F50" i="9"/>
  <c r="F48" i="9"/>
  <c r="F47" i="9"/>
  <c r="F45" i="9"/>
  <c r="F43" i="9"/>
  <c r="F39" i="9"/>
  <c r="F27" i="9"/>
  <c r="F25" i="9"/>
  <c r="F23" i="9"/>
  <c r="F21" i="9"/>
  <c r="J58" i="8"/>
  <c r="J54" i="8"/>
  <c r="J55" i="8"/>
  <c r="J56" i="8"/>
  <c r="J57" i="8"/>
  <c r="J53" i="8"/>
  <c r="J52" i="8"/>
  <c r="J51" i="8"/>
  <c r="J50" i="8"/>
  <c r="F55" i="8"/>
  <c r="F56" i="8"/>
  <c r="F57" i="8"/>
  <c r="F58" i="8"/>
  <c r="F54" i="8"/>
  <c r="J58" i="7" l="1"/>
  <c r="J57" i="7"/>
  <c r="J56" i="7"/>
  <c r="J55" i="7"/>
  <c r="J54" i="7"/>
  <c r="J53" i="7"/>
  <c r="J52" i="7"/>
  <c r="J51" i="7"/>
  <c r="J50" i="7"/>
  <c r="J48" i="7"/>
  <c r="J47" i="7"/>
  <c r="J45" i="7"/>
  <c r="J58" i="6"/>
  <c r="J57" i="6"/>
  <c r="J56" i="6"/>
  <c r="J55" i="6"/>
  <c r="J54" i="6"/>
  <c r="J53" i="6"/>
  <c r="J52" i="6"/>
  <c r="J51" i="6"/>
  <c r="J50" i="6"/>
  <c r="J48" i="6"/>
  <c r="J47" i="6"/>
  <c r="J45" i="6"/>
  <c r="J58" i="5"/>
  <c r="J57" i="5"/>
  <c r="J56" i="5"/>
  <c r="J55" i="5"/>
  <c r="J54" i="5"/>
  <c r="J53" i="5"/>
  <c r="J52" i="5"/>
  <c r="J51" i="5"/>
  <c r="J50" i="5"/>
  <c r="J48" i="5"/>
  <c r="J47" i="5"/>
  <c r="J45" i="5"/>
  <c r="J58" i="4"/>
  <c r="J57" i="4"/>
  <c r="J56" i="4"/>
  <c r="J55" i="4"/>
  <c r="J54" i="4"/>
  <c r="J53" i="4"/>
  <c r="J52" i="4"/>
  <c r="J51" i="4"/>
  <c r="J50" i="4"/>
  <c r="J48" i="4"/>
  <c r="J47" i="4"/>
  <c r="J45" i="4"/>
  <c r="J43" i="7"/>
  <c r="J39" i="7"/>
  <c r="J27" i="7"/>
  <c r="J26" i="7"/>
  <c r="J25" i="7"/>
  <c r="J24" i="7"/>
  <c r="J21" i="7"/>
  <c r="J43" i="6"/>
  <c r="J39" i="6"/>
  <c r="J27" i="6"/>
  <c r="J26" i="6"/>
  <c r="J25" i="6"/>
  <c r="J24" i="6"/>
  <c r="J21" i="6"/>
  <c r="J43" i="5"/>
  <c r="J39" i="5"/>
  <c r="J27" i="5"/>
  <c r="J26" i="5"/>
  <c r="J25" i="5"/>
  <c r="J24" i="5"/>
  <c r="J21" i="5"/>
  <c r="J43" i="4"/>
  <c r="J39" i="4"/>
  <c r="J27" i="4"/>
  <c r="J26" i="4"/>
  <c r="J25" i="4"/>
  <c r="J24" i="4"/>
  <c r="J21" i="4"/>
  <c r="J58" i="3"/>
  <c r="J57" i="3"/>
  <c r="J56" i="3"/>
  <c r="J55" i="3"/>
  <c r="J54" i="3"/>
  <c r="J53" i="3"/>
  <c r="J52" i="3"/>
  <c r="J51" i="3"/>
  <c r="J50" i="3"/>
  <c r="J48" i="3"/>
  <c r="J47" i="3"/>
  <c r="J45" i="3"/>
  <c r="J43" i="3"/>
  <c r="J39" i="3"/>
  <c r="J27" i="3"/>
  <c r="J26" i="3"/>
  <c r="J25" i="3"/>
  <c r="J24" i="3"/>
  <c r="J21" i="3"/>
  <c r="J58" i="2"/>
  <c r="J57" i="2"/>
  <c r="J56" i="2"/>
  <c r="J55" i="2"/>
  <c r="J54" i="2"/>
  <c r="J53" i="2"/>
  <c r="J52" i="2"/>
  <c r="J51" i="2"/>
  <c r="J50" i="2"/>
  <c r="J48" i="2"/>
  <c r="J47" i="2"/>
  <c r="J45" i="2"/>
  <c r="J43" i="2"/>
  <c r="J39" i="2"/>
  <c r="J27" i="2"/>
  <c r="J26" i="2"/>
  <c r="J25" i="2"/>
  <c r="J24" i="2"/>
  <c r="J21" i="2"/>
  <c r="J73" i="7" l="1"/>
  <c r="F73" i="7"/>
  <c r="J73" i="6"/>
  <c r="F73" i="6"/>
  <c r="J73" i="5"/>
  <c r="F73" i="5"/>
  <c r="J73" i="4"/>
  <c r="F73" i="4"/>
  <c r="J73" i="3"/>
  <c r="F73" i="3"/>
  <c r="J73" i="2"/>
  <c r="F73" i="2"/>
  <c r="F58" i="7"/>
  <c r="F57" i="7"/>
  <c r="F56" i="7"/>
  <c r="F55" i="7"/>
  <c r="F54" i="7"/>
  <c r="F53" i="7"/>
  <c r="F52" i="7"/>
  <c r="F51" i="7"/>
  <c r="F50" i="7"/>
  <c r="F48" i="7"/>
  <c r="F47" i="7"/>
  <c r="F58" i="6"/>
  <c r="F57" i="6"/>
  <c r="F56" i="6"/>
  <c r="F55" i="6"/>
  <c r="F54" i="6"/>
  <c r="F53" i="6"/>
  <c r="F52" i="6"/>
  <c r="F51" i="6"/>
  <c r="F50" i="6"/>
  <c r="F48" i="6"/>
  <c r="F47" i="6"/>
  <c r="F58" i="5"/>
  <c r="F57" i="5"/>
  <c r="F56" i="5"/>
  <c r="F55" i="5"/>
  <c r="F54" i="5"/>
  <c r="F53" i="5"/>
  <c r="F52" i="5"/>
  <c r="F51" i="5"/>
  <c r="F50" i="5"/>
  <c r="F48" i="5"/>
  <c r="F47" i="5"/>
  <c r="F58" i="4"/>
  <c r="F57" i="4"/>
  <c r="F56" i="4"/>
  <c r="F55" i="4"/>
  <c r="F54" i="4"/>
  <c r="F53" i="4"/>
  <c r="F52" i="4"/>
  <c r="F51" i="4"/>
  <c r="F50" i="4"/>
  <c r="F48" i="4"/>
  <c r="F47" i="4"/>
  <c r="F58" i="3"/>
  <c r="F57" i="3"/>
  <c r="F56" i="3"/>
  <c r="F55" i="3"/>
  <c r="F54" i="3"/>
  <c r="F53" i="3"/>
  <c r="F52" i="3"/>
  <c r="F51" i="3"/>
  <c r="F50" i="3"/>
  <c r="F48" i="3"/>
  <c r="F47" i="3"/>
  <c r="F45" i="7"/>
  <c r="F45" i="6"/>
  <c r="F45" i="5"/>
  <c r="F45" i="4"/>
  <c r="F45" i="3"/>
  <c r="F43" i="7"/>
  <c r="F39" i="7"/>
  <c r="F43" i="6"/>
  <c r="F39" i="6"/>
  <c r="F43" i="5"/>
  <c r="F39" i="5"/>
  <c r="F43" i="4"/>
  <c r="F39" i="4"/>
  <c r="F43" i="3"/>
  <c r="F39" i="3"/>
  <c r="F27" i="7"/>
  <c r="F26" i="7"/>
  <c r="F25" i="7"/>
  <c r="F24" i="7"/>
  <c r="F23" i="7"/>
  <c r="F22" i="7"/>
  <c r="F21" i="7"/>
  <c r="F27" i="6"/>
  <c r="F26" i="6"/>
  <c r="F25" i="6"/>
  <c r="F24" i="6"/>
  <c r="F23" i="6"/>
  <c r="F22" i="6"/>
  <c r="F21" i="6"/>
  <c r="F27" i="5"/>
  <c r="F26" i="5"/>
  <c r="F25" i="5"/>
  <c r="F24" i="5"/>
  <c r="F23" i="5"/>
  <c r="F22" i="5"/>
  <c r="F21" i="5"/>
  <c r="F27" i="4"/>
  <c r="F26" i="4"/>
  <c r="F25" i="4"/>
  <c r="F24" i="4"/>
  <c r="F23" i="4"/>
  <c r="F22" i="4"/>
  <c r="F21" i="4"/>
  <c r="F27" i="3"/>
  <c r="F26" i="3"/>
  <c r="F25" i="3"/>
  <c r="F24" i="3"/>
  <c r="F23" i="3"/>
  <c r="F22" i="3"/>
  <c r="F21" i="3"/>
  <c r="F58" i="2"/>
  <c r="F57" i="2"/>
  <c r="F56" i="2"/>
  <c r="F55" i="2"/>
  <c r="F54" i="2"/>
  <c r="F53" i="2"/>
  <c r="F52" i="2"/>
  <c r="F51" i="2"/>
  <c r="F50" i="2"/>
  <c r="F48" i="2"/>
  <c r="F47" i="2"/>
  <c r="F45" i="2"/>
  <c r="F43" i="2"/>
  <c r="F39" i="2"/>
  <c r="F27" i="2"/>
  <c r="F26" i="2"/>
  <c r="F25" i="2"/>
  <c r="F24" i="2"/>
  <c r="F23" i="2"/>
  <c r="F22" i="2"/>
  <c r="F21" i="2"/>
  <c r="J58" i="1"/>
  <c r="J57" i="1"/>
  <c r="J56" i="1"/>
  <c r="J55" i="1"/>
  <c r="J54" i="1"/>
  <c r="H27" i="17" l="1"/>
  <c r="H21" i="17"/>
  <c r="H27" i="16"/>
  <c r="H21" i="16"/>
  <c r="H21" i="15"/>
  <c r="H21" i="23"/>
  <c r="H27" i="14"/>
  <c r="H21" i="14"/>
  <c r="H27" i="19"/>
  <c r="H21" i="19"/>
  <c r="H27" i="13"/>
  <c r="H21" i="13"/>
  <c r="H27" i="12"/>
  <c r="H21" i="12"/>
  <c r="H27" i="11"/>
  <c r="H21" i="11"/>
  <c r="H27" i="10"/>
  <c r="H21" i="10"/>
  <c r="H27" i="9"/>
  <c r="H21" i="9"/>
  <c r="H27" i="8"/>
  <c r="H21" i="8"/>
  <c r="H27" i="7"/>
  <c r="H21" i="7"/>
  <c r="H27" i="6"/>
  <c r="H21" i="6"/>
  <c r="H27" i="5"/>
  <c r="H21" i="5"/>
  <c r="H27" i="4"/>
  <c r="H21" i="4"/>
  <c r="H27" i="3"/>
  <c r="H21" i="3"/>
  <c r="H27" i="2"/>
  <c r="H21" i="2"/>
  <c r="H27" i="1"/>
  <c r="H21" i="1"/>
  <c r="L41" i="17"/>
  <c r="L38" i="17"/>
  <c r="L41" i="16"/>
  <c r="L38" i="16"/>
  <c r="L26" i="16"/>
  <c r="L41" i="14"/>
  <c r="L38" i="14"/>
  <c r="L26" i="14"/>
  <c r="L41" i="19"/>
  <c r="L26" i="19"/>
  <c r="N26" i="19" s="1"/>
  <c r="L41" i="13"/>
  <c r="L38" i="13"/>
  <c r="L26" i="13"/>
  <c r="L39" i="12"/>
  <c r="L39" i="11"/>
  <c r="L39" i="10"/>
  <c r="L39" i="8"/>
  <c r="L26" i="12"/>
  <c r="L26" i="11"/>
  <c r="L39" i="9"/>
  <c r="L26" i="9"/>
  <c r="N26" i="9" s="1"/>
  <c r="L39" i="7"/>
  <c r="L39" i="6"/>
  <c r="L39" i="4"/>
  <c r="L39" i="3"/>
  <c r="L26" i="7"/>
  <c r="L26" i="6"/>
  <c r="L26" i="5"/>
  <c r="L39" i="2"/>
  <c r="L26" i="2"/>
  <c r="L39" i="1"/>
  <c r="L26" i="1"/>
  <c r="K25" i="17"/>
  <c r="L25" i="17"/>
  <c r="K26" i="17"/>
  <c r="G25" i="17"/>
  <c r="H25" i="17"/>
  <c r="G26" i="17"/>
  <c r="K27" i="17"/>
  <c r="G27" i="17"/>
  <c r="K25" i="16"/>
  <c r="L25" i="16"/>
  <c r="K26" i="16"/>
  <c r="G25" i="16"/>
  <c r="H25" i="16"/>
  <c r="G26" i="16"/>
  <c r="K27" i="16"/>
  <c r="G27" i="16"/>
  <c r="K25" i="15"/>
  <c r="K26" i="15"/>
  <c r="G25" i="15"/>
  <c r="H25" i="15" s="1"/>
  <c r="G26" i="15"/>
  <c r="H26" i="15" s="1"/>
  <c r="O26" i="15" s="1"/>
  <c r="K27" i="15"/>
  <c r="G27" i="15"/>
  <c r="L46" i="14"/>
  <c r="G47" i="14"/>
  <c r="H47" i="14" s="1"/>
  <c r="K25" i="23"/>
  <c r="L25" i="23" s="1"/>
  <c r="K26" i="23"/>
  <c r="K27" i="23"/>
  <c r="G25" i="23"/>
  <c r="G26" i="23"/>
  <c r="G27" i="23"/>
  <c r="G38" i="23" s="1"/>
  <c r="H38" i="23" s="1"/>
  <c r="K25" i="14"/>
  <c r="K26" i="14"/>
  <c r="K27" i="14"/>
  <c r="G25" i="14"/>
  <c r="G26" i="14"/>
  <c r="G27" i="14"/>
  <c r="K25" i="19"/>
  <c r="K26" i="19"/>
  <c r="K27" i="19"/>
  <c r="G25" i="19"/>
  <c r="H25" i="19"/>
  <c r="G26" i="19"/>
  <c r="G27" i="19"/>
  <c r="K25" i="13"/>
  <c r="K26" i="13"/>
  <c r="K27" i="13"/>
  <c r="H25" i="13"/>
  <c r="G26" i="13"/>
  <c r="G27" i="13"/>
  <c r="K25" i="12"/>
  <c r="L25" i="12"/>
  <c r="K26" i="12"/>
  <c r="G25" i="12"/>
  <c r="H25" i="12"/>
  <c r="G26" i="12"/>
  <c r="K25" i="11"/>
  <c r="L25" i="11"/>
  <c r="K26" i="11"/>
  <c r="H25" i="11"/>
  <c r="G25" i="11"/>
  <c r="G26" i="11"/>
  <c r="K25" i="10"/>
  <c r="L25" i="10"/>
  <c r="K26" i="10"/>
  <c r="L26" i="10"/>
  <c r="G25" i="10"/>
  <c r="H25" i="10"/>
  <c r="G26" i="10"/>
  <c r="K25" i="9"/>
  <c r="L25" i="9"/>
  <c r="K26" i="9"/>
  <c r="G25" i="9"/>
  <c r="H25" i="9"/>
  <c r="G26" i="9"/>
  <c r="L25" i="8"/>
  <c r="K25" i="8"/>
  <c r="K26" i="8"/>
  <c r="H25" i="8"/>
  <c r="G25" i="8"/>
  <c r="G26" i="8"/>
  <c r="H26" i="8"/>
  <c r="O26" i="8"/>
  <c r="K25" i="7"/>
  <c r="L25" i="7"/>
  <c r="K26" i="7"/>
  <c r="G25" i="7"/>
  <c r="H25" i="7"/>
  <c r="G26" i="7"/>
  <c r="K25" i="6"/>
  <c r="L25" i="6"/>
  <c r="K26" i="6"/>
  <c r="G25" i="6"/>
  <c r="H25" i="6"/>
  <c r="G26" i="6"/>
  <c r="H26" i="6"/>
  <c r="O26" i="6" s="1"/>
  <c r="K25" i="5"/>
  <c r="L25" i="5"/>
  <c r="K26" i="5"/>
  <c r="G25" i="5"/>
  <c r="H25" i="5"/>
  <c r="G26" i="5"/>
  <c r="K25" i="1"/>
  <c r="L25" i="1"/>
  <c r="K26" i="1"/>
  <c r="G25" i="1"/>
  <c r="H25" i="1"/>
  <c r="G26" i="1"/>
  <c r="H26" i="1"/>
  <c r="O26" i="1" s="1"/>
  <c r="L25" i="2"/>
  <c r="K25" i="2"/>
  <c r="K26" i="2"/>
  <c r="G25" i="2"/>
  <c r="H25" i="2"/>
  <c r="G26" i="2"/>
  <c r="G25" i="4"/>
  <c r="G26" i="4"/>
  <c r="H26" i="4"/>
  <c r="O26" i="4" s="1"/>
  <c r="K25" i="4"/>
  <c r="L25" i="4"/>
  <c r="K26" i="4"/>
  <c r="K25" i="3"/>
  <c r="L25" i="3"/>
  <c r="K26" i="3"/>
  <c r="G25" i="3"/>
  <c r="H25" i="3"/>
  <c r="G26" i="3"/>
  <c r="H26" i="3"/>
  <c r="O26" i="3"/>
  <c r="H25" i="4"/>
  <c r="K49" i="14"/>
  <c r="G49" i="14"/>
  <c r="G49" i="23"/>
  <c r="H49" i="23" s="1"/>
  <c r="K49" i="23"/>
  <c r="K49" i="16"/>
  <c r="G49" i="16"/>
  <c r="K49" i="15"/>
  <c r="K50" i="15" s="1"/>
  <c r="L50" i="15" s="1"/>
  <c r="G49" i="15"/>
  <c r="G50" i="15" s="1"/>
  <c r="H50" i="15" s="1"/>
  <c r="K47" i="15"/>
  <c r="G47" i="15"/>
  <c r="H47" i="15" s="1"/>
  <c r="K47" i="23"/>
  <c r="G47" i="23"/>
  <c r="H47" i="23" s="1"/>
  <c r="J53" i="15"/>
  <c r="J43" i="15" s="1"/>
  <c r="H57" i="23"/>
  <c r="H56" i="23"/>
  <c r="L55" i="23"/>
  <c r="N55" i="23" s="1"/>
  <c r="H55" i="23"/>
  <c r="O55" i="23" s="1"/>
  <c r="L54" i="23"/>
  <c r="N54" i="23" s="1"/>
  <c r="H54" i="23"/>
  <c r="O54" i="23" s="1"/>
  <c r="G53" i="23"/>
  <c r="K53" i="23" s="1"/>
  <c r="L53" i="23" s="1"/>
  <c r="H53" i="23"/>
  <c r="K52" i="23"/>
  <c r="L52" i="23"/>
  <c r="G52" i="23"/>
  <c r="H52" i="23"/>
  <c r="L51" i="23"/>
  <c r="N51" i="23" s="1"/>
  <c r="H51" i="23"/>
  <c r="K50" i="23"/>
  <c r="L50" i="23" s="1"/>
  <c r="L44" i="23"/>
  <c r="H44" i="23"/>
  <c r="K43" i="23"/>
  <c r="G43" i="23"/>
  <c r="K42" i="23"/>
  <c r="G42" i="23"/>
  <c r="H42" i="23" s="1"/>
  <c r="K41" i="23"/>
  <c r="G41" i="23"/>
  <c r="H41" i="23" s="1"/>
  <c r="K40" i="23"/>
  <c r="L40" i="23" s="1"/>
  <c r="G40" i="23"/>
  <c r="H40" i="23" s="1"/>
  <c r="O40" i="23" s="1"/>
  <c r="K39" i="23"/>
  <c r="L39" i="23" s="1"/>
  <c r="G39" i="23"/>
  <c r="H39" i="23" s="1"/>
  <c r="O39" i="23" s="1"/>
  <c r="K38" i="23"/>
  <c r="K36" i="23"/>
  <c r="L36" i="23"/>
  <c r="G36" i="23"/>
  <c r="H36" i="23"/>
  <c r="O36" i="23"/>
  <c r="K35" i="23"/>
  <c r="L35" i="23"/>
  <c r="N35" i="23" s="1"/>
  <c r="G35" i="23"/>
  <c r="H35" i="23"/>
  <c r="O35" i="23" s="1"/>
  <c r="K34" i="23"/>
  <c r="L34" i="23"/>
  <c r="G34" i="23"/>
  <c r="H34" i="23"/>
  <c r="O34" i="23" s="1"/>
  <c r="K33" i="23"/>
  <c r="L33" i="23"/>
  <c r="G33" i="23"/>
  <c r="H33" i="23"/>
  <c r="L32" i="23"/>
  <c r="K32" i="23"/>
  <c r="G32" i="23"/>
  <c r="H32" i="23"/>
  <c r="O32" i="23" s="1"/>
  <c r="K31" i="23"/>
  <c r="L31" i="23"/>
  <c r="G31" i="23"/>
  <c r="H31" i="23"/>
  <c r="O31" i="23" s="1"/>
  <c r="K30" i="23"/>
  <c r="L30" i="23" s="1"/>
  <c r="N30" i="23" s="1"/>
  <c r="G30" i="23"/>
  <c r="H30" i="23"/>
  <c r="O30" i="23"/>
  <c r="K29" i="23"/>
  <c r="L29" i="23"/>
  <c r="N29" i="23" s="1"/>
  <c r="G29" i="23"/>
  <c r="H29" i="23"/>
  <c r="O29" i="23" s="1"/>
  <c r="K28" i="23"/>
  <c r="L28" i="23"/>
  <c r="N28" i="23" s="1"/>
  <c r="H28" i="23"/>
  <c r="O28" i="23" s="1"/>
  <c r="G28" i="23"/>
  <c r="H26" i="23"/>
  <c r="O26" i="23" s="1"/>
  <c r="H25" i="23"/>
  <c r="L24" i="23"/>
  <c r="H24" i="23"/>
  <c r="O24" i="23" s="1"/>
  <c r="L23" i="23"/>
  <c r="H23" i="23"/>
  <c r="O23" i="23"/>
  <c r="L22" i="23"/>
  <c r="H22" i="23"/>
  <c r="O22" i="23" s="1"/>
  <c r="O57" i="19"/>
  <c r="L57" i="19"/>
  <c r="N57" i="19"/>
  <c r="K57" i="19"/>
  <c r="H57" i="19"/>
  <c r="K56" i="19"/>
  <c r="L56" i="19"/>
  <c r="N56" i="19"/>
  <c r="H56" i="19"/>
  <c r="O56" i="19"/>
  <c r="O55" i="19"/>
  <c r="L55" i="19"/>
  <c r="H55" i="19"/>
  <c r="N55" i="19"/>
  <c r="L54" i="19"/>
  <c r="H54" i="19"/>
  <c r="N54" i="19"/>
  <c r="O54" i="19"/>
  <c r="G53" i="19"/>
  <c r="H53" i="19"/>
  <c r="K52" i="19"/>
  <c r="L52" i="19"/>
  <c r="G52" i="19"/>
  <c r="H52" i="19"/>
  <c r="L51" i="19"/>
  <c r="H51" i="19"/>
  <c r="K49" i="19"/>
  <c r="L49" i="19" s="1"/>
  <c r="G49" i="19"/>
  <c r="G50" i="19" s="1"/>
  <c r="H50" i="19" s="1"/>
  <c r="K47" i="19"/>
  <c r="L47" i="19" s="1"/>
  <c r="G47" i="19"/>
  <c r="H47" i="19" s="1"/>
  <c r="L44" i="19"/>
  <c r="N44" i="19" s="1"/>
  <c r="H44" i="19"/>
  <c r="K43" i="19"/>
  <c r="G43" i="19"/>
  <c r="H43" i="19"/>
  <c r="K42" i="19"/>
  <c r="G42" i="19"/>
  <c r="H42" i="19"/>
  <c r="K41" i="19"/>
  <c r="G41" i="19"/>
  <c r="H41" i="19"/>
  <c r="K40" i="19"/>
  <c r="L40" i="19"/>
  <c r="N40" i="19" s="1"/>
  <c r="G40" i="19"/>
  <c r="H40" i="19"/>
  <c r="O40" i="19" s="1"/>
  <c r="K39" i="19"/>
  <c r="L39" i="19"/>
  <c r="N39" i="19" s="1"/>
  <c r="G39" i="19"/>
  <c r="H39" i="19"/>
  <c r="O39" i="19"/>
  <c r="K38" i="19"/>
  <c r="L38" i="19"/>
  <c r="G38" i="19"/>
  <c r="H38" i="19"/>
  <c r="K36" i="19"/>
  <c r="L36" i="19"/>
  <c r="N36" i="19" s="1"/>
  <c r="G36" i="19"/>
  <c r="H36" i="19"/>
  <c r="O36" i="19"/>
  <c r="K35" i="19"/>
  <c r="L35" i="19"/>
  <c r="G35" i="19"/>
  <c r="H35" i="19"/>
  <c r="O35" i="19"/>
  <c r="K34" i="19"/>
  <c r="L34" i="19"/>
  <c r="G34" i="19"/>
  <c r="H34" i="19"/>
  <c r="K33" i="19"/>
  <c r="L33" i="19"/>
  <c r="N33" i="19" s="1"/>
  <c r="G33" i="19"/>
  <c r="H33" i="19"/>
  <c r="K32" i="19"/>
  <c r="L32" i="19"/>
  <c r="N32" i="19" s="1"/>
  <c r="G32" i="19"/>
  <c r="H32" i="19"/>
  <c r="K31" i="19"/>
  <c r="L31" i="19"/>
  <c r="G31" i="19"/>
  <c r="H31" i="19"/>
  <c r="K30" i="19"/>
  <c r="L30" i="19"/>
  <c r="N30" i="19" s="1"/>
  <c r="G30" i="19"/>
  <c r="H30" i="19"/>
  <c r="O30" i="19"/>
  <c r="K29" i="19"/>
  <c r="L29" i="19"/>
  <c r="G29" i="19"/>
  <c r="H29" i="19"/>
  <c r="O29" i="19"/>
  <c r="K28" i="19"/>
  <c r="L28" i="19"/>
  <c r="G28" i="19"/>
  <c r="H28" i="19"/>
  <c r="H26" i="19"/>
  <c r="O26" i="19"/>
  <c r="L25" i="19"/>
  <c r="L24" i="19"/>
  <c r="H24" i="19"/>
  <c r="O24" i="19"/>
  <c r="L23" i="19"/>
  <c r="H23" i="19"/>
  <c r="O23" i="19"/>
  <c r="L22" i="19"/>
  <c r="H22" i="19"/>
  <c r="O22" i="19" s="1"/>
  <c r="K49" i="17"/>
  <c r="K46" i="17"/>
  <c r="K47" i="17" s="1"/>
  <c r="G49" i="17"/>
  <c r="K53" i="17"/>
  <c r="L53" i="17"/>
  <c r="G53" i="17"/>
  <c r="H53" i="17"/>
  <c r="K41" i="16"/>
  <c r="G41" i="16"/>
  <c r="K41" i="15"/>
  <c r="G41" i="15"/>
  <c r="H41" i="15" s="1"/>
  <c r="K41" i="14"/>
  <c r="G41" i="14"/>
  <c r="H41" i="14"/>
  <c r="G42" i="14"/>
  <c r="K41" i="13"/>
  <c r="G41" i="13"/>
  <c r="H41" i="13"/>
  <c r="K53" i="16"/>
  <c r="G53" i="16"/>
  <c r="H53" i="16"/>
  <c r="G53" i="15"/>
  <c r="K53" i="15" s="1"/>
  <c r="L53" i="15" s="1"/>
  <c r="K53" i="14"/>
  <c r="L53" i="14" s="1"/>
  <c r="G53" i="14"/>
  <c r="G43" i="14"/>
  <c r="K53" i="13"/>
  <c r="L53" i="13"/>
  <c r="G53" i="13"/>
  <c r="H53" i="13"/>
  <c r="K43" i="13"/>
  <c r="G43" i="13"/>
  <c r="G58" i="12"/>
  <c r="K58" i="12"/>
  <c r="L58" i="12"/>
  <c r="G57" i="12"/>
  <c r="K57" i="12"/>
  <c r="L57" i="12"/>
  <c r="G56" i="12"/>
  <c r="K56" i="12"/>
  <c r="L56" i="12"/>
  <c r="H55" i="12"/>
  <c r="G55" i="12"/>
  <c r="K55" i="12"/>
  <c r="L55" i="12"/>
  <c r="G54" i="12"/>
  <c r="K54" i="12"/>
  <c r="L54" i="12"/>
  <c r="K53" i="12"/>
  <c r="L53" i="12"/>
  <c r="G53" i="12"/>
  <c r="H53" i="12"/>
  <c r="L52" i="12"/>
  <c r="H52" i="12"/>
  <c r="K47" i="12"/>
  <c r="L47" i="12" s="1"/>
  <c r="G47" i="12"/>
  <c r="H47" i="12" s="1"/>
  <c r="L45" i="12"/>
  <c r="H45" i="12"/>
  <c r="K44" i="12"/>
  <c r="J44" i="12"/>
  <c r="G44" i="12"/>
  <c r="F44" i="12"/>
  <c r="H44" i="12" s="1"/>
  <c r="K43" i="12"/>
  <c r="G43" i="12"/>
  <c r="H43" i="12"/>
  <c r="K42" i="12"/>
  <c r="L42" i="12"/>
  <c r="G42" i="12"/>
  <c r="H42" i="12"/>
  <c r="O42" i="12" s="1"/>
  <c r="K41" i="12"/>
  <c r="L41" i="12"/>
  <c r="G41" i="12"/>
  <c r="H41" i="12"/>
  <c r="O41" i="12" s="1"/>
  <c r="K40" i="12"/>
  <c r="L40" i="12"/>
  <c r="H40" i="12"/>
  <c r="G40" i="12"/>
  <c r="K39" i="12"/>
  <c r="G39" i="12"/>
  <c r="H39" i="12"/>
  <c r="K36" i="12"/>
  <c r="L36" i="12"/>
  <c r="N36" i="12"/>
  <c r="G36" i="12"/>
  <c r="H36" i="12"/>
  <c r="O36" i="12"/>
  <c r="K35" i="12"/>
  <c r="L35" i="12"/>
  <c r="G35" i="12"/>
  <c r="H35" i="12"/>
  <c r="O35" i="12"/>
  <c r="K34" i="12"/>
  <c r="L34" i="12"/>
  <c r="N34" i="12" s="1"/>
  <c r="G34" i="12"/>
  <c r="H34" i="12"/>
  <c r="O34" i="12" s="1"/>
  <c r="K33" i="12"/>
  <c r="L33" i="12"/>
  <c r="G33" i="12"/>
  <c r="H33" i="12"/>
  <c r="O33" i="12" s="1"/>
  <c r="K32" i="12"/>
  <c r="L32" i="12"/>
  <c r="G32" i="12"/>
  <c r="H32" i="12"/>
  <c r="K31" i="12"/>
  <c r="L31" i="12"/>
  <c r="G31" i="12"/>
  <c r="H31" i="12"/>
  <c r="K30" i="12"/>
  <c r="L30" i="12"/>
  <c r="G30" i="12"/>
  <c r="H30" i="12"/>
  <c r="O30" i="12" s="1"/>
  <c r="L29" i="12"/>
  <c r="N29" i="12" s="1"/>
  <c r="K29" i="12"/>
  <c r="H29" i="12"/>
  <c r="O29" i="12" s="1"/>
  <c r="G29" i="12"/>
  <c r="K28" i="12"/>
  <c r="L28" i="12"/>
  <c r="G28" i="12"/>
  <c r="H28" i="12"/>
  <c r="O28" i="12" s="1"/>
  <c r="K27" i="12"/>
  <c r="G27" i="12"/>
  <c r="H26" i="12"/>
  <c r="O26" i="12" s="1"/>
  <c r="L24" i="12"/>
  <c r="H24" i="12"/>
  <c r="L38" i="12"/>
  <c r="H38" i="12"/>
  <c r="O38" i="12" s="1"/>
  <c r="L23" i="12"/>
  <c r="H23" i="12"/>
  <c r="L22" i="12"/>
  <c r="H22" i="12"/>
  <c r="G58" i="11"/>
  <c r="K58" i="11"/>
  <c r="L58" i="11"/>
  <c r="G57" i="11"/>
  <c r="K57" i="11"/>
  <c r="L57" i="11"/>
  <c r="G56" i="11"/>
  <c r="H56" i="11"/>
  <c r="G55" i="11"/>
  <c r="K55" i="11"/>
  <c r="L55" i="11"/>
  <c r="G54" i="11"/>
  <c r="H54" i="11"/>
  <c r="K53" i="11"/>
  <c r="L53" i="11"/>
  <c r="G53" i="11"/>
  <c r="H53" i="11"/>
  <c r="L52" i="11"/>
  <c r="H52" i="11"/>
  <c r="K47" i="11"/>
  <c r="L47" i="11" s="1"/>
  <c r="G47" i="11"/>
  <c r="G48" i="11" s="1"/>
  <c r="L45" i="11"/>
  <c r="H45" i="11"/>
  <c r="K44" i="11"/>
  <c r="J44" i="11"/>
  <c r="G44" i="11"/>
  <c r="F44" i="11"/>
  <c r="K43" i="11"/>
  <c r="G43" i="11"/>
  <c r="H43" i="11"/>
  <c r="K42" i="11"/>
  <c r="L42" i="11"/>
  <c r="G42" i="11"/>
  <c r="H42" i="11"/>
  <c r="O42" i="11" s="1"/>
  <c r="K41" i="11"/>
  <c r="L41" i="11"/>
  <c r="G41" i="11"/>
  <c r="H41" i="11"/>
  <c r="K40" i="11"/>
  <c r="L40" i="11"/>
  <c r="H40" i="11"/>
  <c r="G40" i="11"/>
  <c r="K39" i="11"/>
  <c r="G39" i="11"/>
  <c r="H39" i="11"/>
  <c r="K36" i="11"/>
  <c r="L36" i="11"/>
  <c r="G36" i="11"/>
  <c r="H36" i="11"/>
  <c r="O36" i="11"/>
  <c r="K35" i="11"/>
  <c r="L35" i="11"/>
  <c r="G35" i="11"/>
  <c r="H35" i="11"/>
  <c r="K34" i="11"/>
  <c r="L34" i="11"/>
  <c r="N34" i="11" s="1"/>
  <c r="G34" i="11"/>
  <c r="H34" i="11"/>
  <c r="O34" i="11"/>
  <c r="K33" i="11"/>
  <c r="L33" i="11"/>
  <c r="G33" i="11"/>
  <c r="H33" i="11"/>
  <c r="N33" i="11" s="1"/>
  <c r="O33" i="11"/>
  <c r="K32" i="11"/>
  <c r="L32" i="11"/>
  <c r="G32" i="11"/>
  <c r="H32" i="11"/>
  <c r="K31" i="11"/>
  <c r="L31" i="11"/>
  <c r="G31" i="11"/>
  <c r="H31" i="11"/>
  <c r="O31" i="11" s="1"/>
  <c r="K30" i="11"/>
  <c r="L30" i="11"/>
  <c r="G30" i="11"/>
  <c r="H30" i="11"/>
  <c r="O30" i="11"/>
  <c r="K29" i="11"/>
  <c r="L29" i="11"/>
  <c r="G29" i="11"/>
  <c r="H29" i="11"/>
  <c r="O29" i="11"/>
  <c r="K28" i="11"/>
  <c r="L28" i="11"/>
  <c r="G28" i="11"/>
  <c r="H28" i="11"/>
  <c r="K27" i="11"/>
  <c r="G27" i="11"/>
  <c r="H26" i="11"/>
  <c r="O26" i="11"/>
  <c r="L24" i="11"/>
  <c r="H24" i="11"/>
  <c r="O24" i="11"/>
  <c r="L38" i="11"/>
  <c r="H38" i="11"/>
  <c r="O38" i="11"/>
  <c r="L23" i="11"/>
  <c r="H23" i="11"/>
  <c r="N23" i="11" s="1"/>
  <c r="L22" i="11"/>
  <c r="H22" i="11"/>
  <c r="O22" i="11" s="1"/>
  <c r="G58" i="10"/>
  <c r="K58" i="10"/>
  <c r="L58" i="10"/>
  <c r="G57" i="10"/>
  <c r="K57" i="10"/>
  <c r="L57" i="10"/>
  <c r="G56" i="10"/>
  <c r="K56" i="10"/>
  <c r="L56" i="10"/>
  <c r="G55" i="10"/>
  <c r="K55" i="10"/>
  <c r="L55" i="10"/>
  <c r="G54" i="10"/>
  <c r="H54" i="10"/>
  <c r="K53" i="10"/>
  <c r="L53" i="10"/>
  <c r="G53" i="10"/>
  <c r="H53" i="10"/>
  <c r="L52" i="10"/>
  <c r="H52" i="10"/>
  <c r="K47" i="10"/>
  <c r="L47" i="10" s="1"/>
  <c r="G47" i="10"/>
  <c r="G48" i="10" s="1"/>
  <c r="L45" i="10"/>
  <c r="H45" i="10"/>
  <c r="K44" i="10"/>
  <c r="J44" i="10"/>
  <c r="G44" i="10"/>
  <c r="F44" i="10"/>
  <c r="H44" i="10" s="1"/>
  <c r="K43" i="10"/>
  <c r="G43" i="10"/>
  <c r="H43" i="10"/>
  <c r="K42" i="10"/>
  <c r="L42" i="10"/>
  <c r="G42" i="10"/>
  <c r="H42" i="10"/>
  <c r="O42" i="10" s="1"/>
  <c r="K41" i="10"/>
  <c r="L41" i="10"/>
  <c r="G41" i="10"/>
  <c r="H41" i="10"/>
  <c r="O41" i="10" s="1"/>
  <c r="K40" i="10"/>
  <c r="L40" i="10"/>
  <c r="G40" i="10"/>
  <c r="H40" i="10"/>
  <c r="K39" i="10"/>
  <c r="G39" i="10"/>
  <c r="H39" i="10"/>
  <c r="K36" i="10"/>
  <c r="L36" i="10"/>
  <c r="G36" i="10"/>
  <c r="H36" i="10"/>
  <c r="K35" i="10"/>
  <c r="L35" i="10"/>
  <c r="G35" i="10"/>
  <c r="H35" i="10"/>
  <c r="K34" i="10"/>
  <c r="L34" i="10"/>
  <c r="G34" i="10"/>
  <c r="H34" i="10"/>
  <c r="O34" i="10" s="1"/>
  <c r="K33" i="10"/>
  <c r="L33" i="10"/>
  <c r="G33" i="10"/>
  <c r="H33" i="10"/>
  <c r="N33" i="10" s="1"/>
  <c r="K32" i="10"/>
  <c r="L32" i="10"/>
  <c r="N32" i="10" s="1"/>
  <c r="G32" i="10"/>
  <c r="H32" i="10"/>
  <c r="O32" i="10"/>
  <c r="K31" i="10"/>
  <c r="L31" i="10"/>
  <c r="G31" i="10"/>
  <c r="H31" i="10"/>
  <c r="O31" i="10" s="1"/>
  <c r="K30" i="10"/>
  <c r="L30" i="10"/>
  <c r="N30" i="10" s="1"/>
  <c r="G30" i="10"/>
  <c r="H30" i="10"/>
  <c r="K29" i="10"/>
  <c r="L29" i="10"/>
  <c r="G29" i="10"/>
  <c r="H29" i="10"/>
  <c r="K28" i="10"/>
  <c r="L28" i="10"/>
  <c r="G28" i="10"/>
  <c r="H28" i="10"/>
  <c r="K27" i="10"/>
  <c r="G27" i="10"/>
  <c r="H26" i="10"/>
  <c r="O26" i="10"/>
  <c r="L24" i="10"/>
  <c r="H24" i="10"/>
  <c r="O24" i="10" s="1"/>
  <c r="L38" i="10"/>
  <c r="H38" i="10"/>
  <c r="O38" i="10" s="1"/>
  <c r="L23" i="10"/>
  <c r="H23" i="10"/>
  <c r="L22" i="10"/>
  <c r="H22" i="10"/>
  <c r="O22" i="10" s="1"/>
  <c r="G58" i="9"/>
  <c r="H58" i="9"/>
  <c r="K58" i="9"/>
  <c r="L58" i="9"/>
  <c r="G57" i="9"/>
  <c r="K57" i="9"/>
  <c r="L57" i="9"/>
  <c r="G56" i="9"/>
  <c r="H56" i="9"/>
  <c r="G55" i="9"/>
  <c r="H55" i="9"/>
  <c r="K55" i="9"/>
  <c r="L55" i="9"/>
  <c r="G54" i="9"/>
  <c r="K54" i="9"/>
  <c r="L54" i="9"/>
  <c r="K53" i="9"/>
  <c r="L53" i="9"/>
  <c r="G53" i="9"/>
  <c r="H53" i="9"/>
  <c r="L52" i="9"/>
  <c r="H52" i="9"/>
  <c r="K47" i="9"/>
  <c r="L47" i="9" s="1"/>
  <c r="G47" i="9"/>
  <c r="H47" i="9" s="1"/>
  <c r="L45" i="9"/>
  <c r="H45" i="9"/>
  <c r="K44" i="9"/>
  <c r="J44" i="9"/>
  <c r="G44" i="9"/>
  <c r="F44" i="9"/>
  <c r="K43" i="9"/>
  <c r="H43" i="9"/>
  <c r="G43" i="9"/>
  <c r="K42" i="9"/>
  <c r="L42" i="9"/>
  <c r="N42" i="9" s="1"/>
  <c r="G42" i="9"/>
  <c r="H42" i="9"/>
  <c r="O42" i="9" s="1"/>
  <c r="K41" i="9"/>
  <c r="L41" i="9"/>
  <c r="N41" i="9" s="1"/>
  <c r="G41" i="9"/>
  <c r="H41" i="9"/>
  <c r="K40" i="9"/>
  <c r="L40" i="9"/>
  <c r="G40" i="9"/>
  <c r="H40" i="9"/>
  <c r="K39" i="9"/>
  <c r="G39" i="9"/>
  <c r="H39" i="9"/>
  <c r="K36" i="9"/>
  <c r="L36" i="9"/>
  <c r="N36" i="9"/>
  <c r="G36" i="9"/>
  <c r="H36" i="9"/>
  <c r="O36" i="9"/>
  <c r="K35" i="9"/>
  <c r="L35" i="9"/>
  <c r="G35" i="9"/>
  <c r="H35" i="9"/>
  <c r="O35" i="9"/>
  <c r="K34" i="9"/>
  <c r="L34" i="9"/>
  <c r="G34" i="9"/>
  <c r="H34" i="9"/>
  <c r="O34" i="9"/>
  <c r="K33" i="9"/>
  <c r="L33" i="9"/>
  <c r="N33" i="9"/>
  <c r="G33" i="9"/>
  <c r="H33" i="9"/>
  <c r="O33" i="9"/>
  <c r="K32" i="9"/>
  <c r="L32" i="9"/>
  <c r="H32" i="9"/>
  <c r="O32" i="9"/>
  <c r="G32" i="9"/>
  <c r="K31" i="9"/>
  <c r="L31" i="9"/>
  <c r="N31" i="9"/>
  <c r="G31" i="9"/>
  <c r="H31" i="9"/>
  <c r="O31" i="9"/>
  <c r="K30" i="9"/>
  <c r="L30" i="9"/>
  <c r="G30" i="9"/>
  <c r="H30" i="9"/>
  <c r="K29" i="9"/>
  <c r="L29" i="9"/>
  <c r="N29" i="9"/>
  <c r="G29" i="9"/>
  <c r="H29" i="9"/>
  <c r="O29" i="9"/>
  <c r="K28" i="9"/>
  <c r="L28" i="9"/>
  <c r="N28" i="9"/>
  <c r="G28" i="9"/>
  <c r="H28" i="9"/>
  <c r="O28" i="9"/>
  <c r="K27" i="9"/>
  <c r="G27" i="9"/>
  <c r="H26" i="9"/>
  <c r="O26" i="9"/>
  <c r="L24" i="9"/>
  <c r="N24" i="9" s="1"/>
  <c r="H24" i="9"/>
  <c r="O24" i="9"/>
  <c r="L38" i="9"/>
  <c r="N38" i="9" s="1"/>
  <c r="H38" i="9"/>
  <c r="O38" i="9"/>
  <c r="L23" i="9"/>
  <c r="H23" i="9"/>
  <c r="L22" i="9"/>
  <c r="H22" i="9"/>
  <c r="G56" i="8"/>
  <c r="H56" i="8"/>
  <c r="K56" i="8"/>
  <c r="L56" i="8"/>
  <c r="G55" i="8"/>
  <c r="K55" i="8"/>
  <c r="L55" i="8"/>
  <c r="G54" i="8"/>
  <c r="H54" i="8"/>
  <c r="K54" i="8"/>
  <c r="L54" i="8"/>
  <c r="K44" i="8"/>
  <c r="G44" i="8"/>
  <c r="G58" i="7"/>
  <c r="H58" i="7"/>
  <c r="K58" i="7"/>
  <c r="L58" i="7"/>
  <c r="G57" i="7"/>
  <c r="H57" i="7"/>
  <c r="G56" i="7"/>
  <c r="H56" i="7"/>
  <c r="G55" i="7"/>
  <c r="H55" i="7"/>
  <c r="K55" i="7"/>
  <c r="L55" i="7"/>
  <c r="G54" i="7"/>
  <c r="H54" i="7"/>
  <c r="N54" i="7" s="1"/>
  <c r="O54" i="7" s="1"/>
  <c r="K54" i="7"/>
  <c r="L54" i="7"/>
  <c r="K53" i="7"/>
  <c r="L53" i="7"/>
  <c r="G53" i="7"/>
  <c r="H53" i="7"/>
  <c r="L52" i="7"/>
  <c r="H52" i="7"/>
  <c r="K47" i="7"/>
  <c r="L47" i="7" s="1"/>
  <c r="G47" i="7"/>
  <c r="G48" i="7" s="1"/>
  <c r="L45" i="7"/>
  <c r="H45" i="7"/>
  <c r="N45" i="7" s="1"/>
  <c r="K44" i="7"/>
  <c r="L44" i="7" s="1"/>
  <c r="J44" i="7"/>
  <c r="G44" i="7"/>
  <c r="F44" i="7"/>
  <c r="K43" i="7"/>
  <c r="G43" i="7"/>
  <c r="H43" i="7"/>
  <c r="K42" i="7"/>
  <c r="L42" i="7"/>
  <c r="G42" i="7"/>
  <c r="H42" i="7"/>
  <c r="K41" i="7"/>
  <c r="L41" i="7"/>
  <c r="G41" i="7"/>
  <c r="H41" i="7"/>
  <c r="O41" i="7" s="1"/>
  <c r="K40" i="7"/>
  <c r="L40" i="7"/>
  <c r="H40" i="7"/>
  <c r="O40" i="7" s="1"/>
  <c r="G40" i="7"/>
  <c r="K39" i="7"/>
  <c r="G39" i="7"/>
  <c r="H39" i="7"/>
  <c r="K36" i="7"/>
  <c r="L36" i="7"/>
  <c r="N36" i="7"/>
  <c r="G36" i="7"/>
  <c r="H36" i="7"/>
  <c r="O36" i="7"/>
  <c r="K35" i="7"/>
  <c r="L35" i="7"/>
  <c r="N35" i="7"/>
  <c r="G35" i="7"/>
  <c r="H35" i="7"/>
  <c r="O35" i="7"/>
  <c r="K34" i="7"/>
  <c r="L34" i="7"/>
  <c r="N34" i="7" s="1"/>
  <c r="G34" i="7"/>
  <c r="H34" i="7"/>
  <c r="O34" i="7"/>
  <c r="K33" i="7"/>
  <c r="L33" i="7"/>
  <c r="N33" i="7" s="1"/>
  <c r="G33" i="7"/>
  <c r="H33" i="7"/>
  <c r="K32" i="7"/>
  <c r="L32" i="7"/>
  <c r="N32" i="7" s="1"/>
  <c r="G32" i="7"/>
  <c r="H32" i="7"/>
  <c r="O32" i="7"/>
  <c r="K31" i="7"/>
  <c r="L31" i="7"/>
  <c r="N31" i="7" s="1"/>
  <c r="G31" i="7"/>
  <c r="H31" i="7"/>
  <c r="O31" i="7"/>
  <c r="K30" i="7"/>
  <c r="L30" i="7"/>
  <c r="G30" i="7"/>
  <c r="H30" i="7"/>
  <c r="O30" i="7"/>
  <c r="K29" i="7"/>
  <c r="L29" i="7"/>
  <c r="N29" i="7" s="1"/>
  <c r="G29" i="7"/>
  <c r="H29" i="7"/>
  <c r="O29" i="7"/>
  <c r="K28" i="7"/>
  <c r="L28" i="7"/>
  <c r="N28" i="7" s="1"/>
  <c r="G28" i="7"/>
  <c r="H28" i="7"/>
  <c r="O28" i="7"/>
  <c r="K27" i="7"/>
  <c r="G27" i="7"/>
  <c r="H26" i="7"/>
  <c r="O26" i="7" s="1"/>
  <c r="L24" i="7"/>
  <c r="H24" i="7"/>
  <c r="L38" i="7"/>
  <c r="N38" i="7" s="1"/>
  <c r="H38" i="7"/>
  <c r="O38" i="7"/>
  <c r="L23" i="7"/>
  <c r="H23" i="7"/>
  <c r="L22" i="7"/>
  <c r="H22" i="7"/>
  <c r="O22" i="7" s="1"/>
  <c r="G58" i="6"/>
  <c r="K58" i="6"/>
  <c r="L58" i="6"/>
  <c r="H58" i="6"/>
  <c r="G57" i="6"/>
  <c r="K57" i="6"/>
  <c r="L57" i="6"/>
  <c r="G56" i="6"/>
  <c r="K56" i="6"/>
  <c r="L56" i="6"/>
  <c r="N56" i="6"/>
  <c r="H56" i="6"/>
  <c r="G55" i="6"/>
  <c r="K55" i="6"/>
  <c r="L55" i="6"/>
  <c r="G54" i="6"/>
  <c r="H54" i="6"/>
  <c r="K53" i="6"/>
  <c r="L53" i="6"/>
  <c r="G53" i="6"/>
  <c r="H53" i="6"/>
  <c r="L52" i="6"/>
  <c r="H52" i="6"/>
  <c r="K47" i="6"/>
  <c r="L47" i="6" s="1"/>
  <c r="G47" i="6"/>
  <c r="H47" i="6" s="1"/>
  <c r="L45" i="6"/>
  <c r="H45" i="6"/>
  <c r="N45" i="6" s="1"/>
  <c r="K44" i="6"/>
  <c r="L44" i="6" s="1"/>
  <c r="J44" i="6"/>
  <c r="G44" i="6"/>
  <c r="F44" i="6"/>
  <c r="K43" i="6"/>
  <c r="G43" i="6"/>
  <c r="H43" i="6"/>
  <c r="K42" i="6"/>
  <c r="L42" i="6"/>
  <c r="G42" i="6"/>
  <c r="H42" i="6"/>
  <c r="K41" i="6"/>
  <c r="L41" i="6"/>
  <c r="G41" i="6"/>
  <c r="H41" i="6"/>
  <c r="O41" i="6" s="1"/>
  <c r="K40" i="6"/>
  <c r="L40" i="6"/>
  <c r="G40" i="6"/>
  <c r="H40" i="6"/>
  <c r="O40" i="6" s="1"/>
  <c r="K39" i="6"/>
  <c r="G39" i="6"/>
  <c r="H39" i="6"/>
  <c r="K36" i="6"/>
  <c r="L36" i="6"/>
  <c r="N36" i="6" s="1"/>
  <c r="G36" i="6"/>
  <c r="H36" i="6"/>
  <c r="O36" i="6"/>
  <c r="K35" i="6"/>
  <c r="L35" i="6"/>
  <c r="N35" i="6" s="1"/>
  <c r="G35" i="6"/>
  <c r="H35" i="6"/>
  <c r="O35" i="6"/>
  <c r="K34" i="6"/>
  <c r="L34" i="6"/>
  <c r="N34" i="6" s="1"/>
  <c r="G34" i="6"/>
  <c r="H34" i="6"/>
  <c r="O34" i="6"/>
  <c r="K33" i="6"/>
  <c r="L33" i="6"/>
  <c r="G33" i="6"/>
  <c r="H33" i="6"/>
  <c r="K32" i="6"/>
  <c r="L32" i="6"/>
  <c r="N32" i="6" s="1"/>
  <c r="G32" i="6"/>
  <c r="H32" i="6"/>
  <c r="K31" i="6"/>
  <c r="L31" i="6"/>
  <c r="N31" i="6"/>
  <c r="G31" i="6"/>
  <c r="H31" i="6"/>
  <c r="O31" i="6"/>
  <c r="K30" i="6"/>
  <c r="L30" i="6"/>
  <c r="N30" i="6"/>
  <c r="G30" i="6"/>
  <c r="H30" i="6"/>
  <c r="O30" i="6"/>
  <c r="K29" i="6"/>
  <c r="L29" i="6"/>
  <c r="G29" i="6"/>
  <c r="H29" i="6"/>
  <c r="N29" i="6"/>
  <c r="O29" i="6"/>
  <c r="K28" i="6"/>
  <c r="L28" i="6"/>
  <c r="N28" i="6" s="1"/>
  <c r="G28" i="6"/>
  <c r="H28" i="6"/>
  <c r="O28" i="6"/>
  <c r="K27" i="6"/>
  <c r="G27" i="6"/>
  <c r="L24" i="6"/>
  <c r="H24" i="6"/>
  <c r="O24" i="6" s="1"/>
  <c r="L38" i="6"/>
  <c r="N38" i="6"/>
  <c r="H38" i="6"/>
  <c r="O38" i="6"/>
  <c r="L23" i="6"/>
  <c r="H23" i="6"/>
  <c r="L22" i="6"/>
  <c r="N22" i="6" s="1"/>
  <c r="H22" i="6"/>
  <c r="O22" i="6" s="1"/>
  <c r="G58" i="5"/>
  <c r="K58" i="5"/>
  <c r="L58" i="5"/>
  <c r="H58" i="5"/>
  <c r="G57" i="5"/>
  <c r="H57" i="5"/>
  <c r="G56" i="5"/>
  <c r="H56" i="5"/>
  <c r="G55" i="5"/>
  <c r="H55" i="5"/>
  <c r="G54" i="5"/>
  <c r="K54" i="5"/>
  <c r="L54" i="5"/>
  <c r="K53" i="5"/>
  <c r="L53" i="5"/>
  <c r="G53" i="5"/>
  <c r="H53" i="5"/>
  <c r="L52" i="5"/>
  <c r="H52" i="5"/>
  <c r="N52" i="5" s="1"/>
  <c r="K47" i="5"/>
  <c r="L47" i="5" s="1"/>
  <c r="G47" i="5"/>
  <c r="G48" i="5" s="1"/>
  <c r="L45" i="5"/>
  <c r="H45" i="5"/>
  <c r="N45" i="5" s="1"/>
  <c r="K44" i="5"/>
  <c r="J44" i="5"/>
  <c r="G44" i="5"/>
  <c r="F44" i="5"/>
  <c r="K43" i="5"/>
  <c r="G43" i="5"/>
  <c r="H43" i="5"/>
  <c r="K42" i="5"/>
  <c r="L42" i="5"/>
  <c r="G42" i="5"/>
  <c r="H42" i="5"/>
  <c r="O42" i="5" s="1"/>
  <c r="K41" i="5"/>
  <c r="L41" i="5"/>
  <c r="G41" i="5"/>
  <c r="H41" i="5"/>
  <c r="K40" i="5"/>
  <c r="L40" i="5"/>
  <c r="G40" i="5"/>
  <c r="H40" i="5"/>
  <c r="O40" i="5" s="1"/>
  <c r="K39" i="5"/>
  <c r="L39" i="5"/>
  <c r="G39" i="5"/>
  <c r="H39" i="5"/>
  <c r="K36" i="5"/>
  <c r="L36" i="5"/>
  <c r="N36" i="5" s="1"/>
  <c r="G36" i="5"/>
  <c r="H36" i="5"/>
  <c r="O36" i="5"/>
  <c r="K35" i="5"/>
  <c r="L35" i="5"/>
  <c r="N35" i="5" s="1"/>
  <c r="G35" i="5"/>
  <c r="H35" i="5"/>
  <c r="O35" i="5"/>
  <c r="K34" i="5"/>
  <c r="L34" i="5"/>
  <c r="N34" i="5" s="1"/>
  <c r="G34" i="5"/>
  <c r="H34" i="5"/>
  <c r="O34" i="5"/>
  <c r="K33" i="5"/>
  <c r="L33" i="5"/>
  <c r="N33" i="5" s="1"/>
  <c r="G33" i="5"/>
  <c r="H33" i="5"/>
  <c r="O33" i="5"/>
  <c r="K32" i="5"/>
  <c r="L32" i="5"/>
  <c r="N32" i="5" s="1"/>
  <c r="G32" i="5"/>
  <c r="H32" i="5"/>
  <c r="O32" i="5"/>
  <c r="K31" i="5"/>
  <c r="L31" i="5"/>
  <c r="N31" i="5" s="1"/>
  <c r="G31" i="5"/>
  <c r="H31" i="5"/>
  <c r="O31" i="5"/>
  <c r="K30" i="5"/>
  <c r="L30" i="5"/>
  <c r="N30" i="5" s="1"/>
  <c r="G30" i="5"/>
  <c r="H30" i="5"/>
  <c r="O30" i="5"/>
  <c r="K29" i="5"/>
  <c r="L29" i="5"/>
  <c r="N29" i="5" s="1"/>
  <c r="G29" i="5"/>
  <c r="H29" i="5"/>
  <c r="O29" i="5"/>
  <c r="K28" i="5"/>
  <c r="L28" i="5"/>
  <c r="N28" i="5" s="1"/>
  <c r="G28" i="5"/>
  <c r="H28" i="5"/>
  <c r="O28" i="5"/>
  <c r="K27" i="5"/>
  <c r="G27" i="5"/>
  <c r="H26" i="5"/>
  <c r="O26" i="5" s="1"/>
  <c r="L24" i="5"/>
  <c r="H24" i="5"/>
  <c r="L38" i="5"/>
  <c r="N38" i="5" s="1"/>
  <c r="H38" i="5"/>
  <c r="O38" i="5"/>
  <c r="L23" i="5"/>
  <c r="H23" i="5"/>
  <c r="L22" i="5"/>
  <c r="H22" i="5"/>
  <c r="G58" i="4"/>
  <c r="H58" i="4"/>
  <c r="G57" i="4"/>
  <c r="K57" i="4"/>
  <c r="L57" i="4"/>
  <c r="G56" i="4"/>
  <c r="K56" i="4"/>
  <c r="L56" i="4"/>
  <c r="G55" i="4"/>
  <c r="H55" i="4"/>
  <c r="K55" i="4"/>
  <c r="L55" i="4"/>
  <c r="N55" i="4"/>
  <c r="G54" i="4"/>
  <c r="H54" i="4"/>
  <c r="K54" i="4"/>
  <c r="L54" i="4"/>
  <c r="K53" i="4"/>
  <c r="G53" i="4"/>
  <c r="H53" i="4"/>
  <c r="L52" i="4"/>
  <c r="H52" i="4"/>
  <c r="K47" i="4"/>
  <c r="L47" i="4" s="1"/>
  <c r="G47" i="4"/>
  <c r="H47" i="4" s="1"/>
  <c r="L45" i="4"/>
  <c r="H45" i="4"/>
  <c r="K44" i="4"/>
  <c r="J44" i="4"/>
  <c r="G44" i="4"/>
  <c r="F44" i="4"/>
  <c r="K43" i="4"/>
  <c r="G43" i="4"/>
  <c r="H43" i="4"/>
  <c r="K42" i="4"/>
  <c r="L42" i="4"/>
  <c r="G42" i="4"/>
  <c r="H42" i="4"/>
  <c r="K41" i="4"/>
  <c r="L41" i="4"/>
  <c r="G41" i="4"/>
  <c r="H41" i="4"/>
  <c r="K40" i="4"/>
  <c r="L40" i="4"/>
  <c r="G40" i="4"/>
  <c r="H40" i="4"/>
  <c r="O40" i="4" s="1"/>
  <c r="K39" i="4"/>
  <c r="G39" i="4"/>
  <c r="H39" i="4"/>
  <c r="K36" i="4"/>
  <c r="L36" i="4"/>
  <c r="N36" i="4" s="1"/>
  <c r="G36" i="4"/>
  <c r="H36" i="4"/>
  <c r="O36" i="4" s="1"/>
  <c r="K35" i="4"/>
  <c r="L35" i="4"/>
  <c r="N35" i="4" s="1"/>
  <c r="G35" i="4"/>
  <c r="H35" i="4"/>
  <c r="K34" i="4"/>
  <c r="L34" i="4"/>
  <c r="G34" i="4"/>
  <c r="H34" i="4"/>
  <c r="O34" i="4" s="1"/>
  <c r="K33" i="4"/>
  <c r="L33" i="4"/>
  <c r="G33" i="4"/>
  <c r="H33" i="4"/>
  <c r="O33" i="4"/>
  <c r="K32" i="4"/>
  <c r="L32" i="4"/>
  <c r="G32" i="4"/>
  <c r="H32" i="4"/>
  <c r="K31" i="4"/>
  <c r="L31" i="4"/>
  <c r="G31" i="4"/>
  <c r="H31" i="4"/>
  <c r="O31" i="4" s="1"/>
  <c r="K30" i="4"/>
  <c r="L30" i="4"/>
  <c r="G30" i="4"/>
  <c r="H30" i="4"/>
  <c r="O30" i="4"/>
  <c r="K29" i="4"/>
  <c r="L29" i="4"/>
  <c r="G29" i="4"/>
  <c r="H29" i="4"/>
  <c r="O29" i="4" s="1"/>
  <c r="K28" i="4"/>
  <c r="L28" i="4"/>
  <c r="G28" i="4"/>
  <c r="H28" i="4"/>
  <c r="O28" i="4" s="1"/>
  <c r="K27" i="4"/>
  <c r="G27" i="4"/>
  <c r="L26" i="4"/>
  <c r="N26" i="4" s="1"/>
  <c r="L24" i="4"/>
  <c r="H24" i="4"/>
  <c r="L38" i="4"/>
  <c r="N38" i="4" s="1"/>
  <c r="H38" i="4"/>
  <c r="L23" i="4"/>
  <c r="H23" i="4"/>
  <c r="L22" i="4"/>
  <c r="N22" i="4" s="1"/>
  <c r="O22" i="4"/>
  <c r="H22" i="4"/>
  <c r="G58" i="3"/>
  <c r="H58" i="3"/>
  <c r="O58" i="3" s="1"/>
  <c r="G57" i="3"/>
  <c r="K57" i="3"/>
  <c r="L57" i="3"/>
  <c r="H57" i="3"/>
  <c r="G56" i="3"/>
  <c r="H56" i="3"/>
  <c r="G55" i="3"/>
  <c r="H55" i="3"/>
  <c r="G54" i="3"/>
  <c r="K54" i="3"/>
  <c r="L54" i="3"/>
  <c r="N54" i="3" s="1"/>
  <c r="O54" i="3" s="1"/>
  <c r="H54" i="3"/>
  <c r="K53" i="3"/>
  <c r="L53" i="3"/>
  <c r="G53" i="3"/>
  <c r="H53" i="3"/>
  <c r="L52" i="3"/>
  <c r="N52" i="3" s="1"/>
  <c r="H52" i="3"/>
  <c r="K47" i="3"/>
  <c r="L47" i="3" s="1"/>
  <c r="G47" i="3"/>
  <c r="G48" i="3" s="1"/>
  <c r="L45" i="3"/>
  <c r="H45" i="3"/>
  <c r="N45" i="3" s="1"/>
  <c r="K44" i="3"/>
  <c r="J44" i="3"/>
  <c r="G44" i="3"/>
  <c r="F44" i="3"/>
  <c r="H44" i="3" s="1"/>
  <c r="K43" i="3"/>
  <c r="G43" i="3"/>
  <c r="H43" i="3"/>
  <c r="K42" i="3"/>
  <c r="L42" i="3"/>
  <c r="G42" i="3"/>
  <c r="H42" i="3"/>
  <c r="O42" i="3" s="1"/>
  <c r="K41" i="3"/>
  <c r="L41" i="3"/>
  <c r="G41" i="3"/>
  <c r="H41" i="3"/>
  <c r="N41" i="3" s="1"/>
  <c r="K40" i="3"/>
  <c r="L40" i="3"/>
  <c r="G40" i="3"/>
  <c r="H40" i="3"/>
  <c r="K39" i="3"/>
  <c r="G39" i="3"/>
  <c r="H39" i="3"/>
  <c r="K36" i="3"/>
  <c r="L36" i="3"/>
  <c r="G36" i="3"/>
  <c r="H36" i="3"/>
  <c r="K35" i="3"/>
  <c r="L35" i="3"/>
  <c r="N35" i="3" s="1"/>
  <c r="G35" i="3"/>
  <c r="H35" i="3"/>
  <c r="O35" i="3"/>
  <c r="K34" i="3"/>
  <c r="L34" i="3"/>
  <c r="N34" i="3"/>
  <c r="G34" i="3"/>
  <c r="H34" i="3"/>
  <c r="O34" i="3"/>
  <c r="K33" i="3"/>
  <c r="L33" i="3"/>
  <c r="N33" i="3" s="1"/>
  <c r="G33" i="3"/>
  <c r="H33" i="3"/>
  <c r="K32" i="3"/>
  <c r="L32" i="3"/>
  <c r="G32" i="3"/>
  <c r="H32" i="3"/>
  <c r="N32" i="3"/>
  <c r="K31" i="3"/>
  <c r="L31" i="3"/>
  <c r="N31" i="3"/>
  <c r="G31" i="3"/>
  <c r="H31" i="3"/>
  <c r="O31" i="3"/>
  <c r="K30" i="3"/>
  <c r="L30" i="3"/>
  <c r="G30" i="3"/>
  <c r="H30" i="3"/>
  <c r="L29" i="3"/>
  <c r="N29" i="3" s="1"/>
  <c r="K29" i="3"/>
  <c r="G29" i="3"/>
  <c r="H29" i="3"/>
  <c r="O29" i="3"/>
  <c r="K28" i="3"/>
  <c r="L28" i="3"/>
  <c r="N28" i="3"/>
  <c r="G28" i="3"/>
  <c r="H28" i="3"/>
  <c r="O28" i="3"/>
  <c r="K27" i="3"/>
  <c r="G27" i="3"/>
  <c r="L26" i="3"/>
  <c r="N26" i="3" s="1"/>
  <c r="L24" i="3"/>
  <c r="H24" i="3"/>
  <c r="O24" i="3" s="1"/>
  <c r="L38" i="3"/>
  <c r="H38" i="3"/>
  <c r="N38" i="3"/>
  <c r="O38" i="3"/>
  <c r="L23" i="3"/>
  <c r="H23" i="3"/>
  <c r="L22" i="3"/>
  <c r="H22" i="3"/>
  <c r="G58" i="2"/>
  <c r="K58" i="2"/>
  <c r="L58" i="2"/>
  <c r="G57" i="2"/>
  <c r="H57" i="2"/>
  <c r="K57" i="2"/>
  <c r="L57" i="2"/>
  <c r="G56" i="2"/>
  <c r="K56" i="2"/>
  <c r="L56" i="2"/>
  <c r="H56" i="2"/>
  <c r="G55" i="2"/>
  <c r="H55" i="2"/>
  <c r="K55" i="2"/>
  <c r="L55" i="2"/>
  <c r="G54" i="2"/>
  <c r="K54" i="2"/>
  <c r="L54" i="2"/>
  <c r="K53" i="2"/>
  <c r="L53" i="2"/>
  <c r="G53" i="2"/>
  <c r="H53" i="2"/>
  <c r="L52" i="2"/>
  <c r="H52" i="2"/>
  <c r="K47" i="2"/>
  <c r="L47" i="2" s="1"/>
  <c r="G47" i="2"/>
  <c r="H47" i="2" s="1"/>
  <c r="L45" i="2"/>
  <c r="H45" i="2"/>
  <c r="K44" i="2"/>
  <c r="J44" i="2"/>
  <c r="G44" i="2"/>
  <c r="F44" i="2"/>
  <c r="K43" i="2"/>
  <c r="G43" i="2"/>
  <c r="H43" i="2"/>
  <c r="K42" i="2"/>
  <c r="L42" i="2"/>
  <c r="G42" i="2"/>
  <c r="H42" i="2"/>
  <c r="O42" i="2" s="1"/>
  <c r="K41" i="2"/>
  <c r="L41" i="2"/>
  <c r="N41" i="2" s="1"/>
  <c r="G41" i="2"/>
  <c r="H41" i="2"/>
  <c r="O41" i="2" s="1"/>
  <c r="K40" i="2"/>
  <c r="L40" i="2"/>
  <c r="N40" i="2" s="1"/>
  <c r="G40" i="2"/>
  <c r="H40" i="2"/>
  <c r="O40" i="2" s="1"/>
  <c r="K39" i="2"/>
  <c r="G39" i="2"/>
  <c r="H39" i="2"/>
  <c r="K36" i="2"/>
  <c r="L36" i="2"/>
  <c r="N36" i="2"/>
  <c r="G36" i="2"/>
  <c r="H36" i="2"/>
  <c r="K35" i="2"/>
  <c r="L35" i="2"/>
  <c r="G35" i="2"/>
  <c r="H35" i="2"/>
  <c r="N35" i="2"/>
  <c r="K34" i="2"/>
  <c r="L34" i="2"/>
  <c r="G34" i="2"/>
  <c r="H34" i="2"/>
  <c r="N34" i="2"/>
  <c r="O34" i="2"/>
  <c r="K33" i="2"/>
  <c r="L33" i="2"/>
  <c r="N33" i="2"/>
  <c r="G33" i="2"/>
  <c r="H33" i="2"/>
  <c r="O33" i="2"/>
  <c r="K32" i="2"/>
  <c r="L32" i="2"/>
  <c r="G32" i="2"/>
  <c r="H32" i="2"/>
  <c r="K31" i="2"/>
  <c r="L31" i="2"/>
  <c r="G31" i="2"/>
  <c r="H31" i="2"/>
  <c r="N31" i="2"/>
  <c r="K30" i="2"/>
  <c r="L30" i="2"/>
  <c r="N30" i="2"/>
  <c r="G30" i="2"/>
  <c r="H30" i="2"/>
  <c r="O30" i="2"/>
  <c r="K29" i="2"/>
  <c r="L29" i="2"/>
  <c r="N29" i="2"/>
  <c r="G29" i="2"/>
  <c r="H29" i="2"/>
  <c r="O29" i="2"/>
  <c r="K28" i="2"/>
  <c r="L28" i="2"/>
  <c r="G28" i="2"/>
  <c r="H28" i="2"/>
  <c r="K27" i="2"/>
  <c r="G27" i="2"/>
  <c r="H26" i="2"/>
  <c r="O26" i="2" s="1"/>
  <c r="L24" i="2"/>
  <c r="H24" i="2"/>
  <c r="L38" i="2"/>
  <c r="H38" i="2"/>
  <c r="L23" i="2"/>
  <c r="H23" i="2"/>
  <c r="L22" i="2"/>
  <c r="H22" i="2"/>
  <c r="N22" i="2" s="1"/>
  <c r="G56" i="1"/>
  <c r="G55" i="1"/>
  <c r="H55" i="1"/>
  <c r="G54" i="1"/>
  <c r="K54" i="1"/>
  <c r="L54" i="1"/>
  <c r="K44" i="1"/>
  <c r="J44" i="1"/>
  <c r="G44" i="1"/>
  <c r="H47" i="11"/>
  <c r="K56" i="11"/>
  <c r="L56" i="11"/>
  <c r="N56" i="11" s="1"/>
  <c r="O56" i="11" s="1"/>
  <c r="H55" i="10"/>
  <c r="H54" i="9"/>
  <c r="N54" i="9" s="1"/>
  <c r="G48" i="9"/>
  <c r="H58" i="12"/>
  <c r="N58" i="12" s="1"/>
  <c r="H58" i="11"/>
  <c r="N58" i="11" s="1"/>
  <c r="H57" i="11"/>
  <c r="N57" i="11" s="1"/>
  <c r="O57" i="11" s="1"/>
  <c r="O41" i="9"/>
  <c r="K56" i="9"/>
  <c r="L56" i="9"/>
  <c r="K48" i="9"/>
  <c r="L48" i="9" s="1"/>
  <c r="H47" i="7"/>
  <c r="K56" i="7"/>
  <c r="L56" i="7"/>
  <c r="N56" i="7" s="1"/>
  <c r="O56" i="7" s="1"/>
  <c r="K56" i="5"/>
  <c r="L56" i="5"/>
  <c r="K56" i="3"/>
  <c r="L56" i="3"/>
  <c r="N56" i="3" s="1"/>
  <c r="O56" i="3" s="1"/>
  <c r="K48" i="3"/>
  <c r="L48" i="3" s="1"/>
  <c r="N30" i="7"/>
  <c r="K57" i="7"/>
  <c r="L57" i="7"/>
  <c r="N57" i="7" s="1"/>
  <c r="K54" i="6"/>
  <c r="L54" i="6"/>
  <c r="N54" i="6" s="1"/>
  <c r="O54" i="6" s="1"/>
  <c r="G48" i="4"/>
  <c r="H48" i="4" s="1"/>
  <c r="H57" i="4"/>
  <c r="N57" i="4" s="1"/>
  <c r="K58" i="3"/>
  <c r="L58" i="3"/>
  <c r="N58" i="3" s="1"/>
  <c r="H54" i="2"/>
  <c r="H58" i="2"/>
  <c r="N58" i="2" s="1"/>
  <c r="O36" i="2"/>
  <c r="G51" i="9"/>
  <c r="H51" i="9" s="1"/>
  <c r="G50" i="9"/>
  <c r="H50" i="9" s="1"/>
  <c r="H48" i="9"/>
  <c r="L46" i="13"/>
  <c r="K49" i="13"/>
  <c r="L49" i="13" s="1"/>
  <c r="G49" i="13"/>
  <c r="H49" i="13" s="1"/>
  <c r="G47" i="13"/>
  <c r="H47" i="13" s="1"/>
  <c r="K42" i="17"/>
  <c r="K40" i="17"/>
  <c r="K39" i="17"/>
  <c r="L39" i="17"/>
  <c r="K38" i="17"/>
  <c r="G42" i="17"/>
  <c r="H42" i="17"/>
  <c r="G40" i="17"/>
  <c r="G39" i="17"/>
  <c r="H39" i="17"/>
  <c r="O39" i="17"/>
  <c r="G38" i="17"/>
  <c r="H38" i="17"/>
  <c r="G57" i="17"/>
  <c r="K57" i="17"/>
  <c r="G56" i="17"/>
  <c r="H56" i="17"/>
  <c r="K56" i="17"/>
  <c r="L56" i="17"/>
  <c r="N56" i="17"/>
  <c r="L55" i="17"/>
  <c r="H55" i="17"/>
  <c r="N55" i="17"/>
  <c r="L54" i="17"/>
  <c r="H54" i="17"/>
  <c r="O54" i="17"/>
  <c r="K52" i="17"/>
  <c r="L52" i="17"/>
  <c r="N52" i="17" s="1"/>
  <c r="O52" i="17" s="1"/>
  <c r="H52" i="17"/>
  <c r="G52" i="17"/>
  <c r="L51" i="17"/>
  <c r="N51" i="17" s="1"/>
  <c r="O51" i="17" s="1"/>
  <c r="H51" i="17"/>
  <c r="K50" i="17"/>
  <c r="L50" i="17" s="1"/>
  <c r="H49" i="17"/>
  <c r="L44" i="17"/>
  <c r="H44" i="17"/>
  <c r="K43" i="17"/>
  <c r="G43" i="17"/>
  <c r="K41" i="17"/>
  <c r="G41" i="17"/>
  <c r="H41" i="17"/>
  <c r="L40" i="17"/>
  <c r="N40" i="17"/>
  <c r="H40" i="17"/>
  <c r="O40" i="17"/>
  <c r="K36" i="17"/>
  <c r="L36" i="17"/>
  <c r="G36" i="17"/>
  <c r="H36" i="17"/>
  <c r="O36" i="17"/>
  <c r="K35" i="17"/>
  <c r="L35" i="17"/>
  <c r="N35" i="17"/>
  <c r="G35" i="17"/>
  <c r="H35" i="17"/>
  <c r="O35" i="17"/>
  <c r="K34" i="17"/>
  <c r="L34" i="17"/>
  <c r="G34" i="17"/>
  <c r="H34" i="17"/>
  <c r="O34" i="17"/>
  <c r="K33" i="17"/>
  <c r="L33" i="17"/>
  <c r="N33" i="17"/>
  <c r="G33" i="17"/>
  <c r="H33" i="17"/>
  <c r="O33" i="17"/>
  <c r="K32" i="17"/>
  <c r="L32" i="17"/>
  <c r="N32" i="17"/>
  <c r="G32" i="17"/>
  <c r="H32" i="17"/>
  <c r="O32" i="17"/>
  <c r="K31" i="17"/>
  <c r="L31" i="17"/>
  <c r="N31" i="17"/>
  <c r="G31" i="17"/>
  <c r="H31" i="17"/>
  <c r="O31" i="17"/>
  <c r="K30" i="17"/>
  <c r="L30" i="17"/>
  <c r="N30" i="17"/>
  <c r="H30" i="17"/>
  <c r="O30" i="17"/>
  <c r="G30" i="17"/>
  <c r="K29" i="17"/>
  <c r="L29" i="17"/>
  <c r="G29" i="17"/>
  <c r="H29" i="17"/>
  <c r="O29" i="17"/>
  <c r="K28" i="17"/>
  <c r="L28" i="17"/>
  <c r="N28" i="17"/>
  <c r="G28" i="17"/>
  <c r="H28" i="17"/>
  <c r="O28" i="17"/>
  <c r="L26" i="17"/>
  <c r="H26" i="17"/>
  <c r="O26" i="17" s="1"/>
  <c r="L24" i="17"/>
  <c r="N24" i="17"/>
  <c r="H24" i="17"/>
  <c r="O24" i="17"/>
  <c r="L23" i="17"/>
  <c r="N23" i="17"/>
  <c r="H23" i="17"/>
  <c r="L22" i="17"/>
  <c r="H22" i="17"/>
  <c r="N22" i="17"/>
  <c r="G57" i="16"/>
  <c r="K57" i="16"/>
  <c r="G56" i="16"/>
  <c r="H56" i="16"/>
  <c r="K56" i="16"/>
  <c r="L56" i="16" s="1"/>
  <c r="N56" i="16" s="1"/>
  <c r="O56" i="16" s="1"/>
  <c r="L55" i="16"/>
  <c r="N55" i="16" s="1"/>
  <c r="H55" i="16"/>
  <c r="O55" i="16"/>
  <c r="L54" i="16"/>
  <c r="H54" i="16"/>
  <c r="O54" i="16" s="1"/>
  <c r="L53" i="16"/>
  <c r="K52" i="16"/>
  <c r="L52" i="16"/>
  <c r="N52" i="16" s="1"/>
  <c r="O52" i="16" s="1"/>
  <c r="G52" i="16"/>
  <c r="H52" i="16"/>
  <c r="L51" i="16"/>
  <c r="N51" i="16" s="1"/>
  <c r="O51" i="16" s="1"/>
  <c r="H51" i="16"/>
  <c r="K50" i="16"/>
  <c r="L50" i="16" s="1"/>
  <c r="H49" i="16"/>
  <c r="K47" i="16"/>
  <c r="L47" i="16" s="1"/>
  <c r="H46" i="16"/>
  <c r="L44" i="16"/>
  <c r="H44" i="16"/>
  <c r="K43" i="16"/>
  <c r="G43" i="16"/>
  <c r="K42" i="16"/>
  <c r="G42" i="16"/>
  <c r="H42" i="16"/>
  <c r="H41" i="16"/>
  <c r="N41" i="16" s="1"/>
  <c r="O41" i="16" s="1"/>
  <c r="K40" i="16"/>
  <c r="L40" i="16"/>
  <c r="N40" i="16"/>
  <c r="G40" i="16"/>
  <c r="H40" i="16"/>
  <c r="O40" i="16"/>
  <c r="K39" i="16"/>
  <c r="L39" i="16"/>
  <c r="N39" i="16"/>
  <c r="G39" i="16"/>
  <c r="H39" i="16"/>
  <c r="O39" i="16"/>
  <c r="K38" i="16"/>
  <c r="K36" i="16"/>
  <c r="L36" i="16"/>
  <c r="G36" i="16"/>
  <c r="H36" i="16"/>
  <c r="O36" i="16"/>
  <c r="K35" i="16"/>
  <c r="L35" i="16"/>
  <c r="G35" i="16"/>
  <c r="H35" i="16"/>
  <c r="N35" i="16"/>
  <c r="K34" i="16"/>
  <c r="L34" i="16"/>
  <c r="G34" i="16"/>
  <c r="H34" i="16"/>
  <c r="O34" i="16"/>
  <c r="K33" i="16"/>
  <c r="L33" i="16"/>
  <c r="G33" i="16"/>
  <c r="H33" i="16"/>
  <c r="O33" i="16"/>
  <c r="K32" i="16"/>
  <c r="L32" i="16"/>
  <c r="G32" i="16"/>
  <c r="H32" i="16"/>
  <c r="N32" i="16"/>
  <c r="O32" i="16"/>
  <c r="K31" i="16"/>
  <c r="L31" i="16"/>
  <c r="N31" i="16"/>
  <c r="G31" i="16"/>
  <c r="H31" i="16"/>
  <c r="O31" i="16"/>
  <c r="K30" i="16"/>
  <c r="L30" i="16"/>
  <c r="G30" i="16"/>
  <c r="H30" i="16"/>
  <c r="K29" i="16"/>
  <c r="L29" i="16"/>
  <c r="N29" i="16"/>
  <c r="G29" i="16"/>
  <c r="H29" i="16"/>
  <c r="O29" i="16"/>
  <c r="K28" i="16"/>
  <c r="L28" i="16"/>
  <c r="N28" i="16"/>
  <c r="G28" i="16"/>
  <c r="H28" i="16"/>
  <c r="O28" i="16"/>
  <c r="G38" i="16"/>
  <c r="H38" i="16"/>
  <c r="H26" i="16"/>
  <c r="O26" i="16" s="1"/>
  <c r="L24" i="16"/>
  <c r="H24" i="16"/>
  <c r="N24" i="16"/>
  <c r="O24" i="16"/>
  <c r="L23" i="16"/>
  <c r="N23" i="16"/>
  <c r="H23" i="16"/>
  <c r="O23" i="16"/>
  <c r="L22" i="16"/>
  <c r="H22" i="16"/>
  <c r="N22" i="16"/>
  <c r="O22" i="16"/>
  <c r="H57" i="15"/>
  <c r="K56" i="15"/>
  <c r="L56" i="15" s="1"/>
  <c r="L55" i="15"/>
  <c r="N55" i="15" s="1"/>
  <c r="H55" i="15"/>
  <c r="O55" i="15" s="1"/>
  <c r="L54" i="15"/>
  <c r="H54" i="15"/>
  <c r="O54" i="15" s="1"/>
  <c r="H53" i="15"/>
  <c r="K52" i="15"/>
  <c r="L52" i="15"/>
  <c r="N52" i="15" s="1"/>
  <c r="G52" i="15"/>
  <c r="H52" i="15" s="1"/>
  <c r="L51" i="15"/>
  <c r="N51" i="15" s="1"/>
  <c r="O51" i="15" s="1"/>
  <c r="H51" i="15"/>
  <c r="H49" i="15"/>
  <c r="L44" i="15"/>
  <c r="H44" i="15"/>
  <c r="K43" i="15"/>
  <c r="G43" i="15"/>
  <c r="K42" i="15"/>
  <c r="G42" i="15"/>
  <c r="H42" i="15" s="1"/>
  <c r="K40" i="15"/>
  <c r="L40" i="15" s="1"/>
  <c r="G40" i="15"/>
  <c r="H40" i="15" s="1"/>
  <c r="O40" i="15" s="1"/>
  <c r="K39" i="15"/>
  <c r="L39" i="15" s="1"/>
  <c r="G39" i="15"/>
  <c r="H39" i="15" s="1"/>
  <c r="O39" i="15" s="1"/>
  <c r="K38" i="15"/>
  <c r="K36" i="15"/>
  <c r="L36" i="15"/>
  <c r="G36" i="15"/>
  <c r="H36" i="15" s="1"/>
  <c r="O36" i="15" s="1"/>
  <c r="K35" i="15"/>
  <c r="L35" i="15"/>
  <c r="G35" i="15"/>
  <c r="H35" i="15" s="1"/>
  <c r="O35" i="15" s="1"/>
  <c r="K34" i="15"/>
  <c r="L34" i="15" s="1"/>
  <c r="G34" i="15"/>
  <c r="H34" i="15" s="1"/>
  <c r="O34" i="15" s="1"/>
  <c r="K33" i="15"/>
  <c r="L33" i="15"/>
  <c r="G33" i="15"/>
  <c r="H33" i="15" s="1"/>
  <c r="O33" i="15" s="1"/>
  <c r="K32" i="15"/>
  <c r="L32" i="15"/>
  <c r="G32" i="15"/>
  <c r="H32" i="15" s="1"/>
  <c r="O32" i="15" s="1"/>
  <c r="K31" i="15"/>
  <c r="L31" i="15"/>
  <c r="N31" i="15" s="1"/>
  <c r="G31" i="15"/>
  <c r="H31" i="15" s="1"/>
  <c r="O31" i="15" s="1"/>
  <c r="K30" i="15"/>
  <c r="L30" i="15"/>
  <c r="G30" i="15"/>
  <c r="H30" i="15"/>
  <c r="K29" i="15"/>
  <c r="L29" i="15"/>
  <c r="G29" i="15"/>
  <c r="H29" i="15"/>
  <c r="O29" i="15" s="1"/>
  <c r="K28" i="15"/>
  <c r="L28" i="15" s="1"/>
  <c r="N28" i="15" s="1"/>
  <c r="G28" i="15"/>
  <c r="H28" i="15"/>
  <c r="O28" i="15" s="1"/>
  <c r="G38" i="15"/>
  <c r="H38" i="15" s="1"/>
  <c r="L25" i="15"/>
  <c r="L24" i="15"/>
  <c r="N24" i="15"/>
  <c r="H24" i="15"/>
  <c r="O24" i="15"/>
  <c r="L23" i="15"/>
  <c r="H23" i="15"/>
  <c r="O23" i="15"/>
  <c r="L22" i="15"/>
  <c r="H22" i="15"/>
  <c r="O22" i="15" s="1"/>
  <c r="K57" i="14"/>
  <c r="H56" i="14"/>
  <c r="K56" i="14"/>
  <c r="L56" i="14" s="1"/>
  <c r="N56" i="14" s="1"/>
  <c r="O56" i="14" s="1"/>
  <c r="L55" i="14"/>
  <c r="N55" i="14" s="1"/>
  <c r="H55" i="14"/>
  <c r="O55" i="14" s="1"/>
  <c r="L54" i="14"/>
  <c r="H54" i="14"/>
  <c r="O54" i="14" s="1"/>
  <c r="H53" i="14"/>
  <c r="K52" i="14"/>
  <c r="L52" i="14"/>
  <c r="G52" i="14"/>
  <c r="H52" i="14"/>
  <c r="L51" i="14"/>
  <c r="H51" i="14"/>
  <c r="K50" i="14"/>
  <c r="L50" i="14" s="1"/>
  <c r="H49" i="14"/>
  <c r="L44" i="14"/>
  <c r="H44" i="14"/>
  <c r="K43" i="14"/>
  <c r="H43" i="14"/>
  <c r="K42" i="14"/>
  <c r="H42" i="14"/>
  <c r="K40" i="14"/>
  <c r="L40" i="14"/>
  <c r="G40" i="14"/>
  <c r="H40" i="14"/>
  <c r="K39" i="14"/>
  <c r="L39" i="14"/>
  <c r="G39" i="14"/>
  <c r="H39" i="14"/>
  <c r="O39" i="14" s="1"/>
  <c r="K38" i="14"/>
  <c r="K36" i="14"/>
  <c r="L36" i="14"/>
  <c r="G36" i="14"/>
  <c r="H36" i="14"/>
  <c r="O36" i="14"/>
  <c r="K35" i="14"/>
  <c r="L35" i="14"/>
  <c r="G35" i="14"/>
  <c r="H35" i="14"/>
  <c r="O35" i="14" s="1"/>
  <c r="K34" i="14"/>
  <c r="L34" i="14"/>
  <c r="G34" i="14"/>
  <c r="H34" i="14"/>
  <c r="N34" i="14" s="1"/>
  <c r="O34" i="14"/>
  <c r="K33" i="14"/>
  <c r="L33" i="14"/>
  <c r="G33" i="14"/>
  <c r="H33" i="14"/>
  <c r="N33" i="14" s="1"/>
  <c r="K32" i="14"/>
  <c r="L32" i="14"/>
  <c r="G32" i="14"/>
  <c r="H32" i="14"/>
  <c r="O32" i="14"/>
  <c r="K31" i="14"/>
  <c r="L31" i="14"/>
  <c r="G31" i="14"/>
  <c r="H31" i="14"/>
  <c r="K30" i="14"/>
  <c r="L30" i="14"/>
  <c r="G30" i="14"/>
  <c r="H30" i="14"/>
  <c r="O30" i="14" s="1"/>
  <c r="K29" i="14"/>
  <c r="L29" i="14"/>
  <c r="N29" i="14" s="1"/>
  <c r="G29" i="14"/>
  <c r="H29" i="14"/>
  <c r="O29" i="14" s="1"/>
  <c r="K28" i="14"/>
  <c r="L28" i="14"/>
  <c r="N28" i="14"/>
  <c r="G28" i="14"/>
  <c r="H28" i="14"/>
  <c r="O28" i="14"/>
  <c r="H26" i="14"/>
  <c r="O26" i="14" s="1"/>
  <c r="L25" i="14"/>
  <c r="H25" i="14"/>
  <c r="L24" i="14"/>
  <c r="N24" i="14" s="1"/>
  <c r="H24" i="14"/>
  <c r="O24" i="14"/>
  <c r="L23" i="14"/>
  <c r="H23" i="14"/>
  <c r="L22" i="14"/>
  <c r="H22" i="14"/>
  <c r="O22" i="14" s="1"/>
  <c r="K50" i="13"/>
  <c r="L50" i="13" s="1"/>
  <c r="N34" i="16"/>
  <c r="H57" i="16"/>
  <c r="O57" i="16" s="1"/>
  <c r="L49" i="16"/>
  <c r="N49" i="16" s="1"/>
  <c r="O49" i="16" s="1"/>
  <c r="G50" i="16"/>
  <c r="H50" i="16" s="1"/>
  <c r="H56" i="15"/>
  <c r="L49" i="14"/>
  <c r="N49" i="14" s="1"/>
  <c r="O49" i="14" s="1"/>
  <c r="N32" i="14"/>
  <c r="N35" i="14"/>
  <c r="G52" i="13"/>
  <c r="H52" i="13"/>
  <c r="K42" i="13"/>
  <c r="K40" i="13"/>
  <c r="L40" i="13"/>
  <c r="K39" i="13"/>
  <c r="K38" i="13"/>
  <c r="G42" i="13"/>
  <c r="G40" i="13"/>
  <c r="H40" i="13"/>
  <c r="G39" i="13"/>
  <c r="H39" i="13"/>
  <c r="K57" i="13"/>
  <c r="L43" i="13"/>
  <c r="L57" i="13"/>
  <c r="N57" i="13"/>
  <c r="K56" i="13"/>
  <c r="L56" i="13"/>
  <c r="H55" i="13"/>
  <c r="O55" i="13"/>
  <c r="L54" i="13"/>
  <c r="N54" i="13"/>
  <c r="K52" i="13"/>
  <c r="L52" i="13"/>
  <c r="L51" i="13"/>
  <c r="N51" i="13" s="1"/>
  <c r="O51" i="13" s="1"/>
  <c r="H51" i="13"/>
  <c r="L44" i="13"/>
  <c r="H44" i="13"/>
  <c r="H43" i="13"/>
  <c r="H42" i="13"/>
  <c r="L39" i="13"/>
  <c r="K36" i="13"/>
  <c r="L36" i="13"/>
  <c r="N36" i="13"/>
  <c r="G36" i="13"/>
  <c r="H36" i="13"/>
  <c r="O36" i="13"/>
  <c r="K35" i="13"/>
  <c r="L35" i="13"/>
  <c r="N35" i="13"/>
  <c r="G35" i="13"/>
  <c r="H35" i="13"/>
  <c r="O35" i="13"/>
  <c r="K34" i="13"/>
  <c r="L34" i="13"/>
  <c r="N34" i="13"/>
  <c r="G34" i="13"/>
  <c r="H34" i="13"/>
  <c r="O34" i="13"/>
  <c r="K33" i="13"/>
  <c r="L33" i="13"/>
  <c r="N33" i="13"/>
  <c r="G33" i="13"/>
  <c r="H33" i="13"/>
  <c r="O33" i="13"/>
  <c r="K32" i="13"/>
  <c r="L32" i="13"/>
  <c r="N32" i="13"/>
  <c r="G32" i="13"/>
  <c r="H32" i="13"/>
  <c r="O32" i="13"/>
  <c r="K31" i="13"/>
  <c r="L31" i="13"/>
  <c r="G31" i="13"/>
  <c r="H31" i="13"/>
  <c r="K30" i="13"/>
  <c r="L30" i="13"/>
  <c r="G30" i="13"/>
  <c r="H30" i="13"/>
  <c r="O30" i="13"/>
  <c r="K29" i="13"/>
  <c r="L29" i="13"/>
  <c r="N29" i="13"/>
  <c r="G29" i="13"/>
  <c r="H29" i="13"/>
  <c r="O29" i="13"/>
  <c r="L28" i="13"/>
  <c r="K28" i="13"/>
  <c r="G28" i="13"/>
  <c r="H28" i="13"/>
  <c r="O28" i="13"/>
  <c r="H26" i="13"/>
  <c r="O26" i="13" s="1"/>
  <c r="L25" i="13"/>
  <c r="L24" i="13"/>
  <c r="H24" i="13"/>
  <c r="N24" i="13"/>
  <c r="O24" i="13"/>
  <c r="L23" i="13"/>
  <c r="N23" i="13"/>
  <c r="H23" i="13"/>
  <c r="L22" i="13"/>
  <c r="H22" i="13"/>
  <c r="O22" i="13" s="1"/>
  <c r="G58" i="8"/>
  <c r="K58" i="8"/>
  <c r="L58" i="8"/>
  <c r="G57" i="8"/>
  <c r="K57" i="8"/>
  <c r="L57" i="8"/>
  <c r="K53" i="8"/>
  <c r="L53" i="8"/>
  <c r="N53" i="8" s="1"/>
  <c r="O53" i="8" s="1"/>
  <c r="G53" i="8"/>
  <c r="H53" i="8"/>
  <c r="L52" i="8"/>
  <c r="H52" i="8"/>
  <c r="K47" i="8"/>
  <c r="K48" i="8" s="1"/>
  <c r="G47" i="8"/>
  <c r="G48" i="8" s="1"/>
  <c r="L45" i="8"/>
  <c r="H45" i="8"/>
  <c r="N45" i="8"/>
  <c r="J44" i="8"/>
  <c r="L44" i="8" s="1"/>
  <c r="F44" i="8"/>
  <c r="H44" i="8" s="1"/>
  <c r="K43" i="8"/>
  <c r="G43" i="8"/>
  <c r="H43" i="8"/>
  <c r="K42" i="8"/>
  <c r="L42" i="8"/>
  <c r="N42" i="8" s="1"/>
  <c r="G42" i="8"/>
  <c r="H42" i="8"/>
  <c r="O42" i="8" s="1"/>
  <c r="K41" i="8"/>
  <c r="L41" i="8"/>
  <c r="G41" i="8"/>
  <c r="H41" i="8"/>
  <c r="O41" i="8" s="1"/>
  <c r="K40" i="8"/>
  <c r="L40" i="8"/>
  <c r="N40" i="8" s="1"/>
  <c r="G40" i="8"/>
  <c r="H40" i="8"/>
  <c r="O40" i="8"/>
  <c r="K39" i="8"/>
  <c r="G39" i="8"/>
  <c r="H39" i="8"/>
  <c r="K36" i="8"/>
  <c r="L36" i="8"/>
  <c r="G36" i="8"/>
  <c r="H36" i="8"/>
  <c r="K35" i="8"/>
  <c r="L35" i="8"/>
  <c r="G35" i="8"/>
  <c r="H35" i="8"/>
  <c r="K34" i="8"/>
  <c r="L34" i="8"/>
  <c r="N34" i="8"/>
  <c r="G34" i="8"/>
  <c r="H34" i="8"/>
  <c r="O34" i="8"/>
  <c r="K33" i="8"/>
  <c r="L33" i="8"/>
  <c r="N33" i="8"/>
  <c r="G33" i="8"/>
  <c r="H33" i="8"/>
  <c r="O33" i="8"/>
  <c r="K32" i="8"/>
  <c r="L32" i="8"/>
  <c r="G32" i="8"/>
  <c r="H32" i="8"/>
  <c r="K31" i="8"/>
  <c r="L31" i="8"/>
  <c r="N31" i="8"/>
  <c r="G31" i="8"/>
  <c r="H31" i="8"/>
  <c r="O31" i="8"/>
  <c r="K30" i="8"/>
  <c r="L30" i="8"/>
  <c r="G30" i="8"/>
  <c r="H30" i="8"/>
  <c r="O30" i="8"/>
  <c r="K29" i="8"/>
  <c r="L29" i="8"/>
  <c r="G29" i="8"/>
  <c r="H29" i="8"/>
  <c r="O29" i="8"/>
  <c r="K28" i="8"/>
  <c r="L28" i="8"/>
  <c r="N28" i="8"/>
  <c r="G28" i="8"/>
  <c r="H28" i="8"/>
  <c r="O28" i="8"/>
  <c r="K27" i="8"/>
  <c r="G27" i="8"/>
  <c r="L26" i="8"/>
  <c r="N26" i="8" s="1"/>
  <c r="L24" i="8"/>
  <c r="H24" i="8"/>
  <c r="O24" i="8"/>
  <c r="L38" i="8"/>
  <c r="H38" i="8"/>
  <c r="O38" i="8"/>
  <c r="L23" i="8"/>
  <c r="H23" i="8"/>
  <c r="N23" i="8" s="1"/>
  <c r="L22" i="8"/>
  <c r="H22" i="8"/>
  <c r="G57" i="1"/>
  <c r="H57" i="1"/>
  <c r="J53" i="1"/>
  <c r="G38" i="13"/>
  <c r="H38" i="13"/>
  <c r="N39" i="13"/>
  <c r="O39" i="13"/>
  <c r="N52" i="13"/>
  <c r="O52" i="13" s="1"/>
  <c r="H57" i="13"/>
  <c r="O57" i="13"/>
  <c r="L55" i="13"/>
  <c r="N55" i="13"/>
  <c r="H54" i="13"/>
  <c r="O54" i="13"/>
  <c r="H56" i="13"/>
  <c r="O56" i="13"/>
  <c r="H58" i="8"/>
  <c r="G58" i="1"/>
  <c r="H58" i="1"/>
  <c r="O58" i="1" s="1"/>
  <c r="K58" i="1"/>
  <c r="L58" i="1"/>
  <c r="H56" i="1"/>
  <c r="K55" i="1"/>
  <c r="L55" i="1"/>
  <c r="N55" i="1" s="1"/>
  <c r="O55" i="1" s="1"/>
  <c r="H54" i="1"/>
  <c r="N54" i="1" s="1"/>
  <c r="K53" i="1"/>
  <c r="L53" i="1"/>
  <c r="N53" i="1"/>
  <c r="O53" i="1"/>
  <c r="G53" i="1"/>
  <c r="H53" i="1"/>
  <c r="L52" i="1"/>
  <c r="H52" i="1"/>
  <c r="N52" i="1"/>
  <c r="O52" i="1"/>
  <c r="K47" i="1"/>
  <c r="L47" i="1" s="1"/>
  <c r="G47" i="1"/>
  <c r="G48" i="1" s="1"/>
  <c r="L45" i="1"/>
  <c r="H45" i="1"/>
  <c r="N45" i="1"/>
  <c r="F44" i="1"/>
  <c r="H44" i="1" s="1"/>
  <c r="K43" i="1"/>
  <c r="G43" i="1"/>
  <c r="H43" i="1"/>
  <c r="K42" i="1"/>
  <c r="L42" i="1"/>
  <c r="G42" i="1"/>
  <c r="H42" i="1"/>
  <c r="N42" i="1" s="1"/>
  <c r="K41" i="1"/>
  <c r="L41" i="1"/>
  <c r="G41" i="1"/>
  <c r="H41" i="1"/>
  <c r="O41" i="1" s="1"/>
  <c r="K40" i="1"/>
  <c r="L40" i="1"/>
  <c r="G40" i="1"/>
  <c r="H40" i="1"/>
  <c r="N40" i="1" s="1"/>
  <c r="K39" i="1"/>
  <c r="G39" i="1"/>
  <c r="H39" i="1"/>
  <c r="N39" i="1" s="1"/>
  <c r="K36" i="1"/>
  <c r="L36" i="1"/>
  <c r="N36" i="1"/>
  <c r="G36" i="1"/>
  <c r="H36" i="1"/>
  <c r="O36" i="1"/>
  <c r="K35" i="1"/>
  <c r="L35" i="1"/>
  <c r="N35" i="1"/>
  <c r="G35" i="1"/>
  <c r="H35" i="1"/>
  <c r="O35" i="1"/>
  <c r="K34" i="1"/>
  <c r="L34" i="1"/>
  <c r="G34" i="1"/>
  <c r="H34" i="1"/>
  <c r="N34" i="1"/>
  <c r="O34" i="1"/>
  <c r="K33" i="1"/>
  <c r="L33" i="1"/>
  <c r="N33" i="1"/>
  <c r="G33" i="1"/>
  <c r="H33" i="1"/>
  <c r="O33" i="1"/>
  <c r="K32" i="1"/>
  <c r="L32" i="1"/>
  <c r="G32" i="1"/>
  <c r="H32" i="1"/>
  <c r="O32" i="1"/>
  <c r="K31" i="1"/>
  <c r="L31" i="1"/>
  <c r="N31" i="1"/>
  <c r="G31" i="1"/>
  <c r="H31" i="1"/>
  <c r="O31" i="1"/>
  <c r="K30" i="1"/>
  <c r="L30" i="1"/>
  <c r="N30" i="1"/>
  <c r="G30" i="1"/>
  <c r="H30" i="1"/>
  <c r="O30" i="1"/>
  <c r="K29" i="1"/>
  <c r="L29" i="1"/>
  <c r="G29" i="1"/>
  <c r="H29" i="1"/>
  <c r="O29" i="1"/>
  <c r="K28" i="1"/>
  <c r="L28" i="1"/>
  <c r="G28" i="1"/>
  <c r="H28" i="1"/>
  <c r="O28" i="1"/>
  <c r="K27" i="1"/>
  <c r="G27" i="1"/>
  <c r="L24" i="1"/>
  <c r="H24" i="1"/>
  <c r="O24" i="1" s="1"/>
  <c r="L38" i="1"/>
  <c r="N38" i="1"/>
  <c r="H38" i="1"/>
  <c r="O38" i="1"/>
  <c r="L23" i="1"/>
  <c r="H23" i="1"/>
  <c r="N23" i="1" s="1"/>
  <c r="O23" i="1" s="1"/>
  <c r="L22" i="1"/>
  <c r="N22" i="1"/>
  <c r="O22" i="1"/>
  <c r="H22" i="1"/>
  <c r="K56" i="1"/>
  <c r="L56" i="1"/>
  <c r="N56" i="1" s="1"/>
  <c r="O56" i="1" s="1"/>
  <c r="N54" i="17"/>
  <c r="L49" i="17"/>
  <c r="N49" i="17" s="1"/>
  <c r="O49" i="17" s="1"/>
  <c r="G50" i="17"/>
  <c r="H50" i="17" s="1"/>
  <c r="N54" i="16"/>
  <c r="G47" i="16"/>
  <c r="H47" i="16" s="1"/>
  <c r="H46" i="15"/>
  <c r="G50" i="14"/>
  <c r="H50" i="14" s="1"/>
  <c r="N56" i="13"/>
  <c r="K57" i="23"/>
  <c r="L57" i="23" s="1"/>
  <c r="N57" i="23" s="1"/>
  <c r="L49" i="23"/>
  <c r="O32" i="19"/>
  <c r="O23" i="17"/>
  <c r="N23" i="15"/>
  <c r="N22" i="19"/>
  <c r="N38" i="12"/>
  <c r="N38" i="11"/>
  <c r="N23" i="6"/>
  <c r="O23" i="6" s="1"/>
  <c r="N24" i="5"/>
  <c r="N23" i="3"/>
  <c r="O23" i="3"/>
  <c r="N38" i="2"/>
  <c r="N22" i="7"/>
  <c r="O24" i="5"/>
  <c r="O38" i="2"/>
  <c r="N28" i="12"/>
  <c r="H54" i="12"/>
  <c r="O40" i="10"/>
  <c r="N38" i="10"/>
  <c r="H56" i="10"/>
  <c r="N56" i="10" s="1"/>
  <c r="N35" i="9"/>
  <c r="N23" i="9"/>
  <c r="N52" i="8"/>
  <c r="O52" i="8" s="1"/>
  <c r="O33" i="7"/>
  <c r="N52" i="7"/>
  <c r="H57" i="6"/>
  <c r="N57" i="6" s="1"/>
  <c r="H47" i="5"/>
  <c r="K57" i="5"/>
  <c r="L57" i="5"/>
  <c r="N57" i="5" s="1"/>
  <c r="O57" i="5" s="1"/>
  <c r="K55" i="5"/>
  <c r="L55" i="5"/>
  <c r="N55" i="5" s="1"/>
  <c r="O55" i="5" s="1"/>
  <c r="N42" i="2"/>
  <c r="H47" i="1"/>
  <c r="N28" i="1"/>
  <c r="L44" i="4"/>
  <c r="L53" i="4"/>
  <c r="N53" i="4" s="1"/>
  <c r="G51" i="4"/>
  <c r="H51" i="4" s="1"/>
  <c r="O35" i="4"/>
  <c r="N29" i="4"/>
  <c r="K58" i="4"/>
  <c r="L58" i="4" s="1"/>
  <c r="N58" i="4" s="1"/>
  <c r="O58" i="4" s="1"/>
  <c r="G50" i="23"/>
  <c r="H50" i="23" s="1"/>
  <c r="H46" i="23"/>
  <c r="H57" i="8"/>
  <c r="N38" i="8"/>
  <c r="O38" i="4"/>
  <c r="N25" i="14"/>
  <c r="O25" i="14" s="1"/>
  <c r="O23" i="13"/>
  <c r="O40" i="11"/>
  <c r="O30" i="3"/>
  <c r="N30" i="3"/>
  <c r="O33" i="3"/>
  <c r="N55" i="10"/>
  <c r="N29" i="15"/>
  <c r="O30" i="15"/>
  <c r="N30" i="15"/>
  <c r="L49" i="15"/>
  <c r="N49" i="15" s="1"/>
  <c r="O49" i="15" s="1"/>
  <c r="K57" i="15"/>
  <c r="L43" i="15" s="1"/>
  <c r="H43" i="15"/>
  <c r="N32" i="23"/>
  <c r="N36" i="23"/>
  <c r="N23" i="23"/>
  <c r="N24" i="23"/>
  <c r="N22" i="23"/>
  <c r="O31" i="14"/>
  <c r="N31" i="14"/>
  <c r="N39" i="14"/>
  <c r="L57" i="14"/>
  <c r="L43" i="14"/>
  <c r="N43" i="14" s="1"/>
  <c r="N30" i="14"/>
  <c r="N54" i="14"/>
  <c r="H57" i="14"/>
  <c r="H46" i="14"/>
  <c r="G38" i="14"/>
  <c r="H38" i="14"/>
  <c r="N29" i="19"/>
  <c r="O34" i="19"/>
  <c r="N34" i="19"/>
  <c r="O28" i="19"/>
  <c r="N28" i="19"/>
  <c r="N35" i="19"/>
  <c r="O31" i="19"/>
  <c r="N31" i="19"/>
  <c r="O33" i="19"/>
  <c r="H49" i="19"/>
  <c r="K53" i="19"/>
  <c r="L53" i="19"/>
  <c r="N53" i="19" s="1"/>
  <c r="O53" i="19" s="1"/>
  <c r="N24" i="19"/>
  <c r="N25" i="19"/>
  <c r="O25" i="19" s="1"/>
  <c r="N23" i="19"/>
  <c r="O40" i="13"/>
  <c r="N40" i="13"/>
  <c r="N25" i="13"/>
  <c r="O25" i="13" s="1"/>
  <c r="N30" i="13"/>
  <c r="N28" i="13"/>
  <c r="O31" i="13"/>
  <c r="N31" i="13"/>
  <c r="H46" i="13"/>
  <c r="K47" i="13"/>
  <c r="L47" i="13" s="1"/>
  <c r="G50" i="13"/>
  <c r="H50" i="13" s="1"/>
  <c r="N25" i="12"/>
  <c r="O25" i="12" s="1"/>
  <c r="N31" i="12"/>
  <c r="O31" i="12"/>
  <c r="N35" i="12"/>
  <c r="N42" i="12"/>
  <c r="N32" i="12"/>
  <c r="O32" i="12"/>
  <c r="H57" i="12"/>
  <c r="O24" i="12"/>
  <c r="H56" i="12"/>
  <c r="N22" i="12"/>
  <c r="O22" i="12"/>
  <c r="N29" i="11"/>
  <c r="N42" i="11"/>
  <c r="O32" i="11"/>
  <c r="N32" i="11"/>
  <c r="N28" i="11"/>
  <c r="O28" i="11"/>
  <c r="O35" i="11"/>
  <c r="N35" i="11"/>
  <c r="N31" i="11"/>
  <c r="K54" i="11"/>
  <c r="L54" i="11"/>
  <c r="N54" i="11" s="1"/>
  <c r="O54" i="11" s="1"/>
  <c r="N24" i="11"/>
  <c r="H55" i="11"/>
  <c r="N36" i="10"/>
  <c r="O36" i="10"/>
  <c r="N41" i="10"/>
  <c r="N34" i="10"/>
  <c r="N24" i="10"/>
  <c r="O30" i="10"/>
  <c r="K54" i="10"/>
  <c r="L54" i="10"/>
  <c r="N54" i="10" s="1"/>
  <c r="O54" i="10" s="1"/>
  <c r="H57" i="10"/>
  <c r="N23" i="10"/>
  <c r="O23" i="10" s="1"/>
  <c r="N40" i="10"/>
  <c r="N42" i="10"/>
  <c r="H58" i="10"/>
  <c r="N25" i="9"/>
  <c r="O25" i="9" s="1"/>
  <c r="N55" i="9"/>
  <c r="O55" i="9" s="1"/>
  <c r="N30" i="9"/>
  <c r="O30" i="9"/>
  <c r="N56" i="9"/>
  <c r="O56" i="9" s="1"/>
  <c r="O22" i="9"/>
  <c r="N40" i="9"/>
  <c r="O40" i="9"/>
  <c r="N22" i="9"/>
  <c r="N32" i="9"/>
  <c r="H57" i="9"/>
  <c r="N34" i="9"/>
  <c r="O36" i="8"/>
  <c r="N36" i="8"/>
  <c r="O35" i="8"/>
  <c r="N35" i="8"/>
  <c r="N30" i="8"/>
  <c r="N54" i="8"/>
  <c r="O54" i="8" s="1"/>
  <c r="N29" i="8"/>
  <c r="O32" i="8"/>
  <c r="N32" i="8"/>
  <c r="N22" i="8"/>
  <c r="N41" i="8"/>
  <c r="H55" i="8"/>
  <c r="N24" i="8"/>
  <c r="N25" i="7"/>
  <c r="O25" i="7" s="1"/>
  <c r="N55" i="7"/>
  <c r="O55" i="7" s="1"/>
  <c r="N40" i="7"/>
  <c r="N25" i="6"/>
  <c r="N33" i="6"/>
  <c r="O33" i="6"/>
  <c r="N40" i="6"/>
  <c r="O25" i="6"/>
  <c r="K48" i="6"/>
  <c r="N52" i="6"/>
  <c r="O52" i="6" s="1"/>
  <c r="O32" i="6"/>
  <c r="H55" i="6"/>
  <c r="N55" i="6" s="1"/>
  <c r="O55" i="6" s="1"/>
  <c r="N56" i="5"/>
  <c r="O56" i="5" s="1"/>
  <c r="N22" i="5"/>
  <c r="O22" i="5"/>
  <c r="H54" i="5"/>
  <c r="N54" i="5" s="1"/>
  <c r="O54" i="5" s="1"/>
  <c r="N42" i="5"/>
  <c r="N54" i="4"/>
  <c r="O54" i="4" s="1"/>
  <c r="N40" i="4"/>
  <c r="N32" i="4"/>
  <c r="O32" i="4"/>
  <c r="O55" i="4"/>
  <c r="N28" i="4"/>
  <c r="H56" i="4"/>
  <c r="N23" i="4"/>
  <c r="O23" i="4"/>
  <c r="O41" i="4"/>
  <c r="N33" i="4"/>
  <c r="N40" i="3"/>
  <c r="O40" i="3"/>
  <c r="N36" i="3"/>
  <c r="O36" i="3"/>
  <c r="K51" i="3"/>
  <c r="L51" i="3" s="1"/>
  <c r="O32" i="3"/>
  <c r="K55" i="3"/>
  <c r="L55" i="3"/>
  <c r="N55" i="3" s="1"/>
  <c r="O55" i="3" s="1"/>
  <c r="N42" i="3"/>
  <c r="N22" i="3"/>
  <c r="O22" i="3"/>
  <c r="O32" i="2"/>
  <c r="N32" i="2"/>
  <c r="N57" i="2"/>
  <c r="O57" i="2" s="1"/>
  <c r="O28" i="2"/>
  <c r="N28" i="2"/>
  <c r="N52" i="2"/>
  <c r="O52" i="2"/>
  <c r="O31" i="2"/>
  <c r="O35" i="2"/>
  <c r="K48" i="2"/>
  <c r="L48" i="2" s="1"/>
  <c r="N25" i="2"/>
  <c r="O25" i="2" s="1"/>
  <c r="N58" i="1"/>
  <c r="N25" i="1"/>
  <c r="O25" i="1" s="1"/>
  <c r="N29" i="1"/>
  <c r="N32" i="1"/>
  <c r="K57" i="1"/>
  <c r="L57" i="1"/>
  <c r="N57" i="1" s="1"/>
  <c r="O57" i="1" s="1"/>
  <c r="O30" i="16"/>
  <c r="N30" i="16"/>
  <c r="L57" i="16"/>
  <c r="N57" i="16" s="1"/>
  <c r="L43" i="16"/>
  <c r="N36" i="16"/>
  <c r="N53" i="16"/>
  <c r="O53" i="16" s="1"/>
  <c r="N33" i="16"/>
  <c r="O35" i="16"/>
  <c r="L57" i="17"/>
  <c r="L43" i="17"/>
  <c r="N29" i="17"/>
  <c r="N53" i="17"/>
  <c r="O53" i="17" s="1"/>
  <c r="N34" i="17"/>
  <c r="N25" i="17"/>
  <c r="O25" i="17" s="1"/>
  <c r="N39" i="17"/>
  <c r="O56" i="17"/>
  <c r="O22" i="17"/>
  <c r="O55" i="17"/>
  <c r="H57" i="17"/>
  <c r="O57" i="17"/>
  <c r="N36" i="17"/>
  <c r="N56" i="12"/>
  <c r="O56" i="12"/>
  <c r="N57" i="12"/>
  <c r="O57" i="12" s="1"/>
  <c r="N55" i="11"/>
  <c r="O55" i="11" s="1"/>
  <c r="N58" i="10"/>
  <c r="O58" i="10" s="1"/>
  <c r="N57" i="10"/>
  <c r="O57" i="10" s="1"/>
  <c r="N57" i="9"/>
  <c r="O57" i="9" s="1"/>
  <c r="N55" i="8"/>
  <c r="K51" i="6"/>
  <c r="L51" i="6" s="1"/>
  <c r="L48" i="6"/>
  <c r="K50" i="6"/>
  <c r="L50" i="6" s="1"/>
  <c r="N56" i="4"/>
  <c r="O56" i="4" s="1"/>
  <c r="N57" i="17"/>
  <c r="N26" i="13"/>
  <c r="N39" i="11"/>
  <c r="O39" i="11" s="1"/>
  <c r="N54" i="15" l="1"/>
  <c r="N25" i="16"/>
  <c r="O25" i="16" s="1"/>
  <c r="N57" i="14"/>
  <c r="O57" i="14" s="1"/>
  <c r="N53" i="14"/>
  <c r="O53" i="14" s="1"/>
  <c r="N26" i="17"/>
  <c r="N26" i="16"/>
  <c r="N25" i="8"/>
  <c r="N25" i="3"/>
  <c r="N24" i="4"/>
  <c r="K50" i="2"/>
  <c r="L50" i="2" s="1"/>
  <c r="N22" i="13"/>
  <c r="N22" i="15"/>
  <c r="N22" i="11"/>
  <c r="N22" i="10"/>
  <c r="H43" i="17"/>
  <c r="N43" i="17" s="1"/>
  <c r="O43" i="17" s="1"/>
  <c r="H43" i="16"/>
  <c r="N43" i="16" s="1"/>
  <c r="O43" i="16" s="1"/>
  <c r="H43" i="23"/>
  <c r="H46" i="19"/>
  <c r="N49" i="13"/>
  <c r="O49" i="13" s="1"/>
  <c r="G48" i="12"/>
  <c r="G51" i="11"/>
  <c r="H51" i="11" s="1"/>
  <c r="G50" i="11"/>
  <c r="H50" i="11" s="1"/>
  <c r="H48" i="11"/>
  <c r="H44" i="11"/>
  <c r="H48" i="10"/>
  <c r="G50" i="10"/>
  <c r="H50" i="10" s="1"/>
  <c r="G51" i="10"/>
  <c r="H51" i="10" s="1"/>
  <c r="H47" i="10"/>
  <c r="H44" i="9"/>
  <c r="N41" i="4"/>
  <c r="N34" i="4"/>
  <c r="N31" i="4"/>
  <c r="N30" i="4"/>
  <c r="L57" i="15"/>
  <c r="N57" i="15" s="1"/>
  <c r="N43" i="15"/>
  <c r="O43" i="15" s="1"/>
  <c r="N53" i="15"/>
  <c r="O53" i="15" s="1"/>
  <c r="N56" i="15"/>
  <c r="O56" i="15" s="1"/>
  <c r="L46" i="19"/>
  <c r="L44" i="12"/>
  <c r="L46" i="17"/>
  <c r="N46" i="17" s="1"/>
  <c r="O46" i="17" s="1"/>
  <c r="K51" i="2"/>
  <c r="L51" i="2" s="1"/>
  <c r="N40" i="15"/>
  <c r="O40" i="1"/>
  <c r="O41" i="3"/>
  <c r="N50" i="17"/>
  <c r="O50" i="17" s="1"/>
  <c r="N41" i="17"/>
  <c r="O41" i="17" s="1"/>
  <c r="N38" i="17"/>
  <c r="O38" i="17" s="1"/>
  <c r="N50" i="16"/>
  <c r="O50" i="16" s="1"/>
  <c r="N47" i="16"/>
  <c r="O47" i="16" s="1"/>
  <c r="N38" i="16"/>
  <c r="O38" i="16" s="1"/>
  <c r="L46" i="16"/>
  <c r="N46" i="16" s="1"/>
  <c r="O46" i="16" s="1"/>
  <c r="N50" i="15"/>
  <c r="O50" i="15" s="1"/>
  <c r="N52" i="14"/>
  <c r="O52" i="14" s="1"/>
  <c r="N51" i="14"/>
  <c r="O51" i="14" s="1"/>
  <c r="O51" i="23"/>
  <c r="N52" i="23"/>
  <c r="N22" i="14"/>
  <c r="N36" i="14"/>
  <c r="N23" i="14"/>
  <c r="N40" i="14"/>
  <c r="N33" i="23"/>
  <c r="O43" i="14"/>
  <c r="N46" i="14"/>
  <c r="O46" i="14" s="1"/>
  <c r="N50" i="14"/>
  <c r="O50" i="14" s="1"/>
  <c r="N53" i="23"/>
  <c r="O53" i="23" s="1"/>
  <c r="O40" i="14"/>
  <c r="N26" i="14"/>
  <c r="O33" i="14"/>
  <c r="N38" i="14"/>
  <c r="O38" i="14" s="1"/>
  <c r="O23" i="14"/>
  <c r="N41" i="14"/>
  <c r="O41" i="14" s="1"/>
  <c r="N40" i="23"/>
  <c r="N25" i="23"/>
  <c r="O33" i="23"/>
  <c r="N52" i="19"/>
  <c r="O52" i="19" s="1"/>
  <c r="N51" i="19"/>
  <c r="L43" i="19"/>
  <c r="N43" i="19" s="1"/>
  <c r="O43" i="19" s="1"/>
  <c r="O51" i="19"/>
  <c r="N49" i="19"/>
  <c r="O49" i="19" s="1"/>
  <c r="N47" i="19"/>
  <c r="O47" i="19" s="1"/>
  <c r="N46" i="19"/>
  <c r="O46" i="19" s="1"/>
  <c r="N41" i="19"/>
  <c r="O41" i="19" s="1"/>
  <c r="N38" i="19"/>
  <c r="O38" i="19" s="1"/>
  <c r="L47" i="17"/>
  <c r="N47" i="17" s="1"/>
  <c r="O47" i="17" s="1"/>
  <c r="K47" i="14"/>
  <c r="L47" i="14" s="1"/>
  <c r="N47" i="14" s="1"/>
  <c r="O47" i="14" s="1"/>
  <c r="K50" i="19"/>
  <c r="L50" i="19" s="1"/>
  <c r="N50" i="19" s="1"/>
  <c r="O50" i="19" s="1"/>
  <c r="N50" i="13"/>
  <c r="O50" i="13" s="1"/>
  <c r="K48" i="12"/>
  <c r="K48" i="11"/>
  <c r="N47" i="11"/>
  <c r="O47" i="11" s="1"/>
  <c r="L44" i="11"/>
  <c r="L44" i="10"/>
  <c r="N44" i="10" s="1"/>
  <c r="K48" i="10"/>
  <c r="N47" i="10"/>
  <c r="O47" i="10" s="1"/>
  <c r="K51" i="9"/>
  <c r="L51" i="9" s="1"/>
  <c r="K50" i="9"/>
  <c r="L50" i="9" s="1"/>
  <c r="N50" i="9" s="1"/>
  <c r="O50" i="9" s="1"/>
  <c r="L44" i="9"/>
  <c r="N53" i="13"/>
  <c r="O53" i="13" s="1"/>
  <c r="N43" i="13"/>
  <c r="O43" i="13" s="1"/>
  <c r="N46" i="13"/>
  <c r="O46" i="13" s="1"/>
  <c r="N47" i="13"/>
  <c r="O47" i="13" s="1"/>
  <c r="N44" i="17"/>
  <c r="N44" i="16"/>
  <c r="N44" i="15"/>
  <c r="N44" i="14"/>
  <c r="N44" i="23"/>
  <c r="N44" i="13"/>
  <c r="N41" i="13"/>
  <c r="O41" i="13" s="1"/>
  <c r="N38" i="13"/>
  <c r="O38" i="13" s="1"/>
  <c r="N33" i="15"/>
  <c r="N36" i="15"/>
  <c r="O57" i="15"/>
  <c r="N34" i="15"/>
  <c r="O52" i="15"/>
  <c r="N32" i="15"/>
  <c r="N35" i="15"/>
  <c r="N25" i="15"/>
  <c r="O25" i="15" s="1"/>
  <c r="N39" i="15"/>
  <c r="L46" i="15"/>
  <c r="N46" i="15" s="1"/>
  <c r="O46" i="15" s="1"/>
  <c r="L47" i="15"/>
  <c r="N47" i="15" s="1"/>
  <c r="O47" i="15" s="1"/>
  <c r="H27" i="15"/>
  <c r="L26" i="15"/>
  <c r="N26" i="15" s="1"/>
  <c r="L38" i="15"/>
  <c r="N38" i="15" s="1"/>
  <c r="O38" i="15" s="1"/>
  <c r="L41" i="15"/>
  <c r="N41" i="15" s="1"/>
  <c r="O41" i="15" s="1"/>
  <c r="O25" i="23"/>
  <c r="N39" i="23"/>
  <c r="L26" i="23"/>
  <c r="N26" i="23" s="1"/>
  <c r="L38" i="23"/>
  <c r="N38" i="23" s="1"/>
  <c r="O38" i="23" s="1"/>
  <c r="H27" i="23"/>
  <c r="L41" i="23"/>
  <c r="N41" i="23" s="1"/>
  <c r="O41" i="23" s="1"/>
  <c r="L46" i="23"/>
  <c r="N46" i="23" s="1"/>
  <c r="O46" i="23" s="1"/>
  <c r="L47" i="23"/>
  <c r="N47" i="23" s="1"/>
  <c r="O47" i="23" s="1"/>
  <c r="N49" i="23"/>
  <c r="O49" i="23" s="1"/>
  <c r="O57" i="23"/>
  <c r="N50" i="23"/>
  <c r="O50" i="23" s="1"/>
  <c r="L43" i="23"/>
  <c r="N31" i="23"/>
  <c r="K56" i="23"/>
  <c r="L56" i="23" s="1"/>
  <c r="N56" i="23" s="1"/>
  <c r="O56" i="23" s="1"/>
  <c r="O52" i="23"/>
  <c r="N34" i="23"/>
  <c r="N45" i="11"/>
  <c r="N53" i="10"/>
  <c r="N40" i="12"/>
  <c r="N35" i="10"/>
  <c r="N52" i="12"/>
  <c r="O52" i="12" s="1"/>
  <c r="N23" i="12"/>
  <c r="O23" i="12" s="1"/>
  <c r="N45" i="12"/>
  <c r="N53" i="12"/>
  <c r="O53" i="12" s="1"/>
  <c r="N24" i="12"/>
  <c r="N55" i="12"/>
  <c r="O55" i="12" s="1"/>
  <c r="N36" i="11"/>
  <c r="N40" i="11"/>
  <c r="N25" i="11"/>
  <c r="N41" i="11"/>
  <c r="N30" i="11"/>
  <c r="N53" i="11"/>
  <c r="O53" i="11" s="1"/>
  <c r="N28" i="10"/>
  <c r="O55" i="10"/>
  <c r="N25" i="10"/>
  <c r="N29" i="10"/>
  <c r="N45" i="10"/>
  <c r="N52" i="10"/>
  <c r="O52" i="10" s="1"/>
  <c r="N58" i="9"/>
  <c r="O58" i="9" s="1"/>
  <c r="N53" i="9"/>
  <c r="N52" i="9"/>
  <c r="O52" i="9" s="1"/>
  <c r="N51" i="9"/>
  <c r="O51" i="9" s="1"/>
  <c r="N45" i="9"/>
  <c r="N44" i="12"/>
  <c r="O44" i="12" s="1"/>
  <c r="N54" i="12"/>
  <c r="O54" i="12" s="1"/>
  <c r="N47" i="12"/>
  <c r="O47" i="12" s="1"/>
  <c r="O58" i="12"/>
  <c r="N52" i="11"/>
  <c r="O52" i="11" s="1"/>
  <c r="O58" i="11"/>
  <c r="O44" i="10"/>
  <c r="O53" i="10"/>
  <c r="O56" i="10"/>
  <c r="N33" i="12"/>
  <c r="O40" i="12"/>
  <c r="N41" i="12"/>
  <c r="N30" i="12"/>
  <c r="N26" i="12"/>
  <c r="N39" i="12"/>
  <c r="O39" i="12" s="1"/>
  <c r="O41" i="11"/>
  <c r="N26" i="11"/>
  <c r="O25" i="11"/>
  <c r="O23" i="11"/>
  <c r="N31" i="10"/>
  <c r="O33" i="10"/>
  <c r="N26" i="10"/>
  <c r="O29" i="10"/>
  <c r="O25" i="10"/>
  <c r="O28" i="10"/>
  <c r="O35" i="10"/>
  <c r="N39" i="10"/>
  <c r="O39" i="10" s="1"/>
  <c r="O23" i="9"/>
  <c r="N44" i="9"/>
  <c r="O44" i="9" s="1"/>
  <c r="O54" i="9"/>
  <c r="O53" i="9"/>
  <c r="N48" i="9"/>
  <c r="O48" i="9" s="1"/>
  <c r="N47" i="9"/>
  <c r="O47" i="9" s="1"/>
  <c r="N39" i="9"/>
  <c r="O39" i="9" s="1"/>
  <c r="N58" i="8"/>
  <c r="N56" i="8"/>
  <c r="O56" i="8" s="1"/>
  <c r="L48" i="8"/>
  <c r="N48" i="8" s="1"/>
  <c r="O48" i="8" s="1"/>
  <c r="K51" i="8"/>
  <c r="L51" i="8" s="1"/>
  <c r="N51" i="8" s="1"/>
  <c r="O51" i="8" s="1"/>
  <c r="K50" i="8"/>
  <c r="L50" i="8" s="1"/>
  <c r="L47" i="8"/>
  <c r="G51" i="8"/>
  <c r="H51" i="8" s="1"/>
  <c r="H48" i="8"/>
  <c r="G50" i="8"/>
  <c r="H50" i="8" s="1"/>
  <c r="H47" i="8"/>
  <c r="O55" i="8"/>
  <c r="N57" i="8"/>
  <c r="O57" i="8" s="1"/>
  <c r="O58" i="8"/>
  <c r="N44" i="8"/>
  <c r="O44" i="8" s="1"/>
  <c r="N39" i="8"/>
  <c r="O39" i="8" s="1"/>
  <c r="O25" i="8"/>
  <c r="O23" i="8"/>
  <c r="N45" i="4"/>
  <c r="N24" i="7"/>
  <c r="N23" i="7"/>
  <c r="O23" i="7" s="1"/>
  <c r="N42" i="7"/>
  <c r="N41" i="6"/>
  <c r="N42" i="6"/>
  <c r="N41" i="5"/>
  <c r="N25" i="5"/>
  <c r="O25" i="5" s="1"/>
  <c r="N23" i="5"/>
  <c r="N25" i="4"/>
  <c r="O25" i="4" s="1"/>
  <c r="N42" i="4"/>
  <c r="N56" i="2"/>
  <c r="N45" i="2"/>
  <c r="N24" i="2"/>
  <c r="G50" i="7"/>
  <c r="H50" i="7" s="1"/>
  <c r="H48" i="7"/>
  <c r="G51" i="7"/>
  <c r="H51" i="7" s="1"/>
  <c r="K48" i="7"/>
  <c r="H44" i="7"/>
  <c r="G48" i="6"/>
  <c r="H44" i="6"/>
  <c r="N44" i="6" s="1"/>
  <c r="O44" i="6" s="1"/>
  <c r="H48" i="5"/>
  <c r="G51" i="5"/>
  <c r="H51" i="5" s="1"/>
  <c r="G50" i="5"/>
  <c r="H50" i="5" s="1"/>
  <c r="H44" i="5"/>
  <c r="L44" i="5"/>
  <c r="N44" i="5" s="1"/>
  <c r="O44" i="5" s="1"/>
  <c r="K48" i="5"/>
  <c r="K48" i="4"/>
  <c r="G50" i="4"/>
  <c r="H50" i="4" s="1"/>
  <c r="H44" i="4"/>
  <c r="G51" i="3"/>
  <c r="H51" i="3" s="1"/>
  <c r="H48" i="3"/>
  <c r="N48" i="3" s="1"/>
  <c r="O48" i="3" s="1"/>
  <c r="G50" i="3"/>
  <c r="H50" i="3" s="1"/>
  <c r="K50" i="3"/>
  <c r="L50" i="3" s="1"/>
  <c r="N50" i="3" s="1"/>
  <c r="O50" i="3" s="1"/>
  <c r="H47" i="3"/>
  <c r="N47" i="3" s="1"/>
  <c r="O47" i="3" s="1"/>
  <c r="L44" i="3"/>
  <c r="N58" i="7"/>
  <c r="O58" i="7" s="1"/>
  <c r="O52" i="7"/>
  <c r="O57" i="7"/>
  <c r="N53" i="7"/>
  <c r="O53" i="7" s="1"/>
  <c r="N53" i="6"/>
  <c r="O56" i="6"/>
  <c r="N58" i="6"/>
  <c r="O58" i="6" s="1"/>
  <c r="N53" i="5"/>
  <c r="O53" i="5" s="1"/>
  <c r="N58" i="5"/>
  <c r="O58" i="5" s="1"/>
  <c r="N52" i="4"/>
  <c r="O52" i="4" s="1"/>
  <c r="O53" i="4"/>
  <c r="O52" i="3"/>
  <c r="N57" i="3"/>
  <c r="O57" i="3" s="1"/>
  <c r="N51" i="3"/>
  <c r="O51" i="3" s="1"/>
  <c r="N44" i="7"/>
  <c r="O44" i="7" s="1"/>
  <c r="N47" i="7"/>
  <c r="O47" i="7" s="1"/>
  <c r="O57" i="6"/>
  <c r="O53" i="6"/>
  <c r="N47" i="6"/>
  <c r="O47" i="6" s="1"/>
  <c r="N47" i="5"/>
  <c r="O47" i="5" s="1"/>
  <c r="O52" i="5"/>
  <c r="N44" i="4"/>
  <c r="O44" i="4" s="1"/>
  <c r="O57" i="4"/>
  <c r="N47" i="4"/>
  <c r="O47" i="4" s="1"/>
  <c r="N44" i="3"/>
  <c r="O44" i="3" s="1"/>
  <c r="N53" i="3"/>
  <c r="O53" i="3" s="1"/>
  <c r="N41" i="7"/>
  <c r="O42" i="7"/>
  <c r="N39" i="7"/>
  <c r="O39" i="7" s="1"/>
  <c r="N39" i="6"/>
  <c r="O39" i="6" s="1"/>
  <c r="O42" i="6"/>
  <c r="N39" i="5"/>
  <c r="O39" i="5" s="1"/>
  <c r="O41" i="5"/>
  <c r="N40" i="5"/>
  <c r="O42" i="4"/>
  <c r="N39" i="4"/>
  <c r="O39" i="4" s="1"/>
  <c r="N39" i="3"/>
  <c r="O39" i="3" s="1"/>
  <c r="N26" i="7"/>
  <c r="O24" i="7"/>
  <c r="N24" i="6"/>
  <c r="N26" i="6"/>
  <c r="O23" i="5"/>
  <c r="N26" i="5"/>
  <c r="N24" i="3"/>
  <c r="O25" i="3"/>
  <c r="L44" i="2"/>
  <c r="H44" i="2"/>
  <c r="G48" i="2"/>
  <c r="N53" i="2"/>
  <c r="O53" i="2" s="1"/>
  <c r="N55" i="2"/>
  <c r="O55" i="2" s="1"/>
  <c r="O58" i="2"/>
  <c r="O56" i="2"/>
  <c r="N54" i="2"/>
  <c r="O54" i="2" s="1"/>
  <c r="N47" i="2"/>
  <c r="O47" i="2" s="1"/>
  <c r="N39" i="2"/>
  <c r="O39" i="2" s="1"/>
  <c r="N26" i="2"/>
  <c r="O24" i="2"/>
  <c r="N23" i="2"/>
  <c r="O23" i="2" s="1"/>
  <c r="O22" i="2"/>
  <c r="L44" i="1"/>
  <c r="N44" i="1" s="1"/>
  <c r="O44" i="1" s="1"/>
  <c r="O54" i="1"/>
  <c r="H48" i="1"/>
  <c r="G50" i="1"/>
  <c r="H50" i="1" s="1"/>
  <c r="G51" i="1"/>
  <c r="H51" i="1" s="1"/>
  <c r="N47" i="1"/>
  <c r="O47" i="1" s="1"/>
  <c r="K48" i="1"/>
  <c r="N41" i="1"/>
  <c r="O42" i="1"/>
  <c r="O39" i="1"/>
  <c r="N26" i="1"/>
  <c r="N24" i="1"/>
  <c r="H37" i="7"/>
  <c r="H37" i="14"/>
  <c r="H45" i="14" s="1"/>
  <c r="H37" i="17"/>
  <c r="H45" i="17" s="1"/>
  <c r="H48" i="17" s="1"/>
  <c r="H37" i="1"/>
  <c r="H37" i="3"/>
  <c r="H37" i="8"/>
  <c r="H37" i="12"/>
  <c r="H37" i="23"/>
  <c r="H37" i="2"/>
  <c r="H37" i="4"/>
  <c r="H37" i="5"/>
  <c r="H37" i="6"/>
  <c r="H37" i="9"/>
  <c r="H37" i="10"/>
  <c r="H37" i="13"/>
  <c r="H37" i="15"/>
  <c r="H37" i="11"/>
  <c r="H37" i="19"/>
  <c r="H37" i="16"/>
  <c r="N43" i="23" l="1"/>
  <c r="O43" i="23" s="1"/>
  <c r="G51" i="12"/>
  <c r="H51" i="12" s="1"/>
  <c r="H48" i="12"/>
  <c r="G50" i="12"/>
  <c r="H50" i="12" s="1"/>
  <c r="N44" i="11"/>
  <c r="O44" i="11" s="1"/>
  <c r="N47" i="8"/>
  <c r="O47" i="8" s="1"/>
  <c r="K51" i="12"/>
  <c r="L51" i="12" s="1"/>
  <c r="N51" i="12" s="1"/>
  <c r="O51" i="12" s="1"/>
  <c r="K50" i="12"/>
  <c r="L50" i="12" s="1"/>
  <c r="N50" i="12" s="1"/>
  <c r="O50" i="12" s="1"/>
  <c r="L48" i="12"/>
  <c r="N48" i="12" s="1"/>
  <c r="O48" i="12" s="1"/>
  <c r="L48" i="11"/>
  <c r="N48" i="11" s="1"/>
  <c r="O48" i="11" s="1"/>
  <c r="K51" i="11"/>
  <c r="L51" i="11" s="1"/>
  <c r="N51" i="11" s="1"/>
  <c r="O51" i="11" s="1"/>
  <c r="K50" i="11"/>
  <c r="L50" i="11" s="1"/>
  <c r="N50" i="11" s="1"/>
  <c r="O50" i="11" s="1"/>
  <c r="L48" i="10"/>
  <c r="N48" i="10" s="1"/>
  <c r="O48" i="10" s="1"/>
  <c r="K51" i="10"/>
  <c r="L51" i="10" s="1"/>
  <c r="N51" i="10" s="1"/>
  <c r="O51" i="10" s="1"/>
  <c r="K50" i="10"/>
  <c r="L50" i="10" s="1"/>
  <c r="N50" i="10" s="1"/>
  <c r="O50" i="10" s="1"/>
  <c r="N50" i="8"/>
  <c r="O50" i="8" s="1"/>
  <c r="K51" i="7"/>
  <c r="L51" i="7" s="1"/>
  <c r="N51" i="7" s="1"/>
  <c r="O51" i="7" s="1"/>
  <c r="K50" i="7"/>
  <c r="L50" i="7" s="1"/>
  <c r="N50" i="7" s="1"/>
  <c r="O50" i="7" s="1"/>
  <c r="L48" i="7"/>
  <c r="N48" i="7"/>
  <c r="O48" i="7" s="1"/>
  <c r="G50" i="6"/>
  <c r="H50" i="6" s="1"/>
  <c r="N50" i="6" s="1"/>
  <c r="O50" i="6" s="1"/>
  <c r="H48" i="6"/>
  <c r="N48" i="6" s="1"/>
  <c r="O48" i="6" s="1"/>
  <c r="G51" i="6"/>
  <c r="H51" i="6" s="1"/>
  <c r="N51" i="6" s="1"/>
  <c r="O51" i="6" s="1"/>
  <c r="L48" i="5"/>
  <c r="N48" i="5" s="1"/>
  <c r="O48" i="5" s="1"/>
  <c r="K51" i="5"/>
  <c r="L51" i="5" s="1"/>
  <c r="N51" i="5" s="1"/>
  <c r="O51" i="5" s="1"/>
  <c r="K50" i="5"/>
  <c r="L50" i="5" s="1"/>
  <c r="N50" i="5" s="1"/>
  <c r="O50" i="5" s="1"/>
  <c r="L48" i="4"/>
  <c r="N48" i="4" s="1"/>
  <c r="O48" i="4" s="1"/>
  <c r="K50" i="4"/>
  <c r="L50" i="4" s="1"/>
  <c r="N50" i="4" s="1"/>
  <c r="O50" i="4" s="1"/>
  <c r="K51" i="4"/>
  <c r="L51" i="4" s="1"/>
  <c r="N51" i="4" s="1"/>
  <c r="O51" i="4" s="1"/>
  <c r="N44" i="2"/>
  <c r="O44" i="2" s="1"/>
  <c r="H48" i="2"/>
  <c r="N48" i="2" s="1"/>
  <c r="O48" i="2" s="1"/>
  <c r="G51" i="2"/>
  <c r="H51" i="2" s="1"/>
  <c r="N51" i="2" s="1"/>
  <c r="O51" i="2" s="1"/>
  <c r="G50" i="2"/>
  <c r="H50" i="2" s="1"/>
  <c r="N50" i="2" s="1"/>
  <c r="O50" i="2" s="1"/>
  <c r="K51" i="1"/>
  <c r="L51" i="1" s="1"/>
  <c r="N51" i="1" s="1"/>
  <c r="O51" i="1" s="1"/>
  <c r="K50" i="1"/>
  <c r="L50" i="1" s="1"/>
  <c r="N50" i="1" s="1"/>
  <c r="O50" i="1" s="1"/>
  <c r="L48" i="1"/>
  <c r="N48" i="1" s="1"/>
  <c r="O48" i="1" s="1"/>
  <c r="H46" i="7"/>
  <c r="H49" i="7" s="1"/>
  <c r="H45" i="23"/>
  <c r="H46" i="3"/>
  <c r="H65" i="17"/>
  <c r="H59" i="17"/>
  <c r="H45" i="19"/>
  <c r="H46" i="11"/>
  <c r="H45" i="15"/>
  <c r="H46" i="10"/>
  <c r="H46" i="6"/>
  <c r="H46" i="5"/>
  <c r="H46" i="2"/>
  <c r="H46" i="4"/>
  <c r="H46" i="8"/>
  <c r="H45" i="16"/>
  <c r="H48" i="14"/>
  <c r="H46" i="12"/>
  <c r="H45" i="13"/>
  <c r="H46" i="9"/>
  <c r="H46" i="1"/>
  <c r="H49" i="4" l="1"/>
  <c r="H49" i="1"/>
  <c r="H49" i="9"/>
  <c r="H48" i="13"/>
  <c r="H65" i="14"/>
  <c r="H59" i="14"/>
  <c r="H48" i="16"/>
  <c r="H49" i="2"/>
  <c r="H49" i="6"/>
  <c r="H48" i="15"/>
  <c r="H65" i="15" s="1"/>
  <c r="H49" i="11"/>
  <c r="H60" i="17"/>
  <c r="H61" i="17" s="1"/>
  <c r="H48" i="23"/>
  <c r="H60" i="7"/>
  <c r="H66" i="7"/>
  <c r="H66" i="17"/>
  <c r="H49" i="12"/>
  <c r="H49" i="8"/>
  <c r="H48" i="19"/>
  <c r="H49" i="5"/>
  <c r="H49" i="10"/>
  <c r="H49" i="3"/>
  <c r="H61" i="7" l="1"/>
  <c r="H60" i="14"/>
  <c r="H66" i="8"/>
  <c r="H60" i="8"/>
  <c r="H59" i="23"/>
  <c r="H65" i="23"/>
  <c r="H60" i="11"/>
  <c r="H66" i="11"/>
  <c r="H66" i="6"/>
  <c r="H60" i="6"/>
  <c r="H60" i="4"/>
  <c r="H66" i="4"/>
  <c r="H62" i="17"/>
  <c r="H63" i="17" s="1"/>
  <c r="H66" i="14"/>
  <c r="H66" i="9"/>
  <c r="H60" i="9"/>
  <c r="H59" i="19"/>
  <c r="H65" i="19"/>
  <c r="H66" i="10"/>
  <c r="H60" i="10"/>
  <c r="H66" i="1"/>
  <c r="H60" i="1"/>
  <c r="H60" i="3"/>
  <c r="H66" i="3"/>
  <c r="H60" i="5"/>
  <c r="H66" i="5"/>
  <c r="H60" i="12"/>
  <c r="H66" i="12"/>
  <c r="H67" i="17"/>
  <c r="H67" i="7"/>
  <c r="H59" i="15"/>
  <c r="H66" i="2"/>
  <c r="H60" i="2"/>
  <c r="H59" i="16"/>
  <c r="H65" i="16"/>
  <c r="H59" i="13"/>
  <c r="H65" i="13"/>
  <c r="H66" i="13" l="1"/>
  <c r="H61" i="10"/>
  <c r="H60" i="19"/>
  <c r="H67" i="4"/>
  <c r="H68" i="4" s="1"/>
  <c r="H67" i="6"/>
  <c r="H61" i="8"/>
  <c r="H60" i="16"/>
  <c r="H67" i="5"/>
  <c r="H61" i="1"/>
  <c r="H67" i="10"/>
  <c r="H68" i="10" s="1"/>
  <c r="H66" i="23"/>
  <c r="H67" i="23" s="1"/>
  <c r="H61" i="2"/>
  <c r="H62" i="2" s="1"/>
  <c r="H60" i="15"/>
  <c r="H69" i="17"/>
  <c r="H61" i="5"/>
  <c r="H62" i="5" s="1"/>
  <c r="H67" i="1"/>
  <c r="H66" i="19"/>
  <c r="H67" i="19" s="1"/>
  <c r="H67" i="9"/>
  <c r="H68" i="9" s="1"/>
  <c r="H67" i="11"/>
  <c r="H68" i="11" s="1"/>
  <c r="H60" i="23"/>
  <c r="H61" i="23" s="1"/>
  <c r="H66" i="16"/>
  <c r="H66" i="15"/>
  <c r="H61" i="12"/>
  <c r="H61" i="3"/>
  <c r="H60" i="13"/>
  <c r="H61" i="9"/>
  <c r="H62" i="9" s="1"/>
  <c r="H61" i="4"/>
  <c r="H67" i="8"/>
  <c r="H68" i="8" s="1"/>
  <c r="H67" i="2"/>
  <c r="H68" i="2" s="1"/>
  <c r="H68" i="7"/>
  <c r="H67" i="12"/>
  <c r="H68" i="12" s="1"/>
  <c r="H67" i="3"/>
  <c r="H68" i="3" s="1"/>
  <c r="H67" i="14"/>
  <c r="H61" i="6"/>
  <c r="H61" i="11"/>
  <c r="H61" i="14"/>
  <c r="H62" i="7"/>
  <c r="H69" i="7" l="1"/>
  <c r="H70" i="7" s="1"/>
  <c r="H63" i="9"/>
  <c r="H64" i="9" s="1"/>
  <c r="H69" i="19"/>
  <c r="H63" i="5"/>
  <c r="H63" i="2"/>
  <c r="H64" i="2" s="1"/>
  <c r="H69" i="10"/>
  <c r="H70" i="10" s="1"/>
  <c r="H69" i="4"/>
  <c r="H63" i="7"/>
  <c r="H69" i="3"/>
  <c r="H70" i="3" s="1"/>
  <c r="H69" i="12"/>
  <c r="H70" i="12" s="1"/>
  <c r="H69" i="2"/>
  <c r="H69" i="8"/>
  <c r="H62" i="4"/>
  <c r="H62" i="23"/>
  <c r="H63" i="23" s="1"/>
  <c r="H69" i="11"/>
  <c r="H70" i="11" s="1"/>
  <c r="H69" i="9"/>
  <c r="G37" i="24"/>
  <c r="G15" i="28" s="1"/>
  <c r="H69" i="23"/>
  <c r="G30" i="24" s="1"/>
  <c r="H62" i="10"/>
  <c r="H62" i="14"/>
  <c r="H63" i="14" s="1"/>
  <c r="H67" i="16"/>
  <c r="H68" i="1"/>
  <c r="H61" i="15"/>
  <c r="H62" i="8"/>
  <c r="H67" i="13"/>
  <c r="H62" i="11"/>
  <c r="H62" i="6"/>
  <c r="H69" i="14"/>
  <c r="H61" i="13"/>
  <c r="H62" i="3"/>
  <c r="H62" i="12"/>
  <c r="H67" i="15"/>
  <c r="H62" i="1"/>
  <c r="H68" i="5"/>
  <c r="H61" i="16"/>
  <c r="H68" i="6"/>
  <c r="H61" i="19"/>
  <c r="H69" i="5" l="1"/>
  <c r="H70" i="5" s="1"/>
  <c r="G28" i="24"/>
  <c r="G21" i="24"/>
  <c r="H63" i="1"/>
  <c r="H63" i="3"/>
  <c r="H62" i="15"/>
  <c r="H63" i="4"/>
  <c r="H69" i="6"/>
  <c r="H69" i="1"/>
  <c r="H70" i="1" s="1"/>
  <c r="H63" i="12"/>
  <c r="G31" i="24"/>
  <c r="H63" i="6"/>
  <c r="H64" i="6" s="1"/>
  <c r="H63" i="8"/>
  <c r="H63" i="10"/>
  <c r="H62" i="13"/>
  <c r="H63" i="13" s="1"/>
  <c r="H63" i="11"/>
  <c r="H64" i="11" s="1"/>
  <c r="H64" i="7"/>
  <c r="G12" i="24"/>
  <c r="H64" i="5"/>
  <c r="H62" i="19"/>
  <c r="H63" i="19" s="1"/>
  <c r="H62" i="16"/>
  <c r="H63" i="16" s="1"/>
  <c r="H69" i="16"/>
  <c r="G40" i="24" s="1"/>
  <c r="H70" i="9"/>
  <c r="H70" i="8"/>
  <c r="H70" i="2"/>
  <c r="H70" i="4"/>
  <c r="G16" i="24" l="1"/>
  <c r="H69" i="15"/>
  <c r="G15" i="24"/>
  <c r="G17" i="24"/>
  <c r="G23" i="24"/>
  <c r="H64" i="12"/>
  <c r="H70" i="6"/>
  <c r="H64" i="10"/>
  <c r="H64" i="8"/>
  <c r="H69" i="13"/>
  <c r="H64" i="4"/>
  <c r="H63" i="15"/>
  <c r="H64" i="3"/>
  <c r="H64" i="1"/>
  <c r="G11" i="24" l="1"/>
  <c r="G20" i="24"/>
  <c r="G13" i="24"/>
  <c r="G27" i="24"/>
  <c r="G22" i="24"/>
  <c r="G34" i="24"/>
  <c r="G12" i="28" s="1"/>
  <c r="G14" i="24"/>
  <c r="G24" i="24"/>
  <c r="L42" i="13" l="1"/>
  <c r="N42" i="13" s="1"/>
  <c r="O42" i="13" s="1"/>
  <c r="L42" i="19"/>
  <c r="N42" i="19" s="1"/>
  <c r="O42" i="19" s="1"/>
  <c r="L42" i="15"/>
  <c r="N42" i="15" s="1"/>
  <c r="O42" i="15" s="1"/>
  <c r="L42" i="16"/>
  <c r="N42" i="16" s="1"/>
  <c r="O42" i="16" s="1"/>
  <c r="L42" i="14"/>
  <c r="N42" i="14" s="1"/>
  <c r="O42" i="14" s="1"/>
  <c r="L42" i="23"/>
  <c r="N42" i="23" s="1"/>
  <c r="O42" i="23" s="1"/>
  <c r="L43" i="10" l="1"/>
  <c r="N43" i="10" s="1"/>
  <c r="O43" i="10" s="1"/>
  <c r="L43" i="11"/>
  <c r="N43" i="11" s="1"/>
  <c r="O43" i="11" s="1"/>
  <c r="L43" i="12"/>
  <c r="N43" i="12" s="1"/>
  <c r="O43" i="12" s="1"/>
  <c r="L43" i="9"/>
  <c r="N43" i="9" s="1"/>
  <c r="O43" i="9" s="1"/>
  <c r="L43" i="8"/>
  <c r="N43" i="8" s="1"/>
  <c r="O43" i="8" s="1"/>
  <c r="L42" i="17"/>
  <c r="N42" i="17" s="1"/>
  <c r="O42" i="17" s="1"/>
  <c r="L43" i="2" l="1"/>
  <c r="N43" i="2" s="1"/>
  <c r="O43" i="2" s="1"/>
  <c r="L43" i="5"/>
  <c r="N43" i="5" s="1"/>
  <c r="O43" i="5" s="1"/>
  <c r="L43" i="1"/>
  <c r="N43" i="1" s="1"/>
  <c r="O43" i="1" s="1"/>
  <c r="L43" i="3"/>
  <c r="N43" i="3" s="1"/>
  <c r="O43" i="3" s="1"/>
  <c r="L43" i="6"/>
  <c r="N43" i="6" s="1"/>
  <c r="O43" i="6" s="1"/>
  <c r="L43" i="7"/>
  <c r="N43" i="7" s="1"/>
  <c r="O43" i="7" s="1"/>
  <c r="L43" i="4"/>
  <c r="N43" i="4" s="1"/>
  <c r="O43" i="4" s="1"/>
  <c r="L21" i="12" l="1"/>
  <c r="L21" i="8"/>
  <c r="L21" i="11"/>
  <c r="L21" i="10"/>
  <c r="L21" i="9"/>
  <c r="L21" i="17"/>
  <c r="L21" i="16"/>
  <c r="L21" i="19" l="1"/>
  <c r="L21" i="13"/>
  <c r="N21" i="10"/>
  <c r="O21" i="10" s="1"/>
  <c r="N21" i="16"/>
  <c r="O21" i="16" s="1"/>
  <c r="N21" i="11"/>
  <c r="O21" i="11" s="1"/>
  <c r="N21" i="8"/>
  <c r="O21" i="8" s="1"/>
  <c r="N21" i="17"/>
  <c r="O21" i="17" s="1"/>
  <c r="N21" i="9"/>
  <c r="O21" i="9" s="1"/>
  <c r="N21" i="12"/>
  <c r="O21" i="12" s="1"/>
  <c r="L27" i="17"/>
  <c r="N27" i="17" s="1"/>
  <c r="O27" i="17" s="1"/>
  <c r="L27" i="16"/>
  <c r="N27" i="16" s="1"/>
  <c r="O27" i="16" s="1"/>
  <c r="L37" i="17" l="1"/>
  <c r="L27" i="13"/>
  <c r="N27" i="13" s="1"/>
  <c r="O27" i="13" s="1"/>
  <c r="L27" i="19"/>
  <c r="N27" i="19" s="1"/>
  <c r="O27" i="19" s="1"/>
  <c r="L37" i="16"/>
  <c r="N21" i="13"/>
  <c r="O21" i="13" s="1"/>
  <c r="L21" i="6"/>
  <c r="L21" i="5"/>
  <c r="L21" i="2"/>
  <c r="L21" i="3"/>
  <c r="L21" i="7"/>
  <c r="L21" i="1"/>
  <c r="L21" i="4"/>
  <c r="N21" i="19"/>
  <c r="O21" i="19" s="1"/>
  <c r="L37" i="19" l="1"/>
  <c r="N37" i="19" s="1"/>
  <c r="O37" i="19" s="1"/>
  <c r="K28" i="24" s="1"/>
  <c r="L37" i="13"/>
  <c r="N37" i="13" s="1"/>
  <c r="O37" i="13" s="1"/>
  <c r="K27" i="24" s="1"/>
  <c r="N21" i="1"/>
  <c r="O21" i="1" s="1"/>
  <c r="N21" i="5"/>
  <c r="O21" i="5" s="1"/>
  <c r="L45" i="16"/>
  <c r="N37" i="16"/>
  <c r="O37" i="16" s="1"/>
  <c r="K40" i="24" s="1"/>
  <c r="L45" i="19"/>
  <c r="N21" i="7"/>
  <c r="O21" i="7" s="1"/>
  <c r="N21" i="6"/>
  <c r="O21" i="6" s="1"/>
  <c r="N21" i="3"/>
  <c r="O21" i="3" s="1"/>
  <c r="N21" i="4"/>
  <c r="O21" i="4" s="1"/>
  <c r="N21" i="2"/>
  <c r="O21" i="2" s="1"/>
  <c r="L45" i="17"/>
  <c r="N37" i="17"/>
  <c r="O37" i="17" s="1"/>
  <c r="K37" i="24" s="1"/>
  <c r="K15" i="28" s="1"/>
  <c r="L21" i="15"/>
  <c r="L45" i="13" l="1"/>
  <c r="L48" i="13" s="1"/>
  <c r="N21" i="15"/>
  <c r="O21" i="15" s="1"/>
  <c r="L48" i="19"/>
  <c r="N45" i="19"/>
  <c r="O45" i="19" s="1"/>
  <c r="L27" i="8"/>
  <c r="L27" i="9"/>
  <c r="L27" i="10"/>
  <c r="L27" i="12"/>
  <c r="L27" i="11"/>
  <c r="L21" i="14"/>
  <c r="L21" i="23"/>
  <c r="L48" i="17"/>
  <c r="N45" i="17"/>
  <c r="O45" i="17" s="1"/>
  <c r="L48" i="16"/>
  <c r="N45" i="16"/>
  <c r="O45" i="16" s="1"/>
  <c r="L27" i="15"/>
  <c r="N27" i="15" s="1"/>
  <c r="O27" i="15" s="1"/>
  <c r="N45" i="13" l="1"/>
  <c r="O45" i="13" s="1"/>
  <c r="L27" i="14"/>
  <c r="N27" i="14" s="1"/>
  <c r="O27" i="14" s="1"/>
  <c r="L27" i="23"/>
  <c r="N27" i="23" s="1"/>
  <c r="O27" i="23" s="1"/>
  <c r="L65" i="16"/>
  <c r="L59" i="16"/>
  <c r="N48" i="16"/>
  <c r="O48" i="16" s="1"/>
  <c r="N21" i="14"/>
  <c r="O21" i="14" s="1"/>
  <c r="L37" i="14"/>
  <c r="N27" i="9"/>
  <c r="O27" i="9" s="1"/>
  <c r="L37" i="9"/>
  <c r="L65" i="13"/>
  <c r="L59" i="13"/>
  <c r="N48" i="13"/>
  <c r="O48" i="13" s="1"/>
  <c r="N27" i="11"/>
  <c r="O27" i="11" s="1"/>
  <c r="L37" i="11"/>
  <c r="N27" i="8"/>
  <c r="O27" i="8" s="1"/>
  <c r="L37" i="8"/>
  <c r="N48" i="17"/>
  <c r="O48" i="17" s="1"/>
  <c r="L59" i="17"/>
  <c r="L65" i="17"/>
  <c r="N27" i="12"/>
  <c r="O27" i="12" s="1"/>
  <c r="L37" i="12"/>
  <c r="L37" i="15"/>
  <c r="N21" i="23"/>
  <c r="O21" i="23" s="1"/>
  <c r="N27" i="10"/>
  <c r="O27" i="10" s="1"/>
  <c r="L37" i="10"/>
  <c r="N48" i="19"/>
  <c r="O48" i="19" s="1"/>
  <c r="L59" i="19"/>
  <c r="L65" i="19"/>
  <c r="L37" i="23" l="1"/>
  <c r="L66" i="17"/>
  <c r="N66" i="17" s="1"/>
  <c r="O66" i="17" s="1"/>
  <c r="N65" i="17"/>
  <c r="O65" i="17" s="1"/>
  <c r="L60" i="13"/>
  <c r="N60" i="13" s="1"/>
  <c r="O60" i="13" s="1"/>
  <c r="N59" i="13"/>
  <c r="O59" i="13" s="1"/>
  <c r="L45" i="14"/>
  <c r="N37" i="14"/>
  <c r="O37" i="14" s="1"/>
  <c r="K31" i="24" s="1"/>
  <c r="L66" i="16"/>
  <c r="N66" i="16" s="1"/>
  <c r="O66" i="16" s="1"/>
  <c r="N65" i="16"/>
  <c r="O65" i="16" s="1"/>
  <c r="L46" i="10"/>
  <c r="N37" i="10"/>
  <c r="O37" i="10" s="1"/>
  <c r="K22" i="24" s="1"/>
  <c r="N37" i="15"/>
  <c r="O37" i="15" s="1"/>
  <c r="K34" i="24" s="1"/>
  <c r="K12" i="28" s="1"/>
  <c r="L45" i="15"/>
  <c r="L60" i="17"/>
  <c r="N60" i="17" s="1"/>
  <c r="O60" i="17" s="1"/>
  <c r="N59" i="17"/>
  <c r="O59" i="17" s="1"/>
  <c r="L46" i="11"/>
  <c r="N37" i="11"/>
  <c r="O37" i="11" s="1"/>
  <c r="K23" i="24" s="1"/>
  <c r="L66" i="13"/>
  <c r="N66" i="13" s="1"/>
  <c r="O66" i="13" s="1"/>
  <c r="N65" i="13"/>
  <c r="O65" i="13" s="1"/>
  <c r="L66" i="19"/>
  <c r="N66" i="19" s="1"/>
  <c r="O66" i="19" s="1"/>
  <c r="N65" i="19"/>
  <c r="O65" i="19" s="1"/>
  <c r="L46" i="12"/>
  <c r="N37" i="12"/>
  <c r="O37" i="12" s="1"/>
  <c r="K24" i="24" s="1"/>
  <c r="L46" i="9"/>
  <c r="N37" i="9"/>
  <c r="O37" i="9" s="1"/>
  <c r="K21" i="24" s="1"/>
  <c r="K6" i="28" s="1"/>
  <c r="N59" i="19"/>
  <c r="O59" i="19" s="1"/>
  <c r="L60" i="19"/>
  <c r="N60" i="19" s="1"/>
  <c r="O60" i="19" s="1"/>
  <c r="L45" i="23"/>
  <c r="N37" i="23"/>
  <c r="O37" i="23" s="1"/>
  <c r="K30" i="24" s="1"/>
  <c r="N37" i="8"/>
  <c r="O37" i="8" s="1"/>
  <c r="K20" i="24" s="1"/>
  <c r="L46" i="8"/>
  <c r="L60" i="16"/>
  <c r="N60" i="16" s="1"/>
  <c r="O60" i="16" s="1"/>
  <c r="N59" i="16"/>
  <c r="O59" i="16" s="1"/>
  <c r="L67" i="13" l="1"/>
  <c r="N67" i="13" s="1"/>
  <c r="O67" i="13" s="1"/>
  <c r="L67" i="16"/>
  <c r="N67" i="16" s="1"/>
  <c r="O67" i="16" s="1"/>
  <c r="L27" i="6"/>
  <c r="L27" i="2"/>
  <c r="L27" i="1"/>
  <c r="L27" i="4"/>
  <c r="L27" i="3"/>
  <c r="L27" i="7"/>
  <c r="L27" i="5"/>
  <c r="N46" i="10"/>
  <c r="O46" i="10" s="1"/>
  <c r="L49" i="10"/>
  <c r="L48" i="23"/>
  <c r="N45" i="23"/>
  <c r="O45" i="23" s="1"/>
  <c r="N46" i="12"/>
  <c r="O46" i="12" s="1"/>
  <c r="L49" i="12"/>
  <c r="L49" i="11"/>
  <c r="N46" i="11"/>
  <c r="O46" i="11" s="1"/>
  <c r="N45" i="15"/>
  <c r="O45" i="15" s="1"/>
  <c r="L48" i="15"/>
  <c r="L48" i="14"/>
  <c r="N45" i="14"/>
  <c r="O45" i="14" s="1"/>
  <c r="L67" i="17"/>
  <c r="N46" i="8"/>
  <c r="O46" i="8" s="1"/>
  <c r="L49" i="8"/>
  <c r="L61" i="19"/>
  <c r="L67" i="19"/>
  <c r="L61" i="17"/>
  <c r="L61" i="13"/>
  <c r="L61" i="16"/>
  <c r="L49" i="9"/>
  <c r="N46" i="9"/>
  <c r="O46" i="9" s="1"/>
  <c r="N68" i="13" l="1"/>
  <c r="O68" i="13" s="1"/>
  <c r="N68" i="16"/>
  <c r="O68" i="16" s="1"/>
  <c r="L69" i="16"/>
  <c r="N61" i="13"/>
  <c r="O61" i="13" s="1"/>
  <c r="L62" i="13"/>
  <c r="N62" i="13" s="1"/>
  <c r="O62" i="13" s="1"/>
  <c r="N49" i="8"/>
  <c r="O49" i="8" s="1"/>
  <c r="L66" i="8"/>
  <c r="L60" i="8"/>
  <c r="L65" i="14"/>
  <c r="L59" i="14"/>
  <c r="N48" i="14"/>
  <c r="O48" i="14" s="1"/>
  <c r="L65" i="15"/>
  <c r="L59" i="15"/>
  <c r="N48" i="15"/>
  <c r="O48" i="15" s="1"/>
  <c r="L69" i="13"/>
  <c r="N27" i="4"/>
  <c r="O27" i="4" s="1"/>
  <c r="L37" i="4"/>
  <c r="N61" i="17"/>
  <c r="O61" i="17" s="1"/>
  <c r="L62" i="17"/>
  <c r="N62" i="17" s="1"/>
  <c r="O62" i="17" s="1"/>
  <c r="N27" i="5"/>
  <c r="O27" i="5" s="1"/>
  <c r="L37" i="5"/>
  <c r="N27" i="1"/>
  <c r="O27" i="1" s="1"/>
  <c r="L37" i="1"/>
  <c r="L60" i="9"/>
  <c r="N49" i="9"/>
  <c r="O49" i="9" s="1"/>
  <c r="L66" i="9"/>
  <c r="N68" i="19"/>
  <c r="O68" i="19" s="1"/>
  <c r="N67" i="19"/>
  <c r="O67" i="19" s="1"/>
  <c r="N68" i="17"/>
  <c r="O68" i="17" s="1"/>
  <c r="N67" i="17"/>
  <c r="O67" i="17" s="1"/>
  <c r="L59" i="23"/>
  <c r="L65" i="23"/>
  <c r="N48" i="23"/>
  <c r="O48" i="23" s="1"/>
  <c r="N27" i="7"/>
  <c r="O27" i="7" s="1"/>
  <c r="L37" i="7"/>
  <c r="N27" i="2"/>
  <c r="O27" i="2" s="1"/>
  <c r="L37" i="2"/>
  <c r="N61" i="16"/>
  <c r="O61" i="16" s="1"/>
  <c r="L62" i="16"/>
  <c r="N62" i="16" s="1"/>
  <c r="O62" i="16" s="1"/>
  <c r="N61" i="19"/>
  <c r="O61" i="19" s="1"/>
  <c r="L62" i="19"/>
  <c r="N62" i="19" s="1"/>
  <c r="O62" i="19" s="1"/>
  <c r="N49" i="11"/>
  <c r="O49" i="11" s="1"/>
  <c r="L66" i="11"/>
  <c r="L60" i="11"/>
  <c r="L60" i="12"/>
  <c r="L66" i="12"/>
  <c r="N49" i="12"/>
  <c r="O49" i="12" s="1"/>
  <c r="L66" i="10"/>
  <c r="L60" i="10"/>
  <c r="N49" i="10"/>
  <c r="O49" i="10" s="1"/>
  <c r="N27" i="3"/>
  <c r="O27" i="3" s="1"/>
  <c r="L37" i="3"/>
  <c r="N27" i="6"/>
  <c r="O27" i="6" s="1"/>
  <c r="L37" i="6"/>
  <c r="I44" i="24" l="1"/>
  <c r="H40" i="24"/>
  <c r="I40" i="24" s="1"/>
  <c r="J40" i="24" s="1"/>
  <c r="N69" i="16"/>
  <c r="O69" i="16" s="1"/>
  <c r="L63" i="17"/>
  <c r="N63" i="17" s="1"/>
  <c r="O63" i="17" s="1"/>
  <c r="L69" i="17"/>
  <c r="N69" i="17" s="1"/>
  <c r="O69" i="17" s="1"/>
  <c r="L63" i="16"/>
  <c r="N63" i="16" s="1"/>
  <c r="O63" i="16" s="1"/>
  <c r="N60" i="10"/>
  <c r="O60" i="10" s="1"/>
  <c r="L61" i="10"/>
  <c r="N61" i="10" s="1"/>
  <c r="O61" i="10" s="1"/>
  <c r="N60" i="12"/>
  <c r="O60" i="12" s="1"/>
  <c r="L61" i="12"/>
  <c r="N61" i="12" s="1"/>
  <c r="O61" i="12" s="1"/>
  <c r="L63" i="19"/>
  <c r="N63" i="19" s="1"/>
  <c r="O63" i="19" s="1"/>
  <c r="N37" i="7"/>
  <c r="O37" i="7" s="1"/>
  <c r="K17" i="24" s="1"/>
  <c r="L46" i="7"/>
  <c r="L60" i="23"/>
  <c r="N60" i="23" s="1"/>
  <c r="O60" i="23" s="1"/>
  <c r="N59" i="23"/>
  <c r="O59" i="23" s="1"/>
  <c r="L69" i="19"/>
  <c r="L46" i="1"/>
  <c r="N37" i="1"/>
  <c r="O37" i="1" s="1"/>
  <c r="K11" i="24" s="1"/>
  <c r="N59" i="14"/>
  <c r="O59" i="14" s="1"/>
  <c r="L60" i="14"/>
  <c r="N60" i="14" s="1"/>
  <c r="O60" i="14" s="1"/>
  <c r="N37" i="3"/>
  <c r="O37" i="3" s="1"/>
  <c r="K13" i="24" s="1"/>
  <c r="L46" i="3"/>
  <c r="N66" i="10"/>
  <c r="O66" i="10" s="1"/>
  <c r="L67" i="10"/>
  <c r="N67" i="10" s="1"/>
  <c r="O67" i="10" s="1"/>
  <c r="L61" i="11"/>
  <c r="N61" i="11" s="1"/>
  <c r="O61" i="11" s="1"/>
  <c r="N60" i="11"/>
  <c r="O60" i="11" s="1"/>
  <c r="N60" i="9"/>
  <c r="O60" i="9" s="1"/>
  <c r="L61" i="9"/>
  <c r="N61" i="9" s="1"/>
  <c r="O61" i="9" s="1"/>
  <c r="N37" i="4"/>
  <c r="O37" i="4" s="1"/>
  <c r="K14" i="24" s="1"/>
  <c r="K3" i="28" s="1"/>
  <c r="L46" i="4"/>
  <c r="L60" i="15"/>
  <c r="N60" i="15" s="1"/>
  <c r="O60" i="15" s="1"/>
  <c r="N59" i="15"/>
  <c r="O59" i="15" s="1"/>
  <c r="N65" i="14"/>
  <c r="O65" i="14" s="1"/>
  <c r="L66" i="14"/>
  <c r="N66" i="14" s="1"/>
  <c r="O66" i="14" s="1"/>
  <c r="L63" i="13"/>
  <c r="N63" i="13" s="1"/>
  <c r="O63" i="13" s="1"/>
  <c r="L67" i="11"/>
  <c r="N67" i="11" s="1"/>
  <c r="O67" i="11" s="1"/>
  <c r="N66" i="11"/>
  <c r="O66" i="11" s="1"/>
  <c r="N37" i="2"/>
  <c r="O37" i="2" s="1"/>
  <c r="K12" i="24" s="1"/>
  <c r="L46" i="2"/>
  <c r="N37" i="5"/>
  <c r="O37" i="5" s="1"/>
  <c r="K15" i="24" s="1"/>
  <c r="L46" i="5"/>
  <c r="L66" i="15"/>
  <c r="N66" i="15" s="1"/>
  <c r="O66" i="15" s="1"/>
  <c r="N65" i="15"/>
  <c r="O65" i="15" s="1"/>
  <c r="L61" i="8"/>
  <c r="N61" i="8" s="1"/>
  <c r="O61" i="8" s="1"/>
  <c r="N60" i="8"/>
  <c r="O60" i="8" s="1"/>
  <c r="L46" i="6"/>
  <c r="N37" i="6"/>
  <c r="O37" i="6" s="1"/>
  <c r="K16" i="24" s="1"/>
  <c r="L67" i="12"/>
  <c r="N67" i="12" s="1"/>
  <c r="O67" i="12" s="1"/>
  <c r="N66" i="12"/>
  <c r="O66" i="12" s="1"/>
  <c r="N65" i="23"/>
  <c r="O65" i="23" s="1"/>
  <c r="L66" i="23"/>
  <c r="N66" i="23" s="1"/>
  <c r="O66" i="23" s="1"/>
  <c r="N66" i="9"/>
  <c r="O66" i="9" s="1"/>
  <c r="L67" i="9"/>
  <c r="N67" i="9" s="1"/>
  <c r="O67" i="9" s="1"/>
  <c r="H27" i="24"/>
  <c r="I27" i="24" s="1"/>
  <c r="J27" i="24" s="1"/>
  <c r="N69" i="13"/>
  <c r="O69" i="13" s="1"/>
  <c r="L67" i="8"/>
  <c r="N67" i="8" s="1"/>
  <c r="O67" i="8" s="1"/>
  <c r="N66" i="8"/>
  <c r="O66" i="8" s="1"/>
  <c r="J44" i="24" l="1"/>
  <c r="J21" i="28" s="1"/>
  <c r="I21" i="28"/>
  <c r="H37" i="24"/>
  <c r="L68" i="8"/>
  <c r="N68" i="8" s="1"/>
  <c r="O68" i="8" s="1"/>
  <c r="L61" i="15"/>
  <c r="N61" i="15" s="1"/>
  <c r="O61" i="15" s="1"/>
  <c r="L67" i="23"/>
  <c r="N68" i="23" s="1"/>
  <c r="O68" i="23" s="1"/>
  <c r="L61" i="14"/>
  <c r="N61" i="14" s="1"/>
  <c r="O61" i="14" s="1"/>
  <c r="L62" i="12"/>
  <c r="N62" i="12" s="1"/>
  <c r="O62" i="12" s="1"/>
  <c r="L61" i="23"/>
  <c r="L62" i="23" s="1"/>
  <c r="N62" i="23" s="1"/>
  <c r="O62" i="23" s="1"/>
  <c r="L62" i="8"/>
  <c r="N62" i="8" s="1"/>
  <c r="O62" i="8" s="1"/>
  <c r="L62" i="11"/>
  <c r="L63" i="11" s="1"/>
  <c r="N63" i="11" s="1"/>
  <c r="O63" i="11" s="1"/>
  <c r="L49" i="5"/>
  <c r="N46" i="5"/>
  <c r="O46" i="5" s="1"/>
  <c r="L68" i="11"/>
  <c r="L49" i="3"/>
  <c r="N46" i="3"/>
  <c r="O46" i="3" s="1"/>
  <c r="L68" i="12"/>
  <c r="N46" i="6"/>
  <c r="O46" i="6" s="1"/>
  <c r="L49" i="6"/>
  <c r="L67" i="15"/>
  <c r="L67" i="14"/>
  <c r="L62" i="9"/>
  <c r="L68" i="10"/>
  <c r="L62" i="10"/>
  <c r="N46" i="2"/>
  <c r="O46" i="2" s="1"/>
  <c r="L49" i="2"/>
  <c r="L49" i="1"/>
  <c r="N46" i="1"/>
  <c r="O46" i="1" s="1"/>
  <c r="L68" i="9"/>
  <c r="L49" i="4"/>
  <c r="N46" i="4"/>
  <c r="O46" i="4" s="1"/>
  <c r="N69" i="19"/>
  <c r="O69" i="19" s="1"/>
  <c r="H28" i="24"/>
  <c r="I28" i="24" s="1"/>
  <c r="J28" i="24" s="1"/>
  <c r="L49" i="7"/>
  <c r="N46" i="7"/>
  <c r="O46" i="7" s="1"/>
  <c r="I37" i="24" l="1"/>
  <c r="H15" i="28"/>
  <c r="J37" i="24"/>
  <c r="J15" i="28" s="1"/>
  <c r="I15" i="28"/>
  <c r="L62" i="14"/>
  <c r="N62" i="14" s="1"/>
  <c r="O62" i="14" s="1"/>
  <c r="L63" i="12"/>
  <c r="N63" i="12" s="1"/>
  <c r="O63" i="12" s="1"/>
  <c r="L69" i="8"/>
  <c r="N69" i="8" s="1"/>
  <c r="O69" i="8" s="1"/>
  <c r="N67" i="23"/>
  <c r="O67" i="23" s="1"/>
  <c r="N61" i="23"/>
  <c r="O61" i="23" s="1"/>
  <c r="L62" i="15"/>
  <c r="N62" i="15" s="1"/>
  <c r="O62" i="15" s="1"/>
  <c r="L63" i="8"/>
  <c r="N63" i="8" s="1"/>
  <c r="O63" i="8" s="1"/>
  <c r="N62" i="11"/>
  <c r="O62" i="11" s="1"/>
  <c r="L69" i="23"/>
  <c r="H30" i="24" s="1"/>
  <c r="I30" i="24" s="1"/>
  <c r="J30" i="24" s="1"/>
  <c r="L64" i="11"/>
  <c r="N64" i="11" s="1"/>
  <c r="O64" i="11" s="1"/>
  <c r="N68" i="14"/>
  <c r="O68" i="14" s="1"/>
  <c r="N67" i="14"/>
  <c r="O67" i="14" s="1"/>
  <c r="N68" i="12"/>
  <c r="O68" i="12" s="1"/>
  <c r="L69" i="12"/>
  <c r="N69" i="12" s="1"/>
  <c r="O69" i="12" s="1"/>
  <c r="L60" i="7"/>
  <c r="N49" i="7"/>
  <c r="O49" i="7" s="1"/>
  <c r="L66" i="7"/>
  <c r="L60" i="4"/>
  <c r="L66" i="4"/>
  <c r="N49" i="4"/>
  <c r="O49" i="4" s="1"/>
  <c r="L63" i="10"/>
  <c r="N63" i="10" s="1"/>
  <c r="O63" i="10" s="1"/>
  <c r="N62" i="10"/>
  <c r="O62" i="10" s="1"/>
  <c r="N68" i="15"/>
  <c r="O68" i="15" s="1"/>
  <c r="N67" i="15"/>
  <c r="O67" i="15" s="1"/>
  <c r="L63" i="23"/>
  <c r="N63" i="23" s="1"/>
  <c r="O63" i="23" s="1"/>
  <c r="L66" i="3"/>
  <c r="L60" i="3"/>
  <c r="N49" i="3"/>
  <c r="O49" i="3" s="1"/>
  <c r="N68" i="11"/>
  <c r="O68" i="11" s="1"/>
  <c r="L69" i="11"/>
  <c r="N69" i="11" s="1"/>
  <c r="O69" i="11" s="1"/>
  <c r="L69" i="9"/>
  <c r="N69" i="9" s="1"/>
  <c r="O69" i="9" s="1"/>
  <c r="N68" i="9"/>
  <c r="O68" i="9" s="1"/>
  <c r="N49" i="2"/>
  <c r="O49" i="2" s="1"/>
  <c r="L66" i="2"/>
  <c r="L60" i="2"/>
  <c r="L69" i="10"/>
  <c r="N69" i="10" s="1"/>
  <c r="O69" i="10" s="1"/>
  <c r="N68" i="10"/>
  <c r="O68" i="10" s="1"/>
  <c r="N49" i="6"/>
  <c r="O49" i="6" s="1"/>
  <c r="L66" i="6"/>
  <c r="L60" i="6"/>
  <c r="L60" i="1"/>
  <c r="L66" i="1"/>
  <c r="N49" i="1"/>
  <c r="O49" i="1" s="1"/>
  <c r="L63" i="9"/>
  <c r="N63" i="9" s="1"/>
  <c r="O63" i="9" s="1"/>
  <c r="N62" i="9"/>
  <c r="O62" i="9" s="1"/>
  <c r="L66" i="5"/>
  <c r="L60" i="5"/>
  <c r="N49" i="5"/>
  <c r="O49" i="5" s="1"/>
  <c r="L63" i="14" l="1"/>
  <c r="N63" i="14" s="1"/>
  <c r="O63" i="14" s="1"/>
  <c r="L64" i="12"/>
  <c r="L70" i="8"/>
  <c r="N70" i="8" s="1"/>
  <c r="O70" i="8" s="1"/>
  <c r="L64" i="8"/>
  <c r="H20" i="24" s="1"/>
  <c r="I20" i="24" s="1"/>
  <c r="J20" i="24" s="1"/>
  <c r="L63" i="15"/>
  <c r="N63" i="15" s="1"/>
  <c r="O63" i="15" s="1"/>
  <c r="H23" i="24"/>
  <c r="I23" i="24" s="1"/>
  <c r="J23" i="24" s="1"/>
  <c r="N69" i="23"/>
  <c r="O69" i="23" s="1"/>
  <c r="N64" i="8"/>
  <c r="O64" i="8" s="1"/>
  <c r="L64" i="9"/>
  <c r="H21" i="24" s="1"/>
  <c r="L70" i="9"/>
  <c r="N70" i="9" s="1"/>
  <c r="O70" i="9" s="1"/>
  <c r="L69" i="15"/>
  <c r="H34" i="24" s="1"/>
  <c r="L70" i="11"/>
  <c r="N70" i="11" s="1"/>
  <c r="O70" i="11" s="1"/>
  <c r="N66" i="1"/>
  <c r="O66" i="1" s="1"/>
  <c r="L67" i="1"/>
  <c r="N67" i="1" s="1"/>
  <c r="O67" i="1" s="1"/>
  <c r="L61" i="6"/>
  <c r="N61" i="6" s="1"/>
  <c r="O61" i="6" s="1"/>
  <c r="N60" i="6"/>
  <c r="O60" i="6" s="1"/>
  <c r="N60" i="3"/>
  <c r="O60" i="3" s="1"/>
  <c r="L61" i="3"/>
  <c r="N61" i="3" s="1"/>
  <c r="O61" i="3" s="1"/>
  <c r="L67" i="7"/>
  <c r="N67" i="7" s="1"/>
  <c r="O67" i="7" s="1"/>
  <c r="N66" i="7"/>
  <c r="O66" i="7" s="1"/>
  <c r="L61" i="1"/>
  <c r="N61" i="1" s="1"/>
  <c r="O61" i="1" s="1"/>
  <c r="N60" i="1"/>
  <c r="O60" i="1" s="1"/>
  <c r="L67" i="6"/>
  <c r="N67" i="6" s="1"/>
  <c r="O67" i="6" s="1"/>
  <c r="N66" i="6"/>
  <c r="O66" i="6" s="1"/>
  <c r="N66" i="3"/>
  <c r="O66" i="3" s="1"/>
  <c r="L67" i="3"/>
  <c r="N67" i="3" s="1"/>
  <c r="O67" i="3" s="1"/>
  <c r="N60" i="5"/>
  <c r="O60" i="5" s="1"/>
  <c r="L61" i="5"/>
  <c r="N61" i="5" s="1"/>
  <c r="O61" i="5" s="1"/>
  <c r="H24" i="24"/>
  <c r="I24" i="24" s="1"/>
  <c r="J24" i="24" s="1"/>
  <c r="N64" i="12"/>
  <c r="O64" i="12" s="1"/>
  <c r="L61" i="2"/>
  <c r="N61" i="2" s="1"/>
  <c r="O61" i="2" s="1"/>
  <c r="N60" i="2"/>
  <c r="O60" i="2" s="1"/>
  <c r="L64" i="10"/>
  <c r="L67" i="4"/>
  <c r="N67" i="4" s="1"/>
  <c r="O67" i="4" s="1"/>
  <c r="N66" i="4"/>
  <c r="O66" i="4" s="1"/>
  <c r="N60" i="7"/>
  <c r="O60" i="7" s="1"/>
  <c r="L61" i="7"/>
  <c r="N61" i="7" s="1"/>
  <c r="O61" i="7" s="1"/>
  <c r="L69" i="14"/>
  <c r="N66" i="5"/>
  <c r="O66" i="5" s="1"/>
  <c r="L67" i="5"/>
  <c r="N67" i="5" s="1"/>
  <c r="O67" i="5" s="1"/>
  <c r="L70" i="10"/>
  <c r="N70" i="10" s="1"/>
  <c r="O70" i="10" s="1"/>
  <c r="N66" i="2"/>
  <c r="O66" i="2" s="1"/>
  <c r="L67" i="2"/>
  <c r="N67" i="2" s="1"/>
  <c r="O67" i="2" s="1"/>
  <c r="N60" i="4"/>
  <c r="O60" i="4" s="1"/>
  <c r="L61" i="4"/>
  <c r="N61" i="4" s="1"/>
  <c r="O61" i="4" s="1"/>
  <c r="L70" i="12"/>
  <c r="N70" i="12" s="1"/>
  <c r="O70" i="12" s="1"/>
  <c r="I34" i="24" l="1"/>
  <c r="H12" i="28"/>
  <c r="I21" i="24"/>
  <c r="H6" i="28"/>
  <c r="N69" i="15"/>
  <c r="O69" i="15" s="1"/>
  <c r="N64" i="9"/>
  <c r="O64" i="9" s="1"/>
  <c r="L62" i="2"/>
  <c r="N62" i="2" s="1"/>
  <c r="O62" i="2" s="1"/>
  <c r="L68" i="6"/>
  <c r="L69" i="6" s="1"/>
  <c r="N69" i="6" s="1"/>
  <c r="O69" i="6" s="1"/>
  <c r="L68" i="3"/>
  <c r="N68" i="3" s="1"/>
  <c r="O68" i="3" s="1"/>
  <c r="L68" i="7"/>
  <c r="N68" i="7" s="1"/>
  <c r="O68" i="7" s="1"/>
  <c r="L62" i="5"/>
  <c r="N62" i="5" s="1"/>
  <c r="O62" i="5" s="1"/>
  <c r="L62" i="6"/>
  <c r="L63" i="6" s="1"/>
  <c r="N63" i="6" s="1"/>
  <c r="O63" i="6" s="1"/>
  <c r="L68" i="1"/>
  <c r="N68" i="1" s="1"/>
  <c r="O68" i="1" s="1"/>
  <c r="L62" i="1"/>
  <c r="L63" i="1" s="1"/>
  <c r="N63" i="1" s="1"/>
  <c r="O63" i="1" s="1"/>
  <c r="L62" i="4"/>
  <c r="N62" i="4" s="1"/>
  <c r="O62" i="4" s="1"/>
  <c r="L68" i="4"/>
  <c r="L69" i="4" s="1"/>
  <c r="N69" i="4" s="1"/>
  <c r="O69" i="4" s="1"/>
  <c r="L62" i="3"/>
  <c r="N62" i="3" s="1"/>
  <c r="O62" i="3" s="1"/>
  <c r="H22" i="24"/>
  <c r="I22" i="24" s="1"/>
  <c r="J22" i="24" s="1"/>
  <c r="N64" i="10"/>
  <c r="O64" i="10" s="1"/>
  <c r="N69" i="14"/>
  <c r="O69" i="14" s="1"/>
  <c r="H31" i="24"/>
  <c r="I31" i="24" s="1"/>
  <c r="J31" i="24" s="1"/>
  <c r="L68" i="2"/>
  <c r="L68" i="5"/>
  <c r="L62" i="7"/>
  <c r="N68" i="6" l="1"/>
  <c r="O68" i="6" s="1"/>
  <c r="J34" i="24"/>
  <c r="J12" i="28" s="1"/>
  <c r="I12" i="28"/>
  <c r="J21" i="24"/>
  <c r="J6" i="28" s="1"/>
  <c r="I6" i="28"/>
  <c r="L63" i="2"/>
  <c r="N63" i="2" s="1"/>
  <c r="O63" i="2" s="1"/>
  <c r="L69" i="1"/>
  <c r="N69" i="1" s="1"/>
  <c r="O69" i="1" s="1"/>
  <c r="L69" i="3"/>
  <c r="N69" i="3" s="1"/>
  <c r="O69" i="3" s="1"/>
  <c r="N68" i="4"/>
  <c r="O68" i="4" s="1"/>
  <c r="N62" i="6"/>
  <c r="O62" i="6" s="1"/>
  <c r="L63" i="5"/>
  <c r="N63" i="5" s="1"/>
  <c r="O63" i="5" s="1"/>
  <c r="L63" i="4"/>
  <c r="N63" i="4" s="1"/>
  <c r="O63" i="4" s="1"/>
  <c r="L63" i="3"/>
  <c r="N63" i="3" s="1"/>
  <c r="O63" i="3" s="1"/>
  <c r="L69" i="7"/>
  <c r="N69" i="7" s="1"/>
  <c r="O69" i="7" s="1"/>
  <c r="N62" i="1"/>
  <c r="O62" i="1" s="1"/>
  <c r="L64" i="1"/>
  <c r="H11" i="24" s="1"/>
  <c r="I11" i="24" s="1"/>
  <c r="J11" i="24" s="1"/>
  <c r="N62" i="7"/>
  <c r="O62" i="7" s="1"/>
  <c r="L63" i="7"/>
  <c r="N63" i="7" s="1"/>
  <c r="O63" i="7" s="1"/>
  <c r="L70" i="4"/>
  <c r="N70" i="4" s="1"/>
  <c r="O70" i="4" s="1"/>
  <c r="L64" i="6"/>
  <c r="N68" i="5"/>
  <c r="O68" i="5" s="1"/>
  <c r="L69" i="5"/>
  <c r="N69" i="5" s="1"/>
  <c r="O69" i="5" s="1"/>
  <c r="L70" i="6"/>
  <c r="N70" i="6" s="1"/>
  <c r="O70" i="6" s="1"/>
  <c r="N68" i="2"/>
  <c r="O68" i="2" s="1"/>
  <c r="L69" i="2"/>
  <c r="N69" i="2" s="1"/>
  <c r="O69" i="2" s="1"/>
  <c r="L70" i="1" l="1"/>
  <c r="N70" i="1" s="1"/>
  <c r="O70" i="1" s="1"/>
  <c r="L70" i="3"/>
  <c r="N70" i="3" s="1"/>
  <c r="O70" i="3" s="1"/>
  <c r="L64" i="2"/>
  <c r="N64" i="2" s="1"/>
  <c r="O64" i="2" s="1"/>
  <c r="L64" i="5"/>
  <c r="N64" i="5" s="1"/>
  <c r="O64" i="5" s="1"/>
  <c r="L64" i="4"/>
  <c r="N64" i="4" s="1"/>
  <c r="O64" i="4" s="1"/>
  <c r="L70" i="7"/>
  <c r="N70" i="7" s="1"/>
  <c r="O70" i="7" s="1"/>
  <c r="L64" i="3"/>
  <c r="N64" i="1"/>
  <c r="O64" i="1" s="1"/>
  <c r="L70" i="2"/>
  <c r="N70" i="2" s="1"/>
  <c r="O70" i="2" s="1"/>
  <c r="L64" i="7"/>
  <c r="H12" i="24"/>
  <c r="I12" i="24" s="1"/>
  <c r="J12" i="24" s="1"/>
  <c r="H15" i="24"/>
  <c r="I15" i="24" s="1"/>
  <c r="J15" i="24" s="1"/>
  <c r="L70" i="5"/>
  <c r="N70" i="5" s="1"/>
  <c r="O70" i="5" s="1"/>
  <c r="N64" i="6"/>
  <c r="O64" i="6" s="1"/>
  <c r="H16" i="24"/>
  <c r="I16" i="24" s="1"/>
  <c r="J16" i="24" s="1"/>
  <c r="H14" i="24" l="1"/>
  <c r="H13" i="24"/>
  <c r="I13" i="24" s="1"/>
  <c r="J13" i="24" s="1"/>
  <c r="N64" i="3"/>
  <c r="O64" i="3" s="1"/>
  <c r="N64" i="7"/>
  <c r="O64" i="7" s="1"/>
  <c r="H17" i="24"/>
  <c r="I17" i="24" s="1"/>
  <c r="J17" i="24" s="1"/>
  <c r="I14" i="24" l="1"/>
  <c r="H3" i="28"/>
  <c r="J14" i="24" l="1"/>
  <c r="J3" i="28" s="1"/>
  <c r="I3" i="28"/>
</calcChain>
</file>

<file path=xl/comments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0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1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2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3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4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5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6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7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8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9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0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<sst xmlns="http://schemas.openxmlformats.org/spreadsheetml/2006/main" count="2277" uniqueCount="101">
  <si>
    <t>File Number: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</si>
  <si>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</si>
  <si>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</si>
  <si>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</si>
  <si>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</si>
  <si>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</si>
  <si>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</si>
  <si>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</si>
  <si>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</si>
  <si>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</si>
  <si>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</si>
  <si>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</si>
  <si>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</si>
  <si>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</si>
  <si>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</si>
  <si>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</si>
  <si>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</si>
  <si>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</si>
  <si>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</si>
  <si>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</si>
  <si>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</si>
  <si>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</si>
  <si>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</si>
  <si>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</si>
  <si>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</si>
  <si>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</si>
  <si>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</si>
  <si>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</si>
  <si>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</si>
  <si>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</si>
  <si>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</si>
  <si>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</si>
  <si>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</si>
  <si>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</si>
  <si>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</si>
  <si>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</si>
  <si>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</si>
  <si>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</si>
  <si>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</si>
  <si>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</si>
  <si>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</si>
  <si>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</si>
  <si>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</si>
  <si>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</si>
  <si>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</si>
  <si>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</si>
  <si>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</si>
  <si>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</si>
  <si>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</si>
  <si>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</si>
  <si>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</si>
  <si>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</si>
  <si>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</si>
  <si>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</si>
  <si>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</si>
  <si>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</si>
  <si>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</si>
  <si>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</si>
  <si>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</si>
  <si>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</si>
  <si>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</si>
  <si>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per kWh</t>
  </si>
  <si>
    <t>Rate Rider for Disposal of Residual Historical Smart Meter Costs - effective until April 30, 2014</t>
  </si>
  <si>
    <t>Rate Rider for Smart Meter Incremental Revenue Requirement</t>
  </si>
  <si>
    <t>Stranded Meter Rate Rider (SMRR)</t>
  </si>
  <si>
    <t xml:space="preserve">Rate Rider for Application of Tax Change </t>
  </si>
  <si>
    <t>Rate Rider for Accounts 1575 and 1576</t>
  </si>
  <si>
    <t>GS &lt; 50 kW</t>
  </si>
  <si>
    <t>non-TOU</t>
  </si>
  <si>
    <t>kW</t>
  </si>
  <si>
    <t>per kW</t>
  </si>
  <si>
    <t>Large Use</t>
  </si>
  <si>
    <t>Street Lighting</t>
  </si>
  <si>
    <t>Unmetered Scattered Load</t>
  </si>
  <si>
    <t>Rate Rider for Disposition of Global Adjustment Sub-Account(Applicable only for Non-RPP Customers)</t>
  </si>
  <si>
    <t>Sheet:</t>
  </si>
  <si>
    <t>Filed:</t>
  </si>
  <si>
    <t>Rate Class</t>
  </si>
  <si>
    <t>kWh</t>
  </si>
  <si>
    <t># of Connections</t>
  </si>
  <si>
    <t>$ Difference</t>
  </si>
  <si>
    <t>Time-of-Use</t>
  </si>
  <si>
    <t>USL</t>
  </si>
  <si>
    <t>Interrogatory:</t>
  </si>
  <si>
    <t>Energy - RPP - Tier 1 - Set at 600 kWh</t>
  </si>
  <si>
    <t>GS 50-4,999 kW</t>
  </si>
  <si>
    <t>2015 Bill $</t>
  </si>
  <si>
    <t>2016 Bill $</t>
  </si>
  <si>
    <t>Rate Rider for LRAMVA</t>
  </si>
  <si>
    <t>Embedded Distributor</t>
  </si>
  <si>
    <t>Stranded Meter Rate Rider (SMRR) - 3 YR v02</t>
  </si>
  <si>
    <t>GS 50-4999 kW</t>
  </si>
  <si>
    <t>Total Bill Impact %</t>
  </si>
  <si>
    <t xml:space="preserve">Stranded Meter Rate Rider (SMRR) </t>
  </si>
  <si>
    <t>EB-2015-0108</t>
  </si>
  <si>
    <t>Exhibit:</t>
  </si>
  <si>
    <t>Tab:</t>
  </si>
  <si>
    <t>Attachment 8-4</t>
  </si>
  <si>
    <t>COP Spot Price - Apr/15 Navigant</t>
  </si>
  <si>
    <t>Distribution Bill Impact % *</t>
  </si>
  <si>
    <t xml:space="preserve"> * Excludes Pass Through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</si>
</sst>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0.000%"/>
    <numFmt numFmtId="167" formatCode="[$-409]mmmm\ d\,\ yyyy;@"/>
    <numFmt numFmtId="168" formatCode="_-&quot;$&quot;* #,##0.00000_-;\-&quot;$&quot;* #,##0.00000_-;_-&quot;$&quot;* &quot;-&quot;??_-;_-@_-"/>
    <numFmt numFmtId="169" formatCode="_(* #,##0_);_(* \(#,##0\);_(* &quot;-&quot;??_);_(@_)"/>
    <numFmt numFmtId="170" formatCode="_(&quot;$&quot;* #,##0.0000_);_(&quot;$&quot;* \(#,##0.00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FF00FF"/>
      <name val="Calibri"/>
      <family val="2"/>
      <scheme val="minor"/>
    </font>
    <font>
      <i/>
      <sz val="9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0" borderId="0"/>
    <xf numFmtId="9" fontId="15" fillId="0" borderId="0" applyFont="0" applyFill="0" applyBorder="0" applyAlignment="0" applyProtection="0"/>
  </cellStyleXfs>
  <cellXfs count="400">
    <xf numFmtId="0" fontId="0" fillId="0" borderId="0" xfId="0"/>
    <xf numFmtId="0" fontId="1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164" fontId="2" fillId="4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quotePrefix="1" applyFont="1" applyBorder="1" applyAlignment="1" applyProtection="1">
      <alignment horizontal="center"/>
    </xf>
    <xf numFmtId="0" fontId="2" fillId="0" borderId="6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15" fillId="4" borderId="7" xfId="2" applyNumberFormat="1" applyFont="1" applyFill="1" applyBorder="1" applyAlignment="1" applyProtection="1">
      <alignment vertical="top"/>
      <protection locked="0"/>
    </xf>
    <xf numFmtId="0" fontId="0" fillId="0" borderId="7" xfId="0" applyFill="1" applyBorder="1" applyAlignment="1" applyProtection="1">
      <alignment vertical="center"/>
    </xf>
    <xf numFmtId="44" fontId="15" fillId="0" borderId="3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15" fillId="4" borderId="7" xfId="2" applyNumberFormat="1" applyFont="1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</xf>
    <xf numFmtId="44" fontId="0" fillId="0" borderId="7" xfId="0" applyNumberFormat="1" applyBorder="1" applyAlignment="1" applyProtection="1">
      <alignment vertical="center"/>
    </xf>
    <xf numFmtId="10" fontId="15" fillId="0" borderId="3" xfId="4" applyNumberFormat="1" applyFont="1" applyBorder="1" applyAlignment="1" applyProtection="1">
      <alignment vertical="center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Protection="1"/>
    <xf numFmtId="0" fontId="2" fillId="5" borderId="8" xfId="0" applyFont="1" applyFill="1" applyBorder="1" applyAlignment="1" applyProtection="1">
      <alignment vertical="top"/>
      <protection locked="0"/>
    </xf>
    <xf numFmtId="0" fontId="0" fillId="5" borderId="9" xfId="0" applyFill="1" applyBorder="1" applyAlignment="1" applyProtection="1">
      <alignment vertical="top"/>
    </xf>
    <xf numFmtId="0" fontId="0" fillId="5" borderId="9" xfId="0" applyFill="1" applyBorder="1" applyAlignment="1" applyProtection="1">
      <alignment vertical="top"/>
      <protection locked="0"/>
    </xf>
    <xf numFmtId="165" fontId="15" fillId="5" borderId="1" xfId="2" applyNumberFormat="1" applyFont="1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alignment vertical="center"/>
      <protection locked="0"/>
    </xf>
    <xf numFmtId="44" fontId="15" fillId="5" borderId="10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15" fillId="5" borderId="1" xfId="2" applyNumberFormat="1" applyFon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44" fontId="2" fillId="5" borderId="1" xfId="0" applyNumberFormat="1" applyFont="1" applyFill="1" applyBorder="1" applyAlignment="1" applyProtection="1">
      <alignment vertical="center"/>
    </xf>
    <xf numFmtId="10" fontId="2" fillId="5" borderId="10" xfId="4" applyNumberFormat="1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top" wrapText="1"/>
    </xf>
    <xf numFmtId="0" fontId="0" fillId="0" borderId="11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2" fillId="5" borderId="8" xfId="0" applyFont="1" applyFill="1" applyBorder="1" applyAlignment="1" applyProtection="1">
      <alignment vertical="top" wrapText="1"/>
    </xf>
    <xf numFmtId="0" fontId="0" fillId="5" borderId="9" xfId="0" applyFill="1" applyBorder="1" applyProtection="1"/>
    <xf numFmtId="0" fontId="0" fillId="5" borderId="1" xfId="0" applyFill="1" applyBorder="1" applyProtection="1"/>
    <xf numFmtId="0" fontId="0" fillId="5" borderId="1" xfId="0" applyFill="1" applyBorder="1" applyAlignment="1" applyProtection="1">
      <alignment vertical="center"/>
    </xf>
    <xf numFmtId="44" fontId="2" fillId="5" borderId="10" xfId="0" applyNumberFormat="1" applyFont="1" applyFill="1" applyBorder="1" applyAlignment="1" applyProtection="1">
      <alignment vertical="center"/>
    </xf>
    <xf numFmtId="0" fontId="0" fillId="5" borderId="1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1" xfId="0" applyFill="1" applyBorder="1" applyAlignment="1" applyProtection="1">
      <alignment vertical="top"/>
    </xf>
    <xf numFmtId="0" fontId="2" fillId="5" borderId="0" xfId="0" applyFont="1" applyFill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5" fillId="4" borderId="7" xfId="2" applyNumberFormat="1" applyFill="1" applyBorder="1" applyAlignment="1" applyProtection="1">
      <alignment vertical="top"/>
      <protection locked="0"/>
    </xf>
    <xf numFmtId="44" fontId="15" fillId="0" borderId="3" xfId="2" applyBorder="1" applyAlignment="1" applyProtection="1">
      <alignment vertical="center"/>
    </xf>
    <xf numFmtId="165" fontId="15" fillId="4" borderId="7" xfId="2" applyNumberFormat="1" applyFill="1" applyBorder="1" applyAlignment="1" applyProtection="1">
      <alignment vertical="center"/>
      <protection locked="0"/>
    </xf>
    <xf numFmtId="10" fontId="15" fillId="0" borderId="3" xfId="4" applyNumberFormat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" fontId="0" fillId="0" borderId="3" xfId="0" applyNumberFormat="1" applyFill="1" applyBorder="1" applyAlignment="1" applyProtection="1">
      <alignment vertical="center"/>
    </xf>
    <xf numFmtId="165" fontId="15" fillId="0" borderId="7" xfId="2" applyNumberFormat="1" applyFill="1" applyBorder="1" applyAlignment="1" applyProtection="1">
      <alignment vertical="top"/>
      <protection locked="0"/>
    </xf>
    <xf numFmtId="44" fontId="0" fillId="0" borderId="0" xfId="0" applyNumberFormat="1" applyProtection="1"/>
    <xf numFmtId="0" fontId="7" fillId="0" borderId="0" xfId="3" applyProtection="1"/>
    <xf numFmtId="0" fontId="7" fillId="0" borderId="0" xfId="3" applyFont="1" applyAlignment="1" applyProtection="1">
      <alignment vertical="top"/>
    </xf>
    <xf numFmtId="0" fontId="7" fillId="0" borderId="0" xfId="3" applyAlignment="1" applyProtection="1">
      <alignment vertical="top"/>
    </xf>
    <xf numFmtId="0" fontId="7" fillId="3" borderId="0" xfId="3" applyFill="1" applyAlignment="1" applyProtection="1">
      <alignment vertical="top"/>
      <protection locked="0"/>
    </xf>
    <xf numFmtId="0" fontId="7" fillId="0" borderId="0" xfId="3" applyFill="1" applyAlignment="1" applyProtection="1">
      <alignment vertical="top"/>
    </xf>
    <xf numFmtId="1" fontId="7" fillId="7" borderId="7" xfId="3" applyNumberFormat="1" applyFill="1" applyBorder="1" applyAlignment="1" applyProtection="1">
      <alignment vertical="center"/>
    </xf>
    <xf numFmtId="0" fontId="7" fillId="0" borderId="0" xfId="3" applyAlignment="1" applyProtection="1">
      <alignment vertical="center"/>
    </xf>
    <xf numFmtId="44" fontId="7" fillId="0" borderId="7" xfId="3" applyNumberFormat="1" applyBorder="1" applyAlignment="1" applyProtection="1">
      <alignment vertical="center"/>
    </xf>
    <xf numFmtId="0" fontId="7" fillId="8" borderId="12" xfId="0" applyFont="1" applyFill="1" applyBorder="1" applyProtection="1"/>
    <xf numFmtId="0" fontId="0" fillId="8" borderId="13" xfId="0" applyFill="1" applyBorder="1" applyAlignment="1" applyProtection="1">
      <alignment vertical="top"/>
    </xf>
    <xf numFmtId="0" fontId="0" fillId="8" borderId="13" xfId="0" applyFill="1" applyBorder="1" applyAlignment="1" applyProtection="1">
      <alignment vertical="top"/>
      <protection locked="0"/>
    </xf>
    <xf numFmtId="165" fontId="15" fillId="8" borderId="14" xfId="2" applyNumberFormat="1" applyFill="1" applyBorder="1" applyAlignment="1" applyProtection="1">
      <alignment vertical="top"/>
      <protection locked="0"/>
    </xf>
    <xf numFmtId="0" fontId="0" fillId="8" borderId="15" xfId="0" applyFill="1" applyBorder="1" applyAlignment="1" applyProtection="1">
      <alignment vertical="center"/>
      <protection locked="0"/>
    </xf>
    <xf numFmtId="44" fontId="15" fillId="8" borderId="13" xfId="2" applyFill="1" applyBorder="1" applyAlignment="1" applyProtection="1">
      <alignment vertical="center"/>
    </xf>
    <xf numFmtId="0" fontId="0" fillId="8" borderId="13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  <protection locked="0"/>
    </xf>
    <xf numFmtId="44" fontId="0" fillId="8" borderId="14" xfId="0" applyNumberFormat="1" applyFill="1" applyBorder="1" applyAlignment="1" applyProtection="1">
      <alignment vertical="center"/>
    </xf>
    <xf numFmtId="10" fontId="15" fillId="8" borderId="16" xfId="4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7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2" fillId="0" borderId="11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9" fontId="2" fillId="0" borderId="7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7" xfId="0" applyNumberFormat="1" applyFont="1" applyFill="1" applyBorder="1" applyAlignment="1" applyProtection="1">
      <alignment vertical="center"/>
    </xf>
    <xf numFmtId="10" fontId="2" fillId="0" borderId="3" xfId="4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left" vertical="top" indent="1"/>
    </xf>
    <xf numFmtId="9" fontId="0" fillId="0" borderId="7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7" fillId="0" borderId="11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9" fontId="7" fillId="0" borderId="7" xfId="0" applyNumberFormat="1" applyFont="1" applyFill="1" applyBorder="1" applyAlignment="1" applyProtection="1">
      <alignment vertical="center"/>
      <protection locked="0"/>
    </xf>
    <xf numFmtId="44" fontId="7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44" fontId="7" fillId="0" borderId="7" xfId="0" applyNumberFormat="1" applyFont="1" applyFill="1" applyBorder="1" applyAlignment="1" applyProtection="1">
      <alignment vertical="center"/>
    </xf>
    <xf numFmtId="10" fontId="7" fillId="0" borderId="3" xfId="4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0" fillId="0" borderId="7" xfId="0" applyFill="1" applyBorder="1" applyAlignment="1" applyProtection="1">
      <alignment vertical="top"/>
    </xf>
    <xf numFmtId="44" fontId="17" fillId="0" borderId="11" xfId="0" applyNumberFormat="1" applyFont="1" applyFill="1" applyBorder="1" applyAlignment="1" applyProtection="1">
      <alignment vertical="center"/>
    </xf>
    <xf numFmtId="44" fontId="17" fillId="0" borderId="3" xfId="0" applyNumberFormat="1" applyFont="1" applyFill="1" applyBorder="1" applyAlignment="1" applyProtection="1">
      <alignment vertical="center"/>
    </xf>
    <xf numFmtId="44" fontId="17" fillId="0" borderId="7" xfId="0" applyNumberFormat="1" applyFont="1" applyFill="1" applyBorder="1" applyAlignment="1" applyProtection="1">
      <alignment vertical="center"/>
    </xf>
    <xf numFmtId="10" fontId="17" fillId="0" borderId="3" xfId="4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5" xfId="0" applyFill="1" applyBorder="1" applyAlignment="1" applyProtection="1">
      <alignment vertical="top"/>
    </xf>
    <xf numFmtId="0" fontId="0" fillId="9" borderId="17" xfId="0" applyFill="1" applyBorder="1" applyAlignment="1" applyProtection="1">
      <alignment vertical="center"/>
    </xf>
    <xf numFmtId="44" fontId="2" fillId="9" borderId="18" xfId="0" applyNumberFormat="1" applyFont="1" applyFill="1" applyBorder="1" applyAlignment="1" applyProtection="1">
      <alignment vertical="center"/>
    </xf>
    <xf numFmtId="0" fontId="2" fillId="9" borderId="5" xfId="0" applyFont="1" applyFill="1" applyBorder="1" applyAlignment="1" applyProtection="1">
      <alignment vertical="center"/>
    </xf>
    <xf numFmtId="44" fontId="2" fillId="9" borderId="6" xfId="0" applyNumberFormat="1" applyFont="1" applyFill="1" applyBorder="1" applyAlignment="1" applyProtection="1">
      <alignment vertical="center"/>
    </xf>
    <xf numFmtId="0" fontId="2" fillId="9" borderId="17" xfId="0" applyFont="1" applyFill="1" applyBorder="1" applyAlignment="1" applyProtection="1">
      <alignment vertical="center"/>
    </xf>
    <xf numFmtId="44" fontId="2" fillId="9" borderId="5" xfId="0" applyNumberFormat="1" applyFont="1" applyFill="1" applyBorder="1" applyAlignment="1" applyProtection="1">
      <alignment vertical="center"/>
    </xf>
    <xf numFmtId="10" fontId="2" fillId="9" borderId="6" xfId="4" applyNumberFormat="1" applyFont="1" applyFill="1" applyBorder="1" applyAlignment="1" applyProtection="1">
      <alignment vertical="center"/>
    </xf>
    <xf numFmtId="0" fontId="7" fillId="8" borderId="12" xfId="3" applyFont="1" applyFill="1" applyBorder="1" applyProtection="1"/>
    <xf numFmtId="0" fontId="7" fillId="8" borderId="13" xfId="3" applyFill="1" applyBorder="1" applyAlignment="1" applyProtection="1">
      <alignment vertical="top"/>
    </xf>
    <xf numFmtId="0" fontId="7" fillId="8" borderId="13" xfId="3" applyFill="1" applyBorder="1" applyAlignment="1" applyProtection="1">
      <alignment vertical="top"/>
      <protection locked="0"/>
    </xf>
    <xf numFmtId="0" fontId="7" fillId="8" borderId="15" xfId="3" applyFill="1" applyBorder="1" applyAlignment="1" applyProtection="1">
      <alignment vertical="center"/>
      <protection locked="0"/>
    </xf>
    <xf numFmtId="0" fontId="7" fillId="8" borderId="13" xfId="3" applyFill="1" applyBorder="1" applyAlignment="1" applyProtection="1">
      <alignment vertical="center"/>
    </xf>
    <xf numFmtId="0" fontId="7" fillId="8" borderId="14" xfId="3" applyFill="1" applyBorder="1" applyAlignment="1" applyProtection="1">
      <alignment vertical="center"/>
      <protection locked="0"/>
    </xf>
    <xf numFmtId="44" fontId="7" fillId="8" borderId="14" xfId="3" applyNumberFormat="1" applyFill="1" applyBorder="1" applyAlignment="1" applyProtection="1">
      <alignment vertical="center"/>
    </xf>
    <xf numFmtId="0" fontId="2" fillId="0" borderId="0" xfId="3" applyFont="1" applyFill="1" applyAlignment="1" applyProtection="1">
      <alignment vertical="top"/>
    </xf>
    <xf numFmtId="9" fontId="7" fillId="0" borderId="7" xfId="3" applyNumberFormat="1" applyFill="1" applyBorder="1" applyAlignment="1" applyProtection="1">
      <alignment vertical="top"/>
    </xf>
    <xf numFmtId="9" fontId="7" fillId="0" borderId="0" xfId="3" applyNumberFormat="1" applyFill="1" applyBorder="1" applyAlignment="1" applyProtection="1">
      <alignment vertical="center"/>
    </xf>
    <xf numFmtId="44" fontId="2" fillId="0" borderId="11" xfId="3" applyNumberFormat="1" applyFont="1" applyFill="1" applyBorder="1" applyAlignment="1" applyProtection="1">
      <alignment vertical="center"/>
    </xf>
    <xf numFmtId="0" fontId="2" fillId="0" borderId="7" xfId="3" applyFont="1" applyFill="1" applyBorder="1" applyAlignment="1" applyProtection="1">
      <alignment vertical="center"/>
    </xf>
    <xf numFmtId="9" fontId="2" fillId="0" borderId="7" xfId="3" applyNumberFormat="1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center"/>
    </xf>
    <xf numFmtId="44" fontId="2" fillId="0" borderId="7" xfId="3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horizontal="left" vertical="top" indent="1"/>
    </xf>
    <xf numFmtId="9" fontId="7" fillId="0" borderId="7" xfId="3" applyNumberFormat="1" applyFill="1" applyBorder="1" applyAlignment="1" applyProtection="1">
      <alignment vertical="top"/>
      <protection locked="0"/>
    </xf>
    <xf numFmtId="44" fontId="7" fillId="0" borderId="11" xfId="3" applyNumberFormat="1" applyFont="1" applyFill="1" applyBorder="1" applyAlignment="1" applyProtection="1">
      <alignment vertical="center"/>
    </xf>
    <xf numFmtId="0" fontId="7" fillId="0" borderId="7" xfId="3" applyFont="1" applyFill="1" applyBorder="1" applyAlignment="1" applyProtection="1">
      <alignment vertical="center"/>
    </xf>
    <xf numFmtId="9" fontId="7" fillId="0" borderId="7" xfId="3" applyNumberFormat="1" applyFont="1" applyFill="1" applyBorder="1" applyAlignment="1" applyProtection="1">
      <alignment vertical="top"/>
      <protection locked="0"/>
    </xf>
    <xf numFmtId="9" fontId="7" fillId="0" borderId="7" xfId="3" applyNumberFormat="1" applyFont="1" applyFill="1" applyBorder="1" applyAlignment="1" applyProtection="1">
      <alignment vertical="center"/>
    </xf>
    <xf numFmtId="44" fontId="7" fillId="0" borderId="3" xfId="3" applyNumberFormat="1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vertical="center"/>
    </xf>
    <xf numFmtId="44" fontId="7" fillId="0" borderId="7" xfId="3" applyNumberFormat="1" applyFont="1" applyFill="1" applyBorder="1" applyAlignment="1" applyProtection="1">
      <alignment vertical="center"/>
    </xf>
    <xf numFmtId="0" fontId="2" fillId="0" borderId="0" xfId="3" applyFont="1" applyAlignment="1" applyProtection="1">
      <alignment horizontal="left" vertical="top" wrapText="1" indent="1"/>
    </xf>
    <xf numFmtId="0" fontId="7" fillId="0" borderId="7" xfId="3" applyFill="1" applyBorder="1" applyAlignment="1" applyProtection="1">
      <alignment vertical="top"/>
    </xf>
    <xf numFmtId="0" fontId="7" fillId="0" borderId="0" xfId="3" applyFill="1" applyBorder="1" applyAlignment="1" applyProtection="1">
      <alignment vertical="center"/>
    </xf>
    <xf numFmtId="44" fontId="17" fillId="0" borderId="11" xfId="3" applyNumberFormat="1" applyFont="1" applyFill="1" applyBorder="1" applyAlignment="1" applyProtection="1">
      <alignment vertical="center"/>
    </xf>
    <xf numFmtId="44" fontId="17" fillId="0" borderId="3" xfId="3" applyNumberFormat="1" applyFont="1" applyFill="1" applyBorder="1" applyAlignment="1" applyProtection="1">
      <alignment vertical="center"/>
    </xf>
    <xf numFmtId="44" fontId="17" fillId="0" borderId="7" xfId="3" applyNumberFormat="1" applyFont="1" applyFill="1" applyBorder="1" applyAlignment="1" applyProtection="1">
      <alignment vertical="center"/>
    </xf>
    <xf numFmtId="0" fontId="7" fillId="9" borderId="0" xfId="3" applyFill="1" applyAlignment="1" applyProtection="1">
      <alignment vertical="top"/>
    </xf>
    <xf numFmtId="0" fontId="7" fillId="9" borderId="7" xfId="3" applyFill="1" applyBorder="1" applyAlignment="1" applyProtection="1">
      <alignment vertical="top"/>
    </xf>
    <xf numFmtId="0" fontId="7" fillId="9" borderId="0" xfId="3" applyFill="1" applyBorder="1" applyAlignment="1" applyProtection="1">
      <alignment vertical="center"/>
    </xf>
    <xf numFmtId="44" fontId="2" fillId="9" borderId="11" xfId="3" applyNumberFormat="1" applyFont="1" applyFill="1" applyBorder="1" applyAlignment="1" applyProtection="1">
      <alignment vertical="center"/>
    </xf>
    <xf numFmtId="0" fontId="2" fillId="9" borderId="7" xfId="3" applyFont="1" applyFill="1" applyBorder="1" applyAlignment="1" applyProtection="1">
      <alignment vertical="center"/>
    </xf>
    <xf numFmtId="44" fontId="2" fillId="9" borderId="3" xfId="3" applyNumberFormat="1" applyFont="1" applyFill="1" applyBorder="1" applyAlignment="1" applyProtection="1">
      <alignment vertical="center"/>
    </xf>
    <xf numFmtId="0" fontId="2" fillId="9" borderId="0" xfId="3" applyFont="1" applyFill="1" applyBorder="1" applyAlignment="1" applyProtection="1">
      <alignment vertical="center"/>
    </xf>
    <xf numFmtId="44" fontId="2" fillId="9" borderId="7" xfId="3" applyNumberFormat="1" applyFont="1" applyFill="1" applyBorder="1" applyAlignment="1" applyProtection="1">
      <alignment vertical="center"/>
    </xf>
    <xf numFmtId="10" fontId="2" fillId="9" borderId="3" xfId="4" applyNumberFormat="1" applyFont="1" applyFill="1" applyBorder="1" applyAlignment="1" applyProtection="1">
      <alignment vertical="center"/>
    </xf>
    <xf numFmtId="165" fontId="15" fillId="8" borderId="15" xfId="2" applyNumberFormat="1" applyFill="1" applyBorder="1" applyAlignment="1" applyProtection="1">
      <alignment vertical="top"/>
      <protection locked="0"/>
    </xf>
    <xf numFmtId="0" fontId="7" fillId="8" borderId="13" xfId="3" applyFill="1" applyBorder="1" applyAlignment="1" applyProtection="1">
      <alignment vertical="center"/>
      <protection locked="0"/>
    </xf>
    <xf numFmtId="44" fontId="15" fillId="8" borderId="19" xfId="2" applyFill="1" applyBorder="1" applyAlignment="1" applyProtection="1">
      <alignment vertical="center"/>
    </xf>
    <xf numFmtId="0" fontId="7" fillId="8" borderId="15" xfId="3" applyFill="1" applyBorder="1" applyAlignment="1" applyProtection="1">
      <alignment vertical="center"/>
    </xf>
    <xf numFmtId="44" fontId="15" fillId="8" borderId="14" xfId="2" applyFill="1" applyBorder="1" applyAlignment="1" applyProtection="1">
      <alignment vertical="center"/>
    </xf>
    <xf numFmtId="44" fontId="7" fillId="8" borderId="15" xfId="3" applyNumberFormat="1" applyFill="1" applyBorder="1" applyAlignment="1" applyProtection="1">
      <alignment vertical="center"/>
    </xf>
    <xf numFmtId="10" fontId="15" fillId="4" borderId="1" xfId="4" applyNumberFormat="1" applyFill="1" applyBorder="1" applyProtection="1">
      <protection locked="0"/>
    </xf>
    <xf numFmtId="0" fontId="11" fillId="0" borderId="0" xfId="0" applyFont="1" applyProtection="1"/>
    <xf numFmtId="0" fontId="0" fillId="6" borderId="0" xfId="0" applyFill="1" applyProtection="1"/>
    <xf numFmtId="44" fontId="15" fillId="4" borderId="7" xfId="2" applyNumberFormat="1" applyFont="1" applyFill="1" applyBorder="1" applyAlignment="1" applyProtection="1">
      <alignment vertical="center"/>
      <protection locked="0"/>
    </xf>
    <xf numFmtId="44" fontId="15" fillId="4" borderId="7" xfId="2" applyNumberFormat="1" applyFont="1" applyFill="1" applyBorder="1" applyAlignment="1" applyProtection="1">
      <alignment vertical="top"/>
      <protection locked="0"/>
    </xf>
    <xf numFmtId="0" fontId="0" fillId="4" borderId="0" xfId="0" applyFill="1" applyAlignment="1" applyProtection="1">
      <alignment vertical="top" wrapText="1"/>
    </xf>
    <xf numFmtId="44" fontId="15" fillId="4" borderId="7" xfId="2" applyNumberFormat="1" applyFill="1" applyBorder="1" applyAlignment="1" applyProtection="1">
      <alignment vertical="top"/>
      <protection locked="0"/>
    </xf>
    <xf numFmtId="44" fontId="15" fillId="4" borderId="7" xfId="2" applyNumberFormat="1" applyFill="1" applyBorder="1" applyAlignment="1" applyProtection="1">
      <alignment vertical="center"/>
      <protection locked="0"/>
    </xf>
    <xf numFmtId="44" fontId="15" fillId="7" borderId="7" xfId="2" applyNumberFormat="1" applyFont="1" applyFill="1" applyBorder="1" applyAlignment="1" applyProtection="1">
      <alignment vertical="top"/>
      <protection locked="0"/>
    </xf>
    <xf numFmtId="164" fontId="0" fillId="0" borderId="7" xfId="0" applyNumberFormat="1" applyFill="1" applyBorder="1" applyAlignment="1" applyProtection="1">
      <alignment vertical="center"/>
    </xf>
    <xf numFmtId="0" fontId="7" fillId="10" borderId="0" xfId="3" applyFont="1" applyFill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  <protection locked="0"/>
    </xf>
    <xf numFmtId="165" fontId="15" fillId="0" borderId="7" xfId="2" applyNumberFormat="1" applyFont="1" applyFill="1" applyBorder="1" applyAlignment="1" applyProtection="1">
      <alignment vertical="top"/>
      <protection locked="0"/>
    </xf>
    <xf numFmtId="44" fontId="15" fillId="0" borderId="3" xfId="2" applyFont="1" applyFill="1" applyBorder="1" applyAlignment="1" applyProtection="1">
      <alignment vertical="center"/>
    </xf>
    <xf numFmtId="165" fontId="15" fillId="0" borderId="7" xfId="2" applyNumberFormat="1" applyFont="1" applyFill="1" applyBorder="1" applyAlignment="1" applyProtection="1">
      <alignment vertical="center"/>
      <protection locked="0"/>
    </xf>
    <xf numFmtId="44" fontId="0" fillId="0" borderId="7" xfId="0" applyNumberFormat="1" applyFill="1" applyBorder="1" applyAlignment="1" applyProtection="1">
      <alignment vertical="center"/>
    </xf>
    <xf numFmtId="10" fontId="15" fillId="0" borderId="3" xfId="4" applyNumberFormat="1" applyFont="1" applyFill="1" applyBorder="1" applyAlignment="1" applyProtection="1">
      <alignment vertical="center"/>
    </xf>
    <xf numFmtId="44" fontId="15" fillId="0" borderId="3" xfId="2" applyFill="1" applyBorder="1" applyAlignment="1" applyProtection="1">
      <alignment vertical="center"/>
    </xf>
    <xf numFmtId="44" fontId="2" fillId="0" borderId="20" xfId="3" applyNumberFormat="1" applyFont="1" applyFill="1" applyBorder="1" applyAlignment="1" applyProtection="1">
      <alignment vertical="center"/>
    </xf>
    <xf numFmtId="44" fontId="2" fillId="0" borderId="20" xfId="0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0" fillId="0" borderId="0" xfId="0" applyFill="1"/>
    <xf numFmtId="15" fontId="3" fillId="0" borderId="0" xfId="0" applyNumberFormat="1" applyFont="1" applyFill="1" applyAlignment="1">
      <alignment vertical="top"/>
    </xf>
    <xf numFmtId="0" fontId="7" fillId="0" borderId="2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" fillId="4" borderId="0" xfId="0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15" fontId="3" fillId="4" borderId="0" xfId="0" applyNumberFormat="1" applyFont="1" applyFill="1" applyAlignment="1">
      <alignment vertical="top"/>
    </xf>
    <xf numFmtId="168" fontId="15" fillId="4" borderId="7" xfId="2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>
      <alignment horizontal="right" vertical="top"/>
    </xf>
    <xf numFmtId="0" fontId="7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167" fontId="19" fillId="0" borderId="0" xfId="0" quotePrefix="1" applyNumberFormat="1" applyFont="1"/>
    <xf numFmtId="0" fontId="19" fillId="0" borderId="21" xfId="0" applyFont="1" applyBorder="1"/>
    <xf numFmtId="0" fontId="19" fillId="0" borderId="0" xfId="0" applyFont="1" applyBorder="1"/>
    <xf numFmtId="0" fontId="19" fillId="0" borderId="27" xfId="0" applyFont="1" applyFill="1" applyBorder="1"/>
    <xf numFmtId="0" fontId="19" fillId="0" borderId="0" xfId="0" applyFont="1" applyBorder="1" applyAlignment="1">
      <alignment horizontal="center"/>
    </xf>
    <xf numFmtId="0" fontId="19" fillId="0" borderId="27" xfId="0" applyFont="1" applyBorder="1"/>
    <xf numFmtId="0" fontId="19" fillId="0" borderId="27" xfId="0" applyFont="1" applyFill="1" applyBorder="1" applyAlignment="1">
      <alignment horizontal="center"/>
    </xf>
    <xf numFmtId="43" fontId="19" fillId="0" borderId="0" xfId="1" applyFont="1" applyBorder="1"/>
    <xf numFmtId="43" fontId="19" fillId="0" borderId="27" xfId="1" applyFont="1" applyBorder="1"/>
    <xf numFmtId="10" fontId="19" fillId="0" borderId="27" xfId="4" applyNumberFormat="1" applyFont="1" applyBorder="1"/>
    <xf numFmtId="3" fontId="19" fillId="0" borderId="27" xfId="0" applyNumberFormat="1" applyFont="1" applyFill="1" applyBorder="1" applyAlignment="1">
      <alignment horizontal="center"/>
    </xf>
    <xf numFmtId="0" fontId="19" fillId="0" borderId="22" xfId="0" applyFont="1" applyBorder="1"/>
    <xf numFmtId="0" fontId="19" fillId="0" borderId="17" xfId="0" applyFont="1" applyBorder="1"/>
    <xf numFmtId="3" fontId="19" fillId="0" borderId="29" xfId="0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29" xfId="0" applyFont="1" applyBorder="1"/>
    <xf numFmtId="43" fontId="19" fillId="0" borderId="17" xfId="1" applyFont="1" applyBorder="1"/>
    <xf numFmtId="43" fontId="19" fillId="0" borderId="29" xfId="1" applyFont="1" applyBorder="1"/>
    <xf numFmtId="10" fontId="19" fillId="0" borderId="29" xfId="4" applyNumberFormat="1" applyFont="1" applyBorder="1"/>
    <xf numFmtId="0" fontId="19" fillId="0" borderId="23" xfId="0" applyFont="1" applyBorder="1"/>
    <xf numFmtId="0" fontId="19" fillId="0" borderId="24" xfId="0" applyFont="1" applyBorder="1"/>
    <xf numFmtId="0" fontId="19" fillId="0" borderId="30" xfId="0" applyFont="1" applyFill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30" xfId="0" applyFont="1" applyBorder="1"/>
    <xf numFmtId="43" fontId="19" fillId="0" borderId="24" xfId="1" applyFont="1" applyBorder="1"/>
    <xf numFmtId="43" fontId="19" fillId="0" borderId="30" xfId="1" applyFont="1" applyBorder="1"/>
    <xf numFmtId="10" fontId="19" fillId="0" borderId="30" xfId="0" applyNumberFormat="1" applyFont="1" applyBorder="1"/>
    <xf numFmtId="3" fontId="19" fillId="0" borderId="29" xfId="0" applyNumberFormat="1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3" fontId="19" fillId="0" borderId="27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3" fontId="19" fillId="0" borderId="17" xfId="0" applyNumberFormat="1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25" xfId="0" applyFont="1" applyBorder="1"/>
    <xf numFmtId="0" fontId="19" fillId="0" borderId="26" xfId="0" applyFont="1" applyBorder="1"/>
    <xf numFmtId="0" fontId="19" fillId="0" borderId="31" xfId="0" applyFont="1" applyBorder="1"/>
    <xf numFmtId="0" fontId="19" fillId="12" borderId="27" xfId="0" applyFont="1" applyFill="1" applyBorder="1" applyAlignment="1">
      <alignment horizontal="center"/>
    </xf>
    <xf numFmtId="10" fontId="19" fillId="12" borderId="27" xfId="4" applyNumberFormat="1" applyFont="1" applyFill="1" applyBorder="1"/>
    <xf numFmtId="3" fontId="19" fillId="13" borderId="27" xfId="0" applyNumberFormat="1" applyFont="1" applyFill="1" applyBorder="1" applyAlignment="1">
      <alignment horizontal="center"/>
    </xf>
    <xf numFmtId="3" fontId="19" fillId="11" borderId="27" xfId="0" applyNumberFormat="1" applyFont="1" applyFill="1" applyBorder="1" applyAlignment="1">
      <alignment horizontal="center"/>
    </xf>
    <xf numFmtId="10" fontId="19" fillId="11" borderId="27" xfId="4" applyNumberFormat="1" applyFont="1" applyFill="1" applyBorder="1"/>
    <xf numFmtId="0" fontId="19" fillId="13" borderId="0" xfId="0" applyFont="1" applyFill="1" applyBorder="1" applyAlignment="1">
      <alignment horizontal="center"/>
    </xf>
    <xf numFmtId="10" fontId="19" fillId="13" borderId="27" xfId="4" applyNumberFormat="1" applyFont="1" applyFill="1" applyBorder="1"/>
    <xf numFmtId="3" fontId="19" fillId="14" borderId="27" xfId="0" applyNumberFormat="1" applyFont="1" applyFill="1" applyBorder="1" applyAlignment="1">
      <alignment horizontal="center"/>
    </xf>
    <xf numFmtId="3" fontId="19" fillId="14" borderId="0" xfId="0" applyNumberFormat="1" applyFont="1" applyFill="1" applyBorder="1" applyAlignment="1">
      <alignment horizontal="center"/>
    </xf>
    <xf numFmtId="10" fontId="19" fillId="14" borderId="27" xfId="4" applyNumberFormat="1" applyFont="1" applyFill="1" applyBorder="1"/>
    <xf numFmtId="10" fontId="19" fillId="15" borderId="27" xfId="4" applyNumberFormat="1" applyFont="1" applyFill="1" applyBorder="1"/>
    <xf numFmtId="10" fontId="19" fillId="16" borderId="27" xfId="4" applyNumberFormat="1" applyFont="1" applyFill="1" applyBorder="1"/>
    <xf numFmtId="169" fontId="19" fillId="17" borderId="27" xfId="1" applyNumberFormat="1" applyFont="1" applyFill="1" applyBorder="1" applyAlignment="1">
      <alignment horizontal="center"/>
    </xf>
    <xf numFmtId="169" fontId="19" fillId="17" borderId="0" xfId="1" applyNumberFormat="1" applyFont="1" applyFill="1" applyBorder="1" applyAlignment="1">
      <alignment horizontal="center"/>
    </xf>
    <xf numFmtId="10" fontId="19" fillId="17" borderId="27" xfId="4" applyNumberFormat="1" applyFont="1" applyFill="1" applyBorder="1"/>
    <xf numFmtId="3" fontId="19" fillId="15" borderId="27" xfId="0" applyNumberFormat="1" applyFont="1" applyFill="1" applyBorder="1" applyAlignment="1">
      <alignment horizontal="center"/>
    </xf>
    <xf numFmtId="0" fontId="19" fillId="16" borderId="27" xfId="0" applyFont="1" applyFill="1" applyBorder="1" applyAlignment="1">
      <alignment horizontal="center"/>
    </xf>
    <xf numFmtId="0" fontId="19" fillId="16" borderId="0" xfId="0" applyFont="1" applyFill="1" applyBorder="1" applyAlignment="1">
      <alignment horizontal="center"/>
    </xf>
    <xf numFmtId="164" fontId="0" fillId="0" borderId="3" xfId="0" applyNumberFormat="1" applyFill="1" applyBorder="1" applyAlignment="1" applyProtection="1">
      <alignment vertical="center"/>
    </xf>
    <xf numFmtId="165" fontId="21" fillId="4" borderId="7" xfId="2" applyNumberFormat="1" applyFont="1" applyFill="1" applyBorder="1" applyAlignment="1" applyProtection="1">
      <alignment vertical="center"/>
      <protection locked="0"/>
    </xf>
    <xf numFmtId="43" fontId="2" fillId="4" borderId="1" xfId="1" applyFont="1" applyFill="1" applyBorder="1" applyProtection="1">
      <protection locked="0"/>
    </xf>
    <xf numFmtId="43" fontId="0" fillId="0" borderId="7" xfId="1" applyFont="1" applyFill="1" applyBorder="1" applyAlignment="1" applyProtection="1">
      <alignment vertical="center"/>
    </xf>
    <xf numFmtId="43" fontId="0" fillId="5" borderId="1" xfId="1" applyFont="1" applyFill="1" applyBorder="1" applyAlignment="1" applyProtection="1">
      <alignment vertical="center"/>
      <protection locked="0"/>
    </xf>
    <xf numFmtId="43" fontId="0" fillId="5" borderId="1" xfId="1" applyFont="1" applyFill="1" applyBorder="1" applyAlignment="1" applyProtection="1">
      <alignment vertical="center"/>
    </xf>
    <xf numFmtId="43" fontId="7" fillId="7" borderId="7" xfId="1" applyFont="1" applyFill="1" applyBorder="1" applyAlignment="1" applyProtection="1">
      <alignment vertical="center"/>
    </xf>
    <xf numFmtId="43" fontId="2" fillId="5" borderId="10" xfId="1" applyFont="1" applyFill="1" applyBorder="1" applyAlignment="1" applyProtection="1">
      <alignment vertical="center"/>
    </xf>
    <xf numFmtId="43" fontId="0" fillId="0" borderId="3" xfId="1" applyFont="1" applyFill="1" applyBorder="1" applyAlignment="1" applyProtection="1">
      <alignment vertical="center"/>
    </xf>
    <xf numFmtId="43" fontId="0" fillId="5" borderId="10" xfId="1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>
      <alignment horizontal="center"/>
    </xf>
    <xf numFmtId="10" fontId="19" fillId="0" borderId="27" xfId="4" applyNumberFormat="1" applyFont="1" applyFill="1" applyBorder="1"/>
    <xf numFmtId="0" fontId="7" fillId="0" borderId="2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11" borderId="28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16" fillId="0" borderId="0" xfId="0" applyFont="1" applyFill="1" applyProtection="1"/>
    <xf numFmtId="0" fontId="18" fillId="0" borderId="0" xfId="0" applyFont="1" applyFill="1" applyProtection="1"/>
    <xf numFmtId="44" fontId="21" fillId="4" borderId="7" xfId="2" applyNumberFormat="1" applyFont="1" applyFill="1" applyBorder="1" applyAlignment="1" applyProtection="1">
      <alignment vertical="top"/>
      <protection locked="0"/>
    </xf>
    <xf numFmtId="44" fontId="21" fillId="4" borderId="7" xfId="2" applyNumberFormat="1" applyFont="1" applyFill="1" applyBorder="1" applyAlignment="1" applyProtection="1">
      <alignment vertical="center"/>
      <protection locked="0"/>
    </xf>
    <xf numFmtId="165" fontId="21" fillId="4" borderId="7" xfId="2" applyNumberFormat="1" applyFont="1" applyFill="1" applyBorder="1" applyAlignment="1" applyProtection="1">
      <alignment vertical="top"/>
      <protection locked="0"/>
    </xf>
    <xf numFmtId="165" fontId="21" fillId="5" borderId="1" xfId="2" applyNumberFormat="1" applyFont="1" applyFill="1" applyBorder="1" applyAlignment="1" applyProtection="1">
      <alignment vertical="top"/>
      <protection locked="0"/>
    </xf>
    <xf numFmtId="165" fontId="21" fillId="0" borderId="7" xfId="2" applyNumberFormat="1" applyFont="1" applyFill="1" applyBorder="1" applyAlignment="1" applyProtection="1">
      <alignment vertical="top"/>
      <protection locked="0"/>
    </xf>
    <xf numFmtId="0" fontId="21" fillId="5" borderId="1" xfId="0" applyFont="1" applyFill="1" applyBorder="1" applyProtection="1"/>
    <xf numFmtId="0" fontId="21" fillId="5" borderId="1" xfId="0" applyFont="1" applyFill="1" applyBorder="1" applyAlignment="1" applyProtection="1">
      <alignment vertical="center"/>
    </xf>
    <xf numFmtId="1" fontId="21" fillId="0" borderId="7" xfId="0" applyNumberFormat="1" applyFont="1" applyFill="1" applyBorder="1" applyAlignment="1" applyProtection="1">
      <alignment vertical="center"/>
    </xf>
    <xf numFmtId="1" fontId="21" fillId="0" borderId="3" xfId="0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vertical="top"/>
    </xf>
    <xf numFmtId="10" fontId="21" fillId="4" borderId="1" xfId="4" applyNumberFormat="1" applyFont="1" applyFill="1" applyBorder="1" applyProtection="1">
      <protection locked="0"/>
    </xf>
    <xf numFmtId="0" fontId="0" fillId="0" borderId="1" xfId="0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7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164" fontId="2" fillId="11" borderId="1" xfId="1" applyNumberFormat="1" applyFont="1" applyFill="1" applyBorder="1" applyProtection="1">
      <protection locked="0"/>
    </xf>
    <xf numFmtId="0" fontId="7" fillId="0" borderId="0" xfId="0" applyFont="1" applyFill="1" applyProtection="1"/>
    <xf numFmtId="0" fontId="7" fillId="0" borderId="12" xfId="0" applyFont="1" applyFill="1" applyBorder="1" applyProtection="1"/>
    <xf numFmtId="0" fontId="0" fillId="0" borderId="13" xfId="0" applyFill="1" applyBorder="1" applyAlignment="1" applyProtection="1">
      <alignment vertical="top"/>
    </xf>
    <xf numFmtId="0" fontId="0" fillId="0" borderId="13" xfId="0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left" vertical="top" wrapText="1" indent="1"/>
    </xf>
    <xf numFmtId="0" fontId="0" fillId="5" borderId="1" xfId="0" applyFont="1" applyFill="1" applyBorder="1" applyProtection="1"/>
    <xf numFmtId="168" fontId="21" fillId="4" borderId="7" xfId="2" applyNumberFormat="1" applyFont="1" applyFill="1" applyBorder="1" applyAlignment="1" applyProtection="1">
      <alignment vertical="top"/>
      <protection locked="0"/>
    </xf>
    <xf numFmtId="0" fontId="21" fillId="0" borderId="1" xfId="0" applyFont="1" applyFill="1" applyBorder="1" applyAlignment="1" applyProtection="1">
      <alignment vertical="center"/>
    </xf>
    <xf numFmtId="170" fontId="15" fillId="4" borderId="7" xfId="2" applyNumberFormat="1" applyFont="1" applyFill="1" applyBorder="1" applyAlignment="1" applyProtection="1">
      <alignment vertical="center"/>
      <protection locked="0"/>
    </xf>
    <xf numFmtId="43" fontId="21" fillId="0" borderId="7" xfId="1" applyFont="1" applyFill="1" applyBorder="1" applyAlignment="1" applyProtection="1">
      <alignment vertical="center"/>
    </xf>
    <xf numFmtId="43" fontId="21" fillId="0" borderId="3" xfId="1" applyFont="1" applyFill="1" applyBorder="1" applyAlignment="1" applyProtection="1">
      <alignment vertical="center"/>
    </xf>
    <xf numFmtId="170" fontId="21" fillId="4" borderId="7" xfId="2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top"/>
    </xf>
    <xf numFmtId="0" fontId="5" fillId="11" borderId="1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43" fontId="19" fillId="0" borderId="0" xfId="1" applyFont="1" applyFill="1" applyBorder="1"/>
    <xf numFmtId="43" fontId="19" fillId="0" borderId="27" xfId="1" applyFont="1" applyFill="1" applyBorder="1"/>
    <xf numFmtId="0" fontId="19" fillId="0" borderId="22" xfId="0" applyFont="1" applyFill="1" applyBorder="1"/>
    <xf numFmtId="0" fontId="19" fillId="0" borderId="17" xfId="0" applyFont="1" applyFill="1" applyBorder="1"/>
    <xf numFmtId="0" fontId="19" fillId="0" borderId="17" xfId="0" applyFont="1" applyFill="1" applyBorder="1" applyAlignment="1">
      <alignment horizontal="center"/>
    </xf>
    <xf numFmtId="0" fontId="19" fillId="0" borderId="29" xfId="0" applyFont="1" applyFill="1" applyBorder="1"/>
    <xf numFmtId="43" fontId="19" fillId="0" borderId="17" xfId="1" applyFont="1" applyFill="1" applyBorder="1"/>
    <xf numFmtId="43" fontId="19" fillId="0" borderId="29" xfId="1" applyFont="1" applyFill="1" applyBorder="1"/>
    <xf numFmtId="10" fontId="19" fillId="0" borderId="29" xfId="4" applyNumberFormat="1" applyFont="1" applyFill="1" applyBorder="1"/>
    <xf numFmtId="0" fontId="19" fillId="0" borderId="23" xfId="0" applyFont="1" applyFill="1" applyBorder="1"/>
    <xf numFmtId="0" fontId="19" fillId="0" borderId="24" xfId="0" applyFont="1" applyFill="1" applyBorder="1"/>
    <xf numFmtId="0" fontId="19" fillId="0" borderId="24" xfId="0" applyFont="1" applyFill="1" applyBorder="1" applyAlignment="1">
      <alignment horizontal="center"/>
    </xf>
    <xf numFmtId="0" fontId="19" fillId="0" borderId="30" xfId="0" applyFont="1" applyFill="1" applyBorder="1"/>
    <xf numFmtId="43" fontId="19" fillId="0" borderId="24" xfId="1" applyFont="1" applyFill="1" applyBorder="1"/>
    <xf numFmtId="43" fontId="19" fillId="0" borderId="30" xfId="1" applyFont="1" applyFill="1" applyBorder="1"/>
    <xf numFmtId="10" fontId="19" fillId="0" borderId="30" xfId="0" applyNumberFormat="1" applyFont="1" applyFill="1" applyBorder="1"/>
    <xf numFmtId="3" fontId="19" fillId="0" borderId="17" xfId="0" applyNumberFormat="1" applyFont="1" applyFill="1" applyBorder="1" applyAlignment="1">
      <alignment horizontal="center"/>
    </xf>
    <xf numFmtId="3" fontId="19" fillId="0" borderId="0" xfId="0" applyNumberFormat="1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19" fillId="0" borderId="25" xfId="0" applyFont="1" applyFill="1" applyBorder="1"/>
    <xf numFmtId="0" fontId="19" fillId="0" borderId="26" xfId="0" applyFont="1" applyFill="1" applyBorder="1"/>
    <xf numFmtId="0" fontId="19" fillId="0" borderId="31" xfId="0" applyFont="1" applyFill="1" applyBorder="1"/>
    <xf numFmtId="169" fontId="19" fillId="0" borderId="27" xfId="1" applyNumberFormat="1" applyFont="1" applyFill="1" applyBorder="1" applyAlignment="1">
      <alignment horizontal="center"/>
    </xf>
    <xf numFmtId="169" fontId="19" fillId="0" borderId="0" xfId="1" applyNumberFormat="1" applyFont="1" applyFill="1" applyBorder="1" applyAlignment="1">
      <alignment horizontal="center"/>
    </xf>
    <xf numFmtId="0" fontId="7" fillId="11" borderId="0" xfId="0" applyFont="1" applyFill="1" applyProtection="1"/>
    <xf numFmtId="44" fontId="15" fillId="0" borderId="7" xfId="2" applyNumberFormat="1" applyFont="1" applyFill="1" applyBorder="1" applyAlignment="1" applyProtection="1">
      <alignment vertical="center"/>
      <protection locked="0"/>
    </xf>
    <xf numFmtId="168" fontId="15" fillId="4" borderId="7" xfId="2" applyNumberFormat="1" applyFill="1" applyBorder="1" applyAlignment="1" applyProtection="1">
      <alignment vertical="top"/>
      <protection locked="0"/>
    </xf>
    <xf numFmtId="168" fontId="21" fillId="4" borderId="7" xfId="2" applyNumberFormat="1" applyFont="1" applyFill="1" applyBorder="1" applyAlignment="1" applyProtection="1">
      <alignment vertical="center"/>
      <protection locked="0"/>
    </xf>
    <xf numFmtId="166" fontId="21" fillId="4" borderId="1" xfId="4" applyNumberFormat="1" applyFont="1" applyFill="1" applyBorder="1" applyProtection="1">
      <protection locked="0"/>
    </xf>
    <xf numFmtId="166" fontId="22" fillId="4" borderId="1" xfId="4" applyNumberFormat="1" applyFont="1" applyFill="1" applyBorder="1" applyProtection="1">
      <protection locked="0"/>
    </xf>
    <xf numFmtId="0" fontId="23" fillId="0" borderId="0" xfId="0" applyFont="1"/>
    <xf numFmtId="0" fontId="5" fillId="11" borderId="0" xfId="0" applyFont="1" applyFill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9" borderId="0" xfId="3" applyFont="1" applyFill="1" applyAlignment="1" applyProtection="1">
      <alignment horizontal="left" vertical="top" wrapText="1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0" fillId="0" borderId="5" xfId="0" applyBorder="1" applyAlignment="1">
      <alignment wrapText="1"/>
    </xf>
    <xf numFmtId="0" fontId="2" fillId="0" borderId="3" xfId="0" applyFont="1" applyFill="1" applyBorder="1" applyAlignment="1" applyProtection="1">
      <alignment horizontal="center" wrapText="1"/>
    </xf>
    <xf numFmtId="0" fontId="0" fillId="0" borderId="6" xfId="0" applyBorder="1" applyAlignment="1">
      <alignment wrapText="1"/>
    </xf>
    <xf numFmtId="0" fontId="9" fillId="0" borderId="0" xfId="0" applyFont="1" applyFill="1" applyAlignment="1" applyProtection="1">
      <alignment horizontal="left" vertical="top" wrapText="1" indent="1"/>
    </xf>
    <xf numFmtId="0" fontId="2" fillId="9" borderId="0" xfId="0" applyFont="1" applyFill="1" applyAlignment="1" applyProtection="1">
      <alignment horizontal="left" vertical="top" wrapText="1"/>
    </xf>
    <xf numFmtId="0" fontId="9" fillId="0" borderId="0" xfId="3" applyFont="1" applyAlignment="1" applyProtection="1">
      <alignment horizontal="left" vertical="top" wrapText="1" indent="1"/>
    </xf>
    <xf numFmtId="0" fontId="6" fillId="0" borderId="0" xfId="0" applyFont="1" applyAlignment="1" applyProtection="1">
      <alignment horizontal="center"/>
    </xf>
    <xf numFmtId="0" fontId="3" fillId="0" borderId="0" xfId="0" applyFont="1" applyAlignment="1">
      <alignment horizontal="right" vertical="top"/>
    </xf>
    <xf numFmtId="0" fontId="3" fillId="4" borderId="0" xfId="0" applyFont="1" applyFill="1" applyBorder="1" applyAlignment="1">
      <alignment horizontal="right" vertical="top"/>
    </xf>
    <xf numFmtId="0" fontId="3" fillId="4" borderId="0" xfId="0" applyFont="1" applyFill="1" applyAlignment="1">
      <alignment horizontal="right" vertical="top"/>
    </xf>
    <xf numFmtId="15" fontId="3" fillId="18" borderId="0" xfId="0" applyNumberFormat="1" applyFont="1" applyFill="1" applyAlignment="1">
      <alignment horizontal="right" vertical="top"/>
    </xf>
    <xf numFmtId="0" fontId="5" fillId="4" borderId="0" xfId="0" applyFont="1" applyFill="1" applyAlignment="1" applyProtection="1">
      <alignment horizontal="left" vertical="center"/>
    </xf>
    <xf numFmtId="15" fontId="3" fillId="0" borderId="0" xfId="0" applyNumberFormat="1" applyFont="1" applyFill="1" applyAlignment="1">
      <alignment horizontal="right" vertical="top"/>
    </xf>
    <xf numFmtId="0" fontId="9" fillId="0" borderId="0" xfId="0" applyFont="1" applyAlignment="1" applyProtection="1">
      <alignment horizontal="left" vertical="top" wrapText="1" indent="1"/>
    </xf>
    <xf numFmtId="0" fontId="9" fillId="0" borderId="0" xfId="3" applyFont="1" applyFill="1" applyAlignment="1" applyProtection="1">
      <alignment horizontal="left" vertical="top" wrapText="1" indent="1"/>
    </xf>
    <xf numFmtId="0" fontId="7" fillId="17" borderId="21" xfId="0" applyFont="1" applyFill="1" applyBorder="1" applyAlignment="1">
      <alignment horizontal="center"/>
    </xf>
    <xf numFmtId="0" fontId="7" fillId="17" borderId="0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19" fillId="12" borderId="21" xfId="0" applyFont="1" applyFill="1" applyBorder="1" applyAlignment="1">
      <alignment horizontal="center"/>
    </xf>
    <xf numFmtId="0" fontId="19" fillId="12" borderId="0" xfId="0" applyFont="1" applyFill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7" fillId="11" borderId="21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7" fillId="13" borderId="21" xfId="0" applyFont="1" applyFill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/>
    </xf>
    <xf numFmtId="0" fontId="7" fillId="16" borderId="21" xfId="0" applyFont="1" applyFill="1" applyBorder="1" applyAlignment="1">
      <alignment horizontal="center"/>
    </xf>
    <xf numFmtId="0" fontId="7" fillId="16" borderId="0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8" fontId="21" fillId="0" borderId="7" xfId="2" applyNumberFormat="1" applyFont="1" applyFill="1" applyBorder="1" applyAlignment="1" applyProtection="1">
      <alignment vertical="top"/>
      <protection locked="0"/>
    </xf>
    <xf numFmtId="168" fontId="21" fillId="0" borderId="7" xfId="2" applyNumberFormat="1" applyFont="1" applyFill="1" applyBorder="1" applyAlignment="1" applyProtection="1">
      <alignment vertical="center"/>
      <protection locked="0"/>
    </xf>
    <xf numFmtId="168" fontId="15" fillId="0" borderId="7" xfId="2" applyNumberFormat="1" applyFont="1" applyFill="1" applyBorder="1" applyAlignment="1" applyProtection="1">
      <alignment vertical="top"/>
      <protection locked="0"/>
    </xf>
    <xf numFmtId="168" fontId="15" fillId="0" borderId="7" xfId="2" applyNumberFormat="1" applyFont="1" applyFill="1" applyBorder="1" applyAlignment="1" applyProtection="1">
      <alignment vertical="center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colors>
    <mruColors>
      <color rgb="FFFF00FF"/>
      <color rgb="FFFFFFCC"/>
      <color rgb="FFCCFFFF"/>
      <color rgb="FF99CCFF"/>
      <color rgb="FFCCECFF"/>
      <color rgb="FFFFCCFF"/>
      <color rgb="FFCCCCFF"/>
      <color rgb="FFFF99CC"/>
      <color rgb="FFCCFF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New%20Working%20Models%20August%202013/Revised_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16">
          <cell r="E16" t="str">
            <v>EB-2013-0116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abSelected="1" topLeftCell="A15" workbookViewId="0">
      <selection activeCell="J21" sqref="J21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</row>
    <row r="4" spans="1:20" s="2" customFormat="1" ht="15" customHeight="1" x14ac:dyDescent="0.3">
      <c r="L4" s="3"/>
      <c r="N4" s="4"/>
      <c r="O4"/>
    </row>
    <row r="5" spans="1:20" s="2" customFormat="1" ht="14.45" x14ac:dyDescent="0.3">
      <c r="L5" s="3" t="s">
        <v>76</v>
      </c>
      <c r="N5" s="366">
        <v>42124</v>
      </c>
      <c r="O5" s="366"/>
    </row>
    <row r="6" spans="1:20" s="2" customFormat="1" ht="15" customHeight="1" x14ac:dyDescent="0.3">
      <c r="N6" s="7"/>
      <c r="O6"/>
      <c r="P6"/>
    </row>
    <row r="7" spans="1:20" ht="1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48" t="s">
        <v>59</v>
      </c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279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279"/>
      <c r="N15" s="10"/>
      <c r="O15" s="10"/>
    </row>
    <row r="16" spans="1:20" ht="14.45" x14ac:dyDescent="0.3">
      <c r="B16" s="12"/>
      <c r="D16" s="13" t="s">
        <v>6</v>
      </c>
      <c r="E16" s="13"/>
      <c r="F16" s="298">
        <v>100</v>
      </c>
      <c r="G16" s="13" t="s">
        <v>7</v>
      </c>
      <c r="J16" s="280"/>
      <c r="K16" s="34"/>
      <c r="L16" s="34"/>
      <c r="M16" s="34"/>
    </row>
    <row r="17" spans="2:15" ht="14.45" x14ac:dyDescent="0.3">
      <c r="B17" s="12"/>
      <c r="F17" s="281"/>
      <c r="G17" s="34"/>
      <c r="H17" s="34"/>
      <c r="J17" s="281"/>
      <c r="K17" s="34"/>
      <c r="L17" s="34"/>
      <c r="M17" s="34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15.2</v>
      </c>
      <c r="G21" s="26">
        <v>1</v>
      </c>
      <c r="H21" s="27">
        <f>G21*F21</f>
        <v>15.2</v>
      </c>
      <c r="I21" s="28"/>
      <c r="J21" s="283">
        <v>20.49</v>
      </c>
      <c r="K21" s="30">
        <v>1</v>
      </c>
      <c r="L21" s="27">
        <f>K21*J21</f>
        <v>20.49</v>
      </c>
      <c r="M21" s="28"/>
      <c r="N21" s="31">
        <f>L21-H21</f>
        <v>5.2899999999999991</v>
      </c>
      <c r="O21" s="32">
        <f>IF((H21)=0,"",(N21/H21))</f>
        <v>0.34802631578947363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v>0</v>
      </c>
      <c r="G22" s="26">
        <v>1</v>
      </c>
      <c r="H22" s="27">
        <f t="shared" ref="H22:H36" si="0">G22*F22</f>
        <v>0</v>
      </c>
      <c r="I22" s="28"/>
      <c r="J22" s="263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v>2.11</v>
      </c>
      <c r="G23" s="26">
        <v>1</v>
      </c>
      <c r="H23" s="27">
        <f t="shared" si="0"/>
        <v>2.11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-2.11</v>
      </c>
      <c r="O23" s="32">
        <f t="shared" ref="O23:O37" si="3">IF((H23)=0,"",(N23/H23))</f>
        <v>-1</v>
      </c>
    </row>
    <row r="24" spans="2:15" ht="14.45" x14ac:dyDescent="0.3">
      <c r="B24" s="297" t="s">
        <v>93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283"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v>-1E-4</v>
      </c>
      <c r="G25" s="26">
        <f>$F$16</f>
        <v>100</v>
      </c>
      <c r="H25" s="27">
        <f t="shared" si="0"/>
        <v>-0.01</v>
      </c>
      <c r="I25" s="28"/>
      <c r="J25" s="263">
        <v>-1E-4</v>
      </c>
      <c r="K25" s="26">
        <f>$F$16</f>
        <v>100</v>
      </c>
      <c r="L25" s="27">
        <f t="shared" si="1"/>
        <v>-0.01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100</v>
      </c>
      <c r="H26" s="27">
        <f t="shared" si="0"/>
        <v>0</v>
      </c>
      <c r="I26" s="28"/>
      <c r="J26" s="263">
        <v>-5.9999999999999995E-4</v>
      </c>
      <c r="K26" s="26">
        <f>$F$16</f>
        <v>100</v>
      </c>
      <c r="L26" s="27">
        <f t="shared" si="1"/>
        <v>-0.06</v>
      </c>
      <c r="M26" s="28"/>
      <c r="N26" s="31">
        <f t="shared" si="2"/>
        <v>-0.06</v>
      </c>
      <c r="O26" s="32" t="str">
        <f t="shared" si="3"/>
        <v/>
      </c>
    </row>
    <row r="27" spans="2:15" ht="14.45" x14ac:dyDescent="0.3">
      <c r="B27" s="22" t="s">
        <v>19</v>
      </c>
      <c r="C27" s="22"/>
      <c r="D27" s="23" t="s">
        <v>61</v>
      </c>
      <c r="E27" s="24"/>
      <c r="F27" s="25">
        <v>1.9199999999999998E-2</v>
      </c>
      <c r="G27" s="26">
        <f>$F$16</f>
        <v>100</v>
      </c>
      <c r="H27" s="27">
        <f t="shared" si="0"/>
        <v>1.92</v>
      </c>
      <c r="I27" s="28"/>
      <c r="J27" s="263">
        <v>1.6E-2</v>
      </c>
      <c r="K27" s="26">
        <f>$F$16</f>
        <v>100</v>
      </c>
      <c r="L27" s="27">
        <f t="shared" si="1"/>
        <v>1.6</v>
      </c>
      <c r="M27" s="28"/>
      <c r="N27" s="31">
        <f t="shared" si="2"/>
        <v>-0.31999999999999984</v>
      </c>
      <c r="O27" s="32">
        <f t="shared" si="3"/>
        <v>-0.1666666666666666</v>
      </c>
    </row>
    <row r="28" spans="2:15" ht="14.45" hidden="1" x14ac:dyDescent="0.3">
      <c r="B28" s="22" t="s">
        <v>20</v>
      </c>
      <c r="C28" s="22"/>
      <c r="D28" s="23"/>
      <c r="E28" s="24"/>
      <c r="F28" s="25"/>
      <c r="G28" s="26">
        <f>$F$16</f>
        <v>100</v>
      </c>
      <c r="H28" s="27">
        <f t="shared" si="0"/>
        <v>0</v>
      </c>
      <c r="I28" s="28"/>
      <c r="J28" s="29"/>
      <c r="K28" s="26">
        <f t="shared" ref="K28:K36" si="4">$F$16</f>
        <v>100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2" t="s">
        <v>21</v>
      </c>
      <c r="C29" s="22"/>
      <c r="D29" s="23"/>
      <c r="E29" s="24"/>
      <c r="F29" s="25"/>
      <c r="G29" s="26">
        <f>$F$16</f>
        <v>100</v>
      </c>
      <c r="H29" s="27">
        <f t="shared" si="0"/>
        <v>0</v>
      </c>
      <c r="I29" s="28"/>
      <c r="J29" s="29"/>
      <c r="K29" s="26">
        <f t="shared" si="4"/>
        <v>100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33"/>
      <c r="C30" s="22"/>
      <c r="D30" s="23"/>
      <c r="E30" s="24"/>
      <c r="F30" s="25"/>
      <c r="G30" s="26">
        <f t="shared" ref="G30:G36" si="5">$F$16</f>
        <v>100</v>
      </c>
      <c r="H30" s="27">
        <f t="shared" si="0"/>
        <v>0</v>
      </c>
      <c r="I30" s="28"/>
      <c r="J30" s="29"/>
      <c r="K30" s="26">
        <f t="shared" si="4"/>
        <v>100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33"/>
      <c r="C31" s="22"/>
      <c r="D31" s="23"/>
      <c r="E31" s="24"/>
      <c r="F31" s="25"/>
      <c r="G31" s="26">
        <f t="shared" si="5"/>
        <v>100</v>
      </c>
      <c r="H31" s="27">
        <f t="shared" si="0"/>
        <v>0</v>
      </c>
      <c r="I31" s="28"/>
      <c r="J31" s="29"/>
      <c r="K31" s="26">
        <f t="shared" si="4"/>
        <v>100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33"/>
      <c r="C32" s="22"/>
      <c r="D32" s="23"/>
      <c r="E32" s="24"/>
      <c r="F32" s="25"/>
      <c r="G32" s="26">
        <f t="shared" si="5"/>
        <v>100</v>
      </c>
      <c r="H32" s="27">
        <f t="shared" si="0"/>
        <v>0</v>
      </c>
      <c r="I32" s="28"/>
      <c r="J32" s="29"/>
      <c r="K32" s="26">
        <f t="shared" si="4"/>
        <v>100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33"/>
      <c r="C33" s="22"/>
      <c r="D33" s="23"/>
      <c r="E33" s="24"/>
      <c r="F33" s="25"/>
      <c r="G33" s="26">
        <f t="shared" si="5"/>
        <v>100</v>
      </c>
      <c r="H33" s="27">
        <f t="shared" si="0"/>
        <v>0</v>
      </c>
      <c r="I33" s="28"/>
      <c r="J33" s="29"/>
      <c r="K33" s="26">
        <f t="shared" si="4"/>
        <v>100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33"/>
      <c r="C34" s="22"/>
      <c r="D34" s="23"/>
      <c r="E34" s="24"/>
      <c r="F34" s="25"/>
      <c r="G34" s="26">
        <f t="shared" si="5"/>
        <v>100</v>
      </c>
      <c r="H34" s="27">
        <f t="shared" si="0"/>
        <v>0</v>
      </c>
      <c r="I34" s="28"/>
      <c r="J34" s="29"/>
      <c r="K34" s="26">
        <f t="shared" si="4"/>
        <v>100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33"/>
      <c r="C35" s="22"/>
      <c r="D35" s="23"/>
      <c r="E35" s="24"/>
      <c r="F35" s="25"/>
      <c r="G35" s="26">
        <f t="shared" si="5"/>
        <v>100</v>
      </c>
      <c r="H35" s="27">
        <f t="shared" si="0"/>
        <v>0</v>
      </c>
      <c r="I35" s="28"/>
      <c r="J35" s="29"/>
      <c r="K35" s="26">
        <f t="shared" si="4"/>
        <v>100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33"/>
      <c r="C36" s="22"/>
      <c r="D36" s="23"/>
      <c r="E36" s="24"/>
      <c r="F36" s="25"/>
      <c r="G36" s="26">
        <f t="shared" si="5"/>
        <v>100</v>
      </c>
      <c r="H36" s="27">
        <f t="shared" si="0"/>
        <v>0</v>
      </c>
      <c r="I36" s="28"/>
      <c r="J36" s="29"/>
      <c r="K36" s="26">
        <f t="shared" si="4"/>
        <v>100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19.22</v>
      </c>
      <c r="I37" s="41"/>
      <c r="J37" s="42"/>
      <c r="K37" s="43"/>
      <c r="L37" s="40">
        <f>SUM(L21:L36)</f>
        <v>22.595191548721072</v>
      </c>
      <c r="M37" s="41"/>
      <c r="N37" s="44">
        <f t="shared" si="2"/>
        <v>3.3751915487210731</v>
      </c>
      <c r="O37" s="45">
        <f t="shared" si="3"/>
        <v>0.17560830118215781</v>
      </c>
    </row>
    <row r="38" spans="2:15" ht="14.45" hidden="1" x14ac:dyDescent="0.3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v>-1.4E-3</v>
      </c>
      <c r="G39" s="26">
        <f>$F$16</f>
        <v>100</v>
      </c>
      <c r="H39" s="27">
        <f t="shared" ref="H39:H45" si="6">G39*F39</f>
        <v>-0.13999999999999999</v>
      </c>
      <c r="I39" s="28"/>
      <c r="J39" s="263">
        <f>0.0016-0.0014</f>
        <v>2.0000000000000009E-4</v>
      </c>
      <c r="K39" s="26">
        <f>$F$16</f>
        <v>100</v>
      </c>
      <c r="L39" s="27">
        <f t="shared" ref="L39:L45" si="7">K39*J39</f>
        <v>2.0000000000000011E-2</v>
      </c>
      <c r="M39" s="28"/>
      <c r="N39" s="31">
        <f t="shared" ref="N39:N45" si="8">L39-H39</f>
        <v>0.16</v>
      </c>
      <c r="O39" s="32">
        <f t="shared" ref="O39:O44" si="9">IF((H39)=0,"",(N39/H39))</f>
        <v>-1.142857142857143</v>
      </c>
    </row>
    <row r="40" spans="2:15" ht="14.45" hidden="1" x14ac:dyDescent="0.3">
      <c r="B40" s="46"/>
      <c r="C40" s="22"/>
      <c r="D40" s="23" t="s">
        <v>61</v>
      </c>
      <c r="E40" s="24"/>
      <c r="F40" s="25"/>
      <c r="G40" s="26">
        <f>$F$16</f>
        <v>100</v>
      </c>
      <c r="H40" s="27">
        <f t="shared" si="6"/>
        <v>0</v>
      </c>
      <c r="I40" s="47"/>
      <c r="J40" s="29"/>
      <c r="K40" s="26">
        <f>$F$16</f>
        <v>100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14.45" hidden="1" x14ac:dyDescent="0.3">
      <c r="B41" s="46"/>
      <c r="C41" s="22"/>
      <c r="D41" s="23" t="s">
        <v>61</v>
      </c>
      <c r="E41" s="24"/>
      <c r="F41" s="25"/>
      <c r="G41" s="26">
        <f>$F$16</f>
        <v>100</v>
      </c>
      <c r="H41" s="27">
        <f t="shared" si="6"/>
        <v>0</v>
      </c>
      <c r="I41" s="47"/>
      <c r="J41" s="29"/>
      <c r="K41" s="26">
        <f>$F$16</f>
        <v>100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14.45" hidden="1" x14ac:dyDescent="0.3">
      <c r="B42" s="46"/>
      <c r="C42" s="22"/>
      <c r="D42" s="23"/>
      <c r="E42" s="24"/>
      <c r="F42" s="25"/>
      <c r="G42" s="26">
        <f>$F$16</f>
        <v>100</v>
      </c>
      <c r="H42" s="27">
        <f t="shared" si="6"/>
        <v>0</v>
      </c>
      <c r="I42" s="47"/>
      <c r="J42" s="29"/>
      <c r="K42" s="26">
        <f>$F$16</f>
        <v>100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v>1E-4</v>
      </c>
      <c r="G43" s="26">
        <f>$F$16</f>
        <v>100</v>
      </c>
      <c r="H43" s="27">
        <f t="shared" si="6"/>
        <v>0.01</v>
      </c>
      <c r="I43" s="28"/>
      <c r="J43" s="29">
        <v>2.0000000000000001E-4</v>
      </c>
      <c r="K43" s="26">
        <f>$F$16</f>
        <v>100</v>
      </c>
      <c r="L43" s="27">
        <f t="shared" si="7"/>
        <v>0.02</v>
      </c>
      <c r="M43" s="28"/>
      <c r="N43" s="31">
        <f t="shared" si="8"/>
        <v>0.01</v>
      </c>
      <c r="O43" s="32">
        <f t="shared" si="9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4.039999999999992</v>
      </c>
      <c r="H44" s="184">
        <f t="shared" si="6"/>
        <v>0.38379999999999925</v>
      </c>
      <c r="I44" s="57"/>
      <c r="J44" s="185">
        <f>0.64*$F$54+0.18*$F$55+0.18*$F$56</f>
        <v>9.5000000000000001E-2</v>
      </c>
      <c r="K44" s="26">
        <f>$F$16*(1+$J$73)-$F$16</f>
        <v>3.6200000000000045</v>
      </c>
      <c r="L44" s="184">
        <f t="shared" si="7"/>
        <v>0.34390000000000043</v>
      </c>
      <c r="M44" s="57"/>
      <c r="N44" s="186">
        <f t="shared" si="8"/>
        <v>-3.9899999999998825E-2</v>
      </c>
      <c r="O44" s="187">
        <f t="shared" si="9"/>
        <v>-0.1039603960396011</v>
      </c>
    </row>
    <row r="45" spans="2:15" x14ac:dyDescent="0.25">
      <c r="B45" s="49" t="s">
        <v>26</v>
      </c>
      <c r="C45" s="22"/>
      <c r="D45" s="23" t="s">
        <v>60</v>
      </c>
      <c r="E45" s="24"/>
      <c r="F45" s="174">
        <v>0.79</v>
      </c>
      <c r="G45" s="26">
        <v>1</v>
      </c>
      <c r="H45" s="27">
        <f t="shared" si="6"/>
        <v>0.79</v>
      </c>
      <c r="I45" s="28"/>
      <c r="J45" s="174">
        <v>0.79</v>
      </c>
      <c r="K45" s="26">
        <v>1</v>
      </c>
      <c r="L45" s="27">
        <f t="shared" si="7"/>
        <v>0.79</v>
      </c>
      <c r="M45" s="28"/>
      <c r="N45" s="31">
        <f t="shared" si="8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SUM(H38:H45)+H37</f>
        <v>20.263799999999996</v>
      </c>
      <c r="I46" s="41"/>
      <c r="J46" s="53"/>
      <c r="K46" s="55"/>
      <c r="L46" s="54">
        <f>SUM(L38:L45)+L37</f>
        <v>23.769091548721072</v>
      </c>
      <c r="M46" s="41"/>
      <c r="N46" s="44">
        <f t="shared" ref="N46:N64" si="10">L46-H46</f>
        <v>3.5052915487210754</v>
      </c>
      <c r="O46" s="45">
        <f t="shared" ref="O46:O64" si="11">IF((H46)=0,"",(N46/H46))</f>
        <v>0.17298293255564484</v>
      </c>
    </row>
    <row r="47" spans="2:15" x14ac:dyDescent="0.25">
      <c r="B47" s="57" t="s">
        <v>28</v>
      </c>
      <c r="C47" s="28"/>
      <c r="D47" s="56" t="s">
        <v>61</v>
      </c>
      <c r="E47" s="57"/>
      <c r="F47" s="263">
        <v>7.6E-3</v>
      </c>
      <c r="G47" s="69">
        <f>F16*(1+F73)</f>
        <v>104.03999999999999</v>
      </c>
      <c r="H47" s="27">
        <f>G47*F47</f>
        <v>0.79070399999999996</v>
      </c>
      <c r="I47" s="28"/>
      <c r="J47" s="263">
        <v>7.4000000000000003E-3</v>
      </c>
      <c r="K47" s="70">
        <f>F16*(1+J73)</f>
        <v>103.62</v>
      </c>
      <c r="L47" s="27">
        <f>K47*J47</f>
        <v>0.76678800000000003</v>
      </c>
      <c r="M47" s="28"/>
      <c r="N47" s="31">
        <f t="shared" si="10"/>
        <v>-2.3915999999999937E-2</v>
      </c>
      <c r="O47" s="32">
        <f t="shared" si="11"/>
        <v>-3.0246463910641577E-2</v>
      </c>
    </row>
    <row r="48" spans="2:15" x14ac:dyDescent="0.25">
      <c r="B48" s="295" t="s">
        <v>29</v>
      </c>
      <c r="C48" s="28"/>
      <c r="D48" s="56" t="s">
        <v>61</v>
      </c>
      <c r="E48" s="57"/>
      <c r="F48" s="263">
        <v>2.3E-3</v>
      </c>
      <c r="G48" s="69">
        <f>G47</f>
        <v>104.03999999999999</v>
      </c>
      <c r="H48" s="27">
        <f>G48*F48</f>
        <v>0.23929199999999998</v>
      </c>
      <c r="I48" s="28"/>
      <c r="J48" s="263">
        <v>2.3E-3</v>
      </c>
      <c r="K48" s="70">
        <f>K47</f>
        <v>103.62</v>
      </c>
      <c r="L48" s="27">
        <f>K48*J48</f>
        <v>0.23832600000000001</v>
      </c>
      <c r="M48" s="28"/>
      <c r="N48" s="31">
        <f t="shared" si="10"/>
        <v>-9.6599999999996689E-4</v>
      </c>
      <c r="O48" s="32">
        <f t="shared" si="11"/>
        <v>-4.0369088811994004E-3</v>
      </c>
    </row>
    <row r="49" spans="2:19" x14ac:dyDescent="0.25">
      <c r="B49" s="50" t="s">
        <v>30</v>
      </c>
      <c r="C49" s="36"/>
      <c r="D49" s="36"/>
      <c r="E49" s="36"/>
      <c r="F49" s="60"/>
      <c r="G49" s="60"/>
      <c r="H49" s="54">
        <f>SUM(H46:H48)</f>
        <v>21.293795999999997</v>
      </c>
      <c r="I49" s="61"/>
      <c r="J49" s="62"/>
      <c r="K49" s="62"/>
      <c r="L49" s="54">
        <f>SUM(L46:L48)</f>
        <v>24.774205548721071</v>
      </c>
      <c r="M49" s="61"/>
      <c r="N49" s="44">
        <f t="shared" si="10"/>
        <v>3.4804095487210738</v>
      </c>
      <c r="O49" s="45">
        <f t="shared" si="11"/>
        <v>0.16344711617980534</v>
      </c>
    </row>
    <row r="50" spans="2:19" x14ac:dyDescent="0.25">
      <c r="B50" s="64" t="s">
        <v>31</v>
      </c>
      <c r="C50" s="22"/>
      <c r="D50" s="23" t="s">
        <v>61</v>
      </c>
      <c r="E50" s="24"/>
      <c r="F50" s="65">
        <v>4.4000000000000003E-3</v>
      </c>
      <c r="G50" s="69">
        <f>G48</f>
        <v>104.03999999999999</v>
      </c>
      <c r="H50" s="66">
        <f t="shared" ref="H50:H56" si="12">G50*F50</f>
        <v>0.45777600000000002</v>
      </c>
      <c r="I50" s="28"/>
      <c r="J50" s="67">
        <v>4.4000000000000003E-3</v>
      </c>
      <c r="K50" s="70">
        <f>K48</f>
        <v>103.62</v>
      </c>
      <c r="L50" s="66">
        <f t="shared" ref="L50:L56" si="13">K50*J50</f>
        <v>0.45592800000000006</v>
      </c>
      <c r="M50" s="28"/>
      <c r="N50" s="31">
        <f t="shared" si="10"/>
        <v>-1.8479999999999608E-3</v>
      </c>
      <c r="O50" s="68">
        <f t="shared" si="11"/>
        <v>-4.0369088811994525E-3</v>
      </c>
    </row>
    <row r="51" spans="2:19" x14ac:dyDescent="0.25">
      <c r="B51" s="64" t="s">
        <v>32</v>
      </c>
      <c r="C51" s="22"/>
      <c r="D51" s="23" t="s">
        <v>61</v>
      </c>
      <c r="E51" s="24"/>
      <c r="F51" s="65">
        <v>1.2999999999999999E-3</v>
      </c>
      <c r="G51" s="69">
        <f>G48</f>
        <v>104.03999999999999</v>
      </c>
      <c r="H51" s="66">
        <f t="shared" si="12"/>
        <v>0.13525199999999998</v>
      </c>
      <c r="I51" s="28"/>
      <c r="J51" s="65">
        <v>1.2999999999999999E-3</v>
      </c>
      <c r="K51" s="70">
        <f>K48</f>
        <v>103.62</v>
      </c>
      <c r="L51" s="66">
        <f t="shared" si="13"/>
        <v>0.13470599999999999</v>
      </c>
      <c r="M51" s="28"/>
      <c r="N51" s="31">
        <f t="shared" si="10"/>
        <v>-5.4599999999999094E-4</v>
      </c>
      <c r="O51" s="68">
        <f t="shared" si="11"/>
        <v>-4.0369088811994724E-3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6">
        <f t="shared" si="12"/>
        <v>0.25</v>
      </c>
      <c r="I52" s="28"/>
      <c r="J52" s="177">
        <v>0.25</v>
      </c>
      <c r="K52" s="30">
        <v>1</v>
      </c>
      <c r="L52" s="66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4" t="s">
        <v>34</v>
      </c>
      <c r="C53" s="24"/>
      <c r="D53" s="23" t="s">
        <v>61</v>
      </c>
      <c r="E53" s="24"/>
      <c r="F53" s="65">
        <v>7.0000000000000001E-3</v>
      </c>
      <c r="G53" s="69">
        <f>F16</f>
        <v>100</v>
      </c>
      <c r="H53" s="66">
        <f t="shared" si="12"/>
        <v>0.70000000000000007</v>
      </c>
      <c r="I53" s="28"/>
      <c r="J53" s="67">
        <f>0.007</f>
        <v>7.0000000000000001E-3</v>
      </c>
      <c r="K53" s="70">
        <f>F16</f>
        <v>100</v>
      </c>
      <c r="L53" s="66">
        <f t="shared" si="13"/>
        <v>0.70000000000000007</v>
      </c>
      <c r="M53" s="28"/>
      <c r="N53" s="31">
        <f t="shared" si="10"/>
        <v>0</v>
      </c>
      <c r="O53" s="68">
        <f t="shared" si="11"/>
        <v>0</v>
      </c>
    </row>
    <row r="54" spans="2:19" x14ac:dyDescent="0.25">
      <c r="B54" s="181" t="s">
        <v>35</v>
      </c>
      <c r="C54" s="22"/>
      <c r="D54" s="23" t="s">
        <v>61</v>
      </c>
      <c r="E54" s="24"/>
      <c r="F54" s="65">
        <v>7.6999999999999999E-2</v>
      </c>
      <c r="G54" s="69">
        <f>0.64*$F$16</f>
        <v>64</v>
      </c>
      <c r="H54" s="66">
        <f t="shared" si="12"/>
        <v>4.9279999999999999</v>
      </c>
      <c r="I54" s="28"/>
      <c r="J54" s="284">
        <f>+F54</f>
        <v>7.6999999999999999E-2</v>
      </c>
      <c r="K54" s="69">
        <f>G54</f>
        <v>64</v>
      </c>
      <c r="L54" s="66">
        <f t="shared" si="13"/>
        <v>4.9279999999999999</v>
      </c>
      <c r="M54" s="28"/>
      <c r="N54" s="31">
        <f t="shared" si="10"/>
        <v>0</v>
      </c>
      <c r="O54" s="68">
        <f t="shared" si="11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v>0.114</v>
      </c>
      <c r="G55" s="69">
        <f>0.18*$F$16</f>
        <v>18</v>
      </c>
      <c r="H55" s="66">
        <f t="shared" si="12"/>
        <v>2.052</v>
      </c>
      <c r="I55" s="28"/>
      <c r="J55" s="284">
        <f>+F55</f>
        <v>0.114</v>
      </c>
      <c r="K55" s="69">
        <f>G55</f>
        <v>18</v>
      </c>
      <c r="L55" s="66">
        <f t="shared" si="13"/>
        <v>2.052</v>
      </c>
      <c r="M55" s="28"/>
      <c r="N55" s="31">
        <f t="shared" si="10"/>
        <v>0</v>
      </c>
      <c r="O55" s="68">
        <f t="shared" si="11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v>0.14000000000000001</v>
      </c>
      <c r="G56" s="69">
        <f>0.18*$F$16</f>
        <v>18</v>
      </c>
      <c r="H56" s="66">
        <f t="shared" si="12"/>
        <v>2.5200000000000005</v>
      </c>
      <c r="I56" s="28"/>
      <c r="J56" s="284">
        <f>+F56</f>
        <v>0.14000000000000001</v>
      </c>
      <c r="K56" s="69">
        <f>G56</f>
        <v>18</v>
      </c>
      <c r="L56" s="66">
        <f t="shared" si="13"/>
        <v>2.5200000000000005</v>
      </c>
      <c r="M56" s="28"/>
      <c r="N56" s="31">
        <f t="shared" si="10"/>
        <v>0</v>
      </c>
      <c r="O56" s="68">
        <f t="shared" si="11"/>
        <v>0</v>
      </c>
      <c r="S56" s="72"/>
    </row>
    <row r="57" spans="2:19" s="73" customFormat="1" x14ac:dyDescent="0.2">
      <c r="B57" s="291" t="s">
        <v>84</v>
      </c>
      <c r="C57" s="75"/>
      <c r="D57" s="76" t="s">
        <v>61</v>
      </c>
      <c r="E57" s="77"/>
      <c r="F57" s="65">
        <v>8.7999999999999995E-2</v>
      </c>
      <c r="G57" s="78">
        <f>IF(AND($T$1=1, F16&gt;=600), 600, IF(AND($T$1=1, AND(F16&lt;600, F16&gt;=0)), F16, IF(AND($T$1=2, F16&gt;=1000), 1000, IF(AND($T$1=2, AND(F16&lt;1000, F16&gt;=0)), F16))))</f>
        <v>100</v>
      </c>
      <c r="H57" s="66">
        <f>G57*F57</f>
        <v>8.7999999999999989</v>
      </c>
      <c r="I57" s="79"/>
      <c r="J57" s="284">
        <f>+F57</f>
        <v>8.7999999999999995E-2</v>
      </c>
      <c r="K57" s="78">
        <f>G57</f>
        <v>100</v>
      </c>
      <c r="L57" s="66">
        <f>K57*J57</f>
        <v>8.7999999999999989</v>
      </c>
      <c r="M57" s="79"/>
      <c r="N57" s="80">
        <f t="shared" si="10"/>
        <v>0</v>
      </c>
      <c r="O57" s="68">
        <f t="shared" si="11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84">
        <f>+F58</f>
        <v>0.10299999999999999</v>
      </c>
      <c r="K58" s="78">
        <f>G58</f>
        <v>0</v>
      </c>
      <c r="L58" s="66">
        <f>K58*J58</f>
        <v>0</v>
      </c>
      <c r="M58" s="79"/>
      <c r="N58" s="80">
        <f t="shared" si="10"/>
        <v>0</v>
      </c>
      <c r="O58" s="68" t="str">
        <f t="shared" si="11"/>
        <v/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32.336823999999993</v>
      </c>
      <c r="I60" s="95"/>
      <c r="J60" s="96"/>
      <c r="K60" s="96"/>
      <c r="L60" s="190">
        <f>SUM(L50:L56,L49)</f>
        <v>35.814839548721068</v>
      </c>
      <c r="M60" s="97"/>
      <c r="N60" s="98">
        <f>L60-H60</f>
        <v>3.4780155487210749</v>
      </c>
      <c r="O60" s="99">
        <f>IF((H60)=0,"",(N60/H60))</f>
        <v>0.10755587959785648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4.2037871199999994</v>
      </c>
      <c r="I61" s="104"/>
      <c r="J61" s="105">
        <v>0.13</v>
      </c>
      <c r="K61" s="104"/>
      <c r="L61" s="106">
        <f>L60*J61</f>
        <v>4.6559291413337389</v>
      </c>
      <c r="M61" s="107"/>
      <c r="N61" s="108">
        <f t="shared" si="10"/>
        <v>0.45214202133373949</v>
      </c>
      <c r="O61" s="109">
        <f t="shared" si="11"/>
        <v>0.10755587959785641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36.540611119999994</v>
      </c>
      <c r="I62" s="104"/>
      <c r="J62" s="104"/>
      <c r="K62" s="104"/>
      <c r="L62" s="106">
        <f>L60+L61</f>
        <v>40.470768690054804</v>
      </c>
      <c r="M62" s="107"/>
      <c r="N62" s="108">
        <f t="shared" si="10"/>
        <v>3.9301575700548099</v>
      </c>
      <c r="O62" s="109">
        <f t="shared" si="11"/>
        <v>0.10755587959785634</v>
      </c>
      <c r="S62" s="72"/>
    </row>
    <row r="63" spans="2:19" ht="15.75" customHeight="1" x14ac:dyDescent="0.25">
      <c r="B63" s="359" t="s">
        <v>43</v>
      </c>
      <c r="C63" s="359"/>
      <c r="D63" s="359"/>
      <c r="E63" s="22"/>
      <c r="F63" s="111"/>
      <c r="G63" s="102"/>
      <c r="H63" s="112">
        <f>ROUND(-H62*10%,2)</f>
        <v>-3.65</v>
      </c>
      <c r="I63" s="104"/>
      <c r="J63" s="104"/>
      <c r="K63" s="104"/>
      <c r="L63" s="113">
        <f>ROUND(-L62*10%,2)</f>
        <v>-4.05</v>
      </c>
      <c r="M63" s="107"/>
      <c r="N63" s="114">
        <f t="shared" si="10"/>
        <v>-0.39999999999999991</v>
      </c>
      <c r="O63" s="115">
        <f t="shared" si="11"/>
        <v>0.10958904109589039</v>
      </c>
    </row>
    <row r="64" spans="2:19" ht="15.75" thickBot="1" x14ac:dyDescent="0.3">
      <c r="B64" s="360" t="s">
        <v>44</v>
      </c>
      <c r="C64" s="360"/>
      <c r="D64" s="360"/>
      <c r="E64" s="116"/>
      <c r="F64" s="117"/>
      <c r="G64" s="118"/>
      <c r="H64" s="119">
        <f>H62+H63</f>
        <v>32.890611119999996</v>
      </c>
      <c r="I64" s="120"/>
      <c r="J64" s="120"/>
      <c r="K64" s="120"/>
      <c r="L64" s="121">
        <f>L62+L63</f>
        <v>36.420768690054807</v>
      </c>
      <c r="M64" s="122"/>
      <c r="N64" s="123">
        <f t="shared" si="10"/>
        <v>3.5301575700548113</v>
      </c>
      <c r="O64" s="124">
        <f t="shared" si="11"/>
        <v>0.10733025169934306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31.636823999999997</v>
      </c>
      <c r="I66" s="136"/>
      <c r="J66" s="137"/>
      <c r="K66" s="137"/>
      <c r="L66" s="189">
        <f>SUM(L57:L58,L49,L50:L53)</f>
        <v>35.114839548721072</v>
      </c>
      <c r="M66" s="138"/>
      <c r="N66" s="139">
        <f>L66-H66</f>
        <v>3.4780155487210749</v>
      </c>
      <c r="O66" s="99">
        <f>IF((H66)=0,"",(N66/H66))</f>
        <v>0.10993567333816678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4.1127871200000001</v>
      </c>
      <c r="I67" s="143"/>
      <c r="J67" s="144">
        <v>0.13</v>
      </c>
      <c r="K67" s="145"/>
      <c r="L67" s="146">
        <f>L66*J67</f>
        <v>4.5649291413337396</v>
      </c>
      <c r="M67" s="147"/>
      <c r="N67" s="148">
        <f>L67-H67</f>
        <v>0.45214202133373949</v>
      </c>
      <c r="O67" s="109">
        <f>IF((H67)=0,"",(N67/H67))</f>
        <v>0.10993567333816671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35.749611119999997</v>
      </c>
      <c r="I68" s="143"/>
      <c r="J68" s="143"/>
      <c r="K68" s="143"/>
      <c r="L68" s="146">
        <f>L66+L67</f>
        <v>39.679768690054814</v>
      </c>
      <c r="M68" s="147"/>
      <c r="N68" s="148">
        <f>L68-H68</f>
        <v>3.930157570054817</v>
      </c>
      <c r="O68" s="109">
        <f>IF((H68)=0,"",(N68/H68))</f>
        <v>0.10993567333816685</v>
      </c>
    </row>
    <row r="69" spans="1:15" s="73" customFormat="1" ht="15.75" customHeight="1" x14ac:dyDescent="0.2">
      <c r="B69" s="361" t="s">
        <v>43</v>
      </c>
      <c r="C69" s="361"/>
      <c r="D69" s="361"/>
      <c r="E69" s="75"/>
      <c r="F69" s="150"/>
      <c r="G69" s="151"/>
      <c r="H69" s="152">
        <f>ROUND(-H68*10%,2)</f>
        <v>-3.57</v>
      </c>
      <c r="I69" s="143"/>
      <c r="J69" s="143"/>
      <c r="K69" s="143"/>
      <c r="L69" s="153">
        <f>ROUND(-L68*10%,2)</f>
        <v>-3.97</v>
      </c>
      <c r="M69" s="147"/>
      <c r="N69" s="154">
        <f>L69-H69</f>
        <v>-0.40000000000000036</v>
      </c>
      <c r="O69" s="115">
        <f>IF((H69)=0,"",(N69/H69))</f>
        <v>0.11204481792717097</v>
      </c>
    </row>
    <row r="70" spans="1:15" s="73" customFormat="1" ht="13.5" thickBot="1" x14ac:dyDescent="0.25">
      <c r="B70" s="352" t="s">
        <v>46</v>
      </c>
      <c r="C70" s="352"/>
      <c r="D70" s="352"/>
      <c r="E70" s="155"/>
      <c r="F70" s="156"/>
      <c r="G70" s="157"/>
      <c r="H70" s="158">
        <f>SUM(H68:H69)</f>
        <v>32.179611119999997</v>
      </c>
      <c r="I70" s="159"/>
      <c r="J70" s="159"/>
      <c r="K70" s="159"/>
      <c r="L70" s="160">
        <f>SUM(L68:L69)</f>
        <v>35.709768690054815</v>
      </c>
      <c r="M70" s="161"/>
      <c r="N70" s="162">
        <f>L70-H70</f>
        <v>3.5301575700548184</v>
      </c>
      <c r="O70" s="163">
        <f>IF((H70)=0,"",(N70/H70))</f>
        <v>0.10970168523449884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v>4.0399999999999998E-2</v>
      </c>
      <c r="J73" s="170"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D12:O12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21:D36 D38:D45 D50:D59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view="pageBreakPreview" topLeftCell="A37" zoomScale="60" zoomScaleNormal="100" workbookViewId="0">
      <selection activeCell="F37" sqref="F3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5703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 s="192"/>
    </row>
    <row r="4" spans="1:20" s="2" customFormat="1" ht="9" customHeight="1" x14ac:dyDescent="0.3">
      <c r="L4" s="3"/>
      <c r="N4" s="311"/>
      <c r="O4"/>
      <c r="P4" s="194"/>
    </row>
    <row r="5" spans="1:20" s="2" customFormat="1" ht="14.45" x14ac:dyDescent="0.3">
      <c r="L5" s="3" t="s">
        <v>76</v>
      </c>
      <c r="N5" s="368">
        <v>42124</v>
      </c>
      <c r="O5" s="368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67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5000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35.51</v>
      </c>
      <c r="K21" s="30">
        <v>1</v>
      </c>
      <c r="L21" s="27">
        <f>K21*J21</f>
        <v>35.51</v>
      </c>
      <c r="M21" s="28"/>
      <c r="N21" s="31">
        <f>L21-H21</f>
        <v>3.5499999999999972</v>
      </c>
      <c r="O21" s="32">
        <f>IF((H21)=0,"",(N21/H21))</f>
        <v>0.11107634543178964</v>
      </c>
    </row>
    <row r="22" spans="2:15" ht="36.75" customHeight="1" x14ac:dyDescent="0.3">
      <c r="B22" s="296" t="s">
        <v>88</v>
      </c>
      <c r="C22" s="22"/>
      <c r="D22" s="56" t="s">
        <v>61</v>
      </c>
      <c r="E22" s="24"/>
      <c r="F22" s="173"/>
      <c r="G22" s="26">
        <f>$F$16</f>
        <v>5000</v>
      </c>
      <c r="H22" s="27">
        <f t="shared" ref="H22:H36" si="0">G22*F22</f>
        <v>0</v>
      </c>
      <c r="I22" s="28"/>
      <c r="J22" s="29">
        <f>+'GS&lt;50 (1,000kWh)'!$J$22</f>
        <v>5.0000000000000001E-4</v>
      </c>
      <c r="K22" s="26">
        <f>$F$16</f>
        <v>5000</v>
      </c>
      <c r="L22" s="27">
        <f>K22*J22</f>
        <v>2.5</v>
      </c>
      <c r="M22" s="28"/>
      <c r="N22" s="31">
        <f>L22-H22</f>
        <v>2.5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5000</v>
      </c>
      <c r="H25" s="27">
        <f t="shared" si="0"/>
        <v>-0.25</v>
      </c>
      <c r="I25" s="28"/>
      <c r="J25" s="29">
        <f>+'GS&lt;50 (1,000kWh)'!$J$25</f>
        <v>-5.0000000000000002E-5</v>
      </c>
      <c r="K25" s="26">
        <f>$F$16</f>
        <v>5000</v>
      </c>
      <c r="L25" s="27">
        <f t="shared" si="1"/>
        <v>-0.25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5000</v>
      </c>
      <c r="H26" s="27">
        <f t="shared" si="0"/>
        <v>0</v>
      </c>
      <c r="I26" s="28"/>
      <c r="J26" s="263">
        <f>+'GS&lt;50 (1,000kWh)'!$J$26</f>
        <v>-5.9999999999999995E-4</v>
      </c>
      <c r="K26" s="26">
        <f>$F$16</f>
        <v>5000</v>
      </c>
      <c r="L26" s="27">
        <f t="shared" si="1"/>
        <v>-2.9999999999999996</v>
      </c>
      <c r="M26" s="28"/>
      <c r="N26" s="31">
        <f t="shared" si="2"/>
        <v>-2.9999999999999996</v>
      </c>
      <c r="O26" s="32" t="str">
        <f t="shared" si="3"/>
        <v/>
      </c>
    </row>
    <row r="27" spans="2:15" ht="14.45" x14ac:dyDescent="0.3">
      <c r="B27" s="24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5000</v>
      </c>
      <c r="H27" s="27">
        <f t="shared" si="0"/>
        <v>71.5</v>
      </c>
      <c r="I27" s="28"/>
      <c r="J27" s="29">
        <f>+'GS&lt;50 (1,000kWh)'!$J$27</f>
        <v>1.5800000000000002E-2</v>
      </c>
      <c r="K27" s="26">
        <f>$F$16</f>
        <v>5000</v>
      </c>
      <c r="L27" s="27">
        <f t="shared" si="1"/>
        <v>79.000000000000014</v>
      </c>
      <c r="M27" s="28"/>
      <c r="N27" s="31">
        <f t="shared" si="2"/>
        <v>7.5000000000000142</v>
      </c>
      <c r="O27" s="32">
        <f t="shared" si="3"/>
        <v>0.10489510489510509</v>
      </c>
    </row>
    <row r="28" spans="2:15" ht="14.45" hidden="1" x14ac:dyDescent="0.3">
      <c r="B28" s="24" t="s">
        <v>20</v>
      </c>
      <c r="C28" s="22"/>
      <c r="D28" s="23"/>
      <c r="E28" s="24"/>
      <c r="F28" s="25"/>
      <c r="G28" s="26">
        <f>$F$16</f>
        <v>5000</v>
      </c>
      <c r="H28" s="27">
        <f t="shared" si="0"/>
        <v>0</v>
      </c>
      <c r="I28" s="28"/>
      <c r="J28" s="29"/>
      <c r="K28" s="26">
        <f t="shared" ref="K28:K36" si="4">$F$16</f>
        <v>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4" t="s">
        <v>21</v>
      </c>
      <c r="C29" s="22"/>
      <c r="D29" s="23"/>
      <c r="E29" s="24"/>
      <c r="F29" s="25"/>
      <c r="G29" s="26">
        <f>$F$16</f>
        <v>5000</v>
      </c>
      <c r="H29" s="27">
        <f t="shared" si="0"/>
        <v>0</v>
      </c>
      <c r="I29" s="28"/>
      <c r="J29" s="29"/>
      <c r="K29" s="26">
        <f t="shared" si="4"/>
        <v>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182"/>
      <c r="C30" s="22"/>
      <c r="D30" s="23"/>
      <c r="E30" s="24"/>
      <c r="F30" s="25"/>
      <c r="G30" s="26">
        <f t="shared" ref="G30:G36" si="5">$F$16</f>
        <v>5000</v>
      </c>
      <c r="H30" s="27">
        <f t="shared" si="0"/>
        <v>0</v>
      </c>
      <c r="I30" s="28"/>
      <c r="J30" s="29"/>
      <c r="K30" s="26">
        <f t="shared" si="4"/>
        <v>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182"/>
      <c r="C31" s="22"/>
      <c r="D31" s="23"/>
      <c r="E31" s="24"/>
      <c r="F31" s="25"/>
      <c r="G31" s="26">
        <f t="shared" si="5"/>
        <v>5000</v>
      </c>
      <c r="H31" s="27">
        <f t="shared" si="0"/>
        <v>0</v>
      </c>
      <c r="I31" s="28"/>
      <c r="J31" s="29"/>
      <c r="K31" s="26">
        <f t="shared" si="4"/>
        <v>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182"/>
      <c r="C32" s="22"/>
      <c r="D32" s="23"/>
      <c r="E32" s="24"/>
      <c r="F32" s="25"/>
      <c r="G32" s="26">
        <f t="shared" si="5"/>
        <v>5000</v>
      </c>
      <c r="H32" s="27">
        <f t="shared" si="0"/>
        <v>0</v>
      </c>
      <c r="I32" s="28"/>
      <c r="J32" s="29"/>
      <c r="K32" s="26">
        <f t="shared" si="4"/>
        <v>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182"/>
      <c r="C33" s="22"/>
      <c r="D33" s="23"/>
      <c r="E33" s="24"/>
      <c r="F33" s="25"/>
      <c r="G33" s="26">
        <f t="shared" si="5"/>
        <v>5000</v>
      </c>
      <c r="H33" s="27">
        <f t="shared" si="0"/>
        <v>0</v>
      </c>
      <c r="I33" s="28"/>
      <c r="J33" s="29"/>
      <c r="K33" s="26">
        <f t="shared" si="4"/>
        <v>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182"/>
      <c r="C34" s="22"/>
      <c r="D34" s="23"/>
      <c r="E34" s="24"/>
      <c r="F34" s="25"/>
      <c r="G34" s="26">
        <f t="shared" si="5"/>
        <v>5000</v>
      </c>
      <c r="H34" s="27">
        <f t="shared" si="0"/>
        <v>0</v>
      </c>
      <c r="I34" s="28"/>
      <c r="J34" s="29"/>
      <c r="K34" s="26">
        <f t="shared" si="4"/>
        <v>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182"/>
      <c r="C35" s="22"/>
      <c r="D35" s="23"/>
      <c r="E35" s="24"/>
      <c r="F35" s="25"/>
      <c r="G35" s="26">
        <f t="shared" si="5"/>
        <v>5000</v>
      </c>
      <c r="H35" s="27">
        <f t="shared" si="0"/>
        <v>0</v>
      </c>
      <c r="I35" s="28"/>
      <c r="J35" s="29"/>
      <c r="K35" s="26">
        <f t="shared" si="4"/>
        <v>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182"/>
      <c r="C36" s="22"/>
      <c r="D36" s="23"/>
      <c r="E36" s="24"/>
      <c r="F36" s="25"/>
      <c r="G36" s="26">
        <f t="shared" si="5"/>
        <v>5000</v>
      </c>
      <c r="H36" s="27">
        <f t="shared" si="0"/>
        <v>0</v>
      </c>
      <c r="I36" s="28"/>
      <c r="J36" s="29"/>
      <c r="K36" s="26">
        <f t="shared" si="4"/>
        <v>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108.72</v>
      </c>
      <c r="I37" s="41"/>
      <c r="J37" s="42"/>
      <c r="K37" s="43"/>
      <c r="L37" s="40">
        <f>SUM(L21:L36)</f>
        <v>115.14415286452029</v>
      </c>
      <c r="M37" s="41"/>
      <c r="N37" s="44">
        <f t="shared" si="2"/>
        <v>6.4241528645202948</v>
      </c>
      <c r="O37" s="45">
        <f t="shared" si="3"/>
        <v>5.9088970424211691E-2</v>
      </c>
    </row>
    <row r="38" spans="2:15" ht="14.45" hidden="1" x14ac:dyDescent="0.3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4.45" x14ac:dyDescent="0.3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5000</v>
      </c>
      <c r="H39" s="27">
        <f t="shared" ref="H39:H45" si="6">G39*F39</f>
        <v>-7</v>
      </c>
      <c r="I39" s="28"/>
      <c r="J39" s="263">
        <f>+'GS&lt;50 (1,000kWh)'!$J$39</f>
        <v>3.9999999999999996E-4</v>
      </c>
      <c r="K39" s="26">
        <f>$F$16</f>
        <v>5000</v>
      </c>
      <c r="L39" s="27">
        <f t="shared" ref="L39:L45" si="7">K39*J39</f>
        <v>1.9999999999999998</v>
      </c>
      <c r="M39" s="28"/>
      <c r="N39" s="31">
        <f t="shared" si="2"/>
        <v>9</v>
      </c>
      <c r="O39" s="32">
        <f t="shared" si="3"/>
        <v>-1.2857142857142858</v>
      </c>
    </row>
    <row r="40" spans="2:15" ht="14.45" x14ac:dyDescent="0.3">
      <c r="B40" s="296"/>
      <c r="C40" s="22"/>
      <c r="D40" s="23" t="s">
        <v>61</v>
      </c>
      <c r="E40" s="24"/>
      <c r="F40" s="25"/>
      <c r="G40" s="26">
        <f>$F$16</f>
        <v>5000</v>
      </c>
      <c r="H40" s="27">
        <f t="shared" si="6"/>
        <v>0</v>
      </c>
      <c r="I40" s="47"/>
      <c r="J40" s="29"/>
      <c r="K40" s="26">
        <f>$F$16</f>
        <v>5000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4.45" hidden="1" x14ac:dyDescent="0.3">
      <c r="B41" s="46"/>
      <c r="C41" s="22"/>
      <c r="D41" s="23" t="s">
        <v>61</v>
      </c>
      <c r="E41" s="24"/>
      <c r="F41" s="25"/>
      <c r="G41" s="26">
        <f>$F$16</f>
        <v>5000</v>
      </c>
      <c r="H41" s="27">
        <f t="shared" si="6"/>
        <v>0</v>
      </c>
      <c r="I41" s="47"/>
      <c r="J41" s="29"/>
      <c r="K41" s="26">
        <f>$F$16</f>
        <v>5000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4.45" hidden="1" x14ac:dyDescent="0.3">
      <c r="B42" s="46"/>
      <c r="C42" s="22"/>
      <c r="D42" s="23"/>
      <c r="E42" s="24"/>
      <c r="F42" s="25"/>
      <c r="G42" s="26">
        <f>$F$16</f>
        <v>5000</v>
      </c>
      <c r="H42" s="27">
        <f t="shared" si="6"/>
        <v>0</v>
      </c>
      <c r="I42" s="47"/>
      <c r="J42" s="29"/>
      <c r="K42" s="26">
        <f>$F$16</f>
        <v>5000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4.45" x14ac:dyDescent="0.3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5000</v>
      </c>
      <c r="H43" s="27">
        <f t="shared" si="6"/>
        <v>0.5</v>
      </c>
      <c r="I43" s="28"/>
      <c r="J43" s="29">
        <f>+'GS&lt;50 (1,000kWh)'!$J$43</f>
        <v>2.0000000000000001E-4</v>
      </c>
      <c r="K43" s="26">
        <f>$F$16</f>
        <v>5000</v>
      </c>
      <c r="L43" s="27">
        <f t="shared" si="7"/>
        <v>1</v>
      </c>
      <c r="M43" s="28"/>
      <c r="N43" s="31">
        <f t="shared" si="2"/>
        <v>0.5</v>
      </c>
      <c r="O43" s="32">
        <f t="shared" si="3"/>
        <v>1</v>
      </c>
    </row>
    <row r="44" spans="2:15" s="34" customFormat="1" ht="14.45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202</v>
      </c>
      <c r="H44" s="184">
        <f t="shared" si="6"/>
        <v>19.190000000000001</v>
      </c>
      <c r="I44" s="57"/>
      <c r="J44" s="185">
        <f>0.64*$F$54+0.18*$F$55+0.18*$F$56</f>
        <v>9.5000000000000001E-2</v>
      </c>
      <c r="K44" s="26">
        <f>$F$16*(1+$J$73)-$F$16</f>
        <v>181</v>
      </c>
      <c r="L44" s="184">
        <f t="shared" si="7"/>
        <v>17.195</v>
      </c>
      <c r="M44" s="57"/>
      <c r="N44" s="186">
        <f t="shared" si="2"/>
        <v>-1.995000000000001</v>
      </c>
      <c r="O44" s="187">
        <f t="shared" si="3"/>
        <v>-0.10396039603960401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122.2</v>
      </c>
      <c r="I46" s="41"/>
      <c r="J46" s="53"/>
      <c r="K46" s="55"/>
      <c r="L46" s="54">
        <f>SUM(L38:L45)+L37</f>
        <v>136.12915286452028</v>
      </c>
      <c r="M46" s="41"/>
      <c r="N46" s="44">
        <f t="shared" si="2"/>
        <v>13.929152864520276</v>
      </c>
      <c r="O46" s="45">
        <f t="shared" ref="O46:O64" si="8">IF((H46)=0,"",(N46/H46))</f>
        <v>0.11398652098625431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5202</v>
      </c>
      <c r="H47" s="27">
        <f>G47*F47</f>
        <v>35.893799999999999</v>
      </c>
      <c r="I47" s="28"/>
      <c r="J47" s="263">
        <f>+'GS&lt;50 (1,000kWh)'!$J$47</f>
        <v>6.7000000000000002E-3</v>
      </c>
      <c r="K47" s="70">
        <f>F16*(1+J73)</f>
        <v>5181</v>
      </c>
      <c r="L47" s="27">
        <f>K47*J47</f>
        <v>34.712699999999998</v>
      </c>
      <c r="M47" s="28"/>
      <c r="N47" s="31">
        <f t="shared" si="2"/>
        <v>-1.1811000000000007</v>
      </c>
      <c r="O47" s="32">
        <f t="shared" si="8"/>
        <v>-3.2905404275947396E-2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5202</v>
      </c>
      <c r="H48" s="27">
        <f>G48*F48</f>
        <v>10.924199999999999</v>
      </c>
      <c r="I48" s="28"/>
      <c r="J48" s="263">
        <f>+'GS&lt;50 (1,000kWh)'!$J$48</f>
        <v>2.0999999999999999E-3</v>
      </c>
      <c r="K48" s="70">
        <f>K47</f>
        <v>5181</v>
      </c>
      <c r="L48" s="27">
        <f>K48*J48</f>
        <v>10.880099999999999</v>
      </c>
      <c r="M48" s="28"/>
      <c r="N48" s="31">
        <f t="shared" si="2"/>
        <v>-4.410000000000025E-2</v>
      </c>
      <c r="O48" s="32">
        <f t="shared" si="8"/>
        <v>-4.0369088811995617E-3</v>
      </c>
    </row>
    <row r="49" spans="2:19" ht="14.45" x14ac:dyDescent="0.3">
      <c r="B49" s="50" t="s">
        <v>30</v>
      </c>
      <c r="C49" s="36"/>
      <c r="D49" s="36"/>
      <c r="E49" s="36"/>
      <c r="F49" s="60"/>
      <c r="G49" s="53"/>
      <c r="H49" s="54">
        <f>SUM(H46:H48)</f>
        <v>169.01799999999997</v>
      </c>
      <c r="I49" s="61"/>
      <c r="J49" s="62"/>
      <c r="K49" s="63"/>
      <c r="L49" s="54">
        <f>SUM(L46:L48)</f>
        <v>181.72195286452026</v>
      </c>
      <c r="M49" s="61"/>
      <c r="N49" s="44">
        <f t="shared" si="2"/>
        <v>12.703952864520289</v>
      </c>
      <c r="O49" s="45">
        <f t="shared" si="8"/>
        <v>7.5163313164990073E-2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5202</v>
      </c>
      <c r="H50" s="66">
        <f t="shared" ref="H50:H56" si="9">G50*F50</f>
        <v>22.8888</v>
      </c>
      <c r="I50" s="28"/>
      <c r="J50" s="263">
        <f>+'GS&lt;50 (1,000kWh)'!$J$50</f>
        <v>4.4000000000000003E-3</v>
      </c>
      <c r="K50" s="70">
        <f>K48</f>
        <v>5181</v>
      </c>
      <c r="L50" s="66">
        <f t="shared" ref="L50:L56" si="10">K50*J50</f>
        <v>22.796400000000002</v>
      </c>
      <c r="M50" s="28"/>
      <c r="N50" s="31">
        <f t="shared" si="2"/>
        <v>-9.2399999999997817E-2</v>
      </c>
      <c r="O50" s="68">
        <f t="shared" si="8"/>
        <v>-4.0369088811994429E-3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5202</v>
      </c>
      <c r="H51" s="66">
        <f t="shared" si="9"/>
        <v>6.7625999999999999</v>
      </c>
      <c r="I51" s="28"/>
      <c r="J51" s="263">
        <f>+'GS&lt;50 (1,000kWh)'!$J$51</f>
        <v>1.2999999999999999E-3</v>
      </c>
      <c r="K51" s="70">
        <f>K48</f>
        <v>5181</v>
      </c>
      <c r="L51" s="66">
        <f t="shared" si="10"/>
        <v>6.7352999999999996</v>
      </c>
      <c r="M51" s="28"/>
      <c r="N51" s="31">
        <f t="shared" si="2"/>
        <v>-2.7300000000000324E-2</v>
      </c>
      <c r="O51" s="68">
        <f t="shared" si="8"/>
        <v>-4.0369088811995869E-3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5000</v>
      </c>
      <c r="H53" s="66">
        <f t="shared" si="9"/>
        <v>35</v>
      </c>
      <c r="I53" s="28"/>
      <c r="J53" s="263">
        <f>+'GS&lt;50 (1,000kWh)'!$J$53</f>
        <v>7.0000000000000001E-3</v>
      </c>
      <c r="K53" s="70">
        <f>F16</f>
        <v>5000</v>
      </c>
      <c r="L53" s="66">
        <f t="shared" si="10"/>
        <v>35</v>
      </c>
      <c r="M53" s="28"/>
      <c r="N53" s="31">
        <f t="shared" si="2"/>
        <v>0</v>
      </c>
      <c r="O53" s="68">
        <f t="shared" si="8"/>
        <v>0</v>
      </c>
    </row>
    <row r="54" spans="2:19" ht="14.45" x14ac:dyDescent="0.3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3200</v>
      </c>
      <c r="H54" s="66">
        <f t="shared" si="9"/>
        <v>246.4</v>
      </c>
      <c r="I54" s="28"/>
      <c r="J54" s="263">
        <f>+'GS&lt;50 (1,000kWh)'!$J$54</f>
        <v>7.6999999999999999E-2</v>
      </c>
      <c r="K54" s="69">
        <f>G54</f>
        <v>3200</v>
      </c>
      <c r="L54" s="66">
        <f t="shared" si="10"/>
        <v>246.4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4.45" x14ac:dyDescent="0.3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900</v>
      </c>
      <c r="H55" s="66">
        <f t="shared" si="9"/>
        <v>102.60000000000001</v>
      </c>
      <c r="I55" s="28"/>
      <c r="J55" s="263">
        <f>+'GS&lt;50 (1,000kWh)'!$J$55</f>
        <v>0.114</v>
      </c>
      <c r="K55" s="69">
        <f>G55</f>
        <v>900</v>
      </c>
      <c r="L55" s="66">
        <f t="shared" si="10"/>
        <v>102.60000000000001</v>
      </c>
      <c r="M55" s="28"/>
      <c r="N55" s="31">
        <f t="shared" si="2"/>
        <v>0</v>
      </c>
      <c r="O55" s="68">
        <f t="shared" si="8"/>
        <v>0</v>
      </c>
      <c r="S55" s="72"/>
    </row>
    <row r="56" spans="2:19" ht="14.45" x14ac:dyDescent="0.3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900</v>
      </c>
      <c r="H56" s="66">
        <f t="shared" si="9"/>
        <v>126.00000000000001</v>
      </c>
      <c r="I56" s="28"/>
      <c r="J56" s="263">
        <f>+'GS&lt;50 (1,000kWh)'!$J$56</f>
        <v>0.14000000000000001</v>
      </c>
      <c r="K56" s="69">
        <f>G56</f>
        <v>900</v>
      </c>
      <c r="L56" s="66">
        <f t="shared" si="10"/>
        <v>126.00000000000001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ht="14.45" x14ac:dyDescent="0.25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thickBot="1" x14ac:dyDescent="0.3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4400</v>
      </c>
      <c r="H58" s="66">
        <f>G58*F58</f>
        <v>453.2</v>
      </c>
      <c r="I58" s="79"/>
      <c r="J58" s="263">
        <f>+'GS&lt;50 (1,000kWh)'!$J$58</f>
        <v>0.10299999999999999</v>
      </c>
      <c r="K58" s="78">
        <f>G58</f>
        <v>4400</v>
      </c>
      <c r="L58" s="66">
        <f>K58*J58</f>
        <v>453.2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4.45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708.9194</v>
      </c>
      <c r="I60" s="95"/>
      <c r="J60" s="96"/>
      <c r="K60" s="96"/>
      <c r="L60" s="190">
        <f>SUM(L50:L56,L49)</f>
        <v>721.50365286452029</v>
      </c>
      <c r="M60" s="97"/>
      <c r="N60" s="98">
        <f>L60-H60</f>
        <v>12.584252864520295</v>
      </c>
      <c r="O60" s="99">
        <f>IF((H60)=0,"",(N60/H60))</f>
        <v>1.7751316813336318E-2</v>
      </c>
      <c r="S60" s="72"/>
    </row>
    <row r="61" spans="2:19" ht="14.45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92.15952200000001</v>
      </c>
      <c r="I61" s="104"/>
      <c r="J61" s="105">
        <v>0.13</v>
      </c>
      <c r="K61" s="104"/>
      <c r="L61" s="106">
        <f>L60*J61</f>
        <v>93.795474872387643</v>
      </c>
      <c r="M61" s="107"/>
      <c r="N61" s="108">
        <f t="shared" si="2"/>
        <v>1.6359528723876338</v>
      </c>
      <c r="O61" s="109">
        <f t="shared" si="8"/>
        <v>1.7751316813336266E-2</v>
      </c>
      <c r="S61" s="72"/>
    </row>
    <row r="62" spans="2:19" ht="14.45" x14ac:dyDescent="0.3">
      <c r="B62" s="110" t="s">
        <v>42</v>
      </c>
      <c r="C62" s="22"/>
      <c r="D62" s="22"/>
      <c r="E62" s="22"/>
      <c r="F62" s="111"/>
      <c r="G62" s="102"/>
      <c r="H62" s="103">
        <f>H60+H61</f>
        <v>801.07892200000003</v>
      </c>
      <c r="I62" s="104"/>
      <c r="J62" s="104"/>
      <c r="K62" s="104"/>
      <c r="L62" s="106">
        <f>L60+L61</f>
        <v>815.29912773690796</v>
      </c>
      <c r="M62" s="107"/>
      <c r="N62" s="108">
        <f t="shared" si="2"/>
        <v>14.220205736907928</v>
      </c>
      <c r="O62" s="109">
        <f t="shared" si="8"/>
        <v>1.7751316813336311E-2</v>
      </c>
      <c r="S62" s="72"/>
    </row>
    <row r="63" spans="2:19" ht="15.75" customHeight="1" x14ac:dyDescent="0.3">
      <c r="B63" s="369" t="s">
        <v>43</v>
      </c>
      <c r="C63" s="369"/>
      <c r="D63" s="369"/>
      <c r="E63" s="22"/>
      <c r="F63" s="111"/>
      <c r="G63" s="102"/>
      <c r="H63" s="112">
        <f>ROUND(-H62*10%,2)</f>
        <v>-80.11</v>
      </c>
      <c r="I63" s="104"/>
      <c r="J63" s="104"/>
      <c r="K63" s="104"/>
      <c r="L63" s="113">
        <f>ROUND(-L62*10%,2)</f>
        <v>-81.53</v>
      </c>
      <c r="M63" s="107"/>
      <c r="N63" s="114">
        <f t="shared" si="2"/>
        <v>-1.4200000000000017</v>
      </c>
      <c r="O63" s="115">
        <f t="shared" si="8"/>
        <v>1.7725627262514063E-2</v>
      </c>
    </row>
    <row r="64" spans="2:19" thickBot="1" x14ac:dyDescent="0.35">
      <c r="B64" s="360" t="s">
        <v>44</v>
      </c>
      <c r="C64" s="360"/>
      <c r="D64" s="360"/>
      <c r="E64" s="116"/>
      <c r="F64" s="117"/>
      <c r="G64" s="118"/>
      <c r="H64" s="119">
        <f>H62+H63</f>
        <v>720.96892200000002</v>
      </c>
      <c r="I64" s="120"/>
      <c r="J64" s="120"/>
      <c r="K64" s="120"/>
      <c r="L64" s="121">
        <f>L62+L63</f>
        <v>733.76912773690799</v>
      </c>
      <c r="M64" s="122"/>
      <c r="N64" s="123">
        <f t="shared" si="2"/>
        <v>12.800205736907969</v>
      </c>
      <c r="O64" s="124">
        <f t="shared" si="8"/>
        <v>1.7754171291322274E-2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15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739.9194</v>
      </c>
      <c r="I66" s="136"/>
      <c r="J66" s="137"/>
      <c r="K66" s="137"/>
      <c r="L66" s="189">
        <f>SUM(L57:L58,L49,L50:L53)</f>
        <v>752.50365286452029</v>
      </c>
      <c r="M66" s="138"/>
      <c r="N66" s="139">
        <f>L66-H66</f>
        <v>12.584252864520295</v>
      </c>
      <c r="O66" s="99">
        <f>IF((H66)=0,"",(N66/H66))</f>
        <v>1.7007599563574484E-2</v>
      </c>
    </row>
    <row r="67" spans="1:15" s="73" customFormat="1" ht="13.15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96.189521999999997</v>
      </c>
      <c r="I67" s="143"/>
      <c r="J67" s="144">
        <v>0.13</v>
      </c>
      <c r="K67" s="145"/>
      <c r="L67" s="146">
        <f>L66*J67</f>
        <v>97.825474872387645</v>
      </c>
      <c r="M67" s="147"/>
      <c r="N67" s="148">
        <f>L67-H67</f>
        <v>1.635952872387648</v>
      </c>
      <c r="O67" s="109">
        <f>IF((H67)=0,"",(N67/H67))</f>
        <v>1.7007599563574585E-2</v>
      </c>
    </row>
    <row r="68" spans="1:15" s="73" customFormat="1" ht="13.15" x14ac:dyDescent="0.25">
      <c r="B68" s="149" t="s">
        <v>42</v>
      </c>
      <c r="C68" s="75"/>
      <c r="D68" s="75"/>
      <c r="E68" s="75"/>
      <c r="F68" s="150"/>
      <c r="G68" s="151"/>
      <c r="H68" s="142">
        <f>H66+H67</f>
        <v>836.10892200000001</v>
      </c>
      <c r="I68" s="143"/>
      <c r="J68" s="143"/>
      <c r="K68" s="143"/>
      <c r="L68" s="146">
        <f>L66+L67</f>
        <v>850.32912773690794</v>
      </c>
      <c r="M68" s="147"/>
      <c r="N68" s="148">
        <f>L68-H68</f>
        <v>14.220205736907928</v>
      </c>
      <c r="O68" s="109">
        <f>IF((H68)=0,"",(N68/H68))</f>
        <v>1.700759956357448E-2</v>
      </c>
    </row>
    <row r="69" spans="1:15" s="73" customFormat="1" ht="15.75" customHeight="1" x14ac:dyDescent="0.25">
      <c r="B69" s="361" t="s">
        <v>43</v>
      </c>
      <c r="C69" s="361"/>
      <c r="D69" s="361"/>
      <c r="E69" s="75"/>
      <c r="F69" s="150"/>
      <c r="G69" s="151"/>
      <c r="H69" s="152">
        <f>ROUND(-H68*10%,2)</f>
        <v>-83.61</v>
      </c>
      <c r="I69" s="143"/>
      <c r="J69" s="143"/>
      <c r="K69" s="143"/>
      <c r="L69" s="153">
        <f>ROUND(-L68*10%,2)</f>
        <v>-85.03</v>
      </c>
      <c r="M69" s="147"/>
      <c r="N69" s="154">
        <f>L69-H69</f>
        <v>-1.4200000000000017</v>
      </c>
      <c r="O69" s="115">
        <f>IF((H69)=0,"",(N69/H69))</f>
        <v>1.6983614400191385E-2</v>
      </c>
    </row>
    <row r="70" spans="1:15" s="73" customFormat="1" ht="13.9" thickBot="1" x14ac:dyDescent="0.3">
      <c r="B70" s="352" t="s">
        <v>46</v>
      </c>
      <c r="C70" s="352"/>
      <c r="D70" s="352"/>
      <c r="E70" s="155"/>
      <c r="F70" s="156"/>
      <c r="G70" s="157"/>
      <c r="H70" s="158">
        <f>SUM(H68:H69)</f>
        <v>752.49892199999999</v>
      </c>
      <c r="I70" s="159"/>
      <c r="J70" s="159"/>
      <c r="K70" s="159"/>
      <c r="L70" s="160">
        <f>SUM(L68:L69)</f>
        <v>765.29912773690796</v>
      </c>
      <c r="M70" s="161"/>
      <c r="N70" s="162">
        <f>L70-H70</f>
        <v>12.800205736907969</v>
      </c>
      <c r="O70" s="163">
        <f>IF((H70)=0,"",(N70/H70))</f>
        <v>1.7010264550130438E-2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ht="14.4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149999999999999" x14ac:dyDescent="0.3">
      <c r="A75" s="171" t="s">
        <v>48</v>
      </c>
    </row>
    <row r="76" spans="1:15" ht="10.5" customHeight="1" x14ac:dyDescent="0.3"/>
    <row r="77" spans="1:15" ht="14.45" x14ac:dyDescent="0.3">
      <c r="A77" s="7" t="s">
        <v>49</v>
      </c>
    </row>
    <row r="78" spans="1:15" ht="14.45" x14ac:dyDescent="0.3">
      <c r="A78" s="7" t="s">
        <v>50</v>
      </c>
    </row>
    <row r="80" spans="1:15" ht="14.45" x14ac:dyDescent="0.3">
      <c r="A80" s="12" t="s">
        <v>51</v>
      </c>
    </row>
    <row r="81" spans="1:2" ht="14.45" x14ac:dyDescent="0.3">
      <c r="A81" s="12" t="s">
        <v>52</v>
      </c>
    </row>
    <row r="83" spans="1:2" ht="14.45" x14ac:dyDescent="0.3">
      <c r="A83" s="7" t="s">
        <v>53</v>
      </c>
    </row>
    <row r="84" spans="1:2" ht="14.45" x14ac:dyDescent="0.3">
      <c r="A84" s="7" t="s">
        <v>54</v>
      </c>
    </row>
    <row r="85" spans="1:2" ht="14.45" x14ac:dyDescent="0.3">
      <c r="A85" s="7" t="s">
        <v>55</v>
      </c>
    </row>
    <row r="86" spans="1:2" ht="14.45" x14ac:dyDescent="0.3">
      <c r="A86" s="7" t="s">
        <v>56</v>
      </c>
    </row>
    <row r="87" spans="1:2" ht="14.45" x14ac:dyDescent="0.3">
      <c r="A87" s="7" t="s">
        <v>57</v>
      </c>
    </row>
    <row r="89" spans="1:2" ht="14.45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view="pageBreakPreview" topLeftCell="A37" zoomScale="60" zoomScaleNormal="100" workbookViewId="0">
      <selection activeCell="F37" sqref="F3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0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0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1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 s="192"/>
    </row>
    <row r="4" spans="1:20" s="2" customFormat="1" ht="9" customHeight="1" x14ac:dyDescent="0.3">
      <c r="L4" s="3"/>
      <c r="N4" s="311"/>
      <c r="O4"/>
      <c r="P4" s="194"/>
    </row>
    <row r="5" spans="1:20" s="2" customFormat="1" ht="14.45" x14ac:dyDescent="0.3">
      <c r="L5" s="3" t="s">
        <v>76</v>
      </c>
      <c r="N5" s="368">
        <v>42124</v>
      </c>
      <c r="O5" s="368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67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10000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35.51</v>
      </c>
      <c r="K21" s="30">
        <v>1</v>
      </c>
      <c r="L21" s="27">
        <f>K21*J21</f>
        <v>35.51</v>
      </c>
      <c r="M21" s="28"/>
      <c r="N21" s="31">
        <f>L21-H21</f>
        <v>3.5499999999999972</v>
      </c>
      <c r="O21" s="32">
        <f>IF((H21)=0,"",(N21/H21))</f>
        <v>0.11107634543178964</v>
      </c>
    </row>
    <row r="22" spans="2:15" ht="36.75" customHeight="1" x14ac:dyDescent="0.3">
      <c r="B22" s="296" t="s">
        <v>88</v>
      </c>
      <c r="C22" s="22"/>
      <c r="D22" s="56" t="s">
        <v>61</v>
      </c>
      <c r="E22" s="24"/>
      <c r="F22" s="173"/>
      <c r="G22" s="26">
        <f>$F$16</f>
        <v>10000</v>
      </c>
      <c r="H22" s="27">
        <f t="shared" ref="H22:H36" si="0">G22*F22</f>
        <v>0</v>
      </c>
      <c r="I22" s="28"/>
      <c r="J22" s="29">
        <f>+'GS&lt;50 (1,000kWh)'!$J$22</f>
        <v>5.0000000000000001E-4</v>
      </c>
      <c r="K22" s="26">
        <f>$F$16</f>
        <v>10000</v>
      </c>
      <c r="L22" s="27">
        <f>K22*J22</f>
        <v>5</v>
      </c>
      <c r="M22" s="28"/>
      <c r="N22" s="31">
        <f>L22-H22</f>
        <v>5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10000</v>
      </c>
      <c r="H25" s="27">
        <f t="shared" si="0"/>
        <v>-0.5</v>
      </c>
      <c r="I25" s="28"/>
      <c r="J25" s="29">
        <f>+'GS&lt;50 (1,000kWh)'!$J$25</f>
        <v>-5.0000000000000002E-5</v>
      </c>
      <c r="K25" s="26">
        <f>$F$16</f>
        <v>10000</v>
      </c>
      <c r="L25" s="27">
        <f t="shared" si="1"/>
        <v>-0.5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10000</v>
      </c>
      <c r="H26" s="27">
        <f t="shared" si="0"/>
        <v>0</v>
      </c>
      <c r="I26" s="28"/>
      <c r="J26" s="263">
        <f>+'GS&lt;50 (1,000kWh)'!$J$26</f>
        <v>-5.9999999999999995E-4</v>
      </c>
      <c r="K26" s="26">
        <f>$F$16</f>
        <v>10000</v>
      </c>
      <c r="L26" s="27">
        <f t="shared" si="1"/>
        <v>-5.9999999999999991</v>
      </c>
      <c r="M26" s="28"/>
      <c r="N26" s="31">
        <f t="shared" si="2"/>
        <v>-5.9999999999999991</v>
      </c>
      <c r="O26" s="32" t="str">
        <f t="shared" si="3"/>
        <v/>
      </c>
    </row>
    <row r="27" spans="2:15" ht="14.45" x14ac:dyDescent="0.3">
      <c r="B27" s="22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10000</v>
      </c>
      <c r="H27" s="27">
        <f t="shared" si="0"/>
        <v>143</v>
      </c>
      <c r="I27" s="28"/>
      <c r="J27" s="29">
        <f>+'GS&lt;50 (1,000kWh)'!$J$27</f>
        <v>1.5800000000000002E-2</v>
      </c>
      <c r="K27" s="26">
        <f>$F$16</f>
        <v>10000</v>
      </c>
      <c r="L27" s="27">
        <f t="shared" si="1"/>
        <v>158.00000000000003</v>
      </c>
      <c r="M27" s="28"/>
      <c r="N27" s="31">
        <f t="shared" si="2"/>
        <v>15.000000000000028</v>
      </c>
      <c r="O27" s="32">
        <f t="shared" si="3"/>
        <v>0.10489510489510509</v>
      </c>
    </row>
    <row r="28" spans="2:15" ht="14.45" hidden="1" x14ac:dyDescent="0.3">
      <c r="B28" s="22" t="s">
        <v>20</v>
      </c>
      <c r="C28" s="22"/>
      <c r="D28" s="23"/>
      <c r="E28" s="24"/>
      <c r="F28" s="25"/>
      <c r="G28" s="26">
        <f>$F$16</f>
        <v>10000</v>
      </c>
      <c r="H28" s="27">
        <f t="shared" si="0"/>
        <v>0</v>
      </c>
      <c r="I28" s="28"/>
      <c r="J28" s="29"/>
      <c r="K28" s="26">
        <f t="shared" ref="K28:K36" si="4">$F$16</f>
        <v>10000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2" t="s">
        <v>21</v>
      </c>
      <c r="C29" s="22"/>
      <c r="D29" s="23"/>
      <c r="E29" s="24"/>
      <c r="F29" s="25"/>
      <c r="G29" s="26">
        <f>$F$16</f>
        <v>10000</v>
      </c>
      <c r="H29" s="27">
        <f t="shared" si="0"/>
        <v>0</v>
      </c>
      <c r="I29" s="28"/>
      <c r="J29" s="29"/>
      <c r="K29" s="26">
        <f t="shared" si="4"/>
        <v>10000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33"/>
      <c r="C30" s="22"/>
      <c r="D30" s="23"/>
      <c r="E30" s="24"/>
      <c r="F30" s="25"/>
      <c r="G30" s="26">
        <f t="shared" ref="G30:G36" si="5">$F$16</f>
        <v>10000</v>
      </c>
      <c r="H30" s="27">
        <f t="shared" si="0"/>
        <v>0</v>
      </c>
      <c r="I30" s="28"/>
      <c r="J30" s="29"/>
      <c r="K30" s="26">
        <f t="shared" si="4"/>
        <v>10000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33"/>
      <c r="C31" s="22"/>
      <c r="D31" s="23"/>
      <c r="E31" s="24"/>
      <c r="F31" s="25"/>
      <c r="G31" s="26">
        <f t="shared" si="5"/>
        <v>10000</v>
      </c>
      <c r="H31" s="27">
        <f t="shared" si="0"/>
        <v>0</v>
      </c>
      <c r="I31" s="28"/>
      <c r="J31" s="29"/>
      <c r="K31" s="26">
        <f t="shared" si="4"/>
        <v>10000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33"/>
      <c r="C32" s="22"/>
      <c r="D32" s="23"/>
      <c r="E32" s="24"/>
      <c r="F32" s="25"/>
      <c r="G32" s="26">
        <f t="shared" si="5"/>
        <v>10000</v>
      </c>
      <c r="H32" s="27">
        <f t="shared" si="0"/>
        <v>0</v>
      </c>
      <c r="I32" s="28"/>
      <c r="J32" s="29"/>
      <c r="K32" s="26">
        <f t="shared" si="4"/>
        <v>10000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33"/>
      <c r="C33" s="22"/>
      <c r="D33" s="23"/>
      <c r="E33" s="24"/>
      <c r="F33" s="25"/>
      <c r="G33" s="26">
        <f t="shared" si="5"/>
        <v>10000</v>
      </c>
      <c r="H33" s="27">
        <f t="shared" si="0"/>
        <v>0</v>
      </c>
      <c r="I33" s="28"/>
      <c r="J33" s="29"/>
      <c r="K33" s="26">
        <f t="shared" si="4"/>
        <v>10000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33"/>
      <c r="C34" s="22"/>
      <c r="D34" s="23"/>
      <c r="E34" s="24"/>
      <c r="F34" s="25"/>
      <c r="G34" s="26">
        <f t="shared" si="5"/>
        <v>10000</v>
      </c>
      <c r="H34" s="27">
        <f t="shared" si="0"/>
        <v>0</v>
      </c>
      <c r="I34" s="28"/>
      <c r="J34" s="29"/>
      <c r="K34" s="26">
        <f t="shared" si="4"/>
        <v>10000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33"/>
      <c r="C35" s="22"/>
      <c r="D35" s="23"/>
      <c r="E35" s="24"/>
      <c r="F35" s="25"/>
      <c r="G35" s="26">
        <f t="shared" si="5"/>
        <v>10000</v>
      </c>
      <c r="H35" s="27">
        <f t="shared" si="0"/>
        <v>0</v>
      </c>
      <c r="I35" s="28"/>
      <c r="J35" s="29"/>
      <c r="K35" s="26">
        <f t="shared" si="4"/>
        <v>10000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33"/>
      <c r="C36" s="22"/>
      <c r="D36" s="23"/>
      <c r="E36" s="24"/>
      <c r="F36" s="25"/>
      <c r="G36" s="26">
        <f t="shared" si="5"/>
        <v>10000</v>
      </c>
      <c r="H36" s="27">
        <f t="shared" si="0"/>
        <v>0</v>
      </c>
      <c r="I36" s="28"/>
      <c r="J36" s="29"/>
      <c r="K36" s="26">
        <f t="shared" si="4"/>
        <v>10000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179.97</v>
      </c>
      <c r="I37" s="41"/>
      <c r="J37" s="42"/>
      <c r="K37" s="43"/>
      <c r="L37" s="40">
        <f>SUM(L21:L36)</f>
        <v>193.39415286452032</v>
      </c>
      <c r="M37" s="41"/>
      <c r="N37" s="44">
        <f t="shared" si="2"/>
        <v>13.424152864520323</v>
      </c>
      <c r="O37" s="45">
        <f t="shared" si="3"/>
        <v>7.459105886825762E-2</v>
      </c>
    </row>
    <row r="38" spans="2:15" ht="14.45" hidden="1" x14ac:dyDescent="0.3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4.45" x14ac:dyDescent="0.3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10000</v>
      </c>
      <c r="H39" s="27">
        <f t="shared" ref="H39:H45" si="6">G39*F39</f>
        <v>-14</v>
      </c>
      <c r="I39" s="28"/>
      <c r="J39" s="263">
        <f>+'GS&lt;50 (1,000kWh)'!$J$39</f>
        <v>3.9999999999999996E-4</v>
      </c>
      <c r="K39" s="26">
        <f>$F$16</f>
        <v>10000</v>
      </c>
      <c r="L39" s="27">
        <f t="shared" ref="L39:L45" si="7">K39*J39</f>
        <v>3.9999999999999996</v>
      </c>
      <c r="M39" s="28"/>
      <c r="N39" s="31">
        <f t="shared" si="2"/>
        <v>18</v>
      </c>
      <c r="O39" s="32">
        <f t="shared" si="3"/>
        <v>-1.2857142857142858</v>
      </c>
    </row>
    <row r="40" spans="2:15" ht="14.45" x14ac:dyDescent="0.3">
      <c r="B40" s="296"/>
      <c r="C40" s="22"/>
      <c r="D40" s="23" t="s">
        <v>61</v>
      </c>
      <c r="E40" s="24"/>
      <c r="F40" s="25"/>
      <c r="G40" s="26">
        <f>$F$16</f>
        <v>10000</v>
      </c>
      <c r="H40" s="27">
        <f t="shared" si="6"/>
        <v>0</v>
      </c>
      <c r="I40" s="47"/>
      <c r="J40" s="29"/>
      <c r="K40" s="26">
        <f>$F$16</f>
        <v>10000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4.45" hidden="1" x14ac:dyDescent="0.3">
      <c r="B41" s="46"/>
      <c r="C41" s="22"/>
      <c r="D41" s="23" t="s">
        <v>61</v>
      </c>
      <c r="E41" s="24"/>
      <c r="F41" s="25"/>
      <c r="G41" s="26">
        <f>$F$16</f>
        <v>10000</v>
      </c>
      <c r="H41" s="27">
        <f t="shared" si="6"/>
        <v>0</v>
      </c>
      <c r="I41" s="47"/>
      <c r="J41" s="29"/>
      <c r="K41" s="26">
        <f>$F$16</f>
        <v>10000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4.45" hidden="1" x14ac:dyDescent="0.3">
      <c r="B42" s="46"/>
      <c r="C42" s="22"/>
      <c r="D42" s="23"/>
      <c r="E42" s="24"/>
      <c r="F42" s="25"/>
      <c r="G42" s="26">
        <f>$F$16</f>
        <v>10000</v>
      </c>
      <c r="H42" s="27">
        <f t="shared" si="6"/>
        <v>0</v>
      </c>
      <c r="I42" s="47"/>
      <c r="J42" s="29"/>
      <c r="K42" s="26">
        <f>$F$16</f>
        <v>10000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4.45" x14ac:dyDescent="0.3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10000</v>
      </c>
      <c r="H43" s="27">
        <f t="shared" si="6"/>
        <v>1</v>
      </c>
      <c r="I43" s="28"/>
      <c r="J43" s="29">
        <f>+'GS&lt;50 (1,000kWh)'!$J$43</f>
        <v>2.0000000000000001E-4</v>
      </c>
      <c r="K43" s="26">
        <f>$F$16</f>
        <v>10000</v>
      </c>
      <c r="L43" s="27">
        <f t="shared" si="7"/>
        <v>2</v>
      </c>
      <c r="M43" s="28"/>
      <c r="N43" s="31">
        <f t="shared" si="2"/>
        <v>1</v>
      </c>
      <c r="O43" s="32">
        <f t="shared" si="3"/>
        <v>1</v>
      </c>
    </row>
    <row r="44" spans="2:15" s="34" customFormat="1" ht="14.45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404</v>
      </c>
      <c r="H44" s="184">
        <f t="shared" si="6"/>
        <v>38.380000000000003</v>
      </c>
      <c r="I44" s="57"/>
      <c r="J44" s="185">
        <f>0.64*$F$54+0.18*$F$55+0.18*$F$56</f>
        <v>9.5000000000000001E-2</v>
      </c>
      <c r="K44" s="26">
        <f>$F$16*(1+$J$73)-$F$16</f>
        <v>362</v>
      </c>
      <c r="L44" s="184">
        <f t="shared" si="7"/>
        <v>34.39</v>
      </c>
      <c r="M44" s="57"/>
      <c r="N44" s="186">
        <f t="shared" si="2"/>
        <v>-3.990000000000002</v>
      </c>
      <c r="O44" s="187">
        <f t="shared" si="3"/>
        <v>-0.10396039603960401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206.14</v>
      </c>
      <c r="I46" s="41"/>
      <c r="J46" s="53"/>
      <c r="K46" s="55"/>
      <c r="L46" s="54">
        <f>SUM(L38:L45)+L37</f>
        <v>234.57415286452033</v>
      </c>
      <c r="M46" s="41"/>
      <c r="N46" s="44">
        <f t="shared" si="2"/>
        <v>28.434152864520343</v>
      </c>
      <c r="O46" s="45">
        <f t="shared" ref="O46:O64" si="8">IF((H46)=0,"",(N46/H46))</f>
        <v>0.13793612527660981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10404</v>
      </c>
      <c r="H47" s="27">
        <f>G47*F47</f>
        <v>71.787599999999998</v>
      </c>
      <c r="I47" s="28"/>
      <c r="J47" s="263">
        <f>+'GS&lt;50 (1,000kWh)'!$J$47</f>
        <v>6.7000000000000002E-3</v>
      </c>
      <c r="K47" s="70">
        <f>F16*(1+J73)</f>
        <v>10362</v>
      </c>
      <c r="L47" s="27">
        <f>K47*J47</f>
        <v>69.425399999999996</v>
      </c>
      <c r="M47" s="28"/>
      <c r="N47" s="31">
        <f t="shared" si="2"/>
        <v>-2.3622000000000014</v>
      </c>
      <c r="O47" s="32">
        <f t="shared" si="8"/>
        <v>-3.2905404275947396E-2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10404</v>
      </c>
      <c r="H48" s="27">
        <f>G48*F48</f>
        <v>21.848399999999998</v>
      </c>
      <c r="I48" s="28"/>
      <c r="J48" s="263">
        <f>+'GS&lt;50 (1,000kWh)'!$J$48</f>
        <v>2.0999999999999999E-3</v>
      </c>
      <c r="K48" s="70">
        <f>K47</f>
        <v>10362</v>
      </c>
      <c r="L48" s="27">
        <f>K48*J48</f>
        <v>21.760199999999998</v>
      </c>
      <c r="M48" s="28"/>
      <c r="N48" s="31">
        <f t="shared" si="2"/>
        <v>-8.82000000000005E-2</v>
      </c>
      <c r="O48" s="32">
        <f t="shared" si="8"/>
        <v>-4.0369088811995617E-3</v>
      </c>
    </row>
    <row r="49" spans="2:19" ht="14.45" x14ac:dyDescent="0.3">
      <c r="B49" s="50" t="s">
        <v>30</v>
      </c>
      <c r="C49" s="36"/>
      <c r="D49" s="36"/>
      <c r="E49" s="36"/>
      <c r="F49" s="60"/>
      <c r="G49" s="53"/>
      <c r="H49" s="54">
        <f>SUM(H46:H48)</f>
        <v>299.77599999999995</v>
      </c>
      <c r="I49" s="61"/>
      <c r="J49" s="62"/>
      <c r="K49" s="63"/>
      <c r="L49" s="54">
        <f>SUM(L46:L48)</f>
        <v>325.75975286452029</v>
      </c>
      <c r="M49" s="61"/>
      <c r="N49" s="44">
        <f t="shared" si="2"/>
        <v>25.983752864520341</v>
      </c>
      <c r="O49" s="45">
        <f t="shared" si="8"/>
        <v>8.6677228545715287E-2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10404</v>
      </c>
      <c r="H50" s="66">
        <f t="shared" ref="H50:H56" si="9">G50*F50</f>
        <v>45.7776</v>
      </c>
      <c r="I50" s="28"/>
      <c r="J50" s="263">
        <f>+'GS&lt;50 (1,000kWh)'!$J$50</f>
        <v>4.4000000000000003E-3</v>
      </c>
      <c r="K50" s="70">
        <f>K48</f>
        <v>10362</v>
      </c>
      <c r="L50" s="66">
        <f t="shared" ref="L50:L56" si="10">K50*J50</f>
        <v>45.592800000000004</v>
      </c>
      <c r="M50" s="28"/>
      <c r="N50" s="31">
        <f t="shared" si="2"/>
        <v>-0.18479999999999563</v>
      </c>
      <c r="O50" s="68">
        <f t="shared" si="8"/>
        <v>-4.0369088811994429E-3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10404</v>
      </c>
      <c r="H51" s="66">
        <f t="shared" si="9"/>
        <v>13.5252</v>
      </c>
      <c r="I51" s="28"/>
      <c r="J51" s="263">
        <f>+'GS&lt;50 (1,000kWh)'!$J$51</f>
        <v>1.2999999999999999E-3</v>
      </c>
      <c r="K51" s="70">
        <f>K48</f>
        <v>10362</v>
      </c>
      <c r="L51" s="66">
        <f t="shared" si="10"/>
        <v>13.470599999999999</v>
      </c>
      <c r="M51" s="28"/>
      <c r="N51" s="31">
        <f t="shared" si="2"/>
        <v>-5.4600000000000648E-2</v>
      </c>
      <c r="O51" s="68">
        <f t="shared" si="8"/>
        <v>-4.0369088811995869E-3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10000</v>
      </c>
      <c r="H53" s="66">
        <f t="shared" si="9"/>
        <v>70</v>
      </c>
      <c r="I53" s="28"/>
      <c r="J53" s="263">
        <f>+'GS&lt;50 (1,000kWh)'!$J$53</f>
        <v>7.0000000000000001E-3</v>
      </c>
      <c r="K53" s="70">
        <f>F16</f>
        <v>10000</v>
      </c>
      <c r="L53" s="66">
        <f t="shared" si="10"/>
        <v>70</v>
      </c>
      <c r="M53" s="28"/>
      <c r="N53" s="31">
        <f t="shared" si="2"/>
        <v>0</v>
      </c>
      <c r="O53" s="68">
        <f t="shared" si="8"/>
        <v>0</v>
      </c>
    </row>
    <row r="54" spans="2:19" ht="14.45" x14ac:dyDescent="0.3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6400</v>
      </c>
      <c r="H54" s="66">
        <f t="shared" si="9"/>
        <v>492.8</v>
      </c>
      <c r="I54" s="28"/>
      <c r="J54" s="263">
        <f>+'GS&lt;50 (1,000kWh)'!$J$54</f>
        <v>7.6999999999999999E-2</v>
      </c>
      <c r="K54" s="69">
        <f>G54</f>
        <v>6400</v>
      </c>
      <c r="L54" s="66">
        <f t="shared" si="10"/>
        <v>492.8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4.45" x14ac:dyDescent="0.3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1800</v>
      </c>
      <c r="H55" s="66">
        <f t="shared" si="9"/>
        <v>205.20000000000002</v>
      </c>
      <c r="I55" s="28"/>
      <c r="J55" s="263">
        <f>+'GS&lt;50 (1,000kWh)'!$J$55</f>
        <v>0.114</v>
      </c>
      <c r="K55" s="69">
        <f>G55</f>
        <v>1800</v>
      </c>
      <c r="L55" s="66">
        <f t="shared" si="10"/>
        <v>205.20000000000002</v>
      </c>
      <c r="M55" s="28"/>
      <c r="N55" s="31">
        <f t="shared" si="2"/>
        <v>0</v>
      </c>
      <c r="O55" s="68">
        <f t="shared" si="8"/>
        <v>0</v>
      </c>
      <c r="S55" s="72"/>
    </row>
    <row r="56" spans="2:19" ht="14.45" x14ac:dyDescent="0.3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1800</v>
      </c>
      <c r="H56" s="66">
        <f t="shared" si="9"/>
        <v>252.00000000000003</v>
      </c>
      <c r="I56" s="28"/>
      <c r="J56" s="263">
        <f>+'GS&lt;50 (1,000kWh)'!$J$56</f>
        <v>0.14000000000000001</v>
      </c>
      <c r="K56" s="69">
        <f>G56</f>
        <v>1800</v>
      </c>
      <c r="L56" s="66">
        <f t="shared" si="10"/>
        <v>252.00000000000003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ht="14.45" x14ac:dyDescent="0.25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thickBot="1" x14ac:dyDescent="0.3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9400</v>
      </c>
      <c r="H58" s="66">
        <f>G58*F58</f>
        <v>968.19999999999993</v>
      </c>
      <c r="I58" s="79"/>
      <c r="J58" s="263">
        <f>+'GS&lt;50 (1,000kWh)'!$J$58</f>
        <v>0.10299999999999999</v>
      </c>
      <c r="K58" s="78">
        <f>G58</f>
        <v>9400</v>
      </c>
      <c r="L58" s="66">
        <f>K58*J58</f>
        <v>968.19999999999993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4.45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1379.3288000000002</v>
      </c>
      <c r="I60" s="95"/>
      <c r="J60" s="96"/>
      <c r="K60" s="96"/>
      <c r="L60" s="190">
        <f>SUM(L50:L56,L49)</f>
        <v>1405.0731528645204</v>
      </c>
      <c r="M60" s="97"/>
      <c r="N60" s="98">
        <f>L60-H60</f>
        <v>25.744352864520124</v>
      </c>
      <c r="O60" s="99">
        <f>IF((H60)=0,"",(N60/H60))</f>
        <v>1.8664406097023509E-2</v>
      </c>
      <c r="S60" s="72"/>
    </row>
    <row r="61" spans="2:19" ht="14.45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179.31274400000004</v>
      </c>
      <c r="I61" s="104"/>
      <c r="J61" s="105">
        <v>0.13</v>
      </c>
      <c r="K61" s="104"/>
      <c r="L61" s="106">
        <f>L60*J61</f>
        <v>182.65950987238764</v>
      </c>
      <c r="M61" s="107"/>
      <c r="N61" s="108">
        <f t="shared" si="2"/>
        <v>3.346765872387607</v>
      </c>
      <c r="O61" s="109">
        <f t="shared" si="8"/>
        <v>1.8664406097023457E-2</v>
      </c>
      <c r="S61" s="72"/>
    </row>
    <row r="62" spans="2:19" ht="14.45" x14ac:dyDescent="0.3">
      <c r="B62" s="110" t="s">
        <v>42</v>
      </c>
      <c r="C62" s="22"/>
      <c r="D62" s="22"/>
      <c r="E62" s="22"/>
      <c r="F62" s="111"/>
      <c r="G62" s="102"/>
      <c r="H62" s="103">
        <f>H60+H61</f>
        <v>1558.6415440000003</v>
      </c>
      <c r="I62" s="104"/>
      <c r="J62" s="104"/>
      <c r="K62" s="104"/>
      <c r="L62" s="106">
        <f>L60+L61</f>
        <v>1587.732662736908</v>
      </c>
      <c r="M62" s="107"/>
      <c r="N62" s="108">
        <f t="shared" si="2"/>
        <v>29.091118736907674</v>
      </c>
      <c r="O62" s="109">
        <f t="shared" si="8"/>
        <v>1.8664406097023467E-2</v>
      </c>
      <c r="S62" s="72"/>
    </row>
    <row r="63" spans="2:19" ht="15.75" customHeight="1" x14ac:dyDescent="0.3">
      <c r="B63" s="369" t="s">
        <v>43</v>
      </c>
      <c r="C63" s="369"/>
      <c r="D63" s="369"/>
      <c r="E63" s="22"/>
      <c r="F63" s="111"/>
      <c r="G63" s="102"/>
      <c r="H63" s="112">
        <f>ROUND(-H62*10%,2)</f>
        <v>-155.86000000000001</v>
      </c>
      <c r="I63" s="104"/>
      <c r="J63" s="104"/>
      <c r="K63" s="104"/>
      <c r="L63" s="113">
        <f>ROUND(-L62*10%,2)</f>
        <v>-158.77000000000001</v>
      </c>
      <c r="M63" s="107"/>
      <c r="N63" s="114">
        <f t="shared" si="2"/>
        <v>-2.9099999999999966</v>
      </c>
      <c r="O63" s="115">
        <f t="shared" si="8"/>
        <v>1.8670601822148056E-2</v>
      </c>
    </row>
    <row r="64" spans="2:19" thickBot="1" x14ac:dyDescent="0.35">
      <c r="B64" s="360" t="s">
        <v>44</v>
      </c>
      <c r="C64" s="360"/>
      <c r="D64" s="360"/>
      <c r="E64" s="116"/>
      <c r="F64" s="117"/>
      <c r="G64" s="118"/>
      <c r="H64" s="119">
        <f>H62+H63</f>
        <v>1402.7815440000004</v>
      </c>
      <c r="I64" s="120"/>
      <c r="J64" s="120"/>
      <c r="K64" s="120"/>
      <c r="L64" s="121">
        <f>L62+L63</f>
        <v>1428.962662736908</v>
      </c>
      <c r="M64" s="122"/>
      <c r="N64" s="123">
        <f t="shared" si="2"/>
        <v>26.181118736907592</v>
      </c>
      <c r="O64" s="124">
        <f t="shared" si="8"/>
        <v>1.8663717703508356E-2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15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1450.3287999999998</v>
      </c>
      <c r="I66" s="136"/>
      <c r="J66" s="137"/>
      <c r="K66" s="137"/>
      <c r="L66" s="189">
        <f>SUM(L57:L58,L49,L50:L53)</f>
        <v>1476.0731528645201</v>
      </c>
      <c r="M66" s="138"/>
      <c r="N66" s="139">
        <f>L66-H66</f>
        <v>25.744352864520351</v>
      </c>
      <c r="O66" s="99">
        <f>IF((H66)=0,"",(N66/H66))</f>
        <v>1.7750700988989777E-2</v>
      </c>
    </row>
    <row r="67" spans="1:15" s="73" customFormat="1" ht="13.15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188.54274399999997</v>
      </c>
      <c r="I67" s="143"/>
      <c r="J67" s="144">
        <v>0.13</v>
      </c>
      <c r="K67" s="145"/>
      <c r="L67" s="146">
        <f>L66*J67</f>
        <v>191.88950987238763</v>
      </c>
      <c r="M67" s="147"/>
      <c r="N67" s="148">
        <f>L67-H67</f>
        <v>3.3467658723876639</v>
      </c>
      <c r="O67" s="109">
        <f>IF((H67)=0,"",(N67/H67))</f>
        <v>1.7750700988989874E-2</v>
      </c>
    </row>
    <row r="68" spans="1:15" s="73" customFormat="1" ht="13.15" x14ac:dyDescent="0.25">
      <c r="B68" s="149" t="s">
        <v>42</v>
      </c>
      <c r="C68" s="75"/>
      <c r="D68" s="75"/>
      <c r="E68" s="75"/>
      <c r="F68" s="150"/>
      <c r="G68" s="151"/>
      <c r="H68" s="142">
        <f>H66+H67</f>
        <v>1638.8715439999996</v>
      </c>
      <c r="I68" s="143"/>
      <c r="J68" s="143"/>
      <c r="K68" s="143"/>
      <c r="L68" s="146">
        <f>L66+L67</f>
        <v>1667.9626627369078</v>
      </c>
      <c r="M68" s="147"/>
      <c r="N68" s="148">
        <f>L68-H68</f>
        <v>29.091118736908129</v>
      </c>
      <c r="O68" s="109">
        <f>IF((H68)=0,"",(N68/H68))</f>
        <v>1.7750700988989856E-2</v>
      </c>
    </row>
    <row r="69" spans="1:15" s="73" customFormat="1" ht="15.75" customHeight="1" x14ac:dyDescent="0.25">
      <c r="B69" s="361" t="s">
        <v>43</v>
      </c>
      <c r="C69" s="361"/>
      <c r="D69" s="361"/>
      <c r="E69" s="75"/>
      <c r="F69" s="150"/>
      <c r="G69" s="151"/>
      <c r="H69" s="152">
        <f>ROUND(-H68*10%,2)</f>
        <v>-163.89</v>
      </c>
      <c r="I69" s="143"/>
      <c r="J69" s="143"/>
      <c r="K69" s="143"/>
      <c r="L69" s="153">
        <f>ROUND(-L68*10%,2)</f>
        <v>-166.8</v>
      </c>
      <c r="M69" s="147"/>
      <c r="N69" s="154">
        <f>L69-H69</f>
        <v>-2.910000000000025</v>
      </c>
      <c r="O69" s="115">
        <f>IF((H69)=0,"",(N69/H69))</f>
        <v>1.7755811825004731E-2</v>
      </c>
    </row>
    <row r="70" spans="1:15" s="73" customFormat="1" ht="13.9" thickBot="1" x14ac:dyDescent="0.3">
      <c r="B70" s="352" t="s">
        <v>46</v>
      </c>
      <c r="C70" s="352"/>
      <c r="D70" s="352"/>
      <c r="E70" s="155"/>
      <c r="F70" s="156"/>
      <c r="G70" s="157"/>
      <c r="H70" s="158">
        <f>SUM(H68:H69)</f>
        <v>1474.9815439999998</v>
      </c>
      <c r="I70" s="159"/>
      <c r="J70" s="159"/>
      <c r="K70" s="159"/>
      <c r="L70" s="160">
        <f>SUM(L68:L69)</f>
        <v>1501.1626627369078</v>
      </c>
      <c r="M70" s="161"/>
      <c r="N70" s="162">
        <f>L70-H70</f>
        <v>26.181118736908047</v>
      </c>
      <c r="O70" s="163">
        <f>IF((H70)=0,"",(N70/H70))</f>
        <v>1.7750133107365885E-2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ht="14.4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149999999999999" x14ac:dyDescent="0.3">
      <c r="A75" s="171" t="s">
        <v>48</v>
      </c>
    </row>
    <row r="76" spans="1:15" ht="10.5" customHeight="1" x14ac:dyDescent="0.3"/>
    <row r="77" spans="1:15" ht="14.45" x14ac:dyDescent="0.3">
      <c r="A77" s="7" t="s">
        <v>49</v>
      </c>
    </row>
    <row r="78" spans="1:15" ht="14.45" x14ac:dyDescent="0.3">
      <c r="A78" s="7" t="s">
        <v>50</v>
      </c>
    </row>
    <row r="80" spans="1:15" ht="14.45" x14ac:dyDescent="0.3">
      <c r="A80" s="12" t="s">
        <v>51</v>
      </c>
    </row>
    <row r="81" spans="1:2" ht="14.45" x14ac:dyDescent="0.3">
      <c r="A81" s="12" t="s">
        <v>52</v>
      </c>
    </row>
    <row r="83" spans="1:2" ht="14.45" x14ac:dyDescent="0.3">
      <c r="A83" s="7" t="s">
        <v>53</v>
      </c>
    </row>
    <row r="84" spans="1:2" ht="14.45" x14ac:dyDescent="0.3">
      <c r="A84" s="7" t="s">
        <v>54</v>
      </c>
    </row>
    <row r="85" spans="1:2" ht="14.45" x14ac:dyDescent="0.3">
      <c r="A85" s="7" t="s">
        <v>55</v>
      </c>
    </row>
    <row r="86" spans="1:2" ht="14.45" x14ac:dyDescent="0.3">
      <c r="A86" s="7" t="s">
        <v>56</v>
      </c>
    </row>
    <row r="87" spans="1:2" ht="14.45" x14ac:dyDescent="0.3">
      <c r="A87" s="7" t="s">
        <v>57</v>
      </c>
    </row>
    <row r="89" spans="1:2" ht="14.45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view="pageBreakPreview" topLeftCell="A37" zoomScale="60" zoomScaleNormal="100" workbookViewId="0">
      <selection activeCell="F37" sqref="F3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0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0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1.28515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 s="192"/>
    </row>
    <row r="4" spans="1:20" s="2" customFormat="1" ht="9" customHeight="1" x14ac:dyDescent="0.3">
      <c r="L4" s="3"/>
      <c r="N4" s="311"/>
      <c r="O4"/>
      <c r="P4" s="194"/>
    </row>
    <row r="5" spans="1:20" s="2" customFormat="1" ht="14.45" x14ac:dyDescent="0.3">
      <c r="L5" s="3" t="s">
        <v>76</v>
      </c>
      <c r="N5" s="368">
        <v>42124</v>
      </c>
      <c r="O5" s="368"/>
      <c r="P5" s="195"/>
    </row>
    <row r="6" spans="1:20" s="2" customFormat="1" ht="15" customHeight="1" x14ac:dyDescent="0.3">
      <c r="N6" s="7"/>
      <c r="O6"/>
      <c r="P6" s="194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67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15000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35.51</v>
      </c>
      <c r="K21" s="30">
        <v>1</v>
      </c>
      <c r="L21" s="27">
        <f>K21*J21</f>
        <v>35.51</v>
      </c>
      <c r="M21" s="28"/>
      <c r="N21" s="31">
        <f>L21-H21</f>
        <v>3.5499999999999972</v>
      </c>
      <c r="O21" s="32">
        <f>IF((H21)=0,"",(N21/H21))</f>
        <v>0.11107634543178964</v>
      </c>
    </row>
    <row r="22" spans="2:15" ht="36.75" customHeight="1" x14ac:dyDescent="0.3">
      <c r="B22" s="296" t="s">
        <v>88</v>
      </c>
      <c r="C22" s="22"/>
      <c r="D22" s="56" t="s">
        <v>61</v>
      </c>
      <c r="E22" s="24"/>
      <c r="F22" s="173"/>
      <c r="G22" s="26">
        <f>$F$16</f>
        <v>15000</v>
      </c>
      <c r="H22" s="27">
        <f t="shared" ref="H22:H36" si="0">G22*F22</f>
        <v>0</v>
      </c>
      <c r="I22" s="28"/>
      <c r="J22" s="29">
        <f>+'GS&lt;50 (1,000kWh)'!$J$22</f>
        <v>5.0000000000000001E-4</v>
      </c>
      <c r="K22" s="26">
        <f>$F$16</f>
        <v>15000</v>
      </c>
      <c r="L22" s="27">
        <f>K22*J22</f>
        <v>7.5</v>
      </c>
      <c r="M22" s="28"/>
      <c r="N22" s="31">
        <f>L22-H22</f>
        <v>7.5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15000</v>
      </c>
      <c r="H25" s="27">
        <f t="shared" si="0"/>
        <v>-0.75</v>
      </c>
      <c r="I25" s="28"/>
      <c r="J25" s="29">
        <f>+'GS&lt;50 (1,000kWh)'!$J$25</f>
        <v>-5.0000000000000002E-5</v>
      </c>
      <c r="K25" s="26">
        <f>$F$16</f>
        <v>15000</v>
      </c>
      <c r="L25" s="27">
        <f t="shared" si="1"/>
        <v>-0.75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15000</v>
      </c>
      <c r="H26" s="27">
        <f t="shared" si="0"/>
        <v>0</v>
      </c>
      <c r="I26" s="28"/>
      <c r="J26" s="263">
        <f>+'GS&lt;50 (1,000kWh)'!$J$26</f>
        <v>-5.9999999999999995E-4</v>
      </c>
      <c r="K26" s="26">
        <f>$F$16</f>
        <v>15000</v>
      </c>
      <c r="L26" s="27">
        <f t="shared" si="1"/>
        <v>-9</v>
      </c>
      <c r="M26" s="28"/>
      <c r="N26" s="31">
        <f t="shared" si="2"/>
        <v>-9</v>
      </c>
      <c r="O26" s="32" t="str">
        <f t="shared" si="3"/>
        <v/>
      </c>
    </row>
    <row r="27" spans="2:15" ht="14.45" x14ac:dyDescent="0.3">
      <c r="B27" s="22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15000</v>
      </c>
      <c r="H27" s="27">
        <f t="shared" si="0"/>
        <v>214.5</v>
      </c>
      <c r="I27" s="28"/>
      <c r="J27" s="29">
        <f>+'GS&lt;50 (1,000kWh)'!$J$27</f>
        <v>1.5800000000000002E-2</v>
      </c>
      <c r="K27" s="26">
        <f>$F$16</f>
        <v>15000</v>
      </c>
      <c r="L27" s="27">
        <f t="shared" si="1"/>
        <v>237.00000000000003</v>
      </c>
      <c r="M27" s="28"/>
      <c r="N27" s="31">
        <f t="shared" si="2"/>
        <v>22.500000000000028</v>
      </c>
      <c r="O27" s="32">
        <f t="shared" si="3"/>
        <v>0.10489510489510502</v>
      </c>
    </row>
    <row r="28" spans="2:15" ht="14.45" hidden="1" x14ac:dyDescent="0.3">
      <c r="B28" s="22" t="s">
        <v>20</v>
      </c>
      <c r="C28" s="22"/>
      <c r="D28" s="23"/>
      <c r="E28" s="24"/>
      <c r="F28" s="25"/>
      <c r="G28" s="26">
        <f>$F$16</f>
        <v>15000</v>
      </c>
      <c r="H28" s="27">
        <f t="shared" si="0"/>
        <v>0</v>
      </c>
      <c r="I28" s="28"/>
      <c r="J28" s="29"/>
      <c r="K28" s="26">
        <f t="shared" ref="K28:K36" si="4">$F$16</f>
        <v>15000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2" t="s">
        <v>21</v>
      </c>
      <c r="C29" s="22"/>
      <c r="D29" s="23"/>
      <c r="E29" s="24"/>
      <c r="F29" s="25"/>
      <c r="G29" s="26">
        <f>$F$16</f>
        <v>15000</v>
      </c>
      <c r="H29" s="27">
        <f t="shared" si="0"/>
        <v>0</v>
      </c>
      <c r="I29" s="28"/>
      <c r="J29" s="29"/>
      <c r="K29" s="26">
        <f t="shared" si="4"/>
        <v>15000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33"/>
      <c r="C30" s="22"/>
      <c r="D30" s="23"/>
      <c r="E30" s="24"/>
      <c r="F30" s="25"/>
      <c r="G30" s="26">
        <f t="shared" ref="G30:G36" si="5">$F$16</f>
        <v>15000</v>
      </c>
      <c r="H30" s="27">
        <f t="shared" si="0"/>
        <v>0</v>
      </c>
      <c r="I30" s="28"/>
      <c r="J30" s="29"/>
      <c r="K30" s="26">
        <f t="shared" si="4"/>
        <v>15000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33"/>
      <c r="C31" s="22"/>
      <c r="D31" s="23"/>
      <c r="E31" s="24"/>
      <c r="F31" s="25"/>
      <c r="G31" s="26">
        <f t="shared" si="5"/>
        <v>15000</v>
      </c>
      <c r="H31" s="27">
        <f t="shared" si="0"/>
        <v>0</v>
      </c>
      <c r="I31" s="28"/>
      <c r="J31" s="29"/>
      <c r="K31" s="26">
        <f t="shared" si="4"/>
        <v>15000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33"/>
      <c r="C32" s="22"/>
      <c r="D32" s="23"/>
      <c r="E32" s="24"/>
      <c r="F32" s="25"/>
      <c r="G32" s="26">
        <f t="shared" si="5"/>
        <v>15000</v>
      </c>
      <c r="H32" s="27">
        <f t="shared" si="0"/>
        <v>0</v>
      </c>
      <c r="I32" s="28"/>
      <c r="J32" s="29"/>
      <c r="K32" s="26">
        <f t="shared" si="4"/>
        <v>15000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33"/>
      <c r="C33" s="22"/>
      <c r="D33" s="23"/>
      <c r="E33" s="24"/>
      <c r="F33" s="25"/>
      <c r="G33" s="26">
        <f t="shared" si="5"/>
        <v>15000</v>
      </c>
      <c r="H33" s="27">
        <f t="shared" si="0"/>
        <v>0</v>
      </c>
      <c r="I33" s="28"/>
      <c r="J33" s="29"/>
      <c r="K33" s="26">
        <f t="shared" si="4"/>
        <v>15000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33"/>
      <c r="C34" s="22"/>
      <c r="D34" s="23"/>
      <c r="E34" s="24"/>
      <c r="F34" s="25"/>
      <c r="G34" s="26">
        <f t="shared" si="5"/>
        <v>15000</v>
      </c>
      <c r="H34" s="27">
        <f t="shared" si="0"/>
        <v>0</v>
      </c>
      <c r="I34" s="28"/>
      <c r="J34" s="29"/>
      <c r="K34" s="26">
        <f t="shared" si="4"/>
        <v>15000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33"/>
      <c r="C35" s="22"/>
      <c r="D35" s="23"/>
      <c r="E35" s="24"/>
      <c r="F35" s="25"/>
      <c r="G35" s="26">
        <f t="shared" si="5"/>
        <v>15000</v>
      </c>
      <c r="H35" s="27">
        <f t="shared" si="0"/>
        <v>0</v>
      </c>
      <c r="I35" s="28"/>
      <c r="J35" s="29"/>
      <c r="K35" s="26">
        <f t="shared" si="4"/>
        <v>15000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33"/>
      <c r="C36" s="22"/>
      <c r="D36" s="23"/>
      <c r="E36" s="24"/>
      <c r="F36" s="25"/>
      <c r="G36" s="26">
        <f t="shared" si="5"/>
        <v>15000</v>
      </c>
      <c r="H36" s="27">
        <f t="shared" si="0"/>
        <v>0</v>
      </c>
      <c r="I36" s="28"/>
      <c r="J36" s="29"/>
      <c r="K36" s="26">
        <f t="shared" si="4"/>
        <v>15000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251.22</v>
      </c>
      <c r="I37" s="41"/>
      <c r="J37" s="42"/>
      <c r="K37" s="43"/>
      <c r="L37" s="40">
        <f>SUM(L21:L36)</f>
        <v>271.64415286452032</v>
      </c>
      <c r="M37" s="41"/>
      <c r="N37" s="44">
        <f t="shared" si="2"/>
        <v>20.424152864520323</v>
      </c>
      <c r="O37" s="45">
        <f t="shared" si="3"/>
        <v>8.1299868101744777E-2</v>
      </c>
    </row>
    <row r="38" spans="2:15" ht="14.45" hidden="1" x14ac:dyDescent="0.3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4.45" x14ac:dyDescent="0.3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15000</v>
      </c>
      <c r="H39" s="27">
        <f t="shared" ref="H39:H45" si="6">G39*F39</f>
        <v>-21</v>
      </c>
      <c r="I39" s="28"/>
      <c r="J39" s="263">
        <f>+'GS&lt;50 (1,000kWh)'!$J$39</f>
        <v>3.9999999999999996E-4</v>
      </c>
      <c r="K39" s="26">
        <f>$F$16</f>
        <v>15000</v>
      </c>
      <c r="L39" s="27">
        <f t="shared" ref="L39:L45" si="7">K39*J39</f>
        <v>5.9999999999999991</v>
      </c>
      <c r="M39" s="28"/>
      <c r="N39" s="31">
        <f t="shared" si="2"/>
        <v>27</v>
      </c>
      <c r="O39" s="32">
        <f t="shared" si="3"/>
        <v>-1.2857142857142858</v>
      </c>
    </row>
    <row r="40" spans="2:15" ht="14.45" x14ac:dyDescent="0.3">
      <c r="B40" s="296"/>
      <c r="C40" s="22"/>
      <c r="D40" s="23" t="s">
        <v>61</v>
      </c>
      <c r="E40" s="24"/>
      <c r="F40" s="25"/>
      <c r="G40" s="26">
        <f>$F$16</f>
        <v>15000</v>
      </c>
      <c r="H40" s="27">
        <f t="shared" si="6"/>
        <v>0</v>
      </c>
      <c r="I40" s="47"/>
      <c r="J40" s="29"/>
      <c r="K40" s="26">
        <f>$F$16</f>
        <v>15000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4.45" hidden="1" x14ac:dyDescent="0.3">
      <c r="B41" s="46"/>
      <c r="C41" s="22"/>
      <c r="D41" s="23" t="s">
        <v>61</v>
      </c>
      <c r="E41" s="24"/>
      <c r="F41" s="25"/>
      <c r="G41" s="26">
        <f>$F$16</f>
        <v>15000</v>
      </c>
      <c r="H41" s="27">
        <f t="shared" si="6"/>
        <v>0</v>
      </c>
      <c r="I41" s="47"/>
      <c r="J41" s="29"/>
      <c r="K41" s="26">
        <f>$F$16</f>
        <v>15000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4.45" hidden="1" x14ac:dyDescent="0.3">
      <c r="B42" s="46"/>
      <c r="C42" s="22"/>
      <c r="D42" s="23"/>
      <c r="E42" s="24"/>
      <c r="F42" s="25"/>
      <c r="G42" s="26">
        <f>$F$16</f>
        <v>15000</v>
      </c>
      <c r="H42" s="27">
        <f t="shared" si="6"/>
        <v>0</v>
      </c>
      <c r="I42" s="47"/>
      <c r="J42" s="29"/>
      <c r="K42" s="26">
        <f>$F$16</f>
        <v>15000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4.45" x14ac:dyDescent="0.3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15000</v>
      </c>
      <c r="H43" s="27">
        <f t="shared" si="6"/>
        <v>1.5</v>
      </c>
      <c r="I43" s="28"/>
      <c r="J43" s="29">
        <f>+'GS&lt;50 (1,000kWh)'!$J$43</f>
        <v>2.0000000000000001E-4</v>
      </c>
      <c r="K43" s="26">
        <f>$F$16</f>
        <v>15000</v>
      </c>
      <c r="L43" s="27">
        <f t="shared" si="7"/>
        <v>3</v>
      </c>
      <c r="M43" s="28"/>
      <c r="N43" s="31">
        <f t="shared" si="2"/>
        <v>1.5</v>
      </c>
      <c r="O43" s="32">
        <f t="shared" si="3"/>
        <v>1</v>
      </c>
    </row>
    <row r="44" spans="2:15" s="34" customFormat="1" ht="14.45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606</v>
      </c>
      <c r="H44" s="184">
        <f t="shared" si="6"/>
        <v>57.57</v>
      </c>
      <c r="I44" s="57"/>
      <c r="J44" s="185">
        <f>0.64*$F$54+0.18*$F$55+0.18*$F$56</f>
        <v>9.5000000000000001E-2</v>
      </c>
      <c r="K44" s="26">
        <f>$F$16*(1+$J$73)-$F$16</f>
        <v>543</v>
      </c>
      <c r="L44" s="184">
        <f t="shared" si="7"/>
        <v>51.585000000000001</v>
      </c>
      <c r="M44" s="57"/>
      <c r="N44" s="186">
        <f t="shared" si="2"/>
        <v>-5.9849999999999994</v>
      </c>
      <c r="O44" s="187">
        <f t="shared" si="3"/>
        <v>-0.10396039603960396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290.08</v>
      </c>
      <c r="I46" s="41"/>
      <c r="J46" s="53"/>
      <c r="K46" s="55"/>
      <c r="L46" s="54">
        <f>SUM(L38:L45)+L37</f>
        <v>333.01915286452032</v>
      </c>
      <c r="M46" s="41"/>
      <c r="N46" s="44">
        <f t="shared" si="2"/>
        <v>42.939152864520338</v>
      </c>
      <c r="O46" s="45">
        <f t="shared" ref="O46:O64" si="8">IF((H46)=0,"",(N46/H46))</f>
        <v>0.14802520981977502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15606</v>
      </c>
      <c r="H47" s="27">
        <f>G47*F47</f>
        <v>107.6814</v>
      </c>
      <c r="I47" s="28"/>
      <c r="J47" s="263">
        <f>+'GS&lt;50 (1,000kWh)'!$J$47</f>
        <v>6.7000000000000002E-3</v>
      </c>
      <c r="K47" s="70">
        <f>F16*(1+J73)</f>
        <v>15543</v>
      </c>
      <c r="L47" s="27">
        <f>K47*J47</f>
        <v>104.13810000000001</v>
      </c>
      <c r="M47" s="28"/>
      <c r="N47" s="31">
        <f t="shared" si="2"/>
        <v>-3.5432999999999879</v>
      </c>
      <c r="O47" s="32">
        <f t="shared" si="8"/>
        <v>-3.2905404275947264E-2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15606</v>
      </c>
      <c r="H48" s="27">
        <f>G48*F48</f>
        <v>32.772599999999997</v>
      </c>
      <c r="I48" s="28"/>
      <c r="J48" s="263">
        <f>+'GS&lt;50 (1,000kWh)'!$J$48</f>
        <v>2.0999999999999999E-3</v>
      </c>
      <c r="K48" s="70">
        <f>K47</f>
        <v>15543</v>
      </c>
      <c r="L48" s="27">
        <f>K48*J48</f>
        <v>32.640299999999996</v>
      </c>
      <c r="M48" s="28"/>
      <c r="N48" s="31">
        <f t="shared" si="2"/>
        <v>-0.13230000000000075</v>
      </c>
      <c r="O48" s="32">
        <f t="shared" si="8"/>
        <v>-4.0369088811995617E-3</v>
      </c>
    </row>
    <row r="49" spans="2:19" ht="14.45" x14ac:dyDescent="0.3">
      <c r="B49" s="50" t="s">
        <v>30</v>
      </c>
      <c r="C49" s="36"/>
      <c r="D49" s="36"/>
      <c r="E49" s="36"/>
      <c r="F49" s="60"/>
      <c r="G49" s="53"/>
      <c r="H49" s="54">
        <f>SUM(H46:H48)</f>
        <v>430.53399999999999</v>
      </c>
      <c r="I49" s="61"/>
      <c r="J49" s="62"/>
      <c r="K49" s="63"/>
      <c r="L49" s="54">
        <f>SUM(L46:L48)</f>
        <v>469.7975528645203</v>
      </c>
      <c r="M49" s="61"/>
      <c r="N49" s="44">
        <f t="shared" si="2"/>
        <v>39.263552864520307</v>
      </c>
      <c r="O49" s="45">
        <f t="shared" si="8"/>
        <v>9.1197333693785645E-2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15606</v>
      </c>
      <c r="H50" s="66">
        <f t="shared" ref="H50:H56" si="9">G50*F50</f>
        <v>68.66640000000001</v>
      </c>
      <c r="I50" s="28"/>
      <c r="J50" s="263">
        <f>+'GS&lt;50 (1,000kWh)'!$J$50</f>
        <v>4.4000000000000003E-3</v>
      </c>
      <c r="K50" s="70">
        <f>K48</f>
        <v>15543</v>
      </c>
      <c r="L50" s="66">
        <f t="shared" ref="L50:L56" si="10">K50*J50</f>
        <v>68.389200000000002</v>
      </c>
      <c r="M50" s="28"/>
      <c r="N50" s="31">
        <f t="shared" si="2"/>
        <v>-0.27720000000000766</v>
      </c>
      <c r="O50" s="68">
        <f t="shared" si="8"/>
        <v>-4.0369088811996494E-3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15606</v>
      </c>
      <c r="H51" s="66">
        <f t="shared" si="9"/>
        <v>20.287800000000001</v>
      </c>
      <c r="I51" s="28"/>
      <c r="J51" s="263">
        <f>+'GS&lt;50 (1,000kWh)'!$J$51</f>
        <v>1.2999999999999999E-3</v>
      </c>
      <c r="K51" s="70">
        <f>K48</f>
        <v>15543</v>
      </c>
      <c r="L51" s="66">
        <f t="shared" si="10"/>
        <v>20.2059</v>
      </c>
      <c r="M51" s="28"/>
      <c r="N51" s="31">
        <f t="shared" si="2"/>
        <v>-8.1900000000000972E-2</v>
      </c>
      <c r="O51" s="68">
        <f t="shared" si="8"/>
        <v>-4.036908881199586E-3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15000</v>
      </c>
      <c r="H53" s="66">
        <f t="shared" si="9"/>
        <v>105</v>
      </c>
      <c r="I53" s="28"/>
      <c r="J53" s="263">
        <f>+'GS&lt;50 (1,000kWh)'!$J$53</f>
        <v>7.0000000000000001E-3</v>
      </c>
      <c r="K53" s="70">
        <f>F16</f>
        <v>15000</v>
      </c>
      <c r="L53" s="66">
        <f t="shared" si="10"/>
        <v>105</v>
      </c>
      <c r="M53" s="28"/>
      <c r="N53" s="31">
        <f t="shared" si="2"/>
        <v>0</v>
      </c>
      <c r="O53" s="68">
        <f t="shared" si="8"/>
        <v>0</v>
      </c>
    </row>
    <row r="54" spans="2:19" ht="14.45" x14ac:dyDescent="0.3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9600</v>
      </c>
      <c r="H54" s="66">
        <f t="shared" si="9"/>
        <v>739.2</v>
      </c>
      <c r="I54" s="28"/>
      <c r="J54" s="263">
        <f>+'GS&lt;50 (1,000kWh)'!$J$54</f>
        <v>7.6999999999999999E-2</v>
      </c>
      <c r="K54" s="69">
        <f>G54</f>
        <v>9600</v>
      </c>
      <c r="L54" s="66">
        <f t="shared" si="10"/>
        <v>739.2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4.45" x14ac:dyDescent="0.3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2700</v>
      </c>
      <c r="H55" s="66">
        <f t="shared" si="9"/>
        <v>307.8</v>
      </c>
      <c r="I55" s="28"/>
      <c r="J55" s="263">
        <f>+'GS&lt;50 (1,000kWh)'!$J$55</f>
        <v>0.114</v>
      </c>
      <c r="K55" s="69">
        <f>G55</f>
        <v>2700</v>
      </c>
      <c r="L55" s="66">
        <f t="shared" si="10"/>
        <v>307.8</v>
      </c>
      <c r="M55" s="28"/>
      <c r="N55" s="31">
        <f t="shared" si="2"/>
        <v>0</v>
      </c>
      <c r="O55" s="68">
        <f t="shared" si="8"/>
        <v>0</v>
      </c>
      <c r="S55" s="72"/>
    </row>
    <row r="56" spans="2:19" ht="14.45" x14ac:dyDescent="0.3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2700</v>
      </c>
      <c r="H56" s="66">
        <f t="shared" si="9"/>
        <v>378.00000000000006</v>
      </c>
      <c r="I56" s="28"/>
      <c r="J56" s="263">
        <f>+'GS&lt;50 (1,000kWh)'!$J$56</f>
        <v>0.14000000000000001</v>
      </c>
      <c r="K56" s="69">
        <f>G56</f>
        <v>2700</v>
      </c>
      <c r="L56" s="66">
        <f t="shared" si="10"/>
        <v>378.00000000000006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ht="14.45" x14ac:dyDescent="0.25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thickBot="1" x14ac:dyDescent="0.3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14400</v>
      </c>
      <c r="H58" s="66">
        <f>G58*F58</f>
        <v>1483.1999999999998</v>
      </c>
      <c r="I58" s="79"/>
      <c r="J58" s="263">
        <f>+'GS&lt;50 (1,000kWh)'!$J$58</f>
        <v>0.10299999999999999</v>
      </c>
      <c r="K58" s="78">
        <f>G58</f>
        <v>14400</v>
      </c>
      <c r="L58" s="66">
        <f>K58*J58</f>
        <v>1483.1999999999998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4.45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2049.7382000000002</v>
      </c>
      <c r="I60" s="95"/>
      <c r="J60" s="96"/>
      <c r="K60" s="96"/>
      <c r="L60" s="190">
        <f>SUM(L50:L56,L49)</f>
        <v>2088.6426528645202</v>
      </c>
      <c r="M60" s="97"/>
      <c r="N60" s="98">
        <f>L60-H60</f>
        <v>38.904452864519953</v>
      </c>
      <c r="O60" s="99">
        <f>IF((H60)=0,"",(N60/H60))</f>
        <v>1.8980205796291425E-2</v>
      </c>
      <c r="S60" s="72"/>
    </row>
    <row r="61" spans="2:19" ht="14.45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266.46596600000004</v>
      </c>
      <c r="I61" s="104"/>
      <c r="J61" s="105">
        <v>0.13</v>
      </c>
      <c r="K61" s="104"/>
      <c r="L61" s="106">
        <f>L60*J61</f>
        <v>271.52354487238762</v>
      </c>
      <c r="M61" s="107"/>
      <c r="N61" s="108">
        <f t="shared" si="2"/>
        <v>5.0575788723875803</v>
      </c>
      <c r="O61" s="109">
        <f t="shared" si="8"/>
        <v>1.8980205796291373E-2</v>
      </c>
      <c r="S61" s="72"/>
    </row>
    <row r="62" spans="2:19" ht="14.45" x14ac:dyDescent="0.3">
      <c r="B62" s="110" t="s">
        <v>42</v>
      </c>
      <c r="C62" s="22"/>
      <c r="D62" s="22"/>
      <c r="E62" s="22"/>
      <c r="F62" s="111"/>
      <c r="G62" s="102"/>
      <c r="H62" s="103">
        <f>H60+H61</f>
        <v>2316.2041660000004</v>
      </c>
      <c r="I62" s="104"/>
      <c r="J62" s="104"/>
      <c r="K62" s="104"/>
      <c r="L62" s="106">
        <f>L60+L61</f>
        <v>2360.1661977369076</v>
      </c>
      <c r="M62" s="107"/>
      <c r="N62" s="108">
        <f t="shared" si="2"/>
        <v>43.962031736907193</v>
      </c>
      <c r="O62" s="109">
        <f t="shared" si="8"/>
        <v>1.8980205796291269E-2</v>
      </c>
      <c r="S62" s="72"/>
    </row>
    <row r="63" spans="2:19" ht="15.75" customHeight="1" x14ac:dyDescent="0.3">
      <c r="B63" s="369" t="s">
        <v>43</v>
      </c>
      <c r="C63" s="369"/>
      <c r="D63" s="369"/>
      <c r="E63" s="22"/>
      <c r="F63" s="111"/>
      <c r="G63" s="102"/>
      <c r="H63" s="112">
        <f>ROUND(-H62*10%,2)</f>
        <v>-231.62</v>
      </c>
      <c r="I63" s="104"/>
      <c r="J63" s="104"/>
      <c r="K63" s="104"/>
      <c r="L63" s="113">
        <f>ROUND(-L62*10%,2)</f>
        <v>-236.02</v>
      </c>
      <c r="M63" s="107"/>
      <c r="N63" s="114">
        <f t="shared" si="2"/>
        <v>-4.4000000000000057</v>
      </c>
      <c r="O63" s="115">
        <f t="shared" si="8"/>
        <v>1.8996632415162792E-2</v>
      </c>
    </row>
    <row r="64" spans="2:19" thickBot="1" x14ac:dyDescent="0.35">
      <c r="B64" s="360" t="s">
        <v>44</v>
      </c>
      <c r="C64" s="360"/>
      <c r="D64" s="360"/>
      <c r="E64" s="116"/>
      <c r="F64" s="117"/>
      <c r="G64" s="118"/>
      <c r="H64" s="119">
        <f>H62+H63</f>
        <v>2084.5841660000006</v>
      </c>
      <c r="I64" s="120"/>
      <c r="J64" s="120"/>
      <c r="K64" s="120"/>
      <c r="L64" s="121">
        <f>L62+L63</f>
        <v>2124.1461977369077</v>
      </c>
      <c r="M64" s="122"/>
      <c r="N64" s="123">
        <f t="shared" si="2"/>
        <v>39.562031736907102</v>
      </c>
      <c r="O64" s="124">
        <f t="shared" si="8"/>
        <v>1.8978380620064197E-2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15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2160.7381999999998</v>
      </c>
      <c r="I66" s="136"/>
      <c r="J66" s="137"/>
      <c r="K66" s="137"/>
      <c r="L66" s="189">
        <f>SUM(L57:L58,L49,L50:L53)</f>
        <v>2199.6426528645202</v>
      </c>
      <c r="M66" s="138"/>
      <c r="N66" s="139">
        <f>L66-H66</f>
        <v>38.904452864520408</v>
      </c>
      <c r="O66" s="99">
        <f>IF((H66)=0,"",(N66/H66))</f>
        <v>1.8005167337959042E-2</v>
      </c>
    </row>
    <row r="67" spans="1:15" s="73" customFormat="1" ht="13.15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280.89596599999999</v>
      </c>
      <c r="I67" s="143"/>
      <c r="J67" s="144">
        <v>0.13</v>
      </c>
      <c r="K67" s="145"/>
      <c r="L67" s="146">
        <f>L66*J67</f>
        <v>285.95354487238762</v>
      </c>
      <c r="M67" s="147"/>
      <c r="N67" s="148">
        <f>L67-H67</f>
        <v>5.0575788723876371</v>
      </c>
      <c r="O67" s="109">
        <f>IF((H67)=0,"",(N67/H67))</f>
        <v>1.8005167337958983E-2</v>
      </c>
    </row>
    <row r="68" spans="1:15" s="73" customFormat="1" ht="13.15" x14ac:dyDescent="0.25">
      <c r="B68" s="149" t="s">
        <v>42</v>
      </c>
      <c r="C68" s="75"/>
      <c r="D68" s="75"/>
      <c r="E68" s="75"/>
      <c r="F68" s="150"/>
      <c r="G68" s="151"/>
      <c r="H68" s="142">
        <f>H66+H67</f>
        <v>2441.6341659999998</v>
      </c>
      <c r="I68" s="143"/>
      <c r="J68" s="143"/>
      <c r="K68" s="143"/>
      <c r="L68" s="146">
        <f>L66+L67</f>
        <v>2485.5961977369079</v>
      </c>
      <c r="M68" s="147"/>
      <c r="N68" s="148">
        <f>L68-H68</f>
        <v>43.962031736908102</v>
      </c>
      <c r="O68" s="109">
        <f>IF((H68)=0,"",(N68/H68))</f>
        <v>1.8005167337959059E-2</v>
      </c>
    </row>
    <row r="69" spans="1:15" s="73" customFormat="1" ht="15.75" customHeight="1" x14ac:dyDescent="0.25">
      <c r="B69" s="361" t="s">
        <v>43</v>
      </c>
      <c r="C69" s="361"/>
      <c r="D69" s="361"/>
      <c r="E69" s="75"/>
      <c r="F69" s="150"/>
      <c r="G69" s="151"/>
      <c r="H69" s="152">
        <f>ROUND(-H68*10%,2)</f>
        <v>-244.16</v>
      </c>
      <c r="I69" s="143"/>
      <c r="J69" s="143"/>
      <c r="K69" s="143"/>
      <c r="L69" s="153">
        <f>ROUND(-L68*10%,2)</f>
        <v>-248.56</v>
      </c>
      <c r="M69" s="147"/>
      <c r="N69" s="154">
        <f>L69-H69</f>
        <v>-4.4000000000000057</v>
      </c>
      <c r="O69" s="115">
        <f>IF((H69)=0,"",(N69/H69))</f>
        <v>1.8020969855832264E-2</v>
      </c>
    </row>
    <row r="70" spans="1:15" s="73" customFormat="1" ht="13.9" thickBot="1" x14ac:dyDescent="0.3">
      <c r="B70" s="352" t="s">
        <v>46</v>
      </c>
      <c r="C70" s="352"/>
      <c r="D70" s="352"/>
      <c r="E70" s="155"/>
      <c r="F70" s="156"/>
      <c r="G70" s="157"/>
      <c r="H70" s="158">
        <f>SUM(H68:H69)</f>
        <v>2197.474166</v>
      </c>
      <c r="I70" s="159"/>
      <c r="J70" s="159"/>
      <c r="K70" s="159"/>
      <c r="L70" s="160">
        <f>SUM(L68:L69)</f>
        <v>2237.036197736908</v>
      </c>
      <c r="M70" s="161"/>
      <c r="N70" s="162">
        <f>L70-H70</f>
        <v>39.562031736908011</v>
      </c>
      <c r="O70" s="163">
        <f>IF((H70)=0,"",(N70/H70))</f>
        <v>1.8003411529939239E-2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ht="14.4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149999999999999" x14ac:dyDescent="0.3">
      <c r="A75" s="171" t="s">
        <v>48</v>
      </c>
    </row>
    <row r="76" spans="1:15" ht="10.5" customHeight="1" x14ac:dyDescent="0.3"/>
    <row r="77" spans="1:15" ht="14.45" x14ac:dyDescent="0.3">
      <c r="A77" s="7" t="s">
        <v>49</v>
      </c>
    </row>
    <row r="78" spans="1:15" ht="14.45" x14ac:dyDescent="0.3">
      <c r="A78" s="7" t="s">
        <v>50</v>
      </c>
    </row>
    <row r="80" spans="1:15" ht="14.45" x14ac:dyDescent="0.3">
      <c r="A80" s="12" t="s">
        <v>51</v>
      </c>
    </row>
    <row r="81" spans="1:2" ht="14.45" x14ac:dyDescent="0.3">
      <c r="A81" s="12" t="s">
        <v>52</v>
      </c>
    </row>
    <row r="83" spans="1:2" ht="14.45" x14ac:dyDescent="0.3">
      <c r="A83" s="7" t="s">
        <v>53</v>
      </c>
    </row>
    <row r="84" spans="1:2" ht="14.45" x14ac:dyDescent="0.3">
      <c r="A84" s="7" t="s">
        <v>54</v>
      </c>
    </row>
    <row r="85" spans="1:2" ht="14.45" x14ac:dyDescent="0.3">
      <c r="A85" s="7" t="s">
        <v>55</v>
      </c>
    </row>
    <row r="86" spans="1:2" ht="14.45" x14ac:dyDescent="0.3">
      <c r="A86" s="7" t="s">
        <v>56</v>
      </c>
    </row>
    <row r="87" spans="1:2" ht="14.45" x14ac:dyDescent="0.3">
      <c r="A87" s="7" t="s">
        <v>57</v>
      </c>
    </row>
    <row r="89" spans="1:2" ht="14.45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B16" zoomScaleNormal="100" workbookViewId="0">
      <selection activeCell="J53" activeCellId="3" sqref="F43 J43 F53 J53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22.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 s="192"/>
      <c r="T1" s="2">
        <v>1</v>
      </c>
    </row>
    <row r="2" spans="1:20" s="2" customFormat="1" ht="17.45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 s="193"/>
    </row>
    <row r="3" spans="1:20" s="2" customFormat="1" ht="15.6" x14ac:dyDescent="0.3">
      <c r="C3" s="6"/>
      <c r="D3" s="6"/>
      <c r="E3" s="6"/>
      <c r="L3" s="3" t="s">
        <v>96</v>
      </c>
      <c r="N3" s="365" t="s">
        <v>97</v>
      </c>
      <c r="O3" s="365"/>
      <c r="P3" s="192"/>
    </row>
    <row r="4" spans="1:20" s="2" customFormat="1" ht="14.45" x14ac:dyDescent="0.3">
      <c r="L4" s="3"/>
      <c r="N4" s="311"/>
      <c r="O4"/>
      <c r="P4" s="194"/>
    </row>
    <row r="5" spans="1:20" s="2" customFormat="1" ht="14.45" x14ac:dyDescent="0.3">
      <c r="L5" s="3" t="s">
        <v>76</v>
      </c>
      <c r="N5" s="368">
        <v>42124</v>
      </c>
      <c r="O5" s="368"/>
      <c r="P5" s="195"/>
    </row>
    <row r="6" spans="1:20" s="2" customFormat="1" ht="14.45" x14ac:dyDescent="0.3">
      <c r="N6" s="7"/>
      <c r="O6"/>
      <c r="P6"/>
    </row>
    <row r="7" spans="1:20" ht="14.45" x14ac:dyDescent="0.3">
      <c r="L7"/>
      <c r="M7"/>
      <c r="N7"/>
      <c r="O7"/>
      <c r="P7"/>
    </row>
    <row r="8" spans="1:20" ht="17.45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7.45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14.45" x14ac:dyDescent="0.3">
      <c r="L10"/>
      <c r="M10"/>
      <c r="N10"/>
      <c r="O10"/>
      <c r="P10"/>
    </row>
    <row r="11" spans="1:20" ht="14.45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91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15.6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20000</v>
      </c>
      <c r="G16" s="13" t="s">
        <v>7</v>
      </c>
      <c r="H16" s="14">
        <v>60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x14ac:dyDescent="0.25">
      <c r="B21" s="22" t="s">
        <v>18</v>
      </c>
      <c r="C21" s="22"/>
      <c r="D21" s="23" t="s">
        <v>60</v>
      </c>
      <c r="E21" s="24"/>
      <c r="F21" s="174">
        <v>119.38</v>
      </c>
      <c r="G21" s="26">
        <v>1</v>
      </c>
      <c r="H21" s="27">
        <f>G21*F21</f>
        <v>119.38</v>
      </c>
      <c r="I21" s="28"/>
      <c r="J21" s="283">
        <v>132.65</v>
      </c>
      <c r="K21" s="30">
        <v>1</v>
      </c>
      <c r="L21" s="27">
        <f>K21*J21</f>
        <v>132.65</v>
      </c>
      <c r="M21" s="28"/>
      <c r="N21" s="31">
        <f>L21-H21</f>
        <v>13.27000000000001</v>
      </c>
      <c r="O21" s="32">
        <f>IF((H21)=0,"",(N21/H21))</f>
        <v>0.11115764784721067</v>
      </c>
    </row>
    <row r="22" spans="2:15" ht="14.45" x14ac:dyDescent="0.3">
      <c r="B22" s="296" t="s">
        <v>88</v>
      </c>
      <c r="C22" s="22"/>
      <c r="D22" s="56" t="s">
        <v>70</v>
      </c>
      <c r="E22" s="24"/>
      <c r="F22" s="173"/>
      <c r="G22" s="179">
        <f>+$H$16</f>
        <v>60</v>
      </c>
      <c r="H22" s="27">
        <f t="shared" ref="H22:H36" si="0">G22*F22</f>
        <v>0</v>
      </c>
      <c r="I22" s="28"/>
      <c r="J22" s="263">
        <v>0.14169999999999999</v>
      </c>
      <c r="K22" s="262">
        <f>+$H$16</f>
        <v>60</v>
      </c>
      <c r="L22" s="27">
        <f>K22*J22</f>
        <v>8.5019999999999989</v>
      </c>
      <c r="M22" s="28"/>
      <c r="N22" s="31">
        <f>L22-H22</f>
        <v>8.5019999999999989</v>
      </c>
      <c r="O22" s="32" t="str">
        <f>IF((H22)=0,"",(N22/H22))</f>
        <v/>
      </c>
    </row>
    <row r="23" spans="2:15" ht="14.45" hidden="1" x14ac:dyDescent="0.3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t="14.45" hidden="1" x14ac:dyDescent="0.3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70</v>
      </c>
      <c r="E25" s="24"/>
      <c r="F25" s="25">
        <v>-9.9000000000000008E-3</v>
      </c>
      <c r="G25" s="179">
        <f>+$H$16</f>
        <v>60</v>
      </c>
      <c r="H25" s="27">
        <f t="shared" si="0"/>
        <v>-0.59400000000000008</v>
      </c>
      <c r="I25" s="28"/>
      <c r="J25" s="263">
        <v>-9.9000000000000008E-3</v>
      </c>
      <c r="K25" s="179">
        <f>$H$16</f>
        <v>60</v>
      </c>
      <c r="L25" s="27">
        <f t="shared" si="1"/>
        <v>-0.59400000000000008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70</v>
      </c>
      <c r="E26" s="24"/>
      <c r="F26" s="25"/>
      <c r="G26" s="179">
        <f>$H$16</f>
        <v>60</v>
      </c>
      <c r="H26" s="27">
        <f t="shared" si="0"/>
        <v>0</v>
      </c>
      <c r="I26" s="28"/>
      <c r="J26" s="263">
        <v>-0.24529999999999999</v>
      </c>
      <c r="K26" s="179">
        <f>$H$16</f>
        <v>60</v>
      </c>
      <c r="L26" s="27">
        <f t="shared" si="1"/>
        <v>-14.718</v>
      </c>
      <c r="M26" s="28"/>
      <c r="N26" s="31">
        <f t="shared" si="2"/>
        <v>-14.718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4.7394999999999996</v>
      </c>
      <c r="G27" s="179">
        <f>$H$16</f>
        <v>60</v>
      </c>
      <c r="H27" s="27">
        <f t="shared" si="0"/>
        <v>284.37</v>
      </c>
      <c r="I27" s="28"/>
      <c r="J27" s="263">
        <v>5.2260999999999997</v>
      </c>
      <c r="K27" s="179">
        <f>$H$16</f>
        <v>60</v>
      </c>
      <c r="L27" s="27">
        <f t="shared" si="1"/>
        <v>313.56599999999997</v>
      </c>
      <c r="M27" s="28"/>
      <c r="N27" s="31">
        <f t="shared" si="2"/>
        <v>29.19599999999997</v>
      </c>
      <c r="O27" s="32">
        <f t="shared" si="3"/>
        <v>0.10266905791750174</v>
      </c>
    </row>
    <row r="28" spans="2:15" ht="14.45" hidden="1" x14ac:dyDescent="0.3">
      <c r="B28" s="22" t="s">
        <v>20</v>
      </c>
      <c r="C28" s="22"/>
      <c r="D28" s="23"/>
      <c r="E28" s="24"/>
      <c r="F28" s="25"/>
      <c r="G28" s="26">
        <f>$F$16</f>
        <v>20000</v>
      </c>
      <c r="H28" s="27">
        <f t="shared" si="0"/>
        <v>0</v>
      </c>
      <c r="I28" s="28"/>
      <c r="J28" s="29"/>
      <c r="K28" s="26">
        <f t="shared" ref="K28:K36" si="4">$F$16</f>
        <v>20000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2" t="s">
        <v>21</v>
      </c>
      <c r="C29" s="22"/>
      <c r="D29" s="23"/>
      <c r="E29" s="24"/>
      <c r="F29" s="25"/>
      <c r="G29" s="26">
        <f>$F$16</f>
        <v>20000</v>
      </c>
      <c r="H29" s="27">
        <f t="shared" si="0"/>
        <v>0</v>
      </c>
      <c r="I29" s="28"/>
      <c r="J29" s="29"/>
      <c r="K29" s="26">
        <f t="shared" si="4"/>
        <v>20000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33"/>
      <c r="C30" s="22"/>
      <c r="D30" s="23"/>
      <c r="E30" s="24"/>
      <c r="F30" s="25"/>
      <c r="G30" s="26">
        <f t="shared" ref="G30:G36" si="5">$F$16</f>
        <v>20000</v>
      </c>
      <c r="H30" s="27">
        <f t="shared" si="0"/>
        <v>0</v>
      </c>
      <c r="I30" s="28"/>
      <c r="J30" s="29"/>
      <c r="K30" s="26">
        <f t="shared" si="4"/>
        <v>20000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33"/>
      <c r="C31" s="22"/>
      <c r="D31" s="23"/>
      <c r="E31" s="24"/>
      <c r="F31" s="25"/>
      <c r="G31" s="26">
        <f t="shared" si="5"/>
        <v>20000</v>
      </c>
      <c r="H31" s="27">
        <f t="shared" si="0"/>
        <v>0</v>
      </c>
      <c r="I31" s="28"/>
      <c r="J31" s="29"/>
      <c r="K31" s="26">
        <f t="shared" si="4"/>
        <v>20000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33"/>
      <c r="C32" s="22"/>
      <c r="D32" s="23"/>
      <c r="E32" s="24"/>
      <c r="F32" s="25"/>
      <c r="G32" s="26">
        <f t="shared" si="5"/>
        <v>20000</v>
      </c>
      <c r="H32" s="27">
        <f t="shared" si="0"/>
        <v>0</v>
      </c>
      <c r="I32" s="28"/>
      <c r="J32" s="29"/>
      <c r="K32" s="26">
        <f t="shared" si="4"/>
        <v>20000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ht="14.45" hidden="1" x14ac:dyDescent="0.3">
      <c r="B33" s="33"/>
      <c r="C33" s="22"/>
      <c r="D33" s="23"/>
      <c r="E33" s="24"/>
      <c r="F33" s="25"/>
      <c r="G33" s="26">
        <f t="shared" si="5"/>
        <v>20000</v>
      </c>
      <c r="H33" s="27">
        <f t="shared" si="0"/>
        <v>0</v>
      </c>
      <c r="I33" s="28"/>
      <c r="J33" s="29"/>
      <c r="K33" s="26">
        <f t="shared" si="4"/>
        <v>20000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ht="14.45" hidden="1" x14ac:dyDescent="0.3">
      <c r="B34" s="33"/>
      <c r="C34" s="22"/>
      <c r="D34" s="23"/>
      <c r="E34" s="24"/>
      <c r="F34" s="25"/>
      <c r="G34" s="26">
        <f t="shared" si="5"/>
        <v>20000</v>
      </c>
      <c r="H34" s="27">
        <f t="shared" si="0"/>
        <v>0</v>
      </c>
      <c r="I34" s="28"/>
      <c r="J34" s="29"/>
      <c r="K34" s="26">
        <f t="shared" si="4"/>
        <v>20000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ht="14.45" hidden="1" x14ac:dyDescent="0.3">
      <c r="B35" s="33"/>
      <c r="C35" s="22"/>
      <c r="D35" s="23"/>
      <c r="E35" s="24"/>
      <c r="F35" s="25"/>
      <c r="G35" s="26">
        <f t="shared" si="5"/>
        <v>20000</v>
      </c>
      <c r="H35" s="27">
        <f t="shared" si="0"/>
        <v>0</v>
      </c>
      <c r="I35" s="28"/>
      <c r="J35" s="29"/>
      <c r="K35" s="26">
        <f t="shared" si="4"/>
        <v>20000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ht="14.45" hidden="1" x14ac:dyDescent="0.3">
      <c r="B36" s="33"/>
      <c r="C36" s="22"/>
      <c r="D36" s="23"/>
      <c r="E36" s="24"/>
      <c r="F36" s="25"/>
      <c r="G36" s="26">
        <f t="shared" si="5"/>
        <v>20000</v>
      </c>
      <c r="H36" s="27">
        <f t="shared" si="0"/>
        <v>0</v>
      </c>
      <c r="I36" s="28"/>
      <c r="J36" s="29"/>
      <c r="K36" s="26">
        <f t="shared" si="4"/>
        <v>20000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403.15600000000001</v>
      </c>
      <c r="I37" s="41"/>
      <c r="J37" s="42"/>
      <c r="K37" s="43"/>
      <c r="L37" s="40">
        <f>SUM(L21:L36)</f>
        <v>439.40600000000001</v>
      </c>
      <c r="M37" s="41"/>
      <c r="N37" s="44">
        <f t="shared" si="2"/>
        <v>36.25</v>
      </c>
      <c r="O37" s="45">
        <f t="shared" si="3"/>
        <v>8.9915566182817569E-2</v>
      </c>
    </row>
    <row r="38" spans="2:17" ht="14.45" x14ac:dyDescent="0.3">
      <c r="B38" s="296" t="s">
        <v>23</v>
      </c>
      <c r="C38" s="22"/>
      <c r="D38" s="56" t="s">
        <v>70</v>
      </c>
      <c r="E38" s="57"/>
      <c r="F38" s="29">
        <v>-0.6502</v>
      </c>
      <c r="G38" s="179">
        <f>G27</f>
        <v>60</v>
      </c>
      <c r="H38" s="27">
        <f t="shared" ref="H38:H44" si="6">G38*F38</f>
        <v>-39.012</v>
      </c>
      <c r="I38" s="28"/>
      <c r="J38" s="263">
        <f>0.7832-0.6502</f>
        <v>0.13300000000000001</v>
      </c>
      <c r="K38" s="179">
        <f>H16</f>
        <v>60</v>
      </c>
      <c r="L38" s="27">
        <f t="shared" ref="L38:L44" si="7">K38*J38</f>
        <v>7.98</v>
      </c>
      <c r="M38" s="28"/>
      <c r="N38" s="31">
        <f t="shared" ref="N38:N44" si="8">L38-H38</f>
        <v>46.992000000000004</v>
      </c>
      <c r="O38" s="32">
        <f t="shared" ref="O38:O43" si="9">IF((H38)=0,"",(N38/H38))</f>
        <v>-1.2045524454014152</v>
      </c>
    </row>
    <row r="39" spans="2:17" ht="14.45" x14ac:dyDescent="0.3">
      <c r="B39" s="296"/>
      <c r="C39" s="22"/>
      <c r="D39" s="23" t="s">
        <v>70</v>
      </c>
      <c r="E39" s="24"/>
      <c r="F39" s="25"/>
      <c r="G39" s="179">
        <f>H16</f>
        <v>60</v>
      </c>
      <c r="H39" s="27">
        <f t="shared" si="6"/>
        <v>0</v>
      </c>
      <c r="I39" s="47"/>
      <c r="J39" s="263"/>
      <c r="K39" s="179">
        <f>H16</f>
        <v>60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7" ht="14.45" hidden="1" x14ac:dyDescent="0.3">
      <c r="B40" s="46"/>
      <c r="C40" s="22"/>
      <c r="D40" s="23" t="s">
        <v>70</v>
      </c>
      <c r="E40" s="24"/>
      <c r="F40" s="25"/>
      <c r="G40" s="179">
        <f>H16</f>
        <v>60</v>
      </c>
      <c r="H40" s="27">
        <f t="shared" si="6"/>
        <v>0</v>
      </c>
      <c r="I40" s="47"/>
      <c r="J40" s="263"/>
      <c r="K40" s="179">
        <f>H16</f>
        <v>60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7" ht="32.25" customHeight="1" x14ac:dyDescent="0.3">
      <c r="B41" s="296" t="s">
        <v>74</v>
      </c>
      <c r="C41" s="22"/>
      <c r="D41" s="56" t="s">
        <v>70</v>
      </c>
      <c r="E41" s="24"/>
      <c r="F41" s="29">
        <v>0.26750000000000002</v>
      </c>
      <c r="G41" s="179">
        <f>H16</f>
        <v>60</v>
      </c>
      <c r="H41" s="27">
        <f t="shared" si="6"/>
        <v>16.05</v>
      </c>
      <c r="I41" s="47"/>
      <c r="J41" s="263">
        <f>1.2659+0.2675</f>
        <v>1.5334000000000001</v>
      </c>
      <c r="K41" s="179">
        <f>H16</f>
        <v>60</v>
      </c>
      <c r="L41" s="27">
        <f t="shared" si="7"/>
        <v>92.004000000000005</v>
      </c>
      <c r="M41" s="48"/>
      <c r="N41" s="31">
        <f t="shared" si="8"/>
        <v>75.954000000000008</v>
      </c>
      <c r="O41" s="32">
        <f t="shared" si="9"/>
        <v>4.7323364485981312</v>
      </c>
    </row>
    <row r="42" spans="2:17" ht="14.45" x14ac:dyDescent="0.3">
      <c r="B42" s="49" t="s">
        <v>24</v>
      </c>
      <c r="C42" s="22"/>
      <c r="D42" s="23" t="s">
        <v>70</v>
      </c>
      <c r="E42" s="24"/>
      <c r="F42" s="25">
        <v>5.5100000000000003E-2</v>
      </c>
      <c r="G42" s="179">
        <f>H16</f>
        <v>60</v>
      </c>
      <c r="H42" s="27">
        <f t="shared" si="6"/>
        <v>3.306</v>
      </c>
      <c r="I42" s="28"/>
      <c r="J42" s="29">
        <v>7.51E-2</v>
      </c>
      <c r="K42" s="179">
        <f>H16</f>
        <v>60</v>
      </c>
      <c r="L42" s="27">
        <f t="shared" si="7"/>
        <v>4.5060000000000002</v>
      </c>
      <c r="M42" s="28"/>
      <c r="N42" s="31">
        <f t="shared" si="8"/>
        <v>1.2000000000000002</v>
      </c>
      <c r="O42" s="32">
        <f t="shared" si="9"/>
        <v>0.36297640653357538</v>
      </c>
    </row>
    <row r="43" spans="2:17" s="34" customFormat="1" x14ac:dyDescent="0.25">
      <c r="B43" s="181" t="s">
        <v>25</v>
      </c>
      <c r="C43" s="24"/>
      <c r="D43" s="182" t="s">
        <v>61</v>
      </c>
      <c r="E43" s="24"/>
      <c r="F43" s="396">
        <f>+F53</f>
        <v>0.10186000000000001</v>
      </c>
      <c r="G43" s="26">
        <f>$F$16*(1+$F$72)-$F$16</f>
        <v>808</v>
      </c>
      <c r="H43" s="184">
        <f t="shared" si="6"/>
        <v>82.302880000000002</v>
      </c>
      <c r="I43" s="57"/>
      <c r="J43" s="397">
        <f>+J53</f>
        <v>0.10186000000000001</v>
      </c>
      <c r="K43" s="26">
        <f>$F$16*(1+$J$72)-$F$16</f>
        <v>724</v>
      </c>
      <c r="L43" s="184">
        <f t="shared" si="7"/>
        <v>73.746639999999999</v>
      </c>
      <c r="M43" s="57"/>
      <c r="N43" s="186">
        <f t="shared" si="8"/>
        <v>-8.5562400000000025</v>
      </c>
      <c r="O43" s="187">
        <f t="shared" si="9"/>
        <v>-0.10396039603960398</v>
      </c>
    </row>
    <row r="44" spans="2:17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7" ht="14.4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465.80288000000002</v>
      </c>
      <c r="I45" s="41"/>
      <c r="J45" s="53"/>
      <c r="K45" s="55"/>
      <c r="L45" s="54">
        <f>SUM(L38:L44)+L37</f>
        <v>617.64264000000003</v>
      </c>
      <c r="M45" s="41"/>
      <c r="N45" s="44">
        <f t="shared" ref="N45:N63" si="10">L45-H45</f>
        <v>151.83976000000001</v>
      </c>
      <c r="O45" s="45">
        <f t="shared" ref="O45:O63" si="11">IF((H45)=0,"",(N45/H45))</f>
        <v>0.32597428337068246</v>
      </c>
    </row>
    <row r="46" spans="2:17" ht="14.45" x14ac:dyDescent="0.3">
      <c r="B46" s="28" t="s">
        <v>28</v>
      </c>
      <c r="C46" s="28"/>
      <c r="D46" s="56" t="s">
        <v>70</v>
      </c>
      <c r="E46" s="57"/>
      <c r="F46" s="263">
        <v>2.8420999999999998</v>
      </c>
      <c r="G46" s="289">
        <f>H16</f>
        <v>60</v>
      </c>
      <c r="H46" s="27">
        <f>G46*F46</f>
        <v>170.52599999999998</v>
      </c>
      <c r="I46" s="28"/>
      <c r="J46" s="29">
        <v>2.7740999999999998</v>
      </c>
      <c r="K46" s="290">
        <f>+G46</f>
        <v>60</v>
      </c>
      <c r="L46" s="27">
        <f>K46*J46</f>
        <v>166.446</v>
      </c>
      <c r="M46" s="28"/>
      <c r="N46" s="31">
        <f t="shared" si="10"/>
        <v>-4.0799999999999841</v>
      </c>
      <c r="O46" s="32">
        <f t="shared" si="11"/>
        <v>-2.392597023327812E-2</v>
      </c>
      <c r="P46" s="34"/>
      <c r="Q46" s="34"/>
    </row>
    <row r="47" spans="2:17" ht="14.45" x14ac:dyDescent="0.3">
      <c r="B47" s="59" t="s">
        <v>29</v>
      </c>
      <c r="C47" s="28"/>
      <c r="D47" s="56" t="s">
        <v>70</v>
      </c>
      <c r="E47" s="57"/>
      <c r="F47" s="263">
        <v>0.8165</v>
      </c>
      <c r="G47" s="289">
        <f>G46</f>
        <v>60</v>
      </c>
      <c r="H47" s="27">
        <f>G47*F47</f>
        <v>48.99</v>
      </c>
      <c r="I47" s="28"/>
      <c r="J47" s="29">
        <v>0.80359999999999998</v>
      </c>
      <c r="K47" s="290">
        <f>K46</f>
        <v>60</v>
      </c>
      <c r="L47" s="27">
        <f>K47*J47</f>
        <v>48.216000000000001</v>
      </c>
      <c r="M47" s="28"/>
      <c r="N47" s="31">
        <f t="shared" si="10"/>
        <v>-0.77400000000000091</v>
      </c>
      <c r="O47" s="32">
        <f t="shared" si="11"/>
        <v>-1.5799142682180054E-2</v>
      </c>
      <c r="P47" s="34"/>
      <c r="Q47" s="34"/>
    </row>
    <row r="48" spans="2:17" ht="14.45" x14ac:dyDescent="0.3">
      <c r="B48" s="50" t="s">
        <v>30</v>
      </c>
      <c r="C48" s="36"/>
      <c r="D48" s="36"/>
      <c r="E48" s="36"/>
      <c r="F48" s="60"/>
      <c r="G48" s="306"/>
      <c r="H48" s="54">
        <f>SUM(H45:H47)</f>
        <v>685.31888000000004</v>
      </c>
      <c r="I48" s="61"/>
      <c r="J48" s="62"/>
      <c r="K48" s="294"/>
      <c r="L48" s="54">
        <f>SUM(L45:L47)</f>
        <v>832.30464000000006</v>
      </c>
      <c r="M48" s="61"/>
      <c r="N48" s="44">
        <f t="shared" si="10"/>
        <v>146.98576000000003</v>
      </c>
      <c r="O48" s="45">
        <f t="shared" si="11"/>
        <v>0.21447790844460612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20808</v>
      </c>
      <c r="H49" s="66">
        <f t="shared" ref="H49:H55" si="12">G49*F49</f>
        <v>91.555199999999999</v>
      </c>
      <c r="I49" s="28"/>
      <c r="J49" s="263">
        <f>+F49</f>
        <v>4.4000000000000003E-3</v>
      </c>
      <c r="K49" s="290">
        <f>F16*(1+J72)</f>
        <v>20724</v>
      </c>
      <c r="L49" s="66">
        <f t="shared" ref="L49:L55" si="13">K49*J49</f>
        <v>91.185600000000008</v>
      </c>
      <c r="M49" s="28"/>
      <c r="N49" s="31">
        <f t="shared" si="10"/>
        <v>-0.36959999999999127</v>
      </c>
      <c r="O49" s="68">
        <f t="shared" si="11"/>
        <v>-4.0369088811994429E-3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20808</v>
      </c>
      <c r="H50" s="66">
        <f t="shared" si="12"/>
        <v>27.0504</v>
      </c>
      <c r="I50" s="28"/>
      <c r="J50" s="263">
        <f>+F50</f>
        <v>1.2999999999999999E-3</v>
      </c>
      <c r="K50" s="290">
        <f>K49</f>
        <v>20724</v>
      </c>
      <c r="L50" s="66">
        <f t="shared" si="13"/>
        <v>26.941199999999998</v>
      </c>
      <c r="M50" s="28"/>
      <c r="N50" s="31">
        <f t="shared" si="10"/>
        <v>-0.1092000000000013</v>
      </c>
      <c r="O50" s="68">
        <f t="shared" si="11"/>
        <v>-4.0369088811995869E-3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ht="14.45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20000</v>
      </c>
      <c r="H52" s="66">
        <f t="shared" si="12"/>
        <v>140</v>
      </c>
      <c r="I52" s="28"/>
      <c r="J52" s="263">
        <f>+F52</f>
        <v>7.0000000000000001E-3</v>
      </c>
      <c r="K52" s="70">
        <f>F16</f>
        <v>20000</v>
      </c>
      <c r="L52" s="66">
        <f t="shared" si="13"/>
        <v>140</v>
      </c>
      <c r="M52" s="28"/>
      <c r="N52" s="31">
        <f t="shared" si="10"/>
        <v>0</v>
      </c>
      <c r="O52" s="68">
        <f t="shared" si="11"/>
        <v>0</v>
      </c>
    </row>
    <row r="53" spans="2:19" ht="15.75" thickBot="1" x14ac:dyDescent="0.3">
      <c r="B53" s="24" t="s">
        <v>98</v>
      </c>
      <c r="C53" s="22"/>
      <c r="D53" s="23" t="s">
        <v>61</v>
      </c>
      <c r="E53" s="24"/>
      <c r="F53" s="305">
        <v>0.10186000000000001</v>
      </c>
      <c r="G53" s="69">
        <f>F16</f>
        <v>20000</v>
      </c>
      <c r="H53" s="66">
        <f t="shared" si="12"/>
        <v>2037.2</v>
      </c>
      <c r="I53" s="28"/>
      <c r="J53" s="344">
        <f>+F53</f>
        <v>0.10186000000000001</v>
      </c>
      <c r="K53" s="69">
        <f>G53</f>
        <v>20000</v>
      </c>
      <c r="L53" s="66">
        <f t="shared" si="13"/>
        <v>2037.2</v>
      </c>
      <c r="M53" s="28"/>
      <c r="N53" s="31">
        <f t="shared" si="10"/>
        <v>0</v>
      </c>
      <c r="O53" s="68">
        <f t="shared" si="11"/>
        <v>0</v>
      </c>
      <c r="S53" s="72"/>
    </row>
    <row r="54" spans="2:19" ht="14.45" hidden="1" x14ac:dyDescent="0.3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12"/>
        <v>0</v>
      </c>
      <c r="I54" s="28"/>
      <c r="J54" s="65">
        <v>0.104</v>
      </c>
      <c r="K54" s="6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t="14.45" hidden="1" x14ac:dyDescent="0.3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12"/>
        <v>0</v>
      </c>
      <c r="I55" s="28"/>
      <c r="J55" s="65">
        <v>0.124</v>
      </c>
      <c r="K55" s="6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t="14.45" hidden="1" x14ac:dyDescent="0.25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idden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4.45" hidden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2981.3744800000004</v>
      </c>
      <c r="I59" s="95"/>
      <c r="J59" s="96"/>
      <c r="K59" s="96"/>
      <c r="L59" s="94">
        <f>SUM(L49:L55,L48)</f>
        <v>3127.8814400000001</v>
      </c>
      <c r="M59" s="97"/>
      <c r="N59" s="98">
        <f>L59-H59</f>
        <v>146.50695999999971</v>
      </c>
      <c r="O59" s="99">
        <f>IF((H59)=0,"",(N59/H59))</f>
        <v>4.914074396987516E-2</v>
      </c>
      <c r="S59" s="72"/>
    </row>
    <row r="60" spans="2:19" ht="14.45" hidden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387.57868240000005</v>
      </c>
      <c r="I60" s="104"/>
      <c r="J60" s="105">
        <v>0.13</v>
      </c>
      <c r="K60" s="104"/>
      <c r="L60" s="106">
        <f>L59*J60</f>
        <v>406.62458720000001</v>
      </c>
      <c r="M60" s="107"/>
      <c r="N60" s="108">
        <f t="shared" si="10"/>
        <v>19.04590479999996</v>
      </c>
      <c r="O60" s="109">
        <f t="shared" si="11"/>
        <v>4.9140743969875153E-2</v>
      </c>
      <c r="S60" s="72"/>
    </row>
    <row r="61" spans="2:19" ht="14.45" hidden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3368.9531624000006</v>
      </c>
      <c r="I61" s="104"/>
      <c r="J61" s="104"/>
      <c r="K61" s="104"/>
      <c r="L61" s="106">
        <f>L59+L60</f>
        <v>3534.5060272000001</v>
      </c>
      <c r="M61" s="107"/>
      <c r="N61" s="108">
        <f t="shared" si="10"/>
        <v>165.5528647999995</v>
      </c>
      <c r="O61" s="109">
        <f t="shared" si="11"/>
        <v>4.9140743969875104E-2</v>
      </c>
      <c r="S61" s="72"/>
    </row>
    <row r="62" spans="2:19" ht="14.45" hidden="1" x14ac:dyDescent="0.3">
      <c r="B62" s="369" t="s">
        <v>43</v>
      </c>
      <c r="C62" s="369"/>
      <c r="D62" s="369"/>
      <c r="E62" s="22"/>
      <c r="F62" s="111"/>
      <c r="G62" s="102"/>
      <c r="H62" s="112">
        <f>ROUND(-H61*10%,2)</f>
        <v>-336.9</v>
      </c>
      <c r="I62" s="104"/>
      <c r="J62" s="104"/>
      <c r="K62" s="104"/>
      <c r="L62" s="113">
        <f>ROUND(-L61*10%,2)</f>
        <v>-353.45</v>
      </c>
      <c r="M62" s="107"/>
      <c r="N62" s="114">
        <f t="shared" si="10"/>
        <v>-16.550000000000011</v>
      </c>
      <c r="O62" s="115">
        <f t="shared" si="11"/>
        <v>4.9124369249035356E-2</v>
      </c>
    </row>
    <row r="63" spans="2:19" hidden="1" thickBot="1" x14ac:dyDescent="0.35">
      <c r="B63" s="360" t="s">
        <v>44</v>
      </c>
      <c r="C63" s="360"/>
      <c r="D63" s="360"/>
      <c r="E63" s="116"/>
      <c r="F63" s="117"/>
      <c r="G63" s="118"/>
      <c r="H63" s="119">
        <f>H61+H62</f>
        <v>3032.0531624000005</v>
      </c>
      <c r="I63" s="120"/>
      <c r="J63" s="120"/>
      <c r="K63" s="120"/>
      <c r="L63" s="121">
        <f>L61+L62</f>
        <v>3181.0560272000002</v>
      </c>
      <c r="M63" s="122"/>
      <c r="N63" s="123">
        <f t="shared" si="10"/>
        <v>149.00286479999977</v>
      </c>
      <c r="O63" s="124">
        <f t="shared" si="11"/>
        <v>4.9142563411407207E-2</v>
      </c>
    </row>
    <row r="64" spans="2:19" s="73" customFormat="1" ht="15.75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2981.3744799999999</v>
      </c>
      <c r="I65" s="136"/>
      <c r="J65" s="137"/>
      <c r="K65" s="137"/>
      <c r="L65" s="189">
        <f>SUM(L53,L48,L49:L52)</f>
        <v>3127.8814400000001</v>
      </c>
      <c r="M65" s="138"/>
      <c r="N65" s="139">
        <f>L65-H65</f>
        <v>146.50696000000016</v>
      </c>
      <c r="O65" s="99">
        <f>IF((H65)=0,"",(N65/H65))</f>
        <v>4.914074396987532E-2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387.57868239999999</v>
      </c>
      <c r="I66" s="143"/>
      <c r="J66" s="144">
        <v>0.13</v>
      </c>
      <c r="K66" s="145"/>
      <c r="L66" s="146">
        <f>L65*J66</f>
        <v>406.62458720000001</v>
      </c>
      <c r="M66" s="147"/>
      <c r="N66" s="148">
        <f>L66-H66</f>
        <v>19.045904800000017</v>
      </c>
      <c r="O66" s="109">
        <f>IF((H66)=0,"",(N66/H66))</f>
        <v>4.9140743969875306E-2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3368.9531624000001</v>
      </c>
      <c r="I67" s="143"/>
      <c r="J67" s="143"/>
      <c r="K67" s="143"/>
      <c r="L67" s="146">
        <f>L65+L66</f>
        <v>3534.5060272000001</v>
      </c>
      <c r="M67" s="147"/>
      <c r="N67" s="148">
        <f>L67-H67</f>
        <v>165.55286479999995</v>
      </c>
      <c r="O67" s="109">
        <f>IF((H67)=0,"",(N67/H67))</f>
        <v>4.914074396987525E-2</v>
      </c>
    </row>
    <row r="68" spans="1:15" s="73" customFormat="1" ht="12.75" x14ac:dyDescent="0.2">
      <c r="B68" s="370" t="s">
        <v>43</v>
      </c>
      <c r="C68" s="370"/>
      <c r="D68" s="370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52" t="s">
        <v>46</v>
      </c>
      <c r="C69" s="352"/>
      <c r="D69" s="352"/>
      <c r="E69" s="155"/>
      <c r="F69" s="156"/>
      <c r="G69" s="157"/>
      <c r="H69" s="158">
        <f>SUM(H67:H68)</f>
        <v>3368.9531624000001</v>
      </c>
      <c r="I69" s="159"/>
      <c r="J69" s="159"/>
      <c r="K69" s="159"/>
      <c r="L69" s="160">
        <f>SUM(L67:L68)</f>
        <v>3534.5060272000001</v>
      </c>
      <c r="M69" s="161"/>
      <c r="N69" s="162">
        <f>L69-H69</f>
        <v>165.55286479999995</v>
      </c>
      <c r="O69" s="163">
        <f>IF((H69)=0,"",(N69/H69))</f>
        <v>4.914074396987525E-2</v>
      </c>
    </row>
    <row r="70" spans="1:15" s="73" customFormat="1" ht="15.75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x14ac:dyDescent="0.25">
      <c r="A74" s="171" t="s">
        <v>48</v>
      </c>
    </row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8:D68"/>
    <mergeCell ref="B63:D63"/>
    <mergeCell ref="N1:O1"/>
    <mergeCell ref="N2:O2"/>
    <mergeCell ref="F18:H18"/>
    <mergeCell ref="B9:O9"/>
    <mergeCell ref="J18:L18"/>
    <mergeCell ref="N5:O5"/>
    <mergeCell ref="B8:O8"/>
    <mergeCell ref="N18:O18"/>
    <mergeCell ref="D12:O12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A22" workbookViewId="0">
      <selection activeCell="J53" activeCellId="3" sqref="F43 J43 F53 J53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1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 s="192"/>
    </row>
    <row r="4" spans="1:20" s="2" customFormat="1" ht="9" customHeight="1" x14ac:dyDescent="0.3">
      <c r="L4" s="3"/>
      <c r="N4" s="311"/>
      <c r="O4"/>
      <c r="P4" s="194"/>
    </row>
    <row r="5" spans="1:20" s="2" customFormat="1" ht="14.45" x14ac:dyDescent="0.3">
      <c r="L5" s="3" t="s">
        <v>76</v>
      </c>
      <c r="N5" s="368">
        <v>42124</v>
      </c>
      <c r="O5" s="368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91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40000</v>
      </c>
      <c r="G16" s="13" t="s">
        <v>7</v>
      </c>
      <c r="H16" s="14">
        <v>100</v>
      </c>
      <c r="I16" s="13" t="s">
        <v>69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132.65</v>
      </c>
      <c r="K21" s="30">
        <v>1</v>
      </c>
      <c r="L21" s="27">
        <f>K21*J21</f>
        <v>132.65</v>
      </c>
      <c r="M21" s="28"/>
      <c r="N21" s="31">
        <f>L21-H21</f>
        <v>13.27000000000001</v>
      </c>
      <c r="O21" s="32">
        <f>IF((H21)=0,"",(N21/H21))</f>
        <v>0.11115764784721067</v>
      </c>
    </row>
    <row r="22" spans="2:15" ht="36.75" customHeight="1" x14ac:dyDescent="0.3">
      <c r="B22" s="296" t="s">
        <v>88</v>
      </c>
      <c r="C22" s="22"/>
      <c r="D22" s="56" t="s">
        <v>70</v>
      </c>
      <c r="E22" s="24"/>
      <c r="F22" s="173"/>
      <c r="G22" s="179">
        <f>+$H$16</f>
        <v>100</v>
      </c>
      <c r="H22" s="27">
        <f t="shared" ref="H22:H36" si="0">G22*F22</f>
        <v>0</v>
      </c>
      <c r="I22" s="28"/>
      <c r="J22" s="29">
        <f>+'GS 50-4999 (60kW)'!$J$22</f>
        <v>0.14169999999999999</v>
      </c>
      <c r="K22" s="262">
        <f>+$H$16</f>
        <v>100</v>
      </c>
      <c r="L22" s="27">
        <f>K22*J22</f>
        <v>14.17</v>
      </c>
      <c r="M22" s="28"/>
      <c r="N22" s="31">
        <f>L22-H22</f>
        <v>14.17</v>
      </c>
      <c r="O22" s="32" t="str">
        <f>IF((H22)=0,"",(N22/H22))</f>
        <v/>
      </c>
    </row>
    <row r="23" spans="2:15" ht="14.45" hidden="1" x14ac:dyDescent="0.3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4.45" hidden="1" x14ac:dyDescent="0.3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100</v>
      </c>
      <c r="H25" s="27">
        <f t="shared" si="0"/>
        <v>-0.9900000000000001</v>
      </c>
      <c r="I25" s="28"/>
      <c r="J25" s="29">
        <f>+'GS 50-4999 (60kW)'!$J$25</f>
        <v>-9.9000000000000008E-3</v>
      </c>
      <c r="K25" s="179">
        <f>$H$16</f>
        <v>100</v>
      </c>
      <c r="L25" s="27">
        <f t="shared" si="1"/>
        <v>-0.9900000000000001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70</v>
      </c>
      <c r="E26" s="24"/>
      <c r="F26" s="25"/>
      <c r="G26" s="179">
        <f>$H$16</f>
        <v>100</v>
      </c>
      <c r="H26" s="27">
        <f t="shared" si="0"/>
        <v>0</v>
      </c>
      <c r="I26" s="28"/>
      <c r="J26" s="29">
        <f>+'GS 50-4999 (60kW)'!$J$26</f>
        <v>-0.24529999999999999</v>
      </c>
      <c r="K26" s="179">
        <f>$H$16</f>
        <v>100</v>
      </c>
      <c r="L26" s="27">
        <f t="shared" si="1"/>
        <v>-24.529999999999998</v>
      </c>
      <c r="M26" s="28"/>
      <c r="N26" s="31">
        <f t="shared" si="2"/>
        <v>-24.529999999999998</v>
      </c>
      <c r="O26" s="32" t="str">
        <f t="shared" si="3"/>
        <v/>
      </c>
    </row>
    <row r="27" spans="2:15" ht="14.45" x14ac:dyDescent="0.3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100</v>
      </c>
      <c r="H27" s="27">
        <f t="shared" si="0"/>
        <v>473.94999999999993</v>
      </c>
      <c r="I27" s="28"/>
      <c r="J27" s="29">
        <f>+'GS 50-4999 (60kW)'!$J$27</f>
        <v>5.2260999999999997</v>
      </c>
      <c r="K27" s="179">
        <f>$H$16</f>
        <v>100</v>
      </c>
      <c r="L27" s="27">
        <f t="shared" si="1"/>
        <v>522.61</v>
      </c>
      <c r="M27" s="28"/>
      <c r="N27" s="31">
        <f t="shared" si="2"/>
        <v>48.660000000000082</v>
      </c>
      <c r="O27" s="32">
        <f t="shared" si="3"/>
        <v>0.10266905791750203</v>
      </c>
    </row>
    <row r="28" spans="2:15" ht="14.45" hidden="1" x14ac:dyDescent="0.3">
      <c r="B28" s="22" t="s">
        <v>20</v>
      </c>
      <c r="C28" s="22"/>
      <c r="D28" s="23"/>
      <c r="E28" s="24"/>
      <c r="F28" s="25"/>
      <c r="G28" s="26">
        <f>$F$16</f>
        <v>40000</v>
      </c>
      <c r="H28" s="27">
        <f t="shared" si="0"/>
        <v>0</v>
      </c>
      <c r="I28" s="28"/>
      <c r="J28" s="29"/>
      <c r="K28" s="26">
        <f t="shared" ref="K28:K36" si="4">$F$16</f>
        <v>40000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2" t="s">
        <v>21</v>
      </c>
      <c r="C29" s="22"/>
      <c r="D29" s="23"/>
      <c r="E29" s="24"/>
      <c r="F29" s="25"/>
      <c r="G29" s="26">
        <f>$F$16</f>
        <v>40000</v>
      </c>
      <c r="H29" s="27">
        <f t="shared" si="0"/>
        <v>0</v>
      </c>
      <c r="I29" s="28"/>
      <c r="J29" s="29"/>
      <c r="K29" s="26">
        <f t="shared" si="4"/>
        <v>40000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33"/>
      <c r="C30" s="22"/>
      <c r="D30" s="23"/>
      <c r="E30" s="24"/>
      <c r="F30" s="25"/>
      <c r="G30" s="26">
        <f t="shared" ref="G30:G36" si="5">$F$16</f>
        <v>40000</v>
      </c>
      <c r="H30" s="27">
        <f t="shared" si="0"/>
        <v>0</v>
      </c>
      <c r="I30" s="28"/>
      <c r="J30" s="29"/>
      <c r="K30" s="26">
        <f t="shared" si="4"/>
        <v>40000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33"/>
      <c r="C31" s="22"/>
      <c r="D31" s="23"/>
      <c r="E31" s="24"/>
      <c r="F31" s="25"/>
      <c r="G31" s="26">
        <f t="shared" si="5"/>
        <v>40000</v>
      </c>
      <c r="H31" s="27">
        <f t="shared" si="0"/>
        <v>0</v>
      </c>
      <c r="I31" s="28"/>
      <c r="J31" s="29"/>
      <c r="K31" s="26">
        <f t="shared" si="4"/>
        <v>40000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33"/>
      <c r="C32" s="22"/>
      <c r="D32" s="23"/>
      <c r="E32" s="24"/>
      <c r="F32" s="25"/>
      <c r="G32" s="26">
        <f t="shared" si="5"/>
        <v>40000</v>
      </c>
      <c r="H32" s="27">
        <f t="shared" si="0"/>
        <v>0</v>
      </c>
      <c r="I32" s="28"/>
      <c r="J32" s="29"/>
      <c r="K32" s="26">
        <f t="shared" si="4"/>
        <v>40000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33"/>
      <c r="C33" s="22"/>
      <c r="D33" s="23"/>
      <c r="E33" s="24"/>
      <c r="F33" s="25"/>
      <c r="G33" s="26">
        <f t="shared" si="5"/>
        <v>40000</v>
      </c>
      <c r="H33" s="27">
        <f t="shared" si="0"/>
        <v>0</v>
      </c>
      <c r="I33" s="28"/>
      <c r="J33" s="29"/>
      <c r="K33" s="26">
        <f t="shared" si="4"/>
        <v>40000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33"/>
      <c r="C34" s="22"/>
      <c r="D34" s="23"/>
      <c r="E34" s="24"/>
      <c r="F34" s="25"/>
      <c r="G34" s="26">
        <f t="shared" si="5"/>
        <v>40000</v>
      </c>
      <c r="H34" s="27">
        <f t="shared" si="0"/>
        <v>0</v>
      </c>
      <c r="I34" s="28"/>
      <c r="J34" s="29"/>
      <c r="K34" s="26">
        <f t="shared" si="4"/>
        <v>40000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33"/>
      <c r="C35" s="22"/>
      <c r="D35" s="23"/>
      <c r="E35" s="24"/>
      <c r="F35" s="25"/>
      <c r="G35" s="26">
        <f t="shared" si="5"/>
        <v>40000</v>
      </c>
      <c r="H35" s="27">
        <f t="shared" si="0"/>
        <v>0</v>
      </c>
      <c r="I35" s="28"/>
      <c r="J35" s="29"/>
      <c r="K35" s="26">
        <f t="shared" si="4"/>
        <v>40000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33"/>
      <c r="C36" s="22"/>
      <c r="D36" s="23"/>
      <c r="E36" s="24"/>
      <c r="F36" s="25"/>
      <c r="G36" s="26">
        <f t="shared" si="5"/>
        <v>40000</v>
      </c>
      <c r="H36" s="27">
        <f t="shared" si="0"/>
        <v>0</v>
      </c>
      <c r="I36" s="28"/>
      <c r="J36" s="29"/>
      <c r="K36" s="26">
        <f t="shared" si="4"/>
        <v>40000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592.33999999999992</v>
      </c>
      <c r="I37" s="41"/>
      <c r="J37" s="42"/>
      <c r="K37" s="43"/>
      <c r="L37" s="40">
        <f>SUM(L21:L36)</f>
        <v>643.91</v>
      </c>
      <c r="M37" s="41"/>
      <c r="N37" s="44">
        <f t="shared" si="2"/>
        <v>51.57000000000005</v>
      </c>
      <c r="O37" s="45">
        <f t="shared" si="3"/>
        <v>8.7061484957963425E-2</v>
      </c>
    </row>
    <row r="38" spans="2:15" ht="14.45" x14ac:dyDescent="0.3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100</v>
      </c>
      <c r="H38" s="27">
        <f t="shared" ref="H38:H44" si="6">G38*F38</f>
        <v>-65.02</v>
      </c>
      <c r="I38" s="28"/>
      <c r="J38" s="29">
        <f>+'GS 50-4999 (60kW)'!$J$38</f>
        <v>0.13300000000000001</v>
      </c>
      <c r="K38" s="179">
        <f>H16</f>
        <v>100</v>
      </c>
      <c r="L38" s="27">
        <f t="shared" ref="L38:L44" si="7">K38*J38</f>
        <v>13.3</v>
      </c>
      <c r="M38" s="28"/>
      <c r="N38" s="31">
        <f t="shared" si="2"/>
        <v>78.319999999999993</v>
      </c>
      <c r="O38" s="32">
        <f t="shared" si="3"/>
        <v>-1.2045524454014149</v>
      </c>
    </row>
    <row r="39" spans="2:15" ht="14.45" x14ac:dyDescent="0.3">
      <c r="B39" s="296"/>
      <c r="C39" s="22"/>
      <c r="D39" s="23" t="s">
        <v>70</v>
      </c>
      <c r="E39" s="24"/>
      <c r="F39" s="25"/>
      <c r="G39" s="179">
        <f>H16</f>
        <v>100</v>
      </c>
      <c r="H39" s="27">
        <f t="shared" si="6"/>
        <v>0</v>
      </c>
      <c r="I39" s="47"/>
      <c r="J39" s="29"/>
      <c r="K39" s="179">
        <f>H16</f>
        <v>100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t="14.45" hidden="1" x14ac:dyDescent="0.3">
      <c r="B40" s="296"/>
      <c r="C40" s="22"/>
      <c r="D40" s="23" t="s">
        <v>70</v>
      </c>
      <c r="E40" s="24"/>
      <c r="F40" s="25"/>
      <c r="G40" s="179">
        <f>H16</f>
        <v>100</v>
      </c>
      <c r="H40" s="27">
        <f t="shared" si="6"/>
        <v>0</v>
      </c>
      <c r="I40" s="47"/>
      <c r="J40" s="29"/>
      <c r="K40" s="179">
        <f>H16</f>
        <v>100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3">
      <c r="B41" s="296" t="s">
        <v>74</v>
      </c>
      <c r="C41" s="22"/>
      <c r="D41" s="56" t="s">
        <v>70</v>
      </c>
      <c r="E41" s="24"/>
      <c r="F41" s="29">
        <f>+'GS 50-4999 (60kW)'!$F$41</f>
        <v>0.26750000000000002</v>
      </c>
      <c r="G41" s="179">
        <f>H16</f>
        <v>100</v>
      </c>
      <c r="H41" s="27">
        <f t="shared" si="6"/>
        <v>26.75</v>
      </c>
      <c r="I41" s="47"/>
      <c r="J41" s="29">
        <f>+'GS 50-4999 (60kW)'!$J$41</f>
        <v>1.5334000000000001</v>
      </c>
      <c r="K41" s="179">
        <f>H16</f>
        <v>100</v>
      </c>
      <c r="L41" s="27">
        <f t="shared" si="7"/>
        <v>153.34</v>
      </c>
      <c r="M41" s="48"/>
      <c r="N41" s="31">
        <f t="shared" si="2"/>
        <v>126.59</v>
      </c>
      <c r="O41" s="32">
        <f t="shared" si="3"/>
        <v>4.7323364485981312</v>
      </c>
    </row>
    <row r="42" spans="2:15" ht="14.45" x14ac:dyDescent="0.3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100</v>
      </c>
      <c r="H42" s="27">
        <f t="shared" si="6"/>
        <v>5.5100000000000007</v>
      </c>
      <c r="I42" s="28"/>
      <c r="J42" s="29">
        <f>+'GS 50-4999 (60kW)'!$J$42</f>
        <v>7.51E-2</v>
      </c>
      <c r="K42" s="179">
        <f>H16</f>
        <v>100</v>
      </c>
      <c r="L42" s="27">
        <f t="shared" si="7"/>
        <v>7.51</v>
      </c>
      <c r="M42" s="28"/>
      <c r="N42" s="31">
        <f t="shared" si="2"/>
        <v>1.9999999999999991</v>
      </c>
      <c r="O42" s="32">
        <f t="shared" si="3"/>
        <v>0.3629764065335751</v>
      </c>
    </row>
    <row r="43" spans="2:15" s="34" customFormat="1" ht="14.45" x14ac:dyDescent="0.3">
      <c r="B43" s="181" t="s">
        <v>25</v>
      </c>
      <c r="C43" s="24"/>
      <c r="D43" s="182" t="s">
        <v>61</v>
      </c>
      <c r="E43" s="24"/>
      <c r="F43" s="398">
        <f>+F53</f>
        <v>0.10186000000000001</v>
      </c>
      <c r="G43" s="26">
        <f>$F$16*(1+$F$72)-$F$16</f>
        <v>1616</v>
      </c>
      <c r="H43" s="184">
        <f t="shared" si="6"/>
        <v>164.60576</v>
      </c>
      <c r="I43" s="57"/>
      <c r="J43" s="399">
        <f>+J53</f>
        <v>0.10186000000000001</v>
      </c>
      <c r="K43" s="26">
        <f>$F$16*(1+$J$72)-$F$16</f>
        <v>1448</v>
      </c>
      <c r="L43" s="184">
        <f t="shared" si="7"/>
        <v>147.49328</v>
      </c>
      <c r="M43" s="57"/>
      <c r="N43" s="186">
        <f t="shared" si="2"/>
        <v>-17.112480000000005</v>
      </c>
      <c r="O43" s="187">
        <f t="shared" si="3"/>
        <v>-0.10396039603960398</v>
      </c>
    </row>
    <row r="44" spans="2:15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14.4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724.18575999999996</v>
      </c>
      <c r="I45" s="41"/>
      <c r="J45" s="53"/>
      <c r="K45" s="55"/>
      <c r="L45" s="54">
        <f>SUM(L38:L44)+L37</f>
        <v>965.55327999999997</v>
      </c>
      <c r="M45" s="41"/>
      <c r="N45" s="44">
        <f t="shared" si="2"/>
        <v>241.36752000000001</v>
      </c>
      <c r="O45" s="45">
        <f t="shared" ref="O45:O63" si="8">IF((H45)=0,"",(N45/H45))</f>
        <v>0.33329503745005984</v>
      </c>
    </row>
    <row r="46" spans="2:15" ht="14.45" x14ac:dyDescent="0.3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100</v>
      </c>
      <c r="H46" s="27">
        <f>G46*F46</f>
        <v>284.20999999999998</v>
      </c>
      <c r="I46" s="28"/>
      <c r="J46" s="263">
        <f>+'GS 50-4999 (60kW)'!$J$46</f>
        <v>2.7740999999999998</v>
      </c>
      <c r="K46" s="290">
        <f>+G46</f>
        <v>100</v>
      </c>
      <c r="L46" s="27">
        <f>K46*J46</f>
        <v>277.40999999999997</v>
      </c>
      <c r="M46" s="28"/>
      <c r="N46" s="31">
        <f t="shared" si="2"/>
        <v>-6.8000000000000114</v>
      </c>
      <c r="O46" s="32">
        <f t="shared" si="8"/>
        <v>-2.3925970233278252E-2</v>
      </c>
    </row>
    <row r="47" spans="2:15" ht="14.45" x14ac:dyDescent="0.3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100</v>
      </c>
      <c r="H47" s="27">
        <f>G47*F47</f>
        <v>81.650000000000006</v>
      </c>
      <c r="I47" s="28"/>
      <c r="J47" s="29">
        <f>+'GS 50-4999 (60kW)'!$J$47</f>
        <v>0.80359999999999998</v>
      </c>
      <c r="K47" s="290">
        <f>K46</f>
        <v>100</v>
      </c>
      <c r="L47" s="27">
        <f>K47*J47</f>
        <v>80.36</v>
      </c>
      <c r="M47" s="28"/>
      <c r="N47" s="31">
        <f t="shared" si="2"/>
        <v>-1.2900000000000063</v>
      </c>
      <c r="O47" s="32">
        <f t="shared" si="8"/>
        <v>-1.5799142682180113E-2</v>
      </c>
    </row>
    <row r="48" spans="2:15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1090.04576</v>
      </c>
      <c r="I48" s="61"/>
      <c r="J48" s="62"/>
      <c r="K48" s="63"/>
      <c r="L48" s="54">
        <f>SUM(L45:L47)</f>
        <v>1323.3232799999998</v>
      </c>
      <c r="M48" s="61"/>
      <c r="N48" s="44">
        <f t="shared" si="2"/>
        <v>233.27751999999987</v>
      </c>
      <c r="O48" s="45">
        <f t="shared" si="8"/>
        <v>0.21400708902349189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F16*(1+F72)</f>
        <v>41616</v>
      </c>
      <c r="H49" s="66">
        <f t="shared" ref="H49:H55" si="9">G49*F49</f>
        <v>183.1104</v>
      </c>
      <c r="I49" s="28"/>
      <c r="J49" s="263">
        <f>+'GS 50-4999 (60kW)'!$J$49</f>
        <v>4.4000000000000003E-3</v>
      </c>
      <c r="K49" s="290">
        <f>F16*(1+J72)</f>
        <v>41448</v>
      </c>
      <c r="L49" s="66">
        <f t="shared" ref="L49:L55" si="10">K49*J49</f>
        <v>182.37120000000002</v>
      </c>
      <c r="M49" s="28"/>
      <c r="N49" s="31">
        <f t="shared" si="2"/>
        <v>-0.73919999999998254</v>
      </c>
      <c r="O49" s="68">
        <f t="shared" si="8"/>
        <v>-4.0369088811994429E-3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41616</v>
      </c>
      <c r="H50" s="66">
        <f t="shared" si="9"/>
        <v>54.1008</v>
      </c>
      <c r="I50" s="28"/>
      <c r="J50" s="263">
        <f>+'GS 50-4999 (60kW)'!$J$50</f>
        <v>1.2999999999999999E-3</v>
      </c>
      <c r="K50" s="290">
        <f>K49</f>
        <v>41448</v>
      </c>
      <c r="L50" s="66">
        <f t="shared" si="10"/>
        <v>53.882399999999997</v>
      </c>
      <c r="M50" s="28"/>
      <c r="N50" s="31">
        <f t="shared" si="2"/>
        <v>-0.21840000000000259</v>
      </c>
      <c r="O50" s="68">
        <f t="shared" si="8"/>
        <v>-4.0369088811995869E-3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ht="14.45" x14ac:dyDescent="0.3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40000</v>
      </c>
      <c r="H52" s="66">
        <f t="shared" si="9"/>
        <v>280</v>
      </c>
      <c r="I52" s="28"/>
      <c r="J52" s="263">
        <f>+'GS 50-4999 (60kW)'!$J$52</f>
        <v>7.0000000000000001E-3</v>
      </c>
      <c r="K52" s="70">
        <f>F16</f>
        <v>40000</v>
      </c>
      <c r="L52" s="66">
        <f t="shared" si="10"/>
        <v>280</v>
      </c>
      <c r="M52" s="28"/>
      <c r="N52" s="31">
        <f t="shared" si="2"/>
        <v>0</v>
      </c>
      <c r="O52" s="68">
        <f t="shared" si="8"/>
        <v>0</v>
      </c>
    </row>
    <row r="53" spans="2:19" thickBot="1" x14ac:dyDescent="0.35">
      <c r="B53" s="22" t="s">
        <v>98</v>
      </c>
      <c r="C53" s="22"/>
      <c r="D53" s="23" t="s">
        <v>61</v>
      </c>
      <c r="E53" s="24"/>
      <c r="F53" s="343">
        <f>+'GS 50-4999 (60kW)'!$F$53</f>
        <v>0.10186000000000001</v>
      </c>
      <c r="G53" s="69">
        <f>F16</f>
        <v>40000</v>
      </c>
      <c r="H53" s="66">
        <f t="shared" si="9"/>
        <v>4074.4</v>
      </c>
      <c r="I53" s="28"/>
      <c r="J53" s="344">
        <f>+'GS 50-4999 (60kW)'!$J$53</f>
        <v>0.10186000000000001</v>
      </c>
      <c r="K53" s="69">
        <f>G53</f>
        <v>40000</v>
      </c>
      <c r="L53" s="66">
        <f t="shared" si="10"/>
        <v>4074.4</v>
      </c>
      <c r="M53" s="28"/>
      <c r="N53" s="31">
        <f t="shared" si="2"/>
        <v>0</v>
      </c>
      <c r="O53" s="68">
        <f t="shared" si="8"/>
        <v>0</v>
      </c>
      <c r="S53" s="72"/>
    </row>
    <row r="54" spans="2:19" hidden="1" thickBot="1" x14ac:dyDescent="0.3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idden="1" thickBot="1" x14ac:dyDescent="0.3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idden="1" thickBot="1" x14ac:dyDescent="0.3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4.45" hidden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5681.9069600000003</v>
      </c>
      <c r="I59" s="95"/>
      <c r="J59" s="96"/>
      <c r="K59" s="96"/>
      <c r="L59" s="94">
        <f>SUM(L49:L55,L48)</f>
        <v>5914.2268799999993</v>
      </c>
      <c r="M59" s="97"/>
      <c r="N59" s="98">
        <f>L59-H59</f>
        <v>232.319919999999</v>
      </c>
      <c r="O59" s="99">
        <f>IF((H59)=0,"",(N59/H59))</f>
        <v>4.0887667051837641E-2</v>
      </c>
      <c r="S59" s="72"/>
    </row>
    <row r="60" spans="2:19" ht="14.45" hidden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738.64790480000011</v>
      </c>
      <c r="I60" s="104"/>
      <c r="J60" s="105">
        <v>0.13</v>
      </c>
      <c r="K60" s="104"/>
      <c r="L60" s="106">
        <f>L59*J60</f>
        <v>768.84949439999991</v>
      </c>
      <c r="M60" s="107"/>
      <c r="N60" s="108">
        <f t="shared" si="2"/>
        <v>30.201589599999807</v>
      </c>
      <c r="O60" s="109">
        <f t="shared" si="8"/>
        <v>4.0887667051837551E-2</v>
      </c>
      <c r="S60" s="72"/>
    </row>
    <row r="61" spans="2:19" ht="14.45" hidden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6420.5548648000004</v>
      </c>
      <c r="I61" s="104"/>
      <c r="J61" s="104"/>
      <c r="K61" s="104"/>
      <c r="L61" s="106">
        <f>L59+L60</f>
        <v>6683.0763743999996</v>
      </c>
      <c r="M61" s="107"/>
      <c r="N61" s="108">
        <f t="shared" si="2"/>
        <v>262.52150959999926</v>
      </c>
      <c r="O61" s="109">
        <f t="shared" si="8"/>
        <v>4.0887667051837703E-2</v>
      </c>
      <c r="S61" s="72"/>
    </row>
    <row r="62" spans="2:19" ht="15.75" hidden="1" customHeight="1" x14ac:dyDescent="0.3">
      <c r="B62" s="369" t="s">
        <v>43</v>
      </c>
      <c r="C62" s="369"/>
      <c r="D62" s="369"/>
      <c r="E62" s="22"/>
      <c r="F62" s="111"/>
      <c r="G62" s="102"/>
      <c r="H62" s="112">
        <f>ROUND(-H61*10%,2)</f>
        <v>-642.05999999999995</v>
      </c>
      <c r="I62" s="104"/>
      <c r="J62" s="104"/>
      <c r="K62" s="104"/>
      <c r="L62" s="113">
        <f>ROUND(-L61*10%,2)</f>
        <v>-668.31</v>
      </c>
      <c r="M62" s="107"/>
      <c r="N62" s="114">
        <f t="shared" si="2"/>
        <v>-26.25</v>
      </c>
      <c r="O62" s="115">
        <f t="shared" si="8"/>
        <v>4.0884029529950475E-2</v>
      </c>
    </row>
    <row r="63" spans="2:19" ht="14.45" hidden="1" x14ac:dyDescent="0.3">
      <c r="B63" s="360" t="s">
        <v>44</v>
      </c>
      <c r="C63" s="360"/>
      <c r="D63" s="360"/>
      <c r="E63" s="116"/>
      <c r="F63" s="117"/>
      <c r="G63" s="118"/>
      <c r="H63" s="119">
        <f>H61+H62</f>
        <v>5778.4948648000009</v>
      </c>
      <c r="I63" s="120"/>
      <c r="J63" s="120"/>
      <c r="K63" s="120"/>
      <c r="L63" s="121">
        <f>L61+L62</f>
        <v>6014.7663744000001</v>
      </c>
      <c r="M63" s="122"/>
      <c r="N63" s="123">
        <f t="shared" si="2"/>
        <v>236.27150959999926</v>
      </c>
      <c r="O63" s="124">
        <f t="shared" si="8"/>
        <v>4.08880712240932E-2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15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5681.9069600000003</v>
      </c>
      <c r="I65" s="136"/>
      <c r="J65" s="137"/>
      <c r="K65" s="137"/>
      <c r="L65" s="189">
        <f>SUM(L53,L48,L49:L52)</f>
        <v>5914.2268800000002</v>
      </c>
      <c r="M65" s="138"/>
      <c r="N65" s="139">
        <f>L65-H65</f>
        <v>232.31991999999991</v>
      </c>
      <c r="O65" s="99">
        <f>IF((H65)=0,"",(N65/H65))</f>
        <v>4.0887667051837807E-2</v>
      </c>
    </row>
    <row r="66" spans="1:15" s="73" customFormat="1" ht="13.15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738.64790480000011</v>
      </c>
      <c r="I66" s="143"/>
      <c r="J66" s="144">
        <v>0.13</v>
      </c>
      <c r="K66" s="145"/>
      <c r="L66" s="146">
        <f>L65*J66</f>
        <v>768.84949440000003</v>
      </c>
      <c r="M66" s="147"/>
      <c r="N66" s="148">
        <f>L66-H66</f>
        <v>30.20158959999992</v>
      </c>
      <c r="O66" s="109">
        <f>IF((H66)=0,"",(N66/H66))</f>
        <v>4.088766705183771E-2</v>
      </c>
    </row>
    <row r="67" spans="1:15" s="73" customFormat="1" ht="13.15" x14ac:dyDescent="0.25">
      <c r="B67" s="149" t="s">
        <v>42</v>
      </c>
      <c r="C67" s="75"/>
      <c r="D67" s="75"/>
      <c r="E67" s="75"/>
      <c r="F67" s="150"/>
      <c r="G67" s="151"/>
      <c r="H67" s="142">
        <f>H65+H66</f>
        <v>6420.5548648000004</v>
      </c>
      <c r="I67" s="143"/>
      <c r="J67" s="143"/>
      <c r="K67" s="143"/>
      <c r="L67" s="146">
        <f>L65+L66</f>
        <v>6683.0763744000005</v>
      </c>
      <c r="M67" s="147"/>
      <c r="N67" s="148">
        <f>L67-H67</f>
        <v>262.52150960000017</v>
      </c>
      <c r="O67" s="109">
        <f>IF((H67)=0,"",(N67/H67))</f>
        <v>4.0887667051837849E-2</v>
      </c>
    </row>
    <row r="68" spans="1:15" s="73" customFormat="1" ht="15.75" customHeight="1" x14ac:dyDescent="0.25">
      <c r="B68" s="370" t="s">
        <v>43</v>
      </c>
      <c r="C68" s="370"/>
      <c r="D68" s="370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9" thickBot="1" x14ac:dyDescent="0.3">
      <c r="B69" s="352" t="s">
        <v>46</v>
      </c>
      <c r="C69" s="352"/>
      <c r="D69" s="352"/>
      <c r="E69" s="155"/>
      <c r="F69" s="156"/>
      <c r="G69" s="157"/>
      <c r="H69" s="158">
        <f>SUM(H67:H68)</f>
        <v>6420.5548648000004</v>
      </c>
      <c r="I69" s="159"/>
      <c r="J69" s="159"/>
      <c r="K69" s="159"/>
      <c r="L69" s="160">
        <f>SUM(L67:L68)</f>
        <v>6683.0763744000005</v>
      </c>
      <c r="M69" s="161"/>
      <c r="N69" s="162">
        <f>L69-H69</f>
        <v>262.52150960000017</v>
      </c>
      <c r="O69" s="163">
        <f>IF((H69)=0,"",(N69/H69))</f>
        <v>4.0887667051837849E-2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ht="14.4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8:D68"/>
    <mergeCell ref="B63:D63"/>
    <mergeCell ref="N1:O1"/>
    <mergeCell ref="N2:O2"/>
    <mergeCell ref="F18:H18"/>
    <mergeCell ref="B9:O9"/>
    <mergeCell ref="J18:L18"/>
    <mergeCell ref="N5:O5"/>
    <mergeCell ref="B8:O8"/>
    <mergeCell ref="N18:O18"/>
    <mergeCell ref="D12:O12"/>
    <mergeCell ref="N3:O3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8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88"/>
  <sheetViews>
    <sheetView showGridLines="0" topLeftCell="A12" zoomScaleNormal="100" workbookViewId="0">
      <selection activeCell="J43" activeCellId="1" sqref="F43 J43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1.140625" style="7" customWidth="1"/>
    <col min="17" max="19" width="9.140625" style="7"/>
    <col min="20" max="20" width="9.140625" style="7" customWidth="1"/>
    <col min="21" max="16384" width="9.140625" style="7"/>
  </cols>
  <sheetData>
    <row r="1" spans="1:16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 s="192"/>
    </row>
    <row r="2" spans="1:16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 s="193"/>
    </row>
    <row r="3" spans="1:16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 s="192"/>
    </row>
    <row r="4" spans="1:16" s="2" customFormat="1" ht="9" customHeight="1" x14ac:dyDescent="0.3">
      <c r="L4" s="3"/>
      <c r="N4" s="311"/>
      <c r="O4"/>
      <c r="P4" s="194"/>
    </row>
    <row r="5" spans="1:16" s="2" customFormat="1" ht="14.45" x14ac:dyDescent="0.3">
      <c r="L5" s="3" t="s">
        <v>76</v>
      </c>
      <c r="N5" s="368">
        <v>42124</v>
      </c>
      <c r="O5" s="368"/>
      <c r="P5" s="195"/>
    </row>
    <row r="6" spans="1:16" s="2" customFormat="1" ht="15" customHeight="1" x14ac:dyDescent="0.3">
      <c r="N6" s="7"/>
      <c r="O6"/>
      <c r="P6"/>
    </row>
    <row r="7" spans="1:16" ht="7.5" customHeight="1" x14ac:dyDescent="0.3">
      <c r="L7"/>
      <c r="M7"/>
      <c r="N7"/>
      <c r="O7"/>
      <c r="P7"/>
    </row>
    <row r="8" spans="1:16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16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16" ht="7.5" customHeight="1" x14ac:dyDescent="0.3">
      <c r="L10"/>
      <c r="M10"/>
      <c r="N10"/>
      <c r="O10"/>
      <c r="P10"/>
    </row>
    <row r="11" spans="1:16" ht="7.5" customHeight="1" x14ac:dyDescent="0.3">
      <c r="L11"/>
      <c r="M11"/>
      <c r="N11"/>
      <c r="O11"/>
      <c r="P11"/>
    </row>
    <row r="12" spans="1:16" ht="15.6" x14ac:dyDescent="0.3">
      <c r="B12" s="8" t="s">
        <v>3</v>
      </c>
      <c r="D12" s="367" t="s">
        <v>91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16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6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16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16" ht="14.45" x14ac:dyDescent="0.3">
      <c r="B16" s="12"/>
      <c r="D16" s="13" t="s">
        <v>6</v>
      </c>
      <c r="E16" s="13"/>
      <c r="F16" s="14">
        <v>100000</v>
      </c>
      <c r="G16" s="13" t="s">
        <v>7</v>
      </c>
      <c r="H16" s="14">
        <v>250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14.45" x14ac:dyDescent="0.3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283">
        <f>+'GS 50-4999 (60kW)'!$J$21</f>
        <v>132.65</v>
      </c>
      <c r="K21" s="30">
        <v>1</v>
      </c>
      <c r="L21" s="27">
        <f>K21*J21</f>
        <v>132.65</v>
      </c>
      <c r="M21" s="28"/>
      <c r="N21" s="31">
        <f>L21-H21</f>
        <v>13.27000000000001</v>
      </c>
      <c r="O21" s="32">
        <f>IF((H21)=0,"",(N21/H21))</f>
        <v>0.11115764784721067</v>
      </c>
    </row>
    <row r="22" spans="2:15" ht="14.45" x14ac:dyDescent="0.3">
      <c r="B22" s="296" t="s">
        <v>88</v>
      </c>
      <c r="C22" s="22"/>
      <c r="D22" s="56" t="s">
        <v>70</v>
      </c>
      <c r="E22" s="24"/>
      <c r="F22" s="173"/>
      <c r="G22" s="179">
        <f>+$H$16</f>
        <v>250</v>
      </c>
      <c r="H22" s="27">
        <f t="shared" ref="H22:H36" si="0">G22*F22</f>
        <v>0</v>
      </c>
      <c r="I22" s="28"/>
      <c r="J22" s="263">
        <f>+'GS 50-4999 (60kW)'!$J$22</f>
        <v>0.14169999999999999</v>
      </c>
      <c r="K22" s="262">
        <f>+$H$16</f>
        <v>250</v>
      </c>
      <c r="L22" s="27">
        <f>K22*J22</f>
        <v>35.424999999999997</v>
      </c>
      <c r="M22" s="28"/>
      <c r="N22" s="31">
        <f>L22-H22</f>
        <v>35.424999999999997</v>
      </c>
      <c r="O22" s="32" t="str">
        <f>IF((H22)=0,"",(N22/H22))</f>
        <v/>
      </c>
    </row>
    <row r="23" spans="2:15" ht="14.45" x14ac:dyDescent="0.3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4.45" x14ac:dyDescent="0.3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250</v>
      </c>
      <c r="H25" s="27">
        <f t="shared" si="0"/>
        <v>-2.4750000000000001</v>
      </c>
      <c r="I25" s="28"/>
      <c r="J25" s="263">
        <f>+'GS 50-4999 (60kW)'!$J$25</f>
        <v>-9.9000000000000008E-3</v>
      </c>
      <c r="K25" s="179">
        <f>$H$16</f>
        <v>250</v>
      </c>
      <c r="L25" s="27">
        <f t="shared" si="1"/>
        <v>-2.4750000000000001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70</v>
      </c>
      <c r="E26" s="24"/>
      <c r="F26" s="25"/>
      <c r="G26" s="179">
        <f>$H$16</f>
        <v>250</v>
      </c>
      <c r="H26" s="27">
        <f t="shared" si="0"/>
        <v>0</v>
      </c>
      <c r="I26" s="28"/>
      <c r="J26" s="263">
        <f>+'GS 50-4999 (60kW)'!$J$26</f>
        <v>-0.24529999999999999</v>
      </c>
      <c r="K26" s="179">
        <f>$H$16</f>
        <v>250</v>
      </c>
      <c r="L26" s="27">
        <f t="shared" si="1"/>
        <v>-61.324999999999996</v>
      </c>
      <c r="M26" s="28"/>
      <c r="N26" s="31">
        <f t="shared" si="2"/>
        <v>-61.324999999999996</v>
      </c>
      <c r="O26" s="32" t="str">
        <f t="shared" si="3"/>
        <v/>
      </c>
    </row>
    <row r="27" spans="2:15" ht="14.45" x14ac:dyDescent="0.3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250</v>
      </c>
      <c r="H27" s="27">
        <f t="shared" si="0"/>
        <v>1184.875</v>
      </c>
      <c r="I27" s="28"/>
      <c r="J27" s="263">
        <f>+'GS 50-4999 (60kW)'!$J$27</f>
        <v>5.2260999999999997</v>
      </c>
      <c r="K27" s="179">
        <f>$H$16</f>
        <v>250</v>
      </c>
      <c r="L27" s="27">
        <f t="shared" si="1"/>
        <v>1306.5249999999999</v>
      </c>
      <c r="M27" s="28"/>
      <c r="N27" s="31">
        <f t="shared" si="2"/>
        <v>121.64999999999986</v>
      </c>
      <c r="O27" s="32">
        <f t="shared" si="3"/>
        <v>0.10266905791750174</v>
      </c>
    </row>
    <row r="28" spans="2:15" ht="14.45" hidden="1" x14ac:dyDescent="0.3">
      <c r="B28" s="22" t="s">
        <v>20</v>
      </c>
      <c r="C28" s="22"/>
      <c r="D28" s="23"/>
      <c r="E28" s="24"/>
      <c r="F28" s="25"/>
      <c r="G28" s="26">
        <f>$F$16</f>
        <v>100000</v>
      </c>
      <c r="H28" s="27">
        <f t="shared" si="0"/>
        <v>0</v>
      </c>
      <c r="I28" s="28"/>
      <c r="J28" s="29"/>
      <c r="K28" s="26">
        <f t="shared" ref="K28:K36" si="4">$F$16</f>
        <v>100000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2" t="s">
        <v>21</v>
      </c>
      <c r="C29" s="22"/>
      <c r="D29" s="23"/>
      <c r="E29" s="24"/>
      <c r="F29" s="25"/>
      <c r="G29" s="26">
        <f>$F$16</f>
        <v>100000</v>
      </c>
      <c r="H29" s="27">
        <f t="shared" si="0"/>
        <v>0</v>
      </c>
      <c r="I29" s="28"/>
      <c r="J29" s="29"/>
      <c r="K29" s="26">
        <f t="shared" si="4"/>
        <v>100000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33"/>
      <c r="C30" s="22"/>
      <c r="D30" s="23"/>
      <c r="E30" s="24"/>
      <c r="F30" s="25"/>
      <c r="G30" s="26">
        <f t="shared" ref="G30:G36" si="5">$F$16</f>
        <v>100000</v>
      </c>
      <c r="H30" s="27">
        <f t="shared" si="0"/>
        <v>0</v>
      </c>
      <c r="I30" s="28"/>
      <c r="J30" s="29"/>
      <c r="K30" s="26">
        <f t="shared" si="4"/>
        <v>100000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33"/>
      <c r="C31" s="22"/>
      <c r="D31" s="23"/>
      <c r="E31" s="24"/>
      <c r="F31" s="25"/>
      <c r="G31" s="26">
        <f t="shared" si="5"/>
        <v>100000</v>
      </c>
      <c r="H31" s="27">
        <f t="shared" si="0"/>
        <v>0</v>
      </c>
      <c r="I31" s="28"/>
      <c r="J31" s="29"/>
      <c r="K31" s="26">
        <f t="shared" si="4"/>
        <v>100000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33"/>
      <c r="C32" s="22"/>
      <c r="D32" s="23"/>
      <c r="E32" s="24"/>
      <c r="F32" s="25"/>
      <c r="G32" s="26">
        <f t="shared" si="5"/>
        <v>100000</v>
      </c>
      <c r="H32" s="27">
        <f t="shared" si="0"/>
        <v>0</v>
      </c>
      <c r="I32" s="28"/>
      <c r="J32" s="29"/>
      <c r="K32" s="26">
        <f t="shared" si="4"/>
        <v>100000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ht="14.45" hidden="1" x14ac:dyDescent="0.3">
      <c r="B33" s="33"/>
      <c r="C33" s="22"/>
      <c r="D33" s="23"/>
      <c r="E33" s="24"/>
      <c r="F33" s="25"/>
      <c r="G33" s="26">
        <f t="shared" si="5"/>
        <v>100000</v>
      </c>
      <c r="H33" s="27">
        <f t="shared" si="0"/>
        <v>0</v>
      </c>
      <c r="I33" s="28"/>
      <c r="J33" s="29"/>
      <c r="K33" s="26">
        <f t="shared" si="4"/>
        <v>100000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ht="14.45" hidden="1" x14ac:dyDescent="0.3">
      <c r="B34" s="33"/>
      <c r="C34" s="22"/>
      <c r="D34" s="23"/>
      <c r="E34" s="24"/>
      <c r="F34" s="25"/>
      <c r="G34" s="26">
        <f t="shared" si="5"/>
        <v>100000</v>
      </c>
      <c r="H34" s="27">
        <f t="shared" si="0"/>
        <v>0</v>
      </c>
      <c r="I34" s="28"/>
      <c r="J34" s="29"/>
      <c r="K34" s="26">
        <f t="shared" si="4"/>
        <v>100000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ht="14.45" hidden="1" x14ac:dyDescent="0.3">
      <c r="B35" s="33"/>
      <c r="C35" s="22"/>
      <c r="D35" s="23"/>
      <c r="E35" s="24"/>
      <c r="F35" s="25"/>
      <c r="G35" s="26">
        <f t="shared" si="5"/>
        <v>100000</v>
      </c>
      <c r="H35" s="27">
        <f t="shared" si="0"/>
        <v>0</v>
      </c>
      <c r="I35" s="28"/>
      <c r="J35" s="29"/>
      <c r="K35" s="26">
        <f t="shared" si="4"/>
        <v>100000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ht="14.45" hidden="1" x14ac:dyDescent="0.3">
      <c r="B36" s="33"/>
      <c r="C36" s="22"/>
      <c r="D36" s="23"/>
      <c r="E36" s="24"/>
      <c r="F36" s="25"/>
      <c r="G36" s="26">
        <f t="shared" si="5"/>
        <v>100000</v>
      </c>
      <c r="H36" s="27">
        <f t="shared" si="0"/>
        <v>0</v>
      </c>
      <c r="I36" s="28"/>
      <c r="J36" s="29"/>
      <c r="K36" s="26">
        <f t="shared" si="4"/>
        <v>100000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1301.78</v>
      </c>
      <c r="I37" s="41"/>
      <c r="J37" s="42"/>
      <c r="K37" s="43"/>
      <c r="L37" s="40">
        <f>SUM(L21:L36)</f>
        <v>1410.8</v>
      </c>
      <c r="M37" s="41"/>
      <c r="N37" s="44">
        <f t="shared" si="2"/>
        <v>109.01999999999998</v>
      </c>
      <c r="O37" s="45">
        <f t="shared" si="3"/>
        <v>8.3746869670758492E-2</v>
      </c>
    </row>
    <row r="38" spans="2:17" ht="14.45" x14ac:dyDescent="0.3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250</v>
      </c>
      <c r="H38" s="27">
        <f t="shared" ref="H38:H44" si="6">G38*F38</f>
        <v>-162.55000000000001</v>
      </c>
      <c r="I38" s="28"/>
      <c r="J38" s="29">
        <f>+'GS 50-4999 (60kW)'!$J$38</f>
        <v>0.13300000000000001</v>
      </c>
      <c r="K38" s="179">
        <f>H16</f>
        <v>250</v>
      </c>
      <c r="L38" s="27">
        <f t="shared" ref="L38:L44" si="7">K38*J38</f>
        <v>33.25</v>
      </c>
      <c r="M38" s="28"/>
      <c r="N38" s="31">
        <f t="shared" si="2"/>
        <v>195.8</v>
      </c>
      <c r="O38" s="32">
        <f t="shared" si="3"/>
        <v>-1.2045524454014149</v>
      </c>
    </row>
    <row r="39" spans="2:17" ht="14.45" x14ac:dyDescent="0.3">
      <c r="B39" s="296"/>
      <c r="C39" s="22"/>
      <c r="D39" s="23" t="s">
        <v>70</v>
      </c>
      <c r="E39" s="24"/>
      <c r="F39" s="25"/>
      <c r="G39" s="179">
        <f>H16</f>
        <v>250</v>
      </c>
      <c r="H39" s="27">
        <f t="shared" si="6"/>
        <v>0</v>
      </c>
      <c r="I39" s="47"/>
      <c r="J39" s="29"/>
      <c r="K39" s="179">
        <f>H16</f>
        <v>250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7" ht="14.45" hidden="1" x14ac:dyDescent="0.3">
      <c r="B40" s="296"/>
      <c r="C40" s="22"/>
      <c r="D40" s="23" t="s">
        <v>70</v>
      </c>
      <c r="E40" s="24"/>
      <c r="F40" s="25"/>
      <c r="G40" s="179">
        <f>H16</f>
        <v>250</v>
      </c>
      <c r="H40" s="27">
        <f t="shared" si="6"/>
        <v>0</v>
      </c>
      <c r="I40" s="47"/>
      <c r="J40" s="29"/>
      <c r="K40" s="179">
        <f>H16</f>
        <v>250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7" ht="26.45" x14ac:dyDescent="0.3">
      <c r="B41" s="296" t="s">
        <v>74</v>
      </c>
      <c r="C41" s="22"/>
      <c r="D41" s="56" t="s">
        <v>70</v>
      </c>
      <c r="E41" s="24"/>
      <c r="F41" s="29">
        <f>+'GS 50-4999 (60kW)'!$F$41</f>
        <v>0.26750000000000002</v>
      </c>
      <c r="G41" s="179">
        <f>H16</f>
        <v>250</v>
      </c>
      <c r="H41" s="27">
        <f t="shared" si="6"/>
        <v>66.875</v>
      </c>
      <c r="I41" s="47"/>
      <c r="J41" s="29">
        <f>+'GS 50-4999 (60kW)'!$J$41</f>
        <v>1.5334000000000001</v>
      </c>
      <c r="K41" s="179">
        <f>H16</f>
        <v>250</v>
      </c>
      <c r="L41" s="27">
        <f t="shared" si="7"/>
        <v>383.35</v>
      </c>
      <c r="M41" s="48"/>
      <c r="N41" s="31">
        <f t="shared" si="2"/>
        <v>316.47500000000002</v>
      </c>
      <c r="O41" s="32">
        <f t="shared" si="3"/>
        <v>4.7323364485981312</v>
      </c>
    </row>
    <row r="42" spans="2:17" ht="14.45" x14ac:dyDescent="0.3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250</v>
      </c>
      <c r="H42" s="27">
        <f t="shared" si="6"/>
        <v>13.775</v>
      </c>
      <c r="I42" s="28"/>
      <c r="J42" s="29">
        <f>+'GS 50-4999 (60kW)'!$J$42</f>
        <v>7.51E-2</v>
      </c>
      <c r="K42" s="179">
        <f>H16</f>
        <v>250</v>
      </c>
      <c r="L42" s="27">
        <f t="shared" si="7"/>
        <v>18.774999999999999</v>
      </c>
      <c r="M42" s="28"/>
      <c r="N42" s="31">
        <f t="shared" si="2"/>
        <v>4.9999999999999982</v>
      </c>
      <c r="O42" s="32">
        <f t="shared" si="3"/>
        <v>0.36297640653357516</v>
      </c>
    </row>
    <row r="43" spans="2:17" s="34" customFormat="1" x14ac:dyDescent="0.25">
      <c r="B43" s="181" t="s">
        <v>25</v>
      </c>
      <c r="C43" s="24"/>
      <c r="D43" s="182" t="s">
        <v>61</v>
      </c>
      <c r="E43" s="24"/>
      <c r="F43" s="396">
        <f>+F53</f>
        <v>0.10186000000000001</v>
      </c>
      <c r="G43" s="26">
        <f>$F$16*(1+$F$72)-$F$16</f>
        <v>4040</v>
      </c>
      <c r="H43" s="184">
        <f t="shared" si="6"/>
        <v>411.51440000000002</v>
      </c>
      <c r="I43" s="57"/>
      <c r="J43" s="397">
        <f>+J53</f>
        <v>0.10186000000000001</v>
      </c>
      <c r="K43" s="26">
        <f>$F$16*(1+$J$72)-$F$16</f>
        <v>3620</v>
      </c>
      <c r="L43" s="184">
        <f t="shared" si="7"/>
        <v>368.73320000000001</v>
      </c>
      <c r="M43" s="57"/>
      <c r="N43" s="186">
        <f t="shared" si="2"/>
        <v>-42.781200000000013</v>
      </c>
      <c r="O43" s="187">
        <f t="shared" si="3"/>
        <v>-0.10396039603960398</v>
      </c>
    </row>
    <row r="44" spans="2:17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7" ht="14.4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1631.3944000000001</v>
      </c>
      <c r="I45" s="41"/>
      <c r="J45" s="53"/>
      <c r="K45" s="55"/>
      <c r="L45" s="54">
        <f>SUM(L38:L44)+L37</f>
        <v>2214.9081999999999</v>
      </c>
      <c r="M45" s="41"/>
      <c r="N45" s="44">
        <f t="shared" si="2"/>
        <v>583.51379999999972</v>
      </c>
      <c r="O45" s="45">
        <f t="shared" ref="O45:O63" si="8">IF((H45)=0,"",(N45/H45))</f>
        <v>0.35767794715980372</v>
      </c>
    </row>
    <row r="46" spans="2:17" ht="14.45" x14ac:dyDescent="0.3">
      <c r="B46" s="28" t="s">
        <v>28</v>
      </c>
      <c r="C46" s="28"/>
      <c r="D46" s="56" t="s">
        <v>70</v>
      </c>
      <c r="E46" s="57"/>
      <c r="F46" s="29">
        <f>+'GS 50-4999 (60kW)'!F46</f>
        <v>2.8420999999999998</v>
      </c>
      <c r="G46" s="289">
        <f>H16</f>
        <v>250</v>
      </c>
      <c r="H46" s="27">
        <f>G46*F46</f>
        <v>710.52499999999998</v>
      </c>
      <c r="I46" s="28"/>
      <c r="J46" s="29">
        <f>+'GS 50-4999 (60kW)'!$J$46</f>
        <v>2.7740999999999998</v>
      </c>
      <c r="K46" s="290">
        <f>+G46</f>
        <v>250</v>
      </c>
      <c r="L46" s="27">
        <f>K46*J46</f>
        <v>693.52499999999998</v>
      </c>
      <c r="M46" s="28"/>
      <c r="N46" s="31">
        <f t="shared" si="2"/>
        <v>-17</v>
      </c>
      <c r="O46" s="32">
        <f t="shared" si="8"/>
        <v>-2.3925970233278211E-2</v>
      </c>
      <c r="P46" s="34"/>
      <c r="Q46" s="34"/>
    </row>
    <row r="47" spans="2:17" ht="14.45" x14ac:dyDescent="0.3">
      <c r="B47" s="59" t="s">
        <v>29</v>
      </c>
      <c r="C47" s="28"/>
      <c r="D47" s="56" t="s">
        <v>70</v>
      </c>
      <c r="E47" s="57"/>
      <c r="F47" s="29">
        <f>+'GS 50-4999 (60kW)'!F47</f>
        <v>0.8165</v>
      </c>
      <c r="G47" s="289">
        <f>G46</f>
        <v>250</v>
      </c>
      <c r="H47" s="27">
        <f>G47*F47</f>
        <v>204.125</v>
      </c>
      <c r="I47" s="28"/>
      <c r="J47" s="29">
        <f>+'GS 50-4999 (60kW)'!$J$47</f>
        <v>0.80359999999999998</v>
      </c>
      <c r="K47" s="290">
        <f>K46</f>
        <v>250</v>
      </c>
      <c r="L47" s="27">
        <f>K47*J47</f>
        <v>200.9</v>
      </c>
      <c r="M47" s="28"/>
      <c r="N47" s="31">
        <f t="shared" si="2"/>
        <v>-3.2249999999999943</v>
      </c>
      <c r="O47" s="32">
        <f t="shared" si="8"/>
        <v>-1.5799142682180009E-2</v>
      </c>
      <c r="P47" s="34"/>
      <c r="Q47" s="34"/>
    </row>
    <row r="48" spans="2:17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2546.0444000000002</v>
      </c>
      <c r="I48" s="61"/>
      <c r="J48" s="62"/>
      <c r="K48" s="63"/>
      <c r="L48" s="54">
        <f>SUM(L45:L47)</f>
        <v>3109.3332</v>
      </c>
      <c r="M48" s="61"/>
      <c r="N48" s="44">
        <f t="shared" si="2"/>
        <v>563.28879999999981</v>
      </c>
      <c r="O48" s="45">
        <f t="shared" si="8"/>
        <v>0.22124076076599442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104040</v>
      </c>
      <c r="H49" s="66">
        <f t="shared" ref="H49:H55" si="9">G49*F49</f>
        <v>457.77600000000001</v>
      </c>
      <c r="I49" s="28"/>
      <c r="J49" s="263">
        <f>+'GS 50-4999 (60kW)'!$J$49</f>
        <v>4.4000000000000003E-3</v>
      </c>
      <c r="K49" s="290">
        <f>F16*(1+J72)</f>
        <v>103620</v>
      </c>
      <c r="L49" s="66">
        <f t="shared" ref="L49:L55" si="10">K49*J49</f>
        <v>455.92800000000005</v>
      </c>
      <c r="M49" s="28"/>
      <c r="N49" s="31">
        <f t="shared" si="2"/>
        <v>-1.8479999999999563</v>
      </c>
      <c r="O49" s="68">
        <f t="shared" si="8"/>
        <v>-4.0369088811994429E-3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104040</v>
      </c>
      <c r="H50" s="66">
        <f t="shared" si="9"/>
        <v>135.25199999999998</v>
      </c>
      <c r="I50" s="28"/>
      <c r="J50" s="263">
        <f>+'GS 50-4999 (60kW)'!$J$50</f>
        <v>1.2999999999999999E-3</v>
      </c>
      <c r="K50" s="290">
        <f>K49</f>
        <v>103620</v>
      </c>
      <c r="L50" s="66">
        <f t="shared" si="10"/>
        <v>134.70599999999999</v>
      </c>
      <c r="M50" s="28"/>
      <c r="N50" s="31">
        <f t="shared" si="2"/>
        <v>-0.54599999999999227</v>
      </c>
      <c r="O50" s="68">
        <f t="shared" si="8"/>
        <v>-4.0369088811994819E-3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5">
        <v>7.0000000000000001E-3</v>
      </c>
      <c r="G52" s="69">
        <f>F16</f>
        <v>100000</v>
      </c>
      <c r="H52" s="66">
        <f t="shared" si="9"/>
        <v>700</v>
      </c>
      <c r="I52" s="28"/>
      <c r="J52" s="263">
        <f>+'GS 50-4999 (60kW)'!$J$52</f>
        <v>7.0000000000000001E-3</v>
      </c>
      <c r="K52" s="70">
        <f>F16</f>
        <v>100000</v>
      </c>
      <c r="L52" s="66">
        <f t="shared" si="10"/>
        <v>700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22" t="s">
        <v>98</v>
      </c>
      <c r="C53" s="22"/>
      <c r="D53" s="23" t="s">
        <v>61</v>
      </c>
      <c r="E53" s="24"/>
      <c r="F53" s="343">
        <f>+'GS 50-4999 (60kW)'!F53</f>
        <v>0.10186000000000001</v>
      </c>
      <c r="G53" s="69">
        <f>F16</f>
        <v>100000</v>
      </c>
      <c r="H53" s="66">
        <f t="shared" si="9"/>
        <v>10186</v>
      </c>
      <c r="I53" s="28"/>
      <c r="J53" s="344">
        <f>+'GS 50-4999 (60kW)'!$J$53</f>
        <v>0.10186000000000001</v>
      </c>
      <c r="K53" s="69">
        <f>G53</f>
        <v>100000</v>
      </c>
      <c r="L53" s="66">
        <f t="shared" si="10"/>
        <v>10186</v>
      </c>
      <c r="M53" s="28"/>
      <c r="N53" s="31">
        <f t="shared" si="2"/>
        <v>0</v>
      </c>
      <c r="O53" s="68">
        <f t="shared" si="8"/>
        <v>0</v>
      </c>
      <c r="S53" s="72"/>
    </row>
    <row r="54" spans="2:19" hidden="1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idden="1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idden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15.75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14025.322400000001</v>
      </c>
      <c r="I59" s="95"/>
      <c r="J59" s="96"/>
      <c r="K59" s="96"/>
      <c r="L59" s="94">
        <f>SUM(L49:L55,L48)</f>
        <v>14586.217199999999</v>
      </c>
      <c r="M59" s="97"/>
      <c r="N59" s="98">
        <f>L59-H59</f>
        <v>560.89479999999821</v>
      </c>
      <c r="O59" s="99">
        <f>IF((H59)=0,"",(N59/H59))</f>
        <v>3.9991579801402513E-2</v>
      </c>
      <c r="S59" s="72"/>
    </row>
    <row r="60" spans="2:19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1823.2919120000001</v>
      </c>
      <c r="I60" s="104"/>
      <c r="J60" s="105">
        <v>0.13</v>
      </c>
      <c r="K60" s="104"/>
      <c r="L60" s="106">
        <f>L59*J60</f>
        <v>1896.2082359999999</v>
      </c>
      <c r="M60" s="107"/>
      <c r="N60" s="108">
        <f t="shared" si="2"/>
        <v>72.916323999999804</v>
      </c>
      <c r="O60" s="109">
        <f t="shared" si="8"/>
        <v>3.9991579801402527E-2</v>
      </c>
      <c r="S60" s="72"/>
    </row>
    <row r="61" spans="2:19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15848.614312000002</v>
      </c>
      <c r="I61" s="104"/>
      <c r="J61" s="104"/>
      <c r="K61" s="104"/>
      <c r="L61" s="106">
        <f>L59+L60</f>
        <v>16482.425435999998</v>
      </c>
      <c r="M61" s="107"/>
      <c r="N61" s="108">
        <f t="shared" si="2"/>
        <v>633.8111239999962</v>
      </c>
      <c r="O61" s="109">
        <f t="shared" si="8"/>
        <v>3.9991579801402395E-2</v>
      </c>
      <c r="S61" s="72"/>
    </row>
    <row r="62" spans="2:19" hidden="1" x14ac:dyDescent="0.25">
      <c r="B62" s="369" t="s">
        <v>43</v>
      </c>
      <c r="C62" s="369"/>
      <c r="D62" s="369"/>
      <c r="E62" s="22"/>
      <c r="F62" s="111"/>
      <c r="G62" s="102"/>
      <c r="H62" s="112">
        <f>ROUND(-H61*10%,2)</f>
        <v>-1584.86</v>
      </c>
      <c r="I62" s="104"/>
      <c r="J62" s="104"/>
      <c r="K62" s="104"/>
      <c r="L62" s="113">
        <f>ROUND(-L61*10%,2)</f>
        <v>-1648.24</v>
      </c>
      <c r="M62" s="107"/>
      <c r="N62" s="114">
        <f t="shared" si="2"/>
        <v>-63.380000000000109</v>
      </c>
      <c r="O62" s="115">
        <f t="shared" si="8"/>
        <v>3.9990914023951711E-2</v>
      </c>
    </row>
    <row r="63" spans="2:19" ht="15.75" hidden="1" thickBot="1" x14ac:dyDescent="0.3">
      <c r="B63" s="360" t="s">
        <v>44</v>
      </c>
      <c r="C63" s="360"/>
      <c r="D63" s="360"/>
      <c r="E63" s="116"/>
      <c r="F63" s="117"/>
      <c r="G63" s="118"/>
      <c r="H63" s="119">
        <f>H61+H62</f>
        <v>14263.754312000001</v>
      </c>
      <c r="I63" s="120"/>
      <c r="J63" s="120"/>
      <c r="K63" s="120"/>
      <c r="L63" s="121">
        <f>L61+L62</f>
        <v>14834.185435999998</v>
      </c>
      <c r="M63" s="122"/>
      <c r="N63" s="123">
        <f t="shared" si="2"/>
        <v>570.431123999997</v>
      </c>
      <c r="O63" s="124">
        <f t="shared" si="8"/>
        <v>3.9991653776600536E-2</v>
      </c>
    </row>
    <row r="64" spans="2:19" s="73" customFormat="1" ht="15.75" hidden="1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14025.322400000001</v>
      </c>
      <c r="I65" s="136"/>
      <c r="J65" s="137"/>
      <c r="K65" s="137"/>
      <c r="L65" s="189">
        <f>SUM(L53,L48,L49:L52)</f>
        <v>14586.217200000001</v>
      </c>
      <c r="M65" s="138"/>
      <c r="N65" s="139">
        <f>L65-H65</f>
        <v>560.89480000000003</v>
      </c>
      <c r="O65" s="99">
        <f>IF((H65)=0,"",(N65/H65))</f>
        <v>3.9991579801402638E-2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1823.2919120000001</v>
      </c>
      <c r="I66" s="143"/>
      <c r="J66" s="144">
        <v>0.13</v>
      </c>
      <c r="K66" s="145"/>
      <c r="L66" s="146">
        <f>L65*J66</f>
        <v>1896.2082360000002</v>
      </c>
      <c r="M66" s="147"/>
      <c r="N66" s="148">
        <f>L66-H66</f>
        <v>72.916324000000031</v>
      </c>
      <c r="O66" s="109">
        <f>IF((H66)=0,"",(N66/H66))</f>
        <v>3.9991579801402652E-2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15848.614312000002</v>
      </c>
      <c r="I67" s="143"/>
      <c r="J67" s="143"/>
      <c r="K67" s="143"/>
      <c r="L67" s="146">
        <f>L65+L66</f>
        <v>16482.425436000001</v>
      </c>
      <c r="M67" s="147"/>
      <c r="N67" s="148">
        <f>L67-H67</f>
        <v>633.81112399999984</v>
      </c>
      <c r="O67" s="109">
        <f>IF((H67)=0,"",(N67/H67))</f>
        <v>3.9991579801402624E-2</v>
      </c>
    </row>
    <row r="68" spans="1:15" s="73" customFormat="1" ht="13.15" x14ac:dyDescent="0.25">
      <c r="B68" s="370" t="s">
        <v>43</v>
      </c>
      <c r="C68" s="370"/>
      <c r="D68" s="370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9" thickBot="1" x14ac:dyDescent="0.3">
      <c r="B69" s="352" t="s">
        <v>46</v>
      </c>
      <c r="C69" s="352"/>
      <c r="D69" s="352"/>
      <c r="E69" s="155"/>
      <c r="F69" s="156"/>
      <c r="G69" s="157"/>
      <c r="H69" s="158">
        <f>SUM(H67:H68)</f>
        <v>15848.614312000002</v>
      </c>
      <c r="I69" s="159"/>
      <c r="J69" s="159"/>
      <c r="K69" s="159"/>
      <c r="L69" s="160">
        <f>SUM(L67:L68)</f>
        <v>16482.425436000001</v>
      </c>
      <c r="M69" s="161"/>
      <c r="N69" s="162">
        <f>L69-H69</f>
        <v>633.81112399999984</v>
      </c>
      <c r="O69" s="163">
        <f>IF((H69)=0,"",(N69/H69))</f>
        <v>3.9991579801402624E-2</v>
      </c>
    </row>
    <row r="70" spans="1:15" s="73" customForma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4.45" x14ac:dyDescent="0.3">
      <c r="L71" s="72"/>
    </row>
    <row r="72" spans="1:15" ht="14.4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x14ac:dyDescent="0.25">
      <c r="A74" s="171" t="s">
        <v>48</v>
      </c>
    </row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9:O9"/>
    <mergeCell ref="N1:O1"/>
    <mergeCell ref="N2:O2"/>
    <mergeCell ref="N5:O5"/>
    <mergeCell ref="B8:O8"/>
    <mergeCell ref="N3:O3"/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8" orientation="portrait" verticalDpi="4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A19" zoomScaleNormal="100" workbookViewId="0">
      <selection activeCell="F53" activeCellId="2" sqref="F43 J43 F53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2.5703125" style="7" bestFit="1" customWidth="1"/>
    <col min="13" max="13" width="2.85546875" style="7" customWidth="1"/>
    <col min="14" max="14" width="12.7109375" style="7" bestFit="1" customWidth="1"/>
    <col min="15" max="15" width="13.14062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/>
    </row>
    <row r="4" spans="1:20" s="2" customFormat="1" ht="9" customHeight="1" x14ac:dyDescent="0.3">
      <c r="L4" s="3"/>
      <c r="N4" s="311"/>
      <c r="O4"/>
      <c r="P4"/>
    </row>
    <row r="5" spans="1:20" s="2" customFormat="1" ht="14.45" x14ac:dyDescent="0.3">
      <c r="L5" s="3" t="s">
        <v>76</v>
      </c>
      <c r="N5" s="368">
        <v>42124</v>
      </c>
      <c r="O5" s="368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91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200000</v>
      </c>
      <c r="G16" s="13" t="s">
        <v>7</v>
      </c>
      <c r="H16" s="14">
        <v>500</v>
      </c>
      <c r="I16" s="13" t="s">
        <v>69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132.65</v>
      </c>
      <c r="K21" s="30">
        <v>1</v>
      </c>
      <c r="L21" s="27">
        <f>K21*J21</f>
        <v>132.65</v>
      </c>
      <c r="M21" s="28"/>
      <c r="N21" s="31">
        <f>L21-H21</f>
        <v>13.27000000000001</v>
      </c>
      <c r="O21" s="32">
        <f>IF((H21)=0,"",(N21/H21))</f>
        <v>0.11115764784721067</v>
      </c>
    </row>
    <row r="22" spans="2:15" ht="36.75" customHeight="1" x14ac:dyDescent="0.3">
      <c r="B22" s="296" t="s">
        <v>88</v>
      </c>
      <c r="C22" s="22"/>
      <c r="D22" s="56" t="s">
        <v>70</v>
      </c>
      <c r="E22" s="24"/>
      <c r="F22" s="173"/>
      <c r="G22" s="179">
        <f>+$H$16</f>
        <v>500</v>
      </c>
      <c r="H22" s="27">
        <f t="shared" ref="H22:H36" si="0">G22*F22</f>
        <v>0</v>
      </c>
      <c r="I22" s="28"/>
      <c r="J22" s="29">
        <f>+'GS 50-4999 (60kW)'!$J$22</f>
        <v>0.14169999999999999</v>
      </c>
      <c r="K22" s="262">
        <f>+$H$16</f>
        <v>500</v>
      </c>
      <c r="L22" s="27">
        <f>K22*J22</f>
        <v>70.849999999999994</v>
      </c>
      <c r="M22" s="28"/>
      <c r="N22" s="31">
        <f>L22-H22</f>
        <v>70.849999999999994</v>
      </c>
      <c r="O22" s="32" t="str">
        <f>IF((H22)=0,"",(N22/H22))</f>
        <v/>
      </c>
    </row>
    <row r="23" spans="2:15" ht="14.45" hidden="1" x14ac:dyDescent="0.3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4.45" hidden="1" x14ac:dyDescent="0.3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500</v>
      </c>
      <c r="H25" s="27">
        <f t="shared" si="0"/>
        <v>-4.95</v>
      </c>
      <c r="I25" s="28"/>
      <c r="J25" s="29">
        <f>+'GS 50-4999 (60kW)'!$J$25</f>
        <v>-9.9000000000000008E-3</v>
      </c>
      <c r="K25" s="179">
        <f>$H$16</f>
        <v>500</v>
      </c>
      <c r="L25" s="27">
        <f t="shared" si="1"/>
        <v>-4.95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70</v>
      </c>
      <c r="E26" s="24"/>
      <c r="F26" s="25"/>
      <c r="G26" s="179">
        <f>$H$16</f>
        <v>500</v>
      </c>
      <c r="H26" s="27">
        <f t="shared" si="0"/>
        <v>0</v>
      </c>
      <c r="I26" s="28"/>
      <c r="J26" s="29">
        <f>+'GS 50-4999 (60kW)'!$J$26</f>
        <v>-0.24529999999999999</v>
      </c>
      <c r="K26" s="179">
        <f>$H$16</f>
        <v>500</v>
      </c>
      <c r="L26" s="27">
        <f t="shared" si="1"/>
        <v>-122.64999999999999</v>
      </c>
      <c r="M26" s="28"/>
      <c r="N26" s="31">
        <f t="shared" si="2"/>
        <v>-122.64999999999999</v>
      </c>
      <c r="O26" s="32" t="str">
        <f t="shared" si="3"/>
        <v/>
      </c>
    </row>
    <row r="27" spans="2:15" ht="14.45" x14ac:dyDescent="0.3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500</v>
      </c>
      <c r="H27" s="27">
        <f t="shared" si="0"/>
        <v>2369.75</v>
      </c>
      <c r="I27" s="28"/>
      <c r="J27" s="29">
        <f>+'GS 50-4999 (60kW)'!$J$27</f>
        <v>5.2260999999999997</v>
      </c>
      <c r="K27" s="179">
        <f>$H$16</f>
        <v>500</v>
      </c>
      <c r="L27" s="27">
        <f t="shared" si="1"/>
        <v>2613.0499999999997</v>
      </c>
      <c r="M27" s="28"/>
      <c r="N27" s="31">
        <f t="shared" si="2"/>
        <v>243.29999999999973</v>
      </c>
      <c r="O27" s="32">
        <f t="shared" si="3"/>
        <v>0.10266905791750174</v>
      </c>
    </row>
    <row r="28" spans="2:15" ht="14.45" hidden="1" x14ac:dyDescent="0.3">
      <c r="B28" s="22" t="s">
        <v>20</v>
      </c>
      <c r="C28" s="22"/>
      <c r="D28" s="23"/>
      <c r="E28" s="24"/>
      <c r="F28" s="25"/>
      <c r="G28" s="26">
        <f>$F$16</f>
        <v>200000</v>
      </c>
      <c r="H28" s="27">
        <f t="shared" si="0"/>
        <v>0</v>
      </c>
      <c r="I28" s="28"/>
      <c r="J28" s="29"/>
      <c r="K28" s="26">
        <f t="shared" ref="K28:K36" si="4">$F$16</f>
        <v>200000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2" t="s">
        <v>21</v>
      </c>
      <c r="C29" s="22"/>
      <c r="D29" s="23"/>
      <c r="E29" s="24"/>
      <c r="F29" s="25"/>
      <c r="G29" s="26">
        <f>$F$16</f>
        <v>200000</v>
      </c>
      <c r="H29" s="27">
        <f t="shared" si="0"/>
        <v>0</v>
      </c>
      <c r="I29" s="28"/>
      <c r="J29" s="29"/>
      <c r="K29" s="26">
        <f t="shared" si="4"/>
        <v>200000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33"/>
      <c r="C30" s="22"/>
      <c r="D30" s="23"/>
      <c r="E30" s="24"/>
      <c r="F30" s="25"/>
      <c r="G30" s="26">
        <f t="shared" ref="G30:G36" si="5">$F$16</f>
        <v>200000</v>
      </c>
      <c r="H30" s="27">
        <f t="shared" si="0"/>
        <v>0</v>
      </c>
      <c r="I30" s="28"/>
      <c r="J30" s="29"/>
      <c r="K30" s="26">
        <f t="shared" si="4"/>
        <v>200000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33"/>
      <c r="C31" s="22"/>
      <c r="D31" s="23"/>
      <c r="E31" s="24"/>
      <c r="F31" s="25"/>
      <c r="G31" s="26">
        <f t="shared" si="5"/>
        <v>200000</v>
      </c>
      <c r="H31" s="27">
        <f t="shared" si="0"/>
        <v>0</v>
      </c>
      <c r="I31" s="28"/>
      <c r="J31" s="29"/>
      <c r="K31" s="26">
        <f t="shared" si="4"/>
        <v>200000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33"/>
      <c r="C32" s="22"/>
      <c r="D32" s="23"/>
      <c r="E32" s="24"/>
      <c r="F32" s="25"/>
      <c r="G32" s="26">
        <f t="shared" si="5"/>
        <v>200000</v>
      </c>
      <c r="H32" s="27">
        <f t="shared" si="0"/>
        <v>0</v>
      </c>
      <c r="I32" s="28"/>
      <c r="J32" s="29"/>
      <c r="K32" s="26">
        <f t="shared" si="4"/>
        <v>200000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33"/>
      <c r="C33" s="22"/>
      <c r="D33" s="23"/>
      <c r="E33" s="24"/>
      <c r="F33" s="25"/>
      <c r="G33" s="26">
        <f t="shared" si="5"/>
        <v>200000</v>
      </c>
      <c r="H33" s="27">
        <f t="shared" si="0"/>
        <v>0</v>
      </c>
      <c r="I33" s="28"/>
      <c r="J33" s="29"/>
      <c r="K33" s="26">
        <f t="shared" si="4"/>
        <v>200000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33"/>
      <c r="C34" s="22"/>
      <c r="D34" s="23"/>
      <c r="E34" s="24"/>
      <c r="F34" s="25"/>
      <c r="G34" s="26">
        <f t="shared" si="5"/>
        <v>200000</v>
      </c>
      <c r="H34" s="27">
        <f t="shared" si="0"/>
        <v>0</v>
      </c>
      <c r="I34" s="28"/>
      <c r="J34" s="29"/>
      <c r="K34" s="26">
        <f t="shared" si="4"/>
        <v>200000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33"/>
      <c r="C35" s="22"/>
      <c r="D35" s="23"/>
      <c r="E35" s="24"/>
      <c r="F35" s="25"/>
      <c r="G35" s="26">
        <f t="shared" si="5"/>
        <v>200000</v>
      </c>
      <c r="H35" s="27">
        <f t="shared" si="0"/>
        <v>0</v>
      </c>
      <c r="I35" s="28"/>
      <c r="J35" s="29"/>
      <c r="K35" s="26">
        <f t="shared" si="4"/>
        <v>200000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33"/>
      <c r="C36" s="22"/>
      <c r="D36" s="23"/>
      <c r="E36" s="24"/>
      <c r="F36" s="25"/>
      <c r="G36" s="26">
        <f t="shared" si="5"/>
        <v>200000</v>
      </c>
      <c r="H36" s="27">
        <f t="shared" si="0"/>
        <v>0</v>
      </c>
      <c r="I36" s="28"/>
      <c r="J36" s="29"/>
      <c r="K36" s="26">
        <f t="shared" si="4"/>
        <v>200000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2484.1799999999998</v>
      </c>
      <c r="I37" s="41"/>
      <c r="J37" s="42"/>
      <c r="K37" s="43"/>
      <c r="L37" s="40">
        <f>SUM(L21:L36)</f>
        <v>2688.95</v>
      </c>
      <c r="M37" s="41"/>
      <c r="N37" s="44">
        <f t="shared" si="2"/>
        <v>204.76999999999998</v>
      </c>
      <c r="O37" s="45">
        <f t="shared" si="3"/>
        <v>8.2429614601196369E-2</v>
      </c>
    </row>
    <row r="38" spans="2:15" ht="14.45" x14ac:dyDescent="0.3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500</v>
      </c>
      <c r="H38" s="27">
        <f t="shared" ref="H38:H44" si="6">G38*F38</f>
        <v>-325.10000000000002</v>
      </c>
      <c r="I38" s="28"/>
      <c r="J38" s="29">
        <f>+'GS 50-4999 (60kW)'!$J$38</f>
        <v>0.13300000000000001</v>
      </c>
      <c r="K38" s="179">
        <f>H16</f>
        <v>500</v>
      </c>
      <c r="L38" s="27">
        <f t="shared" ref="L38:L44" si="7">K38*J38</f>
        <v>66.5</v>
      </c>
      <c r="M38" s="28"/>
      <c r="N38" s="31">
        <f t="shared" si="2"/>
        <v>391.6</v>
      </c>
      <c r="O38" s="32">
        <f t="shared" si="3"/>
        <v>-1.2045524454014149</v>
      </c>
    </row>
    <row r="39" spans="2:15" ht="14.45" x14ac:dyDescent="0.3">
      <c r="B39" s="296"/>
      <c r="C39" s="22"/>
      <c r="D39" s="23" t="s">
        <v>70</v>
      </c>
      <c r="E39" s="24"/>
      <c r="F39" s="25"/>
      <c r="G39" s="179">
        <f>H16</f>
        <v>500</v>
      </c>
      <c r="H39" s="27">
        <f t="shared" si="6"/>
        <v>0</v>
      </c>
      <c r="I39" s="47"/>
      <c r="J39" s="29"/>
      <c r="K39" s="179">
        <f>H16</f>
        <v>500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t="14.45" hidden="1" x14ac:dyDescent="0.3">
      <c r="B40" s="296"/>
      <c r="C40" s="22"/>
      <c r="D40" s="23" t="s">
        <v>70</v>
      </c>
      <c r="E40" s="24"/>
      <c r="F40" s="25"/>
      <c r="G40" s="179">
        <f>H16</f>
        <v>500</v>
      </c>
      <c r="H40" s="27">
        <f t="shared" si="6"/>
        <v>0</v>
      </c>
      <c r="I40" s="47"/>
      <c r="J40" s="29"/>
      <c r="K40" s="179">
        <f>H16</f>
        <v>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3">
      <c r="B41" s="296" t="s">
        <v>74</v>
      </c>
      <c r="C41" s="22"/>
      <c r="D41" s="23" t="s">
        <v>70</v>
      </c>
      <c r="E41" s="24"/>
      <c r="F41" s="29">
        <f>+'GS 50-4999 (60kW)'!$F$41</f>
        <v>0.26750000000000002</v>
      </c>
      <c r="G41" s="179">
        <f>H16</f>
        <v>500</v>
      </c>
      <c r="H41" s="27">
        <f t="shared" si="6"/>
        <v>133.75</v>
      </c>
      <c r="I41" s="47"/>
      <c r="J41" s="29">
        <f>+'GS 50-4999 (60kW)'!$J$41</f>
        <v>1.5334000000000001</v>
      </c>
      <c r="K41" s="179">
        <f>H16</f>
        <v>500</v>
      </c>
      <c r="L41" s="27">
        <f t="shared" si="7"/>
        <v>766.7</v>
      </c>
      <c r="M41" s="48"/>
      <c r="N41" s="31">
        <f t="shared" si="2"/>
        <v>632.95000000000005</v>
      </c>
      <c r="O41" s="32">
        <f t="shared" si="3"/>
        <v>4.7323364485981312</v>
      </c>
    </row>
    <row r="42" spans="2:15" ht="14.45" x14ac:dyDescent="0.3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500</v>
      </c>
      <c r="H42" s="27">
        <f t="shared" si="6"/>
        <v>27.55</v>
      </c>
      <c r="I42" s="28"/>
      <c r="J42" s="29">
        <f>+'GS 50-4999 (60kW)'!$J$42</f>
        <v>7.51E-2</v>
      </c>
      <c r="K42" s="179">
        <f>H16</f>
        <v>500</v>
      </c>
      <c r="L42" s="27">
        <f t="shared" si="7"/>
        <v>37.549999999999997</v>
      </c>
      <c r="M42" s="28"/>
      <c r="N42" s="31">
        <f t="shared" si="2"/>
        <v>9.9999999999999964</v>
      </c>
      <c r="O42" s="32">
        <f t="shared" si="3"/>
        <v>0.36297640653357516</v>
      </c>
    </row>
    <row r="43" spans="2:15" s="34" customFormat="1" x14ac:dyDescent="0.25">
      <c r="B43" s="181" t="s">
        <v>25</v>
      </c>
      <c r="C43" s="24"/>
      <c r="D43" s="182" t="s">
        <v>61</v>
      </c>
      <c r="E43" s="24"/>
      <c r="F43" s="396">
        <f>+F53</f>
        <v>0.10186000000000001</v>
      </c>
      <c r="G43" s="26">
        <f>$F$16*(1+$F$72)-$F$16</f>
        <v>8080</v>
      </c>
      <c r="H43" s="184">
        <f t="shared" si="6"/>
        <v>823.02880000000005</v>
      </c>
      <c r="I43" s="57"/>
      <c r="J43" s="397">
        <f>+J53</f>
        <v>0.10186000000000001</v>
      </c>
      <c r="K43" s="26">
        <f>$F$16*(1+$J$72)-$F$16</f>
        <v>7240</v>
      </c>
      <c r="L43" s="184">
        <f t="shared" si="7"/>
        <v>737.46640000000002</v>
      </c>
      <c r="M43" s="57"/>
      <c r="N43" s="186">
        <f t="shared" si="2"/>
        <v>-85.562400000000025</v>
      </c>
      <c r="O43" s="187">
        <f t="shared" si="3"/>
        <v>-0.10396039603960398</v>
      </c>
    </row>
    <row r="44" spans="2:15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14.4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3143.4088000000002</v>
      </c>
      <c r="I45" s="41"/>
      <c r="J45" s="53"/>
      <c r="K45" s="55"/>
      <c r="L45" s="54">
        <f>SUM(L38:L44)+L37</f>
        <v>4297.1664000000001</v>
      </c>
      <c r="M45" s="41"/>
      <c r="N45" s="44">
        <f t="shared" si="2"/>
        <v>1153.7575999999999</v>
      </c>
      <c r="O45" s="45">
        <f t="shared" ref="O45:O63" si="8">IF((H45)=0,"",(N45/H45))</f>
        <v>0.36704026533233597</v>
      </c>
    </row>
    <row r="46" spans="2:15" ht="14.45" x14ac:dyDescent="0.3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500</v>
      </c>
      <c r="H46" s="27">
        <f>G46*F46</f>
        <v>1421.05</v>
      </c>
      <c r="I46" s="28"/>
      <c r="J46" s="29">
        <f>+'GS 50-4999 (60kW)'!$J$46</f>
        <v>2.7740999999999998</v>
      </c>
      <c r="K46" s="290">
        <f>+G46</f>
        <v>500</v>
      </c>
      <c r="L46" s="27">
        <f>K46*J46</f>
        <v>1387.05</v>
      </c>
      <c r="M46" s="28"/>
      <c r="N46" s="31">
        <f t="shared" si="2"/>
        <v>-34</v>
      </c>
      <c r="O46" s="32">
        <f t="shared" si="8"/>
        <v>-2.3925970233278211E-2</v>
      </c>
    </row>
    <row r="47" spans="2:15" ht="14.45" x14ac:dyDescent="0.3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500</v>
      </c>
      <c r="H47" s="27">
        <f>G47*F47</f>
        <v>408.25</v>
      </c>
      <c r="I47" s="28"/>
      <c r="J47" s="29">
        <f>+'GS 50-4999 (60kW)'!$J$47</f>
        <v>0.80359999999999998</v>
      </c>
      <c r="K47" s="290">
        <f>K46</f>
        <v>500</v>
      </c>
      <c r="L47" s="27">
        <f>K47*J47</f>
        <v>401.8</v>
      </c>
      <c r="M47" s="28"/>
      <c r="N47" s="31">
        <f t="shared" si="2"/>
        <v>-6.4499999999999886</v>
      </c>
      <c r="O47" s="32">
        <f t="shared" si="8"/>
        <v>-1.5799142682180009E-2</v>
      </c>
    </row>
    <row r="48" spans="2:15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4972.7088000000003</v>
      </c>
      <c r="I48" s="61"/>
      <c r="J48" s="62"/>
      <c r="K48" s="63"/>
      <c r="L48" s="54">
        <f>SUM(L45:L47)</f>
        <v>6086.0164000000004</v>
      </c>
      <c r="M48" s="61"/>
      <c r="N48" s="44">
        <f t="shared" si="2"/>
        <v>1113.3076000000001</v>
      </c>
      <c r="O48" s="45">
        <f t="shared" si="8"/>
        <v>0.22388353003900008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F16*(1+F72)</f>
        <v>208080</v>
      </c>
      <c r="H49" s="66">
        <f t="shared" ref="H49:H55" si="9">G49*F49</f>
        <v>915.55200000000002</v>
      </c>
      <c r="I49" s="28"/>
      <c r="J49" s="263">
        <f>+'GS 50-4999 (60kW)'!$J$49</f>
        <v>4.4000000000000003E-3</v>
      </c>
      <c r="K49" s="290">
        <f>F16*(1+J72)</f>
        <v>207240</v>
      </c>
      <c r="L49" s="66">
        <f t="shared" ref="L49:L55" si="10">K49*J49</f>
        <v>911.85600000000011</v>
      </c>
      <c r="M49" s="28"/>
      <c r="N49" s="31">
        <f t="shared" si="2"/>
        <v>-3.6959999999999127</v>
      </c>
      <c r="O49" s="68">
        <f t="shared" si="8"/>
        <v>-4.0369088811994429E-3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208080</v>
      </c>
      <c r="H50" s="66">
        <f t="shared" si="9"/>
        <v>270.50399999999996</v>
      </c>
      <c r="I50" s="28"/>
      <c r="J50" s="263">
        <f>+'GS 50-4999 (60kW)'!$J$50</f>
        <v>1.2999999999999999E-3</v>
      </c>
      <c r="K50" s="290">
        <f>K49</f>
        <v>207240</v>
      </c>
      <c r="L50" s="66">
        <f t="shared" si="10"/>
        <v>269.41199999999998</v>
      </c>
      <c r="M50" s="28"/>
      <c r="N50" s="31">
        <f t="shared" si="2"/>
        <v>-1.0919999999999845</v>
      </c>
      <c r="O50" s="68">
        <f t="shared" si="8"/>
        <v>-4.0369088811994819E-3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ht="14.45" x14ac:dyDescent="0.3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200000</v>
      </c>
      <c r="H52" s="66">
        <f t="shared" si="9"/>
        <v>1400</v>
      </c>
      <c r="I52" s="28"/>
      <c r="J52" s="263">
        <f>+'GS 50-4999 (60kW)'!$J$52</f>
        <v>7.0000000000000001E-3</v>
      </c>
      <c r="K52" s="70">
        <f>F16</f>
        <v>200000</v>
      </c>
      <c r="L52" s="66">
        <f t="shared" si="10"/>
        <v>1400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22" t="s">
        <v>98</v>
      </c>
      <c r="C53" s="22"/>
      <c r="D53" s="23" t="s">
        <v>61</v>
      </c>
      <c r="E53" s="24"/>
      <c r="F53" s="305">
        <f>+'GS 50-4999 (60kW)'!$F$53</f>
        <v>0.10186000000000001</v>
      </c>
      <c r="G53" s="69">
        <f>F16</f>
        <v>200000</v>
      </c>
      <c r="H53" s="188">
        <f t="shared" si="9"/>
        <v>20372</v>
      </c>
      <c r="I53" s="57"/>
      <c r="J53" s="344">
        <f>+'GS 50-4999 (60kW)'!$J$53</f>
        <v>0.10186000000000001</v>
      </c>
      <c r="K53" s="69">
        <f>G53</f>
        <v>200000</v>
      </c>
      <c r="L53" s="66">
        <f t="shared" si="10"/>
        <v>20372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4.45" hidden="1" x14ac:dyDescent="0.3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9"/>
        <v>0</v>
      </c>
      <c r="I54" s="28"/>
      <c r="J54" s="65">
        <v>0.104</v>
      </c>
      <c r="K54" s="58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4.45" hidden="1" x14ac:dyDescent="0.3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9"/>
        <v>0</v>
      </c>
      <c r="I55" s="28"/>
      <c r="J55" s="65">
        <v>0.124</v>
      </c>
      <c r="K55" s="58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4.45" hidden="1" x14ac:dyDescent="0.25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4.45" hidden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27931.014800000001</v>
      </c>
      <c r="I59" s="95"/>
      <c r="J59" s="96"/>
      <c r="K59" s="96"/>
      <c r="L59" s="94">
        <f>SUM(L49:L55,L48)</f>
        <v>29039.5344</v>
      </c>
      <c r="M59" s="97"/>
      <c r="N59" s="98">
        <f>L59-H59</f>
        <v>1108.5195999999996</v>
      </c>
      <c r="O59" s="99">
        <f>IF((H59)=0,"",(N59/H59))</f>
        <v>3.9687766733058322E-2</v>
      </c>
      <c r="S59" s="72"/>
    </row>
    <row r="60" spans="2:19" ht="14.45" hidden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3631.0319240000003</v>
      </c>
      <c r="I60" s="104"/>
      <c r="J60" s="105">
        <v>0.13</v>
      </c>
      <c r="K60" s="104"/>
      <c r="L60" s="106">
        <f>L59*J60</f>
        <v>3775.1394720000003</v>
      </c>
      <c r="M60" s="107"/>
      <c r="N60" s="108">
        <f t="shared" si="2"/>
        <v>144.10754799999995</v>
      </c>
      <c r="O60" s="109">
        <f t="shared" si="8"/>
        <v>3.9687766733058315E-2</v>
      </c>
      <c r="S60" s="72"/>
    </row>
    <row r="61" spans="2:19" ht="14.45" hidden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31562.046724</v>
      </c>
      <c r="I61" s="104"/>
      <c r="J61" s="104"/>
      <c r="K61" s="104"/>
      <c r="L61" s="106">
        <f>L59+L60</f>
        <v>32814.673871999999</v>
      </c>
      <c r="M61" s="107"/>
      <c r="N61" s="108">
        <f t="shared" si="2"/>
        <v>1252.6271479999996</v>
      </c>
      <c r="O61" s="109">
        <f t="shared" si="8"/>
        <v>3.9687766733058322E-2</v>
      </c>
      <c r="S61" s="72"/>
    </row>
    <row r="62" spans="2:19" ht="15.75" hidden="1" customHeight="1" x14ac:dyDescent="0.3">
      <c r="B62" s="369" t="s">
        <v>43</v>
      </c>
      <c r="C62" s="369"/>
      <c r="D62" s="369"/>
      <c r="E62" s="22"/>
      <c r="F62" s="111"/>
      <c r="G62" s="102"/>
      <c r="H62" s="112">
        <f>ROUND(-H61*10%,2)</f>
        <v>-3156.2</v>
      </c>
      <c r="I62" s="104"/>
      <c r="J62" s="104"/>
      <c r="K62" s="104"/>
      <c r="L62" s="113">
        <f>ROUND(-L61*10%,2)</f>
        <v>-3281.47</v>
      </c>
      <c r="M62" s="107"/>
      <c r="N62" s="114">
        <f t="shared" si="2"/>
        <v>-125.26999999999998</v>
      </c>
      <c r="O62" s="115">
        <f t="shared" si="8"/>
        <v>3.9690133705088393E-2</v>
      </c>
    </row>
    <row r="63" spans="2:19" hidden="1" thickBot="1" x14ac:dyDescent="0.35">
      <c r="B63" s="360" t="s">
        <v>44</v>
      </c>
      <c r="C63" s="360"/>
      <c r="D63" s="360"/>
      <c r="E63" s="116"/>
      <c r="F63" s="117"/>
      <c r="G63" s="118"/>
      <c r="H63" s="119">
        <f>H61+H62</f>
        <v>28405.846723999999</v>
      </c>
      <c r="I63" s="120"/>
      <c r="J63" s="120"/>
      <c r="K63" s="120"/>
      <c r="L63" s="121">
        <f>L61+L62</f>
        <v>29533.203871999998</v>
      </c>
      <c r="M63" s="122"/>
      <c r="N63" s="123">
        <f t="shared" si="2"/>
        <v>1127.3571479999991</v>
      </c>
      <c r="O63" s="124">
        <f t="shared" si="8"/>
        <v>3.968750373659867E-2</v>
      </c>
    </row>
    <row r="64" spans="2:19" s="73" customFormat="1" ht="8.25" hidden="1" customHeight="1" thickBot="1" x14ac:dyDescent="0.3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15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27931.014800000001</v>
      </c>
      <c r="I65" s="136"/>
      <c r="J65" s="137"/>
      <c r="K65" s="137"/>
      <c r="L65" s="189">
        <f>SUM(L53,L48,L49:L52)</f>
        <v>29039.5344</v>
      </c>
      <c r="M65" s="138"/>
      <c r="N65" s="139">
        <f>L65-H65</f>
        <v>1108.5195999999996</v>
      </c>
      <c r="O65" s="99">
        <f>IF((H65)=0,"",(N65/H65))</f>
        <v>3.9687766733058322E-2</v>
      </c>
    </row>
    <row r="66" spans="1:15" s="73" customFormat="1" ht="13.15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3631.0319240000003</v>
      </c>
      <c r="I66" s="143"/>
      <c r="J66" s="144">
        <v>0.13</v>
      </c>
      <c r="K66" s="145"/>
      <c r="L66" s="146">
        <f>L65*J66</f>
        <v>3775.1394720000003</v>
      </c>
      <c r="M66" s="147"/>
      <c r="N66" s="148">
        <f>L66-H66</f>
        <v>144.10754799999995</v>
      </c>
      <c r="O66" s="109">
        <f>IF((H66)=0,"",(N66/H66))</f>
        <v>3.9687766733058315E-2</v>
      </c>
    </row>
    <row r="67" spans="1:15" s="73" customFormat="1" ht="13.15" x14ac:dyDescent="0.25">
      <c r="B67" s="149" t="s">
        <v>42</v>
      </c>
      <c r="C67" s="75"/>
      <c r="D67" s="75"/>
      <c r="E67" s="75"/>
      <c r="F67" s="150"/>
      <c r="G67" s="151"/>
      <c r="H67" s="142">
        <f>H65+H66</f>
        <v>31562.046724</v>
      </c>
      <c r="I67" s="143"/>
      <c r="J67" s="143"/>
      <c r="K67" s="143"/>
      <c r="L67" s="146">
        <f>L65+L66</f>
        <v>32814.673871999999</v>
      </c>
      <c r="M67" s="147"/>
      <c r="N67" s="148">
        <f>L67-H67</f>
        <v>1252.6271479999996</v>
      </c>
      <c r="O67" s="109">
        <f>IF((H67)=0,"",(N67/H67))</f>
        <v>3.9687766733058322E-2</v>
      </c>
    </row>
    <row r="68" spans="1:15" s="73" customFormat="1" ht="15.75" customHeight="1" x14ac:dyDescent="0.25">
      <c r="B68" s="370" t="s">
        <v>43</v>
      </c>
      <c r="C68" s="370"/>
      <c r="D68" s="370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52" t="s">
        <v>46</v>
      </c>
      <c r="C69" s="352"/>
      <c r="D69" s="352"/>
      <c r="E69" s="155"/>
      <c r="F69" s="156"/>
      <c r="G69" s="157"/>
      <c r="H69" s="158">
        <f>SUM(H67:H68)</f>
        <v>31562.046724</v>
      </c>
      <c r="I69" s="159"/>
      <c r="J69" s="159"/>
      <c r="K69" s="159"/>
      <c r="L69" s="160">
        <f>SUM(L67:L68)</f>
        <v>32814.673871999999</v>
      </c>
      <c r="M69" s="161"/>
      <c r="N69" s="162">
        <f>L69-H69</f>
        <v>1252.6271479999996</v>
      </c>
      <c r="O69" s="163">
        <f>IF((H69)=0,"",(N69/H69))</f>
        <v>3.9687766733058322E-2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</mergeCells>
  <dataValidations disablePrompts="1"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7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B19" zoomScaleNormal="100" workbookViewId="0">
      <selection activeCell="J53" activeCellId="3" sqref="F43 J43 F53 J53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2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</row>
    <row r="4" spans="1:20" s="2" customFormat="1" ht="9" customHeight="1" x14ac:dyDescent="0.3">
      <c r="L4" s="3"/>
      <c r="N4" s="311"/>
      <c r="O4"/>
    </row>
    <row r="5" spans="1:20" s="2" customFormat="1" ht="14.45" x14ac:dyDescent="0.3">
      <c r="L5" s="3" t="s">
        <v>76</v>
      </c>
      <c r="N5" s="368">
        <v>42124</v>
      </c>
      <c r="O5" s="368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91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400000</v>
      </c>
      <c r="G16" s="13" t="s">
        <v>7</v>
      </c>
      <c r="H16" s="14">
        <v>1000</v>
      </c>
      <c r="I16" s="13" t="s">
        <v>69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132.65</v>
      </c>
      <c r="K21" s="30">
        <v>1</v>
      </c>
      <c r="L21" s="27">
        <f>K21*J21</f>
        <v>132.65</v>
      </c>
      <c r="M21" s="28"/>
      <c r="N21" s="31">
        <f>L21-H21</f>
        <v>13.27000000000001</v>
      </c>
      <c r="O21" s="32">
        <f>IF((H21)=0,"",(N21/H21))</f>
        <v>0.11115764784721067</v>
      </c>
    </row>
    <row r="22" spans="2:15" ht="36.75" customHeight="1" x14ac:dyDescent="0.3">
      <c r="B22" s="296" t="s">
        <v>88</v>
      </c>
      <c r="C22" s="22"/>
      <c r="D22" s="56" t="s">
        <v>60</v>
      </c>
      <c r="E22" s="24"/>
      <c r="F22" s="173"/>
      <c r="G22" s="179">
        <f>+$H$16</f>
        <v>1000</v>
      </c>
      <c r="H22" s="27">
        <f t="shared" ref="H22:H36" si="0">G22*F22</f>
        <v>0</v>
      </c>
      <c r="I22" s="28"/>
      <c r="J22" s="29">
        <f>+'GS 50-4999 (60kW)'!$J$22</f>
        <v>0.14169999999999999</v>
      </c>
      <c r="K22" s="262">
        <f>+$H$16</f>
        <v>1000</v>
      </c>
      <c r="L22" s="27">
        <f>K22*J22</f>
        <v>141.69999999999999</v>
      </c>
      <c r="M22" s="28"/>
      <c r="N22" s="31">
        <f>L22-H22</f>
        <v>141.69999999999999</v>
      </c>
      <c r="O22" s="32" t="str">
        <f>IF((H22)=0,"",(N22/H22))</f>
        <v/>
      </c>
    </row>
    <row r="23" spans="2:15" ht="14.45" hidden="1" x14ac:dyDescent="0.3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t="14.45" hidden="1" x14ac:dyDescent="0.3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1000</v>
      </c>
      <c r="H25" s="27">
        <f t="shared" si="0"/>
        <v>-9.9</v>
      </c>
      <c r="I25" s="28"/>
      <c r="J25" s="29">
        <f>+'GS 50-4999 (60kW)'!$J$25</f>
        <v>-9.9000000000000008E-3</v>
      </c>
      <c r="K25" s="179">
        <f>$H$16</f>
        <v>1000</v>
      </c>
      <c r="L25" s="27">
        <f t="shared" si="1"/>
        <v>-9.9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70</v>
      </c>
      <c r="E26" s="24"/>
      <c r="F26" s="25"/>
      <c r="G26" s="179">
        <f>$H$16</f>
        <v>1000</v>
      </c>
      <c r="H26" s="27">
        <f t="shared" si="0"/>
        <v>0</v>
      </c>
      <c r="I26" s="28"/>
      <c r="J26" s="29">
        <f>+'GS 50-4999 (60kW)'!$J$26</f>
        <v>-0.24529999999999999</v>
      </c>
      <c r="K26" s="179">
        <f>$H$16</f>
        <v>1000</v>
      </c>
      <c r="L26" s="27">
        <f t="shared" si="1"/>
        <v>-245.29999999999998</v>
      </c>
      <c r="M26" s="28"/>
      <c r="N26" s="31">
        <f t="shared" si="2"/>
        <v>-245.29999999999998</v>
      </c>
      <c r="O26" s="32" t="str">
        <f t="shared" si="3"/>
        <v/>
      </c>
    </row>
    <row r="27" spans="2:15" ht="14.45" x14ac:dyDescent="0.3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1000</v>
      </c>
      <c r="H27" s="27">
        <f t="shared" si="0"/>
        <v>4739.5</v>
      </c>
      <c r="I27" s="28"/>
      <c r="J27" s="29">
        <f>+'GS 50-4999 (60kW)'!$J$27</f>
        <v>5.2260999999999997</v>
      </c>
      <c r="K27" s="179">
        <f>$H$16</f>
        <v>1000</v>
      </c>
      <c r="L27" s="27">
        <f t="shared" si="1"/>
        <v>5226.0999999999995</v>
      </c>
      <c r="M27" s="28"/>
      <c r="N27" s="31">
        <f t="shared" si="2"/>
        <v>486.59999999999945</v>
      </c>
      <c r="O27" s="32">
        <f t="shared" si="3"/>
        <v>0.10266905791750174</v>
      </c>
    </row>
    <row r="28" spans="2:15" ht="14.45" hidden="1" x14ac:dyDescent="0.3">
      <c r="B28" s="22" t="s">
        <v>20</v>
      </c>
      <c r="C28" s="22"/>
      <c r="D28" s="23"/>
      <c r="E28" s="24"/>
      <c r="F28" s="25"/>
      <c r="G28" s="26">
        <f>$F$16</f>
        <v>400000</v>
      </c>
      <c r="H28" s="27">
        <f t="shared" si="0"/>
        <v>0</v>
      </c>
      <c r="I28" s="28"/>
      <c r="J28" s="29"/>
      <c r="K28" s="26">
        <f t="shared" ref="K28:K36" si="4">$F$16</f>
        <v>400000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2" t="s">
        <v>21</v>
      </c>
      <c r="C29" s="22"/>
      <c r="D29" s="23"/>
      <c r="E29" s="24"/>
      <c r="F29" s="25"/>
      <c r="G29" s="26">
        <f>$F$16</f>
        <v>400000</v>
      </c>
      <c r="H29" s="27">
        <f t="shared" si="0"/>
        <v>0</v>
      </c>
      <c r="I29" s="28"/>
      <c r="J29" s="29"/>
      <c r="K29" s="26">
        <f t="shared" si="4"/>
        <v>400000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33"/>
      <c r="C30" s="22"/>
      <c r="D30" s="23"/>
      <c r="E30" s="24"/>
      <c r="F30" s="25"/>
      <c r="G30" s="26">
        <f t="shared" ref="G30:G36" si="5">$F$16</f>
        <v>400000</v>
      </c>
      <c r="H30" s="27">
        <f t="shared" si="0"/>
        <v>0</v>
      </c>
      <c r="I30" s="28"/>
      <c r="J30" s="29"/>
      <c r="K30" s="26">
        <f t="shared" si="4"/>
        <v>400000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33"/>
      <c r="C31" s="22"/>
      <c r="D31" s="23"/>
      <c r="E31" s="24"/>
      <c r="F31" s="25"/>
      <c r="G31" s="26">
        <f t="shared" si="5"/>
        <v>400000</v>
      </c>
      <c r="H31" s="27">
        <f t="shared" si="0"/>
        <v>0</v>
      </c>
      <c r="I31" s="28"/>
      <c r="J31" s="29"/>
      <c r="K31" s="26">
        <f t="shared" si="4"/>
        <v>400000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33"/>
      <c r="C32" s="22"/>
      <c r="D32" s="23"/>
      <c r="E32" s="24"/>
      <c r="F32" s="25"/>
      <c r="G32" s="26">
        <f t="shared" si="5"/>
        <v>400000</v>
      </c>
      <c r="H32" s="27">
        <f t="shared" si="0"/>
        <v>0</v>
      </c>
      <c r="I32" s="28"/>
      <c r="J32" s="29"/>
      <c r="K32" s="26">
        <f t="shared" si="4"/>
        <v>400000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33"/>
      <c r="C33" s="22"/>
      <c r="D33" s="23"/>
      <c r="E33" s="24"/>
      <c r="F33" s="25"/>
      <c r="G33" s="26">
        <f t="shared" si="5"/>
        <v>400000</v>
      </c>
      <c r="H33" s="27">
        <f t="shared" si="0"/>
        <v>0</v>
      </c>
      <c r="I33" s="28"/>
      <c r="J33" s="29"/>
      <c r="K33" s="26">
        <f t="shared" si="4"/>
        <v>400000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33"/>
      <c r="C34" s="22"/>
      <c r="D34" s="23"/>
      <c r="E34" s="24"/>
      <c r="F34" s="25"/>
      <c r="G34" s="26">
        <f t="shared" si="5"/>
        <v>400000</v>
      </c>
      <c r="H34" s="27">
        <f t="shared" si="0"/>
        <v>0</v>
      </c>
      <c r="I34" s="28"/>
      <c r="J34" s="29"/>
      <c r="K34" s="26">
        <f t="shared" si="4"/>
        <v>400000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33"/>
      <c r="C35" s="22"/>
      <c r="D35" s="23"/>
      <c r="E35" s="24"/>
      <c r="F35" s="25"/>
      <c r="G35" s="26">
        <f t="shared" si="5"/>
        <v>400000</v>
      </c>
      <c r="H35" s="27">
        <f t="shared" si="0"/>
        <v>0</v>
      </c>
      <c r="I35" s="28"/>
      <c r="J35" s="29"/>
      <c r="K35" s="26">
        <f t="shared" si="4"/>
        <v>400000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33"/>
      <c r="C36" s="22"/>
      <c r="D36" s="23"/>
      <c r="E36" s="24"/>
      <c r="F36" s="25"/>
      <c r="G36" s="26">
        <f t="shared" si="5"/>
        <v>400000</v>
      </c>
      <c r="H36" s="27">
        <f t="shared" si="0"/>
        <v>0</v>
      </c>
      <c r="I36" s="28"/>
      <c r="J36" s="29"/>
      <c r="K36" s="26">
        <f t="shared" si="4"/>
        <v>400000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4848.9799999999996</v>
      </c>
      <c r="I37" s="41"/>
      <c r="J37" s="42"/>
      <c r="K37" s="43"/>
      <c r="L37" s="40">
        <f>SUM(L21:L36)</f>
        <v>5245.2499999999991</v>
      </c>
      <c r="M37" s="41"/>
      <c r="N37" s="44">
        <f t="shared" si="2"/>
        <v>396.26999999999953</v>
      </c>
      <c r="O37" s="45">
        <f t="shared" si="3"/>
        <v>8.1722341605863405E-2</v>
      </c>
    </row>
    <row r="38" spans="2:15" ht="14.45" x14ac:dyDescent="0.3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1000</v>
      </c>
      <c r="H38" s="27">
        <f t="shared" ref="H38:H44" si="6">G38*F38</f>
        <v>-650.20000000000005</v>
      </c>
      <c r="I38" s="28"/>
      <c r="J38" s="29">
        <f>+'GS 50-4999 (60kW)'!$J$38</f>
        <v>0.13300000000000001</v>
      </c>
      <c r="K38" s="179">
        <f>H16</f>
        <v>1000</v>
      </c>
      <c r="L38" s="27">
        <f t="shared" ref="L38:L44" si="7">K38*J38</f>
        <v>133</v>
      </c>
      <c r="M38" s="28"/>
      <c r="N38" s="31">
        <f t="shared" ref="N38:N44" si="8">L38-H38</f>
        <v>783.2</v>
      </c>
      <c r="O38" s="32">
        <f t="shared" ref="O38:O43" si="9">IF((H38)=0,"",(N38/H38))</f>
        <v>-1.2045524454014149</v>
      </c>
    </row>
    <row r="39" spans="2:15" ht="14.45" x14ac:dyDescent="0.3">
      <c r="B39" s="296"/>
      <c r="C39" s="22"/>
      <c r="D39" s="23" t="s">
        <v>70</v>
      </c>
      <c r="E39" s="24"/>
      <c r="F39" s="25"/>
      <c r="G39" s="179">
        <f>H16</f>
        <v>1000</v>
      </c>
      <c r="H39" s="27">
        <f t="shared" si="6"/>
        <v>0</v>
      </c>
      <c r="I39" s="47"/>
      <c r="J39" s="29"/>
      <c r="K39" s="179">
        <f>H16</f>
        <v>1000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t="14.45" hidden="1" x14ac:dyDescent="0.3">
      <c r="B40" s="296"/>
      <c r="C40" s="22"/>
      <c r="D40" s="23" t="s">
        <v>70</v>
      </c>
      <c r="E40" s="24"/>
      <c r="F40" s="25"/>
      <c r="G40" s="179">
        <f>H16</f>
        <v>1000</v>
      </c>
      <c r="H40" s="27">
        <f t="shared" si="6"/>
        <v>0</v>
      </c>
      <c r="I40" s="47"/>
      <c r="J40" s="29"/>
      <c r="K40" s="179">
        <f>H16</f>
        <v>1000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30.75" customHeight="1" x14ac:dyDescent="0.3">
      <c r="B41" s="296" t="s">
        <v>74</v>
      </c>
      <c r="C41" s="22"/>
      <c r="D41" s="23" t="s">
        <v>70</v>
      </c>
      <c r="E41" s="24"/>
      <c r="F41" s="29">
        <f>+'GS 50-4999 (60kW)'!$F$41</f>
        <v>0.26750000000000002</v>
      </c>
      <c r="G41" s="179">
        <f>H16</f>
        <v>1000</v>
      </c>
      <c r="H41" s="27">
        <f t="shared" si="6"/>
        <v>267.5</v>
      </c>
      <c r="I41" s="47"/>
      <c r="J41" s="29">
        <f>+'GS 50-4999 (60kW)'!$J$41</f>
        <v>1.5334000000000001</v>
      </c>
      <c r="K41" s="179">
        <f>H16</f>
        <v>1000</v>
      </c>
      <c r="L41" s="27">
        <f t="shared" si="7"/>
        <v>1533.4</v>
      </c>
      <c r="M41" s="48"/>
      <c r="N41" s="31">
        <f t="shared" si="8"/>
        <v>1265.9000000000001</v>
      </c>
      <c r="O41" s="32">
        <f t="shared" si="9"/>
        <v>4.7323364485981312</v>
      </c>
    </row>
    <row r="42" spans="2:15" ht="14.45" x14ac:dyDescent="0.3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1000</v>
      </c>
      <c r="H42" s="27">
        <f t="shared" si="6"/>
        <v>55.1</v>
      </c>
      <c r="I42" s="28"/>
      <c r="J42" s="29">
        <f>+'GS 50-4999 (60kW)'!$J$42</f>
        <v>7.51E-2</v>
      </c>
      <c r="K42" s="179">
        <f>H16</f>
        <v>1000</v>
      </c>
      <c r="L42" s="27">
        <f t="shared" si="7"/>
        <v>75.099999999999994</v>
      </c>
      <c r="M42" s="28"/>
      <c r="N42" s="31">
        <f t="shared" si="8"/>
        <v>19.999999999999993</v>
      </c>
      <c r="O42" s="32">
        <f t="shared" si="9"/>
        <v>0.36297640653357516</v>
      </c>
    </row>
    <row r="43" spans="2:15" s="34" customFormat="1" x14ac:dyDescent="0.25">
      <c r="B43" s="181" t="s">
        <v>25</v>
      </c>
      <c r="C43" s="24"/>
      <c r="D43" s="182" t="s">
        <v>61</v>
      </c>
      <c r="E43" s="24"/>
      <c r="F43" s="396">
        <f>+F53</f>
        <v>0.10186000000000001</v>
      </c>
      <c r="G43" s="26">
        <f>$F$16*(1+$F$72)-$F$16</f>
        <v>16160</v>
      </c>
      <c r="H43" s="184">
        <f t="shared" si="6"/>
        <v>1646.0576000000001</v>
      </c>
      <c r="I43" s="57"/>
      <c r="J43" s="396">
        <f>+J53</f>
        <v>0.10186000000000001</v>
      </c>
      <c r="K43" s="26">
        <f>$F$16*(1+$J$72)-$F$16</f>
        <v>14480</v>
      </c>
      <c r="L43" s="184">
        <f t="shared" si="7"/>
        <v>1474.9328</v>
      </c>
      <c r="M43" s="57"/>
      <c r="N43" s="186">
        <f t="shared" si="8"/>
        <v>-171.12480000000005</v>
      </c>
      <c r="O43" s="187">
        <f t="shared" si="9"/>
        <v>-0.10396039603960398</v>
      </c>
    </row>
    <row r="44" spans="2:15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14.4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6167.4375999999993</v>
      </c>
      <c r="I45" s="41"/>
      <c r="J45" s="53"/>
      <c r="K45" s="55"/>
      <c r="L45" s="54">
        <f>SUM(L38:L44)+L37</f>
        <v>8461.6827999999987</v>
      </c>
      <c r="M45" s="41"/>
      <c r="N45" s="44">
        <f t="shared" ref="N45:N63" si="10">L45-H45</f>
        <v>2294.2451999999994</v>
      </c>
      <c r="O45" s="45">
        <f t="shared" ref="O45:O63" si="11">IF((H45)=0,"",(N45/H45))</f>
        <v>0.37199325697271746</v>
      </c>
    </row>
    <row r="46" spans="2:15" ht="14.45" x14ac:dyDescent="0.3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1000</v>
      </c>
      <c r="H46" s="27">
        <f>G46*F46</f>
        <v>2842.1</v>
      </c>
      <c r="I46" s="28"/>
      <c r="J46" s="29">
        <f>+'GS 50-4999 (60kW)'!$J$46</f>
        <v>2.7740999999999998</v>
      </c>
      <c r="K46" s="290">
        <f>+G46</f>
        <v>1000</v>
      </c>
      <c r="L46" s="27">
        <f>K46*J46</f>
        <v>2774.1</v>
      </c>
      <c r="M46" s="28"/>
      <c r="N46" s="31">
        <f t="shared" si="10"/>
        <v>-68</v>
      </c>
      <c r="O46" s="32">
        <f t="shared" si="11"/>
        <v>-2.3925970233278211E-2</v>
      </c>
    </row>
    <row r="47" spans="2:15" ht="14.45" x14ac:dyDescent="0.3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1000</v>
      </c>
      <c r="H47" s="27">
        <f>G47*F47</f>
        <v>816.5</v>
      </c>
      <c r="I47" s="28"/>
      <c r="J47" s="29">
        <f>+'GS 50-4999 (60kW)'!$J$47</f>
        <v>0.80359999999999998</v>
      </c>
      <c r="K47" s="290">
        <f>K46</f>
        <v>1000</v>
      </c>
      <c r="L47" s="27">
        <f>K47*J47</f>
        <v>803.6</v>
      </c>
      <c r="M47" s="28"/>
      <c r="N47" s="31">
        <f t="shared" si="10"/>
        <v>-12.899999999999977</v>
      </c>
      <c r="O47" s="32">
        <f t="shared" si="11"/>
        <v>-1.5799142682180009E-2</v>
      </c>
    </row>
    <row r="48" spans="2:15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9826.0375999999997</v>
      </c>
      <c r="I48" s="61"/>
      <c r="J48" s="62"/>
      <c r="K48" s="63"/>
      <c r="L48" s="54">
        <f>SUM(L45:L47)</f>
        <v>12039.382799999999</v>
      </c>
      <c r="M48" s="61"/>
      <c r="N48" s="44">
        <f t="shared" si="10"/>
        <v>2213.3451999999997</v>
      </c>
      <c r="O48" s="45">
        <f t="shared" si="11"/>
        <v>0.2252530765809404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F16*(F72)</f>
        <v>16160</v>
      </c>
      <c r="H49" s="66">
        <f t="shared" ref="H49:H55" si="12">G49*F49</f>
        <v>71.103999999999999</v>
      </c>
      <c r="I49" s="28"/>
      <c r="J49" s="263">
        <f>+'GS 50-4999 (60kW)'!$J$49</f>
        <v>4.4000000000000003E-3</v>
      </c>
      <c r="K49" s="290">
        <f>F16*(J72)</f>
        <v>14480.000000000002</v>
      </c>
      <c r="L49" s="66">
        <f t="shared" ref="L49:L55" si="13">K49*J49</f>
        <v>63.71200000000001</v>
      </c>
      <c r="M49" s="28"/>
      <c r="N49" s="31">
        <f t="shared" si="10"/>
        <v>-7.3919999999999888</v>
      </c>
      <c r="O49" s="68">
        <f t="shared" si="11"/>
        <v>-0.1039603960396038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16160</v>
      </c>
      <c r="H50" s="66">
        <f t="shared" si="12"/>
        <v>21.007999999999999</v>
      </c>
      <c r="I50" s="28"/>
      <c r="J50" s="263">
        <f>+'GS 50-4999 (60kW)'!$J$50</f>
        <v>1.2999999999999999E-3</v>
      </c>
      <c r="K50" s="290">
        <f>K49</f>
        <v>14480.000000000002</v>
      </c>
      <c r="L50" s="66">
        <f t="shared" si="13"/>
        <v>18.824000000000002</v>
      </c>
      <c r="M50" s="28"/>
      <c r="N50" s="31">
        <f t="shared" si="10"/>
        <v>-2.1839999999999975</v>
      </c>
      <c r="O50" s="68">
        <f t="shared" si="11"/>
        <v>-0.10396039603960384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12"/>
        <v>0.25</v>
      </c>
      <c r="I51" s="28"/>
      <c r="J51" s="283">
        <f>+'GS 50-4999 (60kW)'!$J$51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ht="14.45" x14ac:dyDescent="0.3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400000</v>
      </c>
      <c r="H52" s="66">
        <f t="shared" si="12"/>
        <v>2800</v>
      </c>
      <c r="I52" s="28"/>
      <c r="J52" s="263">
        <f>+'GS 50-4999 (60kW)'!$J$52</f>
        <v>7.0000000000000001E-3</v>
      </c>
      <c r="K52" s="70">
        <f>F16</f>
        <v>400000</v>
      </c>
      <c r="L52" s="66">
        <f t="shared" si="13"/>
        <v>2800</v>
      </c>
      <c r="M52" s="28"/>
      <c r="N52" s="31">
        <f t="shared" si="10"/>
        <v>0</v>
      </c>
      <c r="O52" s="68">
        <f t="shared" si="11"/>
        <v>0</v>
      </c>
    </row>
    <row r="53" spans="2:19" ht="15.75" thickBot="1" x14ac:dyDescent="0.3">
      <c r="B53" s="22" t="s">
        <v>98</v>
      </c>
      <c r="C53" s="22"/>
      <c r="D53" s="23" t="s">
        <v>61</v>
      </c>
      <c r="E53" s="24"/>
      <c r="F53" s="305">
        <f>+'GS 50-4999 (60kW)'!$F$53</f>
        <v>0.10186000000000001</v>
      </c>
      <c r="G53" s="69">
        <f>F16</f>
        <v>400000</v>
      </c>
      <c r="H53" s="188">
        <f t="shared" si="12"/>
        <v>40744</v>
      </c>
      <c r="I53" s="57"/>
      <c r="J53" s="344">
        <f>+'GS 50-4999 (60kW)'!$J$53</f>
        <v>0.10186000000000001</v>
      </c>
      <c r="K53" s="69">
        <f>G53</f>
        <v>400000</v>
      </c>
      <c r="L53" s="66">
        <f t="shared" si="13"/>
        <v>40744</v>
      </c>
      <c r="M53" s="28"/>
      <c r="N53" s="31">
        <f t="shared" si="10"/>
        <v>0</v>
      </c>
      <c r="O53" s="68">
        <f t="shared" si="11"/>
        <v>0</v>
      </c>
      <c r="S53" s="72"/>
    </row>
    <row r="54" spans="2:19" ht="14.45" hidden="1" x14ac:dyDescent="0.3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12"/>
        <v>0</v>
      </c>
      <c r="I54" s="28"/>
      <c r="J54" s="65">
        <v>0.104</v>
      </c>
      <c r="K54" s="58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t="14.45" hidden="1" x14ac:dyDescent="0.3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12"/>
        <v>0</v>
      </c>
      <c r="I55" s="28"/>
      <c r="J55" s="65">
        <v>0.124</v>
      </c>
      <c r="K55" s="58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t="14.45" hidden="1" x14ac:dyDescent="0.25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4.45" hidden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53462.399600000004</v>
      </c>
      <c r="I59" s="95"/>
      <c r="J59" s="96"/>
      <c r="K59" s="96"/>
      <c r="L59" s="94">
        <f>SUM(L49:L55,L48)</f>
        <v>55666.168799999999</v>
      </c>
      <c r="M59" s="97"/>
      <c r="N59" s="98">
        <f>L59-H59</f>
        <v>2203.7691999999952</v>
      </c>
      <c r="O59" s="99">
        <f>IF((H59)=0,"",(N59/H59))</f>
        <v>4.1220918187143907E-2</v>
      </c>
      <c r="S59" s="72"/>
    </row>
    <row r="60" spans="2:19" ht="14.45" hidden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6950.1119480000007</v>
      </c>
      <c r="I60" s="104"/>
      <c r="J60" s="105">
        <v>0.13</v>
      </c>
      <c r="K60" s="104"/>
      <c r="L60" s="106">
        <f>L59*J60</f>
        <v>7236.601944</v>
      </c>
      <c r="M60" s="107"/>
      <c r="N60" s="108">
        <f t="shared" si="10"/>
        <v>286.48999599999934</v>
      </c>
      <c r="O60" s="109">
        <f t="shared" si="11"/>
        <v>4.12209181871439E-2</v>
      </c>
      <c r="S60" s="72"/>
    </row>
    <row r="61" spans="2:19" ht="14.45" hidden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60412.511548000002</v>
      </c>
      <c r="I61" s="104"/>
      <c r="J61" s="104"/>
      <c r="K61" s="104"/>
      <c r="L61" s="106">
        <f>L59+L60</f>
        <v>62902.770744000001</v>
      </c>
      <c r="M61" s="107"/>
      <c r="N61" s="108">
        <f t="shared" si="10"/>
        <v>2490.2591959999991</v>
      </c>
      <c r="O61" s="109">
        <f t="shared" si="11"/>
        <v>4.1220918187143983E-2</v>
      </c>
      <c r="S61" s="72"/>
    </row>
    <row r="62" spans="2:19" ht="15.75" hidden="1" customHeight="1" x14ac:dyDescent="0.3">
      <c r="B62" s="369" t="s">
        <v>43</v>
      </c>
      <c r="C62" s="369"/>
      <c r="D62" s="369"/>
      <c r="E62" s="22"/>
      <c r="F62" s="111"/>
      <c r="G62" s="102"/>
      <c r="H62" s="112">
        <f>ROUND(-H61*10%,2)</f>
        <v>-6041.25</v>
      </c>
      <c r="I62" s="104"/>
      <c r="J62" s="104"/>
      <c r="K62" s="104"/>
      <c r="L62" s="113">
        <f>ROUND(-L61*10%,2)</f>
        <v>-6290.28</v>
      </c>
      <c r="M62" s="107"/>
      <c r="N62" s="114">
        <f t="shared" si="10"/>
        <v>-249.02999999999975</v>
      </c>
      <c r="O62" s="115">
        <f t="shared" si="11"/>
        <v>4.122160148975787E-2</v>
      </c>
    </row>
    <row r="63" spans="2:19" ht="14.45" hidden="1" x14ac:dyDescent="0.3">
      <c r="B63" s="360" t="s">
        <v>44</v>
      </c>
      <c r="C63" s="360"/>
      <c r="D63" s="360"/>
      <c r="E63" s="116"/>
      <c r="F63" s="117"/>
      <c r="G63" s="118"/>
      <c r="H63" s="119">
        <f>H61+H62</f>
        <v>54371.261548000002</v>
      </c>
      <c r="I63" s="120"/>
      <c r="J63" s="120"/>
      <c r="K63" s="120"/>
      <c r="L63" s="121">
        <f>L61+L62</f>
        <v>56612.490744000002</v>
      </c>
      <c r="M63" s="122"/>
      <c r="N63" s="123">
        <f t="shared" si="10"/>
        <v>2241.2291960000002</v>
      </c>
      <c r="O63" s="124">
        <f t="shared" si="11"/>
        <v>4.1220842264647471E-2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15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53462.399599999997</v>
      </c>
      <c r="I65" s="136"/>
      <c r="J65" s="137"/>
      <c r="K65" s="137"/>
      <c r="L65" s="189">
        <f>SUM(L53,L48,L49:L52)</f>
        <v>55666.168799999999</v>
      </c>
      <c r="M65" s="138"/>
      <c r="N65" s="139">
        <f>L65-H65</f>
        <v>2203.7692000000025</v>
      </c>
      <c r="O65" s="99">
        <f>IF((H65)=0,"",(N65/H65))</f>
        <v>4.1220918187144046E-2</v>
      </c>
    </row>
    <row r="66" spans="1:15" s="73" customFormat="1" ht="13.15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6950.1119479999998</v>
      </c>
      <c r="I66" s="143"/>
      <c r="J66" s="144">
        <v>0.13</v>
      </c>
      <c r="K66" s="145"/>
      <c r="L66" s="146">
        <f>L65*J66</f>
        <v>7236.601944</v>
      </c>
      <c r="M66" s="147"/>
      <c r="N66" s="148">
        <f>L66-H66</f>
        <v>286.48999600000025</v>
      </c>
      <c r="O66" s="109">
        <f>IF((H66)=0,"",(N66/H66))</f>
        <v>4.1220918187144032E-2</v>
      </c>
    </row>
    <row r="67" spans="1:15" s="73" customFormat="1" ht="13.15" x14ac:dyDescent="0.25">
      <c r="B67" s="149" t="s">
        <v>42</v>
      </c>
      <c r="C67" s="75"/>
      <c r="D67" s="75"/>
      <c r="E67" s="75"/>
      <c r="F67" s="150"/>
      <c r="G67" s="151"/>
      <c r="H67" s="142">
        <f>H65+H66</f>
        <v>60412.511547999995</v>
      </c>
      <c r="I67" s="143"/>
      <c r="J67" s="143"/>
      <c r="K67" s="143"/>
      <c r="L67" s="146">
        <f>L65+L66</f>
        <v>62902.770744000001</v>
      </c>
      <c r="M67" s="147"/>
      <c r="N67" s="148">
        <f>L67-H67</f>
        <v>2490.2591960000063</v>
      </c>
      <c r="O67" s="109">
        <f>IF((H67)=0,"",(N67/H67))</f>
        <v>4.1220918187144108E-2</v>
      </c>
    </row>
    <row r="68" spans="1:15" s="73" customFormat="1" ht="15.75" customHeight="1" x14ac:dyDescent="0.25">
      <c r="B68" s="370" t="s">
        <v>43</v>
      </c>
      <c r="C68" s="370"/>
      <c r="D68" s="370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52" t="s">
        <v>46</v>
      </c>
      <c r="C69" s="352"/>
      <c r="D69" s="352"/>
      <c r="E69" s="155"/>
      <c r="F69" s="156"/>
      <c r="G69" s="157"/>
      <c r="H69" s="158">
        <f>SUM(H67:H68)</f>
        <v>60412.511547999995</v>
      </c>
      <c r="I69" s="159"/>
      <c r="J69" s="159"/>
      <c r="K69" s="159"/>
      <c r="L69" s="160">
        <f>SUM(L67:L68)</f>
        <v>62902.770744000001</v>
      </c>
      <c r="M69" s="161"/>
      <c r="N69" s="162">
        <f>L69-H69</f>
        <v>2490.2591960000063</v>
      </c>
      <c r="O69" s="163">
        <f>IF((H69)=0,"",(N69/H69))</f>
        <v>4.1220918187144108E-2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F18:H18"/>
    <mergeCell ref="J18:L18"/>
    <mergeCell ref="N18:O18"/>
    <mergeCell ref="N1:O1"/>
    <mergeCell ref="N2:O2"/>
    <mergeCell ref="N5:O5"/>
    <mergeCell ref="B8:O8"/>
    <mergeCell ref="B9:O9"/>
    <mergeCell ref="D12:O12"/>
    <mergeCell ref="N3:O3"/>
    <mergeCell ref="B69:D69"/>
    <mergeCell ref="D19:D20"/>
    <mergeCell ref="N19:N20"/>
    <mergeCell ref="O19:O20"/>
    <mergeCell ref="B62:D62"/>
    <mergeCell ref="B63:D63"/>
    <mergeCell ref="B68:D68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CCFF"/>
    <pageSetUpPr fitToPage="1"/>
  </sheetPr>
  <dimension ref="A1:T88"/>
  <sheetViews>
    <sheetView showGridLines="0" topLeftCell="A19" zoomScaleNormal="100" workbookViewId="0">
      <selection activeCell="J53" activeCellId="3" sqref="F43 J43 F53 J53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9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/>
    </row>
    <row r="4" spans="1:20" s="2" customFormat="1" ht="9" customHeight="1" x14ac:dyDescent="0.3">
      <c r="L4" s="3"/>
      <c r="N4" s="311"/>
      <c r="O4"/>
      <c r="P4"/>
    </row>
    <row r="5" spans="1:20" s="2" customFormat="1" ht="14.45" x14ac:dyDescent="0.3">
      <c r="L5" s="3" t="s">
        <v>76</v>
      </c>
      <c r="N5" s="368">
        <v>42124</v>
      </c>
      <c r="O5" s="368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71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8000000</v>
      </c>
      <c r="G16" s="13" t="s">
        <v>7</v>
      </c>
      <c r="H16" s="14">
        <v>14500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6975.72</v>
      </c>
      <c r="G21" s="26">
        <v>1</v>
      </c>
      <c r="H21" s="27">
        <f>G21*F21</f>
        <v>6975.72</v>
      </c>
      <c r="I21" s="28"/>
      <c r="J21" s="283">
        <v>8586.66</v>
      </c>
      <c r="K21" s="30">
        <v>1</v>
      </c>
      <c r="L21" s="27">
        <f>K21*J21</f>
        <v>8586.66</v>
      </c>
      <c r="M21" s="28"/>
      <c r="N21" s="31">
        <f>L21-H21</f>
        <v>1610.9399999999996</v>
      </c>
      <c r="O21" s="32">
        <f>IF((H21)=0,"",(N21/H21))</f>
        <v>0.23093530130223111</v>
      </c>
    </row>
    <row r="22" spans="2:15" ht="36.75" customHeight="1" x14ac:dyDescent="0.3">
      <c r="B22" s="296" t="s">
        <v>88</v>
      </c>
      <c r="C22" s="22"/>
      <c r="D22" s="56" t="s">
        <v>70</v>
      </c>
      <c r="E22" s="24"/>
      <c r="F22" s="173"/>
      <c r="G22" s="179">
        <f>+H16</f>
        <v>14500</v>
      </c>
      <c r="H22" s="27">
        <f t="shared" ref="H22:H36" si="0">G22*F22</f>
        <v>0</v>
      </c>
      <c r="I22" s="28"/>
      <c r="J22" s="263">
        <v>0.13980000000000001</v>
      </c>
      <c r="K22" s="262">
        <f>+H16</f>
        <v>14500</v>
      </c>
      <c r="L22" s="27">
        <f>K22*J22</f>
        <v>2027.1000000000001</v>
      </c>
      <c r="M22" s="28"/>
      <c r="N22" s="31">
        <f>L22-H22</f>
        <v>2027.1000000000001</v>
      </c>
      <c r="O22" s="32" t="str">
        <f>IF((H22)=0,"",(N22/H22))</f>
        <v/>
      </c>
    </row>
    <row r="23" spans="2:15" ht="14.45" hidden="1" x14ac:dyDescent="0.3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t="14.45" hidden="1" x14ac:dyDescent="0.3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70</v>
      </c>
      <c r="E25" s="24"/>
      <c r="F25" s="25">
        <v>-7.1999999999999998E-3</v>
      </c>
      <c r="G25" s="179">
        <f>$H$16</f>
        <v>14500</v>
      </c>
      <c r="H25" s="27">
        <f t="shared" si="0"/>
        <v>-104.39999999999999</v>
      </c>
      <c r="I25" s="28"/>
      <c r="J25" s="284">
        <v>-7.1999999999999998E-3</v>
      </c>
      <c r="K25" s="179">
        <f>$H$16</f>
        <v>14500</v>
      </c>
      <c r="L25" s="27">
        <f t="shared" si="1"/>
        <v>-104.39999999999999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70</v>
      </c>
      <c r="E26" s="24"/>
      <c r="F26" s="173"/>
      <c r="G26" s="179">
        <f>$H$16</f>
        <v>14500</v>
      </c>
      <c r="H26" s="27">
        <f t="shared" si="0"/>
        <v>0</v>
      </c>
      <c r="I26" s="28"/>
      <c r="J26" s="310">
        <v>-0.33040000000000003</v>
      </c>
      <c r="K26" s="179">
        <f>$H$16</f>
        <v>14500</v>
      </c>
      <c r="L26" s="27">
        <f t="shared" si="1"/>
        <v>-4790.8</v>
      </c>
      <c r="M26" s="28"/>
      <c r="N26" s="31">
        <f t="shared" si="2"/>
        <v>-4790.8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3.3374999999999999</v>
      </c>
      <c r="G27" s="179">
        <f>$H$16</f>
        <v>14500</v>
      </c>
      <c r="H27" s="27">
        <f t="shared" si="0"/>
        <v>48393.75</v>
      </c>
      <c r="I27" s="28"/>
      <c r="J27" s="263">
        <v>4.1082000000000001</v>
      </c>
      <c r="K27" s="179">
        <f>$H$16</f>
        <v>14500</v>
      </c>
      <c r="L27" s="27">
        <f t="shared" si="1"/>
        <v>59568.9</v>
      </c>
      <c r="M27" s="28"/>
      <c r="N27" s="31">
        <f t="shared" si="2"/>
        <v>11175.150000000001</v>
      </c>
      <c r="O27" s="32">
        <f t="shared" si="3"/>
        <v>0.23092134831460678</v>
      </c>
    </row>
    <row r="28" spans="2:15" ht="14.45" hidden="1" x14ac:dyDescent="0.3">
      <c r="B28" s="22" t="s">
        <v>20</v>
      </c>
      <c r="C28" s="22"/>
      <c r="D28" s="23"/>
      <c r="E28" s="24"/>
      <c r="F28" s="25"/>
      <c r="G28" s="26">
        <f>$F$16</f>
        <v>8000000</v>
      </c>
      <c r="H28" s="27">
        <f t="shared" si="0"/>
        <v>0</v>
      </c>
      <c r="I28" s="28"/>
      <c r="J28" s="29"/>
      <c r="K28" s="26">
        <f t="shared" ref="K28:K36" si="4">$F$16</f>
        <v>8000000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2" t="s">
        <v>21</v>
      </c>
      <c r="C29" s="22"/>
      <c r="D29" s="23"/>
      <c r="E29" s="24"/>
      <c r="F29" s="25"/>
      <c r="G29" s="26">
        <f>$F$16</f>
        <v>8000000</v>
      </c>
      <c r="H29" s="27">
        <f t="shared" si="0"/>
        <v>0</v>
      </c>
      <c r="I29" s="28"/>
      <c r="J29" s="29"/>
      <c r="K29" s="26">
        <f t="shared" si="4"/>
        <v>8000000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33"/>
      <c r="C30" s="22"/>
      <c r="D30" s="23"/>
      <c r="E30" s="24"/>
      <c r="F30" s="25"/>
      <c r="G30" s="26">
        <f t="shared" ref="G30:G36" si="5">$F$16</f>
        <v>8000000</v>
      </c>
      <c r="H30" s="27">
        <f t="shared" si="0"/>
        <v>0</v>
      </c>
      <c r="I30" s="28"/>
      <c r="J30" s="29"/>
      <c r="K30" s="26">
        <f t="shared" si="4"/>
        <v>8000000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33"/>
      <c r="C31" s="22"/>
      <c r="D31" s="23"/>
      <c r="E31" s="24"/>
      <c r="F31" s="25"/>
      <c r="G31" s="26">
        <f t="shared" si="5"/>
        <v>8000000</v>
      </c>
      <c r="H31" s="27">
        <f t="shared" si="0"/>
        <v>0</v>
      </c>
      <c r="I31" s="28"/>
      <c r="J31" s="29"/>
      <c r="K31" s="26">
        <f t="shared" si="4"/>
        <v>8000000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33"/>
      <c r="C32" s="22"/>
      <c r="D32" s="23"/>
      <c r="E32" s="24"/>
      <c r="F32" s="25"/>
      <c r="G32" s="26">
        <f t="shared" si="5"/>
        <v>8000000</v>
      </c>
      <c r="H32" s="27">
        <f t="shared" si="0"/>
        <v>0</v>
      </c>
      <c r="I32" s="28"/>
      <c r="J32" s="29"/>
      <c r="K32" s="26">
        <f t="shared" si="4"/>
        <v>8000000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33"/>
      <c r="C33" s="22"/>
      <c r="D33" s="23"/>
      <c r="E33" s="24"/>
      <c r="F33" s="25"/>
      <c r="G33" s="26">
        <f t="shared" si="5"/>
        <v>8000000</v>
      </c>
      <c r="H33" s="27">
        <f t="shared" si="0"/>
        <v>0</v>
      </c>
      <c r="I33" s="28"/>
      <c r="J33" s="29"/>
      <c r="K33" s="26">
        <f t="shared" si="4"/>
        <v>8000000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33"/>
      <c r="C34" s="22"/>
      <c r="D34" s="23"/>
      <c r="E34" s="24"/>
      <c r="F34" s="25"/>
      <c r="G34" s="26">
        <f t="shared" si="5"/>
        <v>8000000</v>
      </c>
      <c r="H34" s="27">
        <f t="shared" si="0"/>
        <v>0</v>
      </c>
      <c r="I34" s="28"/>
      <c r="J34" s="29"/>
      <c r="K34" s="26">
        <f t="shared" si="4"/>
        <v>8000000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33"/>
      <c r="C35" s="22"/>
      <c r="D35" s="23"/>
      <c r="E35" s="24"/>
      <c r="F35" s="25"/>
      <c r="G35" s="26">
        <f t="shared" si="5"/>
        <v>8000000</v>
      </c>
      <c r="H35" s="27">
        <f t="shared" si="0"/>
        <v>0</v>
      </c>
      <c r="I35" s="28"/>
      <c r="J35" s="29"/>
      <c r="K35" s="26">
        <f t="shared" si="4"/>
        <v>8000000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33"/>
      <c r="C36" s="22"/>
      <c r="D36" s="23"/>
      <c r="E36" s="24"/>
      <c r="F36" s="25"/>
      <c r="G36" s="26">
        <f t="shared" si="5"/>
        <v>8000000</v>
      </c>
      <c r="H36" s="27">
        <f t="shared" si="0"/>
        <v>0</v>
      </c>
      <c r="I36" s="28"/>
      <c r="J36" s="29"/>
      <c r="K36" s="26">
        <f t="shared" si="4"/>
        <v>8000000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55265.07</v>
      </c>
      <c r="I37" s="41"/>
      <c r="J37" s="42"/>
      <c r="K37" s="43"/>
      <c r="L37" s="40">
        <f>SUM(L21:L36)</f>
        <v>65287.46</v>
      </c>
      <c r="M37" s="41"/>
      <c r="N37" s="44">
        <f t="shared" si="2"/>
        <v>10022.39</v>
      </c>
      <c r="O37" s="45">
        <f t="shared" si="3"/>
        <v>0.18135125857978646</v>
      </c>
    </row>
    <row r="38" spans="2:15" ht="14.45" x14ac:dyDescent="0.3">
      <c r="B38" s="296" t="s">
        <v>23</v>
      </c>
      <c r="C38" s="22"/>
      <c r="D38" s="56" t="s">
        <v>70</v>
      </c>
      <c r="E38" s="57"/>
      <c r="F38" s="29">
        <v>-0.75409999999999999</v>
      </c>
      <c r="G38" s="179">
        <f>G27</f>
        <v>14500</v>
      </c>
      <c r="H38" s="27">
        <f t="shared" ref="H38:H44" si="6">G38*F38</f>
        <v>-10934.45</v>
      </c>
      <c r="I38" s="28"/>
      <c r="J38" s="263">
        <f>1.0723-0.7541</f>
        <v>0.31820000000000004</v>
      </c>
      <c r="K38" s="179">
        <f>H16</f>
        <v>14500</v>
      </c>
      <c r="L38" s="27">
        <f t="shared" ref="L38:L44" si="7">K38*J38</f>
        <v>4613.9000000000005</v>
      </c>
      <c r="M38" s="28"/>
      <c r="N38" s="31">
        <f t="shared" ref="N38:N44" si="8">L38-H38</f>
        <v>15548.350000000002</v>
      </c>
      <c r="O38" s="32">
        <f t="shared" ref="O38:O43" si="9">IF((H38)=0,"",(N38/H38))</f>
        <v>-1.4219599522609734</v>
      </c>
    </row>
    <row r="39" spans="2:15" ht="14.45" x14ac:dyDescent="0.3">
      <c r="B39" s="296"/>
      <c r="C39" s="22"/>
      <c r="D39" s="23" t="s">
        <v>70</v>
      </c>
      <c r="E39" s="24"/>
      <c r="F39" s="25"/>
      <c r="G39" s="179">
        <f>H16</f>
        <v>14500</v>
      </c>
      <c r="H39" s="27">
        <f t="shared" si="6"/>
        <v>0</v>
      </c>
      <c r="I39" s="47"/>
      <c r="J39" s="263"/>
      <c r="K39" s="179">
        <f>H16</f>
        <v>14500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t="14.45" hidden="1" x14ac:dyDescent="0.3">
      <c r="B40" s="46"/>
      <c r="C40" s="22"/>
      <c r="D40" s="23" t="s">
        <v>70</v>
      </c>
      <c r="E40" s="24"/>
      <c r="F40" s="25"/>
      <c r="G40" s="179">
        <f>H16</f>
        <v>14500</v>
      </c>
      <c r="H40" s="27">
        <f t="shared" si="6"/>
        <v>0</v>
      </c>
      <c r="I40" s="47"/>
      <c r="J40" s="263"/>
      <c r="K40" s="179">
        <f>H16</f>
        <v>14500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29.25" customHeight="1" x14ac:dyDescent="0.3">
      <c r="B41" s="296" t="s">
        <v>74</v>
      </c>
      <c r="C41" s="22"/>
      <c r="D41" s="23" t="s">
        <v>70</v>
      </c>
      <c r="E41" s="24"/>
      <c r="F41" s="29"/>
      <c r="G41" s="179">
        <f>H16</f>
        <v>14500</v>
      </c>
      <c r="H41" s="27">
        <f>G41*F41</f>
        <v>0</v>
      </c>
      <c r="I41" s="47"/>
      <c r="J41" s="263"/>
      <c r="K41" s="179">
        <f>H16</f>
        <v>14500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5.5300000000000002E-2</v>
      </c>
      <c r="G42" s="179">
        <f>H16</f>
        <v>14500</v>
      </c>
      <c r="H42" s="27">
        <f t="shared" si="6"/>
        <v>801.85</v>
      </c>
      <c r="I42" s="28"/>
      <c r="J42" s="263">
        <v>9.4100000000000003E-2</v>
      </c>
      <c r="K42" s="179">
        <f>H16</f>
        <v>14500</v>
      </c>
      <c r="L42" s="27">
        <f t="shared" si="7"/>
        <v>1364.45</v>
      </c>
      <c r="M42" s="28"/>
      <c r="N42" s="31">
        <f t="shared" si="8"/>
        <v>562.6</v>
      </c>
      <c r="O42" s="32">
        <f t="shared" si="9"/>
        <v>0.70162748643761308</v>
      </c>
    </row>
    <row r="43" spans="2:15" s="34" customFormat="1" x14ac:dyDescent="0.25">
      <c r="B43" s="181" t="s">
        <v>25</v>
      </c>
      <c r="C43" s="24"/>
      <c r="D43" s="182" t="s">
        <v>61</v>
      </c>
      <c r="E43" s="24"/>
      <c r="F43" s="396">
        <f>IF(ISBLANK(D14)=TRUE, 0, IF(D14="TOU", 0.64*$F$53+0.18*$F$54+0.18*$F$55, IF(AND(D14="non-TOU", G53&gt;0), F53)))</f>
        <v>0.10186000000000001</v>
      </c>
      <c r="G43" s="26">
        <f>$F$16*(1+$F$72)-$F$16</f>
        <v>39999.999999999069</v>
      </c>
      <c r="H43" s="184">
        <f t="shared" si="6"/>
        <v>4074.3999999999055</v>
      </c>
      <c r="I43" s="57"/>
      <c r="J43" s="396">
        <f>+J53</f>
        <v>0.10186000000000001</v>
      </c>
      <c r="K43" s="26">
        <f>$F$16*(1+$J$72)-$F$16</f>
        <v>37599.999999999069</v>
      </c>
      <c r="L43" s="184">
        <f t="shared" si="7"/>
        <v>3829.9359999999056</v>
      </c>
      <c r="M43" s="57"/>
      <c r="N43" s="186">
        <f t="shared" si="8"/>
        <v>-244.46399999999994</v>
      </c>
      <c r="O43" s="187">
        <f t="shared" si="9"/>
        <v>-6.0000000000001379E-2</v>
      </c>
    </row>
    <row r="44" spans="2:15" x14ac:dyDescent="0.25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304"/>
      <c r="G45" s="53"/>
      <c r="H45" s="54">
        <f>SUM(H38:H44)+H37</f>
        <v>49206.869999999908</v>
      </c>
      <c r="I45" s="41"/>
      <c r="J45" s="53"/>
      <c r="K45" s="55"/>
      <c r="L45" s="54">
        <f>SUM(L38:L44)+L37</f>
        <v>75095.745999999897</v>
      </c>
      <c r="M45" s="41"/>
      <c r="N45" s="44">
        <f t="shared" ref="N45:N63" si="10">L45-H45</f>
        <v>25888.875999999989</v>
      </c>
      <c r="O45" s="45">
        <f t="shared" ref="O45:O63" si="11">IF((H45)=0,"",(N45/H45))</f>
        <v>0.52612320190249939</v>
      </c>
    </row>
    <row r="46" spans="2:15" x14ac:dyDescent="0.25">
      <c r="B46" s="28" t="s">
        <v>28</v>
      </c>
      <c r="C46" s="28"/>
      <c r="D46" s="56" t="s">
        <v>70</v>
      </c>
      <c r="E46" s="57"/>
      <c r="F46" s="263">
        <v>3.3422999999999998</v>
      </c>
      <c r="G46" s="289">
        <f>+H16</f>
        <v>14500</v>
      </c>
      <c r="H46" s="27">
        <f>G46*F46</f>
        <v>48463.35</v>
      </c>
      <c r="I46" s="28"/>
      <c r="J46" s="263">
        <v>3.2624</v>
      </c>
      <c r="K46" s="290">
        <f>+G46</f>
        <v>14500</v>
      </c>
      <c r="L46" s="27">
        <f>K46*J46</f>
        <v>47304.800000000003</v>
      </c>
      <c r="M46" s="28"/>
      <c r="N46" s="31">
        <f t="shared" si="10"/>
        <v>-1158.5499999999956</v>
      </c>
      <c r="O46" s="32">
        <f t="shared" si="11"/>
        <v>-2.3905693683989978E-2</v>
      </c>
    </row>
    <row r="47" spans="2:15" x14ac:dyDescent="0.25">
      <c r="B47" s="59" t="s">
        <v>29</v>
      </c>
      <c r="C47" s="28"/>
      <c r="D47" s="56" t="s">
        <v>70</v>
      </c>
      <c r="E47" s="57"/>
      <c r="F47" s="263">
        <v>1.0234000000000001</v>
      </c>
      <c r="G47" s="289">
        <f>G46</f>
        <v>14500</v>
      </c>
      <c r="H47" s="27">
        <f>G47*F47</f>
        <v>14839.300000000001</v>
      </c>
      <c r="I47" s="28"/>
      <c r="J47" s="263">
        <v>1.0072000000000001</v>
      </c>
      <c r="K47" s="290">
        <f>K46</f>
        <v>14500</v>
      </c>
      <c r="L47" s="27">
        <f>K47*J47</f>
        <v>14604.400000000001</v>
      </c>
      <c r="M47" s="28"/>
      <c r="N47" s="31">
        <f t="shared" si="10"/>
        <v>-234.89999999999964</v>
      </c>
      <c r="O47" s="32">
        <f t="shared" si="11"/>
        <v>-1.5829587649013068E-2</v>
      </c>
    </row>
    <row r="48" spans="2:15" x14ac:dyDescent="0.25">
      <c r="B48" s="50" t="s">
        <v>30</v>
      </c>
      <c r="C48" s="36"/>
      <c r="D48" s="36"/>
      <c r="E48" s="36"/>
      <c r="F48" s="60"/>
      <c r="G48" s="53"/>
      <c r="H48" s="54">
        <f>SUM(H45:H47)</f>
        <v>112509.51999999992</v>
      </c>
      <c r="I48" s="61"/>
      <c r="J48" s="62"/>
      <c r="K48" s="63"/>
      <c r="L48" s="54">
        <f>SUM(L45:L47)</f>
        <v>137004.94599999991</v>
      </c>
      <c r="M48" s="61"/>
      <c r="N48" s="44">
        <f t="shared" si="10"/>
        <v>24495.425999999992</v>
      </c>
      <c r="O48" s="45">
        <f t="shared" si="11"/>
        <v>0.21771869616011169</v>
      </c>
    </row>
    <row r="49" spans="2:19" x14ac:dyDescent="0.25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8039999.9999999991</v>
      </c>
      <c r="H49" s="66">
        <f t="shared" ref="H49:H55" si="12">G49*F49</f>
        <v>35376</v>
      </c>
      <c r="I49" s="28"/>
      <c r="J49" s="263">
        <f>+F49</f>
        <v>4.4000000000000003E-3</v>
      </c>
      <c r="K49" s="290">
        <f>F16*(1+J72)</f>
        <v>8037599.9999999991</v>
      </c>
      <c r="L49" s="66">
        <f t="shared" ref="L49:L55" si="13">K49*J49</f>
        <v>35365.439999999995</v>
      </c>
      <c r="M49" s="28"/>
      <c r="N49" s="31">
        <f t="shared" si="10"/>
        <v>-10.560000000004948</v>
      </c>
      <c r="O49" s="68">
        <f t="shared" si="11"/>
        <v>-2.9850746268670703E-4</v>
      </c>
    </row>
    <row r="50" spans="2:19" x14ac:dyDescent="0.25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8039999.9999999991</v>
      </c>
      <c r="H50" s="66">
        <f t="shared" si="12"/>
        <v>10451.999999999998</v>
      </c>
      <c r="I50" s="28"/>
      <c r="J50" s="263">
        <f>+F50</f>
        <v>1.2999999999999999E-3</v>
      </c>
      <c r="K50" s="290">
        <f>K49</f>
        <v>8037599.9999999991</v>
      </c>
      <c r="L50" s="66">
        <f t="shared" si="13"/>
        <v>10448.879999999999</v>
      </c>
      <c r="M50" s="28"/>
      <c r="N50" s="31">
        <f t="shared" si="10"/>
        <v>-3.1199999999989814</v>
      </c>
      <c r="O50" s="68">
        <f t="shared" si="11"/>
        <v>-2.9850746268646975E-4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25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8000000</v>
      </c>
      <c r="H52" s="66">
        <f t="shared" si="12"/>
        <v>56000</v>
      </c>
      <c r="I52" s="28"/>
      <c r="J52" s="263">
        <f>+F52</f>
        <v>7.0000000000000001E-3</v>
      </c>
      <c r="K52" s="70">
        <f>F16</f>
        <v>8000000</v>
      </c>
      <c r="L52" s="66">
        <f t="shared" si="13"/>
        <v>56000</v>
      </c>
      <c r="M52" s="28"/>
      <c r="N52" s="31">
        <f t="shared" si="10"/>
        <v>0</v>
      </c>
      <c r="O52" s="68">
        <f t="shared" si="11"/>
        <v>0</v>
      </c>
    </row>
    <row r="53" spans="2:19" ht="15.75" thickBot="1" x14ac:dyDescent="0.3">
      <c r="B53" s="22" t="s">
        <v>98</v>
      </c>
      <c r="C53" s="22"/>
      <c r="D53" s="23" t="s">
        <v>61</v>
      </c>
      <c r="E53" s="24"/>
      <c r="F53" s="305">
        <f>+'GS 50-4999 (60kW)'!F53</f>
        <v>0.10186000000000001</v>
      </c>
      <c r="G53" s="69">
        <f>F16</f>
        <v>8000000</v>
      </c>
      <c r="H53" s="66">
        <f t="shared" si="12"/>
        <v>814880</v>
      </c>
      <c r="I53" s="28"/>
      <c r="J53" s="305">
        <f>F53</f>
        <v>0.10186000000000001</v>
      </c>
      <c r="K53" s="69">
        <f>G53</f>
        <v>8000000</v>
      </c>
      <c r="L53" s="66">
        <f t="shared" si="13"/>
        <v>814880</v>
      </c>
      <c r="M53" s="28"/>
      <c r="N53" s="31">
        <f t="shared" si="10"/>
        <v>0</v>
      </c>
      <c r="O53" s="68">
        <f t="shared" si="11"/>
        <v>0</v>
      </c>
      <c r="S53" s="72"/>
    </row>
    <row r="54" spans="2:19" hidden="1" x14ac:dyDescent="0.25">
      <c r="B54" s="49" t="s">
        <v>36</v>
      </c>
      <c r="C54" s="22"/>
      <c r="D54" s="23"/>
      <c r="E54" s="24"/>
      <c r="F54" s="71">
        <v>0.104</v>
      </c>
      <c r="G54" s="289">
        <v>0</v>
      </c>
      <c r="H54" s="66">
        <f t="shared" si="12"/>
        <v>0</v>
      </c>
      <c r="I54" s="28"/>
      <c r="J54" s="65">
        <v>0.104</v>
      </c>
      <c r="K54" s="28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idden="1" x14ac:dyDescent="0.25">
      <c r="B55" s="12" t="s">
        <v>37</v>
      </c>
      <c r="C55" s="22"/>
      <c r="D55" s="23"/>
      <c r="E55" s="24"/>
      <c r="F55" s="71">
        <v>0.124</v>
      </c>
      <c r="G55" s="289">
        <v>0</v>
      </c>
      <c r="H55" s="66">
        <f t="shared" si="12"/>
        <v>0</v>
      </c>
      <c r="I55" s="28"/>
      <c r="J55" s="65">
        <v>0.124</v>
      </c>
      <c r="K55" s="28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idden="1" x14ac:dyDescent="0.2">
      <c r="B56" s="180" t="s">
        <v>38</v>
      </c>
      <c r="C56" s="75"/>
      <c r="D56" s="76"/>
      <c r="E56" s="77"/>
      <c r="F56" s="71">
        <v>7.4999999999999997E-2</v>
      </c>
      <c r="G56" s="78"/>
      <c r="H56" s="66">
        <f>G56*F56</f>
        <v>0</v>
      </c>
      <c r="I56" s="79"/>
      <c r="J56" s="65">
        <f>+G56</f>
        <v>0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/>
      <c r="H57" s="66">
        <f>G57*F57</f>
        <v>0</v>
      </c>
      <c r="I57" s="79"/>
      <c r="J57" s="65">
        <f>+G57</f>
        <v>0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1029217.7699999999</v>
      </c>
      <c r="I59" s="95"/>
      <c r="J59" s="96"/>
      <c r="K59" s="96"/>
      <c r="L59" s="94">
        <f>SUM(L49:L55,L48)</f>
        <v>1053699.5159999998</v>
      </c>
      <c r="M59" s="97"/>
      <c r="N59" s="98">
        <f>L59-H59</f>
        <v>24481.745999999926</v>
      </c>
      <c r="O59" s="99">
        <f>IF((H59)=0,"",(N59/H59))</f>
        <v>2.3786750203506426E-2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133798.3101</v>
      </c>
      <c r="I60" s="104"/>
      <c r="J60" s="105">
        <v>0.13</v>
      </c>
      <c r="K60" s="104"/>
      <c r="L60" s="106">
        <f>L59*J60</f>
        <v>136980.93707999997</v>
      </c>
      <c r="M60" s="107"/>
      <c r="N60" s="108">
        <f t="shared" si="10"/>
        <v>3182.6269799999718</v>
      </c>
      <c r="O60" s="109">
        <f t="shared" si="11"/>
        <v>2.3786750203506284E-2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1163016.0800999999</v>
      </c>
      <c r="I61" s="104"/>
      <c r="J61" s="104"/>
      <c r="K61" s="104"/>
      <c r="L61" s="106">
        <f>L59+L60</f>
        <v>1190680.4530799999</v>
      </c>
      <c r="M61" s="107"/>
      <c r="N61" s="108">
        <f t="shared" si="10"/>
        <v>27664.372979999986</v>
      </c>
      <c r="O61" s="109">
        <f t="shared" si="11"/>
        <v>2.3786750203506485E-2</v>
      </c>
      <c r="S61" s="72"/>
    </row>
    <row r="62" spans="2:19" ht="15.75" customHeight="1" x14ac:dyDescent="0.25">
      <c r="B62" s="369" t="s">
        <v>43</v>
      </c>
      <c r="C62" s="369"/>
      <c r="D62" s="369"/>
      <c r="E62" s="22"/>
      <c r="F62" s="111"/>
      <c r="G62" s="102"/>
      <c r="H62" s="112">
        <f>ROUND(-H61*10%,2)</f>
        <v>-116301.61</v>
      </c>
      <c r="I62" s="104"/>
      <c r="J62" s="104"/>
      <c r="K62" s="104"/>
      <c r="L62" s="113">
        <f>ROUND(-L61*10%,2)</f>
        <v>-119068.05</v>
      </c>
      <c r="M62" s="107"/>
      <c r="N62" s="114">
        <f t="shared" si="10"/>
        <v>-2766.4400000000023</v>
      </c>
      <c r="O62" s="115">
        <f t="shared" si="11"/>
        <v>2.3786773029195404E-2</v>
      </c>
    </row>
    <row r="63" spans="2:19" ht="15.75" thickBot="1" x14ac:dyDescent="0.3">
      <c r="B63" s="360" t="s">
        <v>44</v>
      </c>
      <c r="C63" s="360"/>
      <c r="D63" s="360"/>
      <c r="E63" s="116"/>
      <c r="F63" s="117"/>
      <c r="G63" s="118"/>
      <c r="H63" s="119">
        <f>H61+H62</f>
        <v>1046714.4700999999</v>
      </c>
      <c r="I63" s="120"/>
      <c r="J63" s="120"/>
      <c r="K63" s="120"/>
      <c r="L63" s="121">
        <f>L61+L62</f>
        <v>1071612.4030799998</v>
      </c>
      <c r="M63" s="122"/>
      <c r="N63" s="123">
        <f t="shared" si="10"/>
        <v>24897.932979999925</v>
      </c>
      <c r="O63" s="124">
        <f t="shared" si="11"/>
        <v>2.3786747667318722E-2</v>
      </c>
    </row>
    <row r="64" spans="2:19" s="73" customFormat="1" ht="8.25" customHeight="1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1029217.7699999999</v>
      </c>
      <c r="I65" s="136"/>
      <c r="J65" s="137"/>
      <c r="K65" s="137"/>
      <c r="L65" s="189">
        <f>SUM(L53,L48,L49:L52)</f>
        <v>1053699.5159999998</v>
      </c>
      <c r="M65" s="138"/>
      <c r="N65" s="139">
        <f>L65-H65</f>
        <v>24481.745999999926</v>
      </c>
      <c r="O65" s="99">
        <f>IF((H65)=0,"",(N65/H65))</f>
        <v>2.3786750203506426E-2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133798.3101</v>
      </c>
      <c r="I66" s="143"/>
      <c r="J66" s="144">
        <v>0.13</v>
      </c>
      <c r="K66" s="145"/>
      <c r="L66" s="146">
        <f>L65*J66</f>
        <v>136980.93707999997</v>
      </c>
      <c r="M66" s="147"/>
      <c r="N66" s="148">
        <f>L66-H66</f>
        <v>3182.6269799999718</v>
      </c>
      <c r="O66" s="109">
        <f>IF((H66)=0,"",(N66/H66))</f>
        <v>2.3786750203506284E-2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1163016.0800999999</v>
      </c>
      <c r="I67" s="143"/>
      <c r="J67" s="143"/>
      <c r="K67" s="143"/>
      <c r="L67" s="146">
        <f>L65+L66</f>
        <v>1190680.4530799999</v>
      </c>
      <c r="M67" s="147"/>
      <c r="N67" s="148">
        <f>L67-H67</f>
        <v>27664.372979999986</v>
      </c>
      <c r="O67" s="109">
        <f>IF((H67)=0,"",(N67/H67))</f>
        <v>2.3786750203506485E-2</v>
      </c>
    </row>
    <row r="68" spans="1:15" s="73" customFormat="1" ht="15.75" customHeight="1" x14ac:dyDescent="0.2">
      <c r="B68" s="370" t="s">
        <v>43</v>
      </c>
      <c r="C68" s="370"/>
      <c r="D68" s="370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52" t="s">
        <v>46</v>
      </c>
      <c r="C69" s="352"/>
      <c r="D69" s="352"/>
      <c r="E69" s="155"/>
      <c r="F69" s="156"/>
      <c r="G69" s="157"/>
      <c r="H69" s="158">
        <f>SUM(H67:H68)</f>
        <v>1163016.0800999999</v>
      </c>
      <c r="I69" s="159"/>
      <c r="J69" s="159"/>
      <c r="K69" s="159"/>
      <c r="L69" s="160">
        <f>SUM(L67:L68)</f>
        <v>1190680.4530799999</v>
      </c>
      <c r="M69" s="161"/>
      <c r="N69" s="162">
        <f>L69-H69</f>
        <v>27664.372979999986</v>
      </c>
      <c r="O69" s="163">
        <f>IF((H69)=0,"",(N69/H69))</f>
        <v>2.3786750203506485E-2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5.0000000000000001E-3</v>
      </c>
      <c r="J72" s="345">
        <v>4.7000000000000002E-3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7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A37" zoomScaleNormal="100" workbookViewId="0">
      <selection activeCell="J27" sqref="J2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/>
    </row>
    <row r="4" spans="1:20" s="2" customFormat="1" ht="9" customHeight="1" x14ac:dyDescent="0.3">
      <c r="L4" s="3"/>
      <c r="N4" s="311"/>
      <c r="O4"/>
      <c r="P4"/>
    </row>
    <row r="5" spans="1:20" s="2" customFormat="1" ht="14.45" x14ac:dyDescent="0.3">
      <c r="L5" s="3" t="s">
        <v>76</v>
      </c>
      <c r="N5" s="368">
        <v>42124</v>
      </c>
      <c r="O5" s="368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72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150</v>
      </c>
      <c r="G16" s="13" t="s">
        <v>7</v>
      </c>
      <c r="H16" s="14">
        <v>1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v>0.33</v>
      </c>
      <c r="G21" s="26">
        <v>1</v>
      </c>
      <c r="H21" s="27">
        <f>G21*F21</f>
        <v>0.33</v>
      </c>
      <c r="I21" s="28"/>
      <c r="J21" s="173">
        <v>0.37</v>
      </c>
      <c r="K21" s="30">
        <v>1</v>
      </c>
      <c r="L21" s="27">
        <f>K21*J21</f>
        <v>0.37</v>
      </c>
      <c r="M21" s="28"/>
      <c r="N21" s="31">
        <f>L21-H21</f>
        <v>3.999999999999998E-2</v>
      </c>
      <c r="O21" s="32">
        <f>IF((H21)=0,"",(N21/H21))</f>
        <v>0.12121212121212115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14.45" hidden="1" x14ac:dyDescent="0.3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t="14.45" hidden="1" x14ac:dyDescent="0.3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70</v>
      </c>
      <c r="E25" s="24"/>
      <c r="F25" s="25">
        <v>-2.0799999999999999E-2</v>
      </c>
      <c r="G25" s="179">
        <f>$H$16</f>
        <v>1</v>
      </c>
      <c r="H25" s="27">
        <f t="shared" si="0"/>
        <v>-2.0799999999999999E-2</v>
      </c>
      <c r="I25" s="28"/>
      <c r="J25" s="263">
        <v>-2.0799999999999999E-2</v>
      </c>
      <c r="K25" s="179">
        <f>$H$16</f>
        <v>1</v>
      </c>
      <c r="L25" s="27">
        <f t="shared" si="1"/>
        <v>-2.0799999999999999E-2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70</v>
      </c>
      <c r="E26" s="24"/>
      <c r="F26" s="173"/>
      <c r="G26" s="179">
        <f>$H$16</f>
        <v>1</v>
      </c>
      <c r="H26" s="27">
        <f t="shared" si="0"/>
        <v>0</v>
      </c>
      <c r="I26" s="28"/>
      <c r="J26" s="310">
        <v>-0.217</v>
      </c>
      <c r="K26" s="179">
        <f>$H$16</f>
        <v>1</v>
      </c>
      <c r="L26" s="27">
        <f t="shared" si="1"/>
        <v>-0.217</v>
      </c>
      <c r="M26" s="28"/>
      <c r="N26" s="31">
        <f t="shared" si="2"/>
        <v>-0.217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8.6831999999999994</v>
      </c>
      <c r="G27" s="179">
        <f>$H$16</f>
        <v>1</v>
      </c>
      <c r="H27" s="27">
        <f t="shared" si="0"/>
        <v>8.6831999999999994</v>
      </c>
      <c r="I27" s="28"/>
      <c r="J27" s="263">
        <v>9.6486999999999998</v>
      </c>
      <c r="K27" s="179">
        <f>$H$16</f>
        <v>1</v>
      </c>
      <c r="L27" s="27">
        <f t="shared" si="1"/>
        <v>9.6486999999999998</v>
      </c>
      <c r="M27" s="28"/>
      <c r="N27" s="31">
        <f t="shared" si="2"/>
        <v>0.96550000000000047</v>
      </c>
      <c r="O27" s="32">
        <f t="shared" si="3"/>
        <v>0.11119172655242313</v>
      </c>
    </row>
    <row r="28" spans="2:15" ht="14.45" hidden="1" x14ac:dyDescent="0.3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8.9923999999999999</v>
      </c>
      <c r="I37" s="41"/>
      <c r="J37" s="43"/>
      <c r="K37" s="43"/>
      <c r="L37" s="40">
        <f>SUM(L21:L36)</f>
        <v>9.780899999999999</v>
      </c>
      <c r="M37" s="41"/>
      <c r="N37" s="44">
        <f t="shared" si="2"/>
        <v>0.78849999999999909</v>
      </c>
      <c r="O37" s="45">
        <f t="shared" si="3"/>
        <v>8.7685156354254598E-2</v>
      </c>
    </row>
    <row r="38" spans="2:15" ht="14.45" x14ac:dyDescent="0.3">
      <c r="B38" s="296" t="s">
        <v>23</v>
      </c>
      <c r="C38" s="22"/>
      <c r="D38" s="56" t="s">
        <v>70</v>
      </c>
      <c r="E38" s="57"/>
      <c r="F38" s="29">
        <v>-0.51990000000000003</v>
      </c>
      <c r="G38" s="179">
        <f>G27</f>
        <v>1</v>
      </c>
      <c r="H38" s="27">
        <f t="shared" ref="H38:H44" si="6">G38*F38</f>
        <v>-0.51990000000000003</v>
      </c>
      <c r="I38" s="28"/>
      <c r="J38" s="263">
        <f>0.707-0.5199</f>
        <v>0.18709999999999993</v>
      </c>
      <c r="K38" s="179">
        <f>H16</f>
        <v>1</v>
      </c>
      <c r="L38" s="27">
        <f t="shared" ref="L38:L44" si="7">K38*J38</f>
        <v>0.18709999999999993</v>
      </c>
      <c r="M38" s="28"/>
      <c r="N38" s="31">
        <f t="shared" ref="N38:N44" si="8">L38-H38</f>
        <v>0.70699999999999996</v>
      </c>
      <c r="O38" s="32">
        <f t="shared" ref="O38:O43" si="9">IF((H38)=0,"",(N38/H38))</f>
        <v>-1.3598768994037314</v>
      </c>
    </row>
    <row r="39" spans="2:15" ht="14.45" hidden="1" x14ac:dyDescent="0.3">
      <c r="B39" s="296"/>
      <c r="C39" s="22"/>
      <c r="D39" s="23" t="s">
        <v>70</v>
      </c>
      <c r="E39" s="24"/>
      <c r="F39" s="25"/>
      <c r="G39" s="179">
        <f>H16</f>
        <v>1</v>
      </c>
      <c r="H39" s="27">
        <f t="shared" si="6"/>
        <v>0</v>
      </c>
      <c r="I39" s="47"/>
      <c r="J39" s="263"/>
      <c r="K39" s="179">
        <f>H16</f>
        <v>1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t="14.45" hidden="1" x14ac:dyDescent="0.3">
      <c r="B40" s="296"/>
      <c r="C40" s="22"/>
      <c r="D40" s="23" t="s">
        <v>70</v>
      </c>
      <c r="E40" s="24"/>
      <c r="F40" s="25"/>
      <c r="G40" s="179">
        <f>H16</f>
        <v>1</v>
      </c>
      <c r="H40" s="27">
        <f t="shared" si="6"/>
        <v>0</v>
      </c>
      <c r="I40" s="47"/>
      <c r="J40" s="263"/>
      <c r="K40" s="179">
        <f>H16</f>
        <v>1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30" customHeight="1" x14ac:dyDescent="0.3">
      <c r="B41" s="296" t="s">
        <v>74</v>
      </c>
      <c r="C41" s="22"/>
      <c r="D41" s="23" t="s">
        <v>70</v>
      </c>
      <c r="E41" s="24"/>
      <c r="F41" s="29">
        <v>0.21390000000000001</v>
      </c>
      <c r="G41" s="179">
        <f>H16</f>
        <v>1</v>
      </c>
      <c r="H41" s="27">
        <f t="shared" si="6"/>
        <v>0.21390000000000001</v>
      </c>
      <c r="I41" s="47"/>
      <c r="J41" s="263">
        <f>1.1196+0.2139</f>
        <v>1.3334999999999999</v>
      </c>
      <c r="K41" s="179">
        <f>H16</f>
        <v>1</v>
      </c>
      <c r="L41" s="27">
        <f t="shared" si="7"/>
        <v>1.3334999999999999</v>
      </c>
      <c r="M41" s="48"/>
      <c r="N41" s="31">
        <f t="shared" si="8"/>
        <v>1.1195999999999999</v>
      </c>
      <c r="O41" s="32">
        <f t="shared" si="9"/>
        <v>5.2342215988779799</v>
      </c>
    </row>
    <row r="42" spans="2:15" ht="14.45" x14ac:dyDescent="0.3">
      <c r="B42" s="49" t="s">
        <v>24</v>
      </c>
      <c r="C42" s="22"/>
      <c r="D42" s="23" t="s">
        <v>70</v>
      </c>
      <c r="E42" s="24"/>
      <c r="F42" s="25">
        <v>3.4099999999999998E-2</v>
      </c>
      <c r="G42" s="179">
        <f>H16</f>
        <v>1</v>
      </c>
      <c r="H42" s="27">
        <f t="shared" si="6"/>
        <v>3.4099999999999998E-2</v>
      </c>
      <c r="I42" s="28"/>
      <c r="J42" s="263">
        <v>5.8009999999999999E-2</v>
      </c>
      <c r="K42" s="179">
        <f>H16</f>
        <v>1</v>
      </c>
      <c r="L42" s="27">
        <f t="shared" si="7"/>
        <v>5.8009999999999999E-2</v>
      </c>
      <c r="M42" s="28"/>
      <c r="N42" s="31">
        <f t="shared" si="8"/>
        <v>2.3910000000000001E-2</v>
      </c>
      <c r="O42" s="32">
        <f t="shared" si="9"/>
        <v>0.70117302052785924</v>
      </c>
    </row>
    <row r="43" spans="2:15" s="34" customFormat="1" x14ac:dyDescent="0.25">
      <c r="B43" s="181" t="s">
        <v>25</v>
      </c>
      <c r="C43" s="24"/>
      <c r="D43" s="182" t="s">
        <v>61</v>
      </c>
      <c r="E43" s="24"/>
      <c r="F43" s="396">
        <f>+F53</f>
        <v>0.10186000000000001</v>
      </c>
      <c r="G43" s="26">
        <f>$F$16*(1+$F$72)-$F$16</f>
        <v>6.0600000000000023</v>
      </c>
      <c r="H43" s="184">
        <f t="shared" si="6"/>
        <v>0.61727160000000025</v>
      </c>
      <c r="I43" s="57"/>
      <c r="J43" s="396">
        <f>+J53</f>
        <v>0.10186000000000001</v>
      </c>
      <c r="K43" s="26">
        <f>$F$16*(1+$J$72)-$F$16</f>
        <v>5.4300000000000068</v>
      </c>
      <c r="L43" s="184">
        <f t="shared" si="7"/>
        <v>0.5530998000000007</v>
      </c>
      <c r="M43" s="57"/>
      <c r="N43" s="186">
        <f t="shared" si="8"/>
        <v>-6.4171799999999557E-2</v>
      </c>
      <c r="O43" s="187">
        <f t="shared" si="9"/>
        <v>-0.10396039603960321</v>
      </c>
    </row>
    <row r="44" spans="2:15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14.4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9.3377715999999999</v>
      </c>
      <c r="I45" s="41"/>
      <c r="J45" s="53"/>
      <c r="K45" s="55"/>
      <c r="L45" s="54">
        <f>SUM(L38:L44)+L37</f>
        <v>11.912609799999998</v>
      </c>
      <c r="M45" s="41"/>
      <c r="N45" s="44">
        <f t="shared" ref="N45:N63" si="10">L45-H45</f>
        <v>2.5748381999999985</v>
      </c>
      <c r="O45" s="45">
        <f t="shared" ref="O45:O63" si="11">IF((H45)=0,"",(N45/H45))</f>
        <v>0.27574439708934395</v>
      </c>
    </row>
    <row r="46" spans="2:15" ht="14.45" x14ac:dyDescent="0.3">
      <c r="B46" s="28" t="s">
        <v>28</v>
      </c>
      <c r="C46" s="28"/>
      <c r="D46" s="56" t="s">
        <v>70</v>
      </c>
      <c r="E46" s="57"/>
      <c r="F46" s="263">
        <v>2.1436999999999999</v>
      </c>
      <c r="G46" s="289">
        <f>H16</f>
        <v>1</v>
      </c>
      <c r="H46" s="27">
        <f>G46*F46</f>
        <v>2.1436999999999999</v>
      </c>
      <c r="I46" s="28"/>
      <c r="J46" s="263">
        <v>2.0924</v>
      </c>
      <c r="K46" s="290">
        <f>+G46</f>
        <v>1</v>
      </c>
      <c r="L46" s="27">
        <f>K46*J46</f>
        <v>2.0924</v>
      </c>
      <c r="M46" s="28"/>
      <c r="N46" s="31">
        <f t="shared" si="10"/>
        <v>-5.1299999999999901E-2</v>
      </c>
      <c r="O46" s="32">
        <f t="shared" si="11"/>
        <v>-2.3930587302327704E-2</v>
      </c>
    </row>
    <row r="47" spans="2:15" ht="14.45" x14ac:dyDescent="0.3">
      <c r="B47" s="59" t="s">
        <v>29</v>
      </c>
      <c r="C47" s="28"/>
      <c r="D47" s="56" t="s">
        <v>70</v>
      </c>
      <c r="E47" s="57"/>
      <c r="F47" s="263">
        <v>0.63100000000000001</v>
      </c>
      <c r="G47" s="289">
        <f>G46</f>
        <v>1</v>
      </c>
      <c r="H47" s="27">
        <f>G47*F47</f>
        <v>0.63100000000000001</v>
      </c>
      <c r="I47" s="28"/>
      <c r="J47" s="263">
        <v>0.621</v>
      </c>
      <c r="K47" s="290">
        <f>K46</f>
        <v>1</v>
      </c>
      <c r="L47" s="27">
        <f>K47*J47</f>
        <v>0.621</v>
      </c>
      <c r="M47" s="28"/>
      <c r="N47" s="31">
        <f t="shared" si="10"/>
        <v>-1.0000000000000009E-2</v>
      </c>
      <c r="O47" s="32">
        <f t="shared" si="11"/>
        <v>-1.5847860538827273E-2</v>
      </c>
    </row>
    <row r="48" spans="2:15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12.112471599999999</v>
      </c>
      <c r="I48" s="61"/>
      <c r="J48" s="62"/>
      <c r="K48" s="63"/>
      <c r="L48" s="54">
        <f>SUM(L45:L47)</f>
        <v>14.626009799999999</v>
      </c>
      <c r="M48" s="61"/>
      <c r="N48" s="44">
        <f t="shared" si="10"/>
        <v>2.5135381999999993</v>
      </c>
      <c r="O48" s="45">
        <f t="shared" si="11"/>
        <v>0.20751654022454008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156.06</v>
      </c>
      <c r="H49" s="66">
        <f t="shared" ref="H49:H55" si="12">G49*F49</f>
        <v>0.68666400000000005</v>
      </c>
      <c r="I49" s="28"/>
      <c r="J49" s="263">
        <f>+F49</f>
        <v>4.4000000000000003E-3</v>
      </c>
      <c r="K49" s="290">
        <f>F16*(1+J72)</f>
        <v>155.43</v>
      </c>
      <c r="L49" s="66">
        <f t="shared" ref="L49:L55" si="13">K49*J49</f>
        <v>0.68389200000000006</v>
      </c>
      <c r="M49" s="28"/>
      <c r="N49" s="31">
        <f t="shared" si="10"/>
        <v>-2.7719999999999967E-3</v>
      </c>
      <c r="O49" s="68">
        <f t="shared" si="11"/>
        <v>-4.0369088811995331E-3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156.06</v>
      </c>
      <c r="H50" s="66">
        <f t="shared" si="12"/>
        <v>0.202878</v>
      </c>
      <c r="I50" s="28"/>
      <c r="J50" s="263">
        <f>+F50</f>
        <v>1.2999999999999999E-3</v>
      </c>
      <c r="K50" s="290">
        <f>K49</f>
        <v>155.43</v>
      </c>
      <c r="L50" s="66">
        <f t="shared" si="13"/>
        <v>0.20205899999999999</v>
      </c>
      <c r="M50" s="28"/>
      <c r="N50" s="31">
        <f t="shared" si="10"/>
        <v>-8.1900000000001416E-4</v>
      </c>
      <c r="O50" s="68">
        <f t="shared" si="11"/>
        <v>-4.0369088811996086E-3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ht="14.45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150</v>
      </c>
      <c r="H52" s="66">
        <f t="shared" si="12"/>
        <v>1.05</v>
      </c>
      <c r="I52" s="28"/>
      <c r="J52" s="263">
        <f>+F52</f>
        <v>7.0000000000000001E-3</v>
      </c>
      <c r="K52" s="70">
        <f>F16</f>
        <v>150</v>
      </c>
      <c r="L52" s="66">
        <f t="shared" si="13"/>
        <v>1.05</v>
      </c>
      <c r="M52" s="28"/>
      <c r="N52" s="31">
        <f t="shared" si="10"/>
        <v>0</v>
      </c>
      <c r="O52" s="68">
        <f t="shared" si="11"/>
        <v>0</v>
      </c>
    </row>
    <row r="53" spans="2:19" ht="15.75" thickBot="1" x14ac:dyDescent="0.3">
      <c r="B53" s="22" t="s">
        <v>98</v>
      </c>
      <c r="C53" s="22"/>
      <c r="D53" s="23" t="s">
        <v>61</v>
      </c>
      <c r="E53" s="24"/>
      <c r="F53" s="305">
        <f>+'GS 50-4999 (60kW)'!F53</f>
        <v>0.10186000000000001</v>
      </c>
      <c r="G53" s="69">
        <f>F16</f>
        <v>150</v>
      </c>
      <c r="H53" s="66">
        <f t="shared" si="12"/>
        <v>15.279000000000002</v>
      </c>
      <c r="I53" s="28"/>
      <c r="J53" s="344">
        <f>+F53</f>
        <v>0.10186000000000001</v>
      </c>
      <c r="K53" s="69">
        <f>F16</f>
        <v>150</v>
      </c>
      <c r="L53" s="66">
        <f t="shared" si="13"/>
        <v>15.279000000000002</v>
      </c>
      <c r="M53" s="28"/>
      <c r="N53" s="31">
        <f t="shared" si="10"/>
        <v>0</v>
      </c>
      <c r="O53" s="68">
        <f t="shared" si="11"/>
        <v>0</v>
      </c>
      <c r="S53" s="72"/>
    </row>
    <row r="54" spans="2:19" ht="14.45" hidden="1" x14ac:dyDescent="0.3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12"/>
        <v>0</v>
      </c>
      <c r="I54" s="28"/>
      <c r="J54" s="65">
        <v>0.104</v>
      </c>
      <c r="K54" s="6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t="14.45" hidden="1" x14ac:dyDescent="0.3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12"/>
        <v>0</v>
      </c>
      <c r="I55" s="28"/>
      <c r="J55" s="65">
        <v>0.124</v>
      </c>
      <c r="K55" s="6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t="14.45" hidden="1" x14ac:dyDescent="0.25">
      <c r="B56" s="180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6">
        <f>G56*F56</f>
        <v>11.25</v>
      </c>
      <c r="I56" s="79"/>
      <c r="J56" s="65">
        <v>7.4999999999999997E-2</v>
      </c>
      <c r="K56" s="78">
        <f>G56</f>
        <v>150</v>
      </c>
      <c r="L56" s="66">
        <f>K56*J56</f>
        <v>11.25</v>
      </c>
      <c r="M56" s="79"/>
      <c r="N56" s="80">
        <f t="shared" si="10"/>
        <v>0</v>
      </c>
      <c r="O56" s="68">
        <f t="shared" si="11"/>
        <v>0</v>
      </c>
    </row>
    <row r="57" spans="2:19" s="73" customFormat="1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4.45" hidden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29.581013600000002</v>
      </c>
      <c r="I59" s="95"/>
      <c r="J59" s="96"/>
      <c r="K59" s="96"/>
      <c r="L59" s="94">
        <f>SUM(L49:L55,L48)</f>
        <v>32.090960800000005</v>
      </c>
      <c r="M59" s="97"/>
      <c r="N59" s="98">
        <f>L59-H59</f>
        <v>2.5099472000000027</v>
      </c>
      <c r="O59" s="99">
        <f>IF((H59)=0,"",(N59/H59))</f>
        <v>8.4849939016288567E-2</v>
      </c>
      <c r="S59" s="72"/>
    </row>
    <row r="60" spans="2:19" ht="14.45" hidden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3.8455317680000003</v>
      </c>
      <c r="I60" s="104"/>
      <c r="J60" s="105">
        <v>0.13</v>
      </c>
      <c r="K60" s="104"/>
      <c r="L60" s="106">
        <f>L59*J60</f>
        <v>4.1718249040000011</v>
      </c>
      <c r="M60" s="107"/>
      <c r="N60" s="108">
        <f t="shared" si="10"/>
        <v>0.32629313600000076</v>
      </c>
      <c r="O60" s="109">
        <f t="shared" si="11"/>
        <v>8.4849939016288664E-2</v>
      </c>
      <c r="S60" s="72"/>
    </row>
    <row r="61" spans="2:19" ht="14.45" hidden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33.426545367999999</v>
      </c>
      <c r="I61" s="104"/>
      <c r="J61" s="104"/>
      <c r="K61" s="104"/>
      <c r="L61" s="106">
        <f>L59+L60</f>
        <v>36.262785704000009</v>
      </c>
      <c r="M61" s="107"/>
      <c r="N61" s="108">
        <f t="shared" si="10"/>
        <v>2.8362403360000101</v>
      </c>
      <c r="O61" s="109">
        <f t="shared" si="11"/>
        <v>8.4849939016288775E-2</v>
      </c>
      <c r="S61" s="72"/>
    </row>
    <row r="62" spans="2:19" ht="15.75" hidden="1" customHeight="1" x14ac:dyDescent="0.3">
      <c r="B62" s="369" t="s">
        <v>43</v>
      </c>
      <c r="C62" s="369"/>
      <c r="D62" s="369"/>
      <c r="E62" s="22"/>
      <c r="F62" s="111"/>
      <c r="G62" s="102"/>
      <c r="H62" s="112">
        <f>ROUND(-H61*10%,2)</f>
        <v>-3.34</v>
      </c>
      <c r="I62" s="104"/>
      <c r="J62" s="104"/>
      <c r="K62" s="104"/>
      <c r="L62" s="113">
        <f>ROUND(-L61*10%,2)</f>
        <v>-3.63</v>
      </c>
      <c r="M62" s="107"/>
      <c r="N62" s="114">
        <f t="shared" si="10"/>
        <v>-0.29000000000000004</v>
      </c>
      <c r="O62" s="115">
        <f t="shared" si="11"/>
        <v>8.682634730538924E-2</v>
      </c>
    </row>
    <row r="63" spans="2:19" ht="14.45" hidden="1" x14ac:dyDescent="0.3">
      <c r="B63" s="360" t="s">
        <v>44</v>
      </c>
      <c r="C63" s="360"/>
      <c r="D63" s="360"/>
      <c r="E63" s="116"/>
      <c r="F63" s="117"/>
      <c r="G63" s="118"/>
      <c r="H63" s="119">
        <f>H61+H62</f>
        <v>30.086545367999999</v>
      </c>
      <c r="I63" s="120"/>
      <c r="J63" s="120"/>
      <c r="K63" s="120"/>
      <c r="L63" s="121">
        <f>L61+L62</f>
        <v>32.632785704000007</v>
      </c>
      <c r="M63" s="122"/>
      <c r="N63" s="123">
        <f t="shared" si="10"/>
        <v>2.5462403360000074</v>
      </c>
      <c r="O63" s="124">
        <f t="shared" si="11"/>
        <v>8.4630531849235982E-2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15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29.581013600000002</v>
      </c>
      <c r="I65" s="136"/>
      <c r="J65" s="137"/>
      <c r="K65" s="137"/>
      <c r="L65" s="189">
        <f>SUM(L53,L48,L49:L52)</f>
        <v>32.090960799999998</v>
      </c>
      <c r="M65" s="138"/>
      <c r="N65" s="139">
        <f>L65-H65</f>
        <v>2.5099471999999956</v>
      </c>
      <c r="O65" s="99">
        <f>IF((H65)=0,"",(N65/H65))</f>
        <v>8.4849939016288317E-2</v>
      </c>
    </row>
    <row r="66" spans="1:15" s="73" customFormat="1" ht="13.15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3.8455317680000003</v>
      </c>
      <c r="I66" s="143"/>
      <c r="J66" s="144">
        <v>0.13</v>
      </c>
      <c r="K66" s="145"/>
      <c r="L66" s="146">
        <f>L65*J66</f>
        <v>4.1718249040000002</v>
      </c>
      <c r="M66" s="147"/>
      <c r="N66" s="148">
        <f>L66-H66</f>
        <v>0.32629313599999987</v>
      </c>
      <c r="O66" s="109">
        <f>IF((H66)=0,"",(N66/H66))</f>
        <v>8.4849939016288442E-2</v>
      </c>
    </row>
    <row r="67" spans="1:15" s="73" customFormat="1" ht="13.15" x14ac:dyDescent="0.25">
      <c r="B67" s="149" t="s">
        <v>42</v>
      </c>
      <c r="C67" s="75"/>
      <c r="D67" s="75"/>
      <c r="E67" s="75"/>
      <c r="F67" s="150"/>
      <c r="G67" s="151"/>
      <c r="H67" s="142">
        <f>H65+H66</f>
        <v>33.426545367999999</v>
      </c>
      <c r="I67" s="143"/>
      <c r="J67" s="143"/>
      <c r="K67" s="143"/>
      <c r="L67" s="146">
        <f>L65+L66</f>
        <v>36.262785703999995</v>
      </c>
      <c r="M67" s="147"/>
      <c r="N67" s="148">
        <f>L67-H67</f>
        <v>2.8362403359999959</v>
      </c>
      <c r="O67" s="109">
        <f>IF((H67)=0,"",(N67/H67))</f>
        <v>8.4849939016288359E-2</v>
      </c>
    </row>
    <row r="68" spans="1:15" s="73" customFormat="1" ht="15.75" customHeight="1" x14ac:dyDescent="0.25">
      <c r="B68" s="370" t="s">
        <v>43</v>
      </c>
      <c r="C68" s="370"/>
      <c r="D68" s="370"/>
      <c r="E68" s="75"/>
      <c r="F68" s="150"/>
      <c r="G68" s="151"/>
      <c r="H68" s="152"/>
      <c r="I68" s="143"/>
      <c r="J68" s="143"/>
      <c r="K68" s="143"/>
      <c r="L68" s="153"/>
      <c r="M68" s="147"/>
      <c r="N68" s="148">
        <f>L68-H68</f>
        <v>0</v>
      </c>
      <c r="O68" s="115" t="str">
        <f>IF((H68)=0,"",(N68/H68))</f>
        <v/>
      </c>
    </row>
    <row r="69" spans="1:15" s="73" customFormat="1" ht="13.9" thickBot="1" x14ac:dyDescent="0.3">
      <c r="B69" s="352" t="s">
        <v>46</v>
      </c>
      <c r="C69" s="352"/>
      <c r="D69" s="352"/>
      <c r="E69" s="155"/>
      <c r="F69" s="156"/>
      <c r="G69" s="157"/>
      <c r="H69" s="158">
        <f>SUM(H67:H68)</f>
        <v>33.426545367999999</v>
      </c>
      <c r="I69" s="159"/>
      <c r="J69" s="159"/>
      <c r="K69" s="159"/>
      <c r="L69" s="160">
        <f>SUM(L67:L68)</f>
        <v>36.262785703999995</v>
      </c>
      <c r="M69" s="161"/>
      <c r="N69" s="162">
        <f>L69-H69</f>
        <v>2.8362403359999959</v>
      </c>
      <c r="O69" s="163">
        <f>IF((H69)=0,"",(N69/H69))</f>
        <v>8.4849939016288359E-2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12" workbookViewId="0">
      <selection activeCell="F37" sqref="F3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6.28515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</row>
    <row r="4" spans="1:20" s="2" customFormat="1" ht="9" customHeight="1" x14ac:dyDescent="0.3">
      <c r="L4" s="3"/>
      <c r="N4" s="311"/>
      <c r="O4"/>
    </row>
    <row r="5" spans="1:20" s="2" customFormat="1" ht="14.45" x14ac:dyDescent="0.3">
      <c r="L5" s="3" t="s">
        <v>76</v>
      </c>
      <c r="N5" s="368">
        <v>42124</v>
      </c>
      <c r="O5" s="368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59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250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20.49</v>
      </c>
      <c r="K21" s="30">
        <v>1</v>
      </c>
      <c r="L21" s="27">
        <f>K21*J21</f>
        <v>20.49</v>
      </c>
      <c r="M21" s="28"/>
      <c r="N21" s="31">
        <f>L21-H21</f>
        <v>5.2899999999999991</v>
      </c>
      <c r="O21" s="32">
        <f>IF((H21)=0,"",(N21/H21))</f>
        <v>0.34802631578947363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250</v>
      </c>
      <c r="H25" s="27">
        <f t="shared" si="0"/>
        <v>-2.5000000000000001E-2</v>
      </c>
      <c r="I25" s="28"/>
      <c r="J25" s="173">
        <f>+'Res (100kWh)'!$J$25</f>
        <v>-1E-4</v>
      </c>
      <c r="K25" s="26">
        <f>$F$16</f>
        <v>250</v>
      </c>
      <c r="L25" s="27">
        <f t="shared" si="1"/>
        <v>-2.5000000000000001E-2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250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250</v>
      </c>
      <c r="L26" s="27">
        <f t="shared" si="1"/>
        <v>-0.15</v>
      </c>
      <c r="M26" s="28"/>
      <c r="N26" s="31">
        <f t="shared" si="2"/>
        <v>-0.15</v>
      </c>
      <c r="O26" s="32" t="str">
        <f t="shared" si="3"/>
        <v/>
      </c>
    </row>
    <row r="27" spans="2:15" ht="14.45" x14ac:dyDescent="0.3">
      <c r="B27" s="22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250</v>
      </c>
      <c r="H27" s="27">
        <f t="shared" si="0"/>
        <v>4.8</v>
      </c>
      <c r="I27" s="28"/>
      <c r="J27" s="29">
        <f>+'Res (100kWh)'!$J$27</f>
        <v>1.6E-2</v>
      </c>
      <c r="K27" s="26">
        <f>$F$16</f>
        <v>250</v>
      </c>
      <c r="L27" s="27">
        <f t="shared" si="1"/>
        <v>4</v>
      </c>
      <c r="M27" s="28"/>
      <c r="N27" s="31">
        <f t="shared" si="2"/>
        <v>-0.79999999999999982</v>
      </c>
      <c r="O27" s="32">
        <f t="shared" si="3"/>
        <v>-0.16666666666666663</v>
      </c>
    </row>
    <row r="28" spans="2:15" ht="14.45" hidden="1" x14ac:dyDescent="0.3">
      <c r="B28" s="22" t="s">
        <v>20</v>
      </c>
      <c r="C28" s="22"/>
      <c r="D28" s="23"/>
      <c r="E28" s="24"/>
      <c r="F28" s="25"/>
      <c r="G28" s="26">
        <f>$F$16</f>
        <v>250</v>
      </c>
      <c r="H28" s="27">
        <f t="shared" si="0"/>
        <v>0</v>
      </c>
      <c r="I28" s="28"/>
      <c r="J28" s="29"/>
      <c r="K28" s="26">
        <f t="shared" ref="K28:K36" si="4">$F$16</f>
        <v>250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2" t="s">
        <v>21</v>
      </c>
      <c r="C29" s="22"/>
      <c r="D29" s="23"/>
      <c r="E29" s="24"/>
      <c r="F29" s="25"/>
      <c r="G29" s="26">
        <f>$F$16</f>
        <v>250</v>
      </c>
      <c r="H29" s="27">
        <f t="shared" si="0"/>
        <v>0</v>
      </c>
      <c r="I29" s="28"/>
      <c r="J29" s="29"/>
      <c r="K29" s="26">
        <f t="shared" si="4"/>
        <v>250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33"/>
      <c r="C30" s="22"/>
      <c r="D30" s="23"/>
      <c r="E30" s="24"/>
      <c r="F30" s="25"/>
      <c r="G30" s="26">
        <f t="shared" ref="G30:G36" si="5">$F$16</f>
        <v>250</v>
      </c>
      <c r="H30" s="27">
        <f t="shared" si="0"/>
        <v>0</v>
      </c>
      <c r="I30" s="28"/>
      <c r="J30" s="29"/>
      <c r="K30" s="26">
        <f t="shared" si="4"/>
        <v>250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33"/>
      <c r="C31" s="22"/>
      <c r="D31" s="23"/>
      <c r="E31" s="24"/>
      <c r="F31" s="25"/>
      <c r="G31" s="26">
        <f t="shared" si="5"/>
        <v>250</v>
      </c>
      <c r="H31" s="27">
        <f t="shared" si="0"/>
        <v>0</v>
      </c>
      <c r="I31" s="28"/>
      <c r="J31" s="29"/>
      <c r="K31" s="26">
        <f t="shared" si="4"/>
        <v>250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33"/>
      <c r="C32" s="22"/>
      <c r="D32" s="23"/>
      <c r="E32" s="24"/>
      <c r="F32" s="25"/>
      <c r="G32" s="26">
        <f t="shared" si="5"/>
        <v>250</v>
      </c>
      <c r="H32" s="27">
        <f t="shared" si="0"/>
        <v>0</v>
      </c>
      <c r="I32" s="28"/>
      <c r="J32" s="29"/>
      <c r="K32" s="26">
        <f t="shared" si="4"/>
        <v>250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33"/>
      <c r="C33" s="22"/>
      <c r="D33" s="23"/>
      <c r="E33" s="24"/>
      <c r="F33" s="25"/>
      <c r="G33" s="26">
        <f t="shared" si="5"/>
        <v>250</v>
      </c>
      <c r="H33" s="27">
        <f t="shared" si="0"/>
        <v>0</v>
      </c>
      <c r="I33" s="28"/>
      <c r="J33" s="29"/>
      <c r="K33" s="26">
        <f t="shared" si="4"/>
        <v>250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33"/>
      <c r="C34" s="22"/>
      <c r="D34" s="23"/>
      <c r="E34" s="24"/>
      <c r="F34" s="25"/>
      <c r="G34" s="26">
        <f t="shared" si="5"/>
        <v>250</v>
      </c>
      <c r="H34" s="27">
        <f t="shared" si="0"/>
        <v>0</v>
      </c>
      <c r="I34" s="28"/>
      <c r="J34" s="29"/>
      <c r="K34" s="26">
        <f t="shared" si="4"/>
        <v>250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33"/>
      <c r="C35" s="22"/>
      <c r="D35" s="23"/>
      <c r="E35" s="24"/>
      <c r="F35" s="25"/>
      <c r="G35" s="26">
        <f t="shared" si="5"/>
        <v>250</v>
      </c>
      <c r="H35" s="27">
        <f t="shared" si="0"/>
        <v>0</v>
      </c>
      <c r="I35" s="28"/>
      <c r="J35" s="29"/>
      <c r="K35" s="26">
        <f t="shared" si="4"/>
        <v>250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33"/>
      <c r="C36" s="22"/>
      <c r="D36" s="23"/>
      <c r="E36" s="24"/>
      <c r="F36" s="25"/>
      <c r="G36" s="26">
        <f t="shared" si="5"/>
        <v>250</v>
      </c>
      <c r="H36" s="27">
        <f t="shared" si="0"/>
        <v>0</v>
      </c>
      <c r="I36" s="28"/>
      <c r="J36" s="29"/>
      <c r="K36" s="26">
        <f t="shared" si="4"/>
        <v>250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22.085000000000001</v>
      </c>
      <c r="I37" s="41"/>
      <c r="J37" s="42"/>
      <c r="K37" s="43"/>
      <c r="L37" s="40">
        <f>SUM(L21:L36)</f>
        <v>24.890191548721074</v>
      </c>
      <c r="M37" s="41"/>
      <c r="N37" s="44">
        <f t="shared" si="2"/>
        <v>2.8051915487210728</v>
      </c>
      <c r="O37" s="45">
        <f t="shared" si="3"/>
        <v>0.12701795556808118</v>
      </c>
    </row>
    <row r="38" spans="2:15" ht="14.45" hidden="1" x14ac:dyDescent="0.3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4.4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250</v>
      </c>
      <c r="H39" s="27">
        <f t="shared" ref="H39:H45" si="6">G39*F39</f>
        <v>-0.35</v>
      </c>
      <c r="I39" s="28"/>
      <c r="J39" s="29">
        <f>+'Res (100kWh)'!$J$39</f>
        <v>2.0000000000000009E-4</v>
      </c>
      <c r="K39" s="26">
        <f>$F$16</f>
        <v>250</v>
      </c>
      <c r="L39" s="27">
        <f t="shared" ref="L39:L45" si="7">K39*J39</f>
        <v>5.0000000000000024E-2</v>
      </c>
      <c r="M39" s="28"/>
      <c r="N39" s="31">
        <f t="shared" si="2"/>
        <v>0.4</v>
      </c>
      <c r="O39" s="32">
        <f t="shared" si="3"/>
        <v>-1.142857142857143</v>
      </c>
    </row>
    <row r="40" spans="2:15" ht="14.45" hidden="1" x14ac:dyDescent="0.3">
      <c r="B40" s="46"/>
      <c r="C40" s="22"/>
      <c r="D40" s="23" t="s">
        <v>61</v>
      </c>
      <c r="E40" s="24"/>
      <c r="F40" s="25"/>
      <c r="G40" s="26">
        <f>$F$16</f>
        <v>250</v>
      </c>
      <c r="H40" s="27">
        <f t="shared" si="6"/>
        <v>0</v>
      </c>
      <c r="I40" s="47"/>
      <c r="J40" s="29"/>
      <c r="K40" s="26">
        <f>$F$16</f>
        <v>250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4.45" hidden="1" x14ac:dyDescent="0.3">
      <c r="B41" s="46"/>
      <c r="C41" s="22"/>
      <c r="D41" s="23" t="s">
        <v>61</v>
      </c>
      <c r="E41" s="24"/>
      <c r="F41" s="25"/>
      <c r="G41" s="26">
        <f>$F$16</f>
        <v>250</v>
      </c>
      <c r="H41" s="27">
        <f t="shared" si="6"/>
        <v>0</v>
      </c>
      <c r="I41" s="47"/>
      <c r="J41" s="29"/>
      <c r="K41" s="26">
        <f>$F$16</f>
        <v>250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4.45" hidden="1" x14ac:dyDescent="0.3">
      <c r="B42" s="46"/>
      <c r="C42" s="22"/>
      <c r="D42" s="23"/>
      <c r="E42" s="24"/>
      <c r="F42" s="25"/>
      <c r="G42" s="26">
        <f>$F$16</f>
        <v>250</v>
      </c>
      <c r="H42" s="27">
        <f t="shared" si="6"/>
        <v>0</v>
      </c>
      <c r="I42" s="47"/>
      <c r="J42" s="29"/>
      <c r="K42" s="26">
        <f>$F$16</f>
        <v>250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4.4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250</v>
      </c>
      <c r="H43" s="27">
        <f t="shared" si="6"/>
        <v>2.5000000000000001E-2</v>
      </c>
      <c r="I43" s="28"/>
      <c r="J43" s="29">
        <f>+'Res (100kWh)'!$J$43</f>
        <v>2.0000000000000001E-4</v>
      </c>
      <c r="K43" s="26">
        <f>$F$16</f>
        <v>250</v>
      </c>
      <c r="L43" s="27">
        <f t="shared" si="7"/>
        <v>0.05</v>
      </c>
      <c r="M43" s="28"/>
      <c r="N43" s="31">
        <f t="shared" si="2"/>
        <v>2.5000000000000001E-2</v>
      </c>
      <c r="O43" s="32">
        <f t="shared" si="3"/>
        <v>1</v>
      </c>
    </row>
    <row r="44" spans="2:15" s="34" customFormat="1" ht="14.45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10.100000000000023</v>
      </c>
      <c r="H44" s="184">
        <f t="shared" si="6"/>
        <v>0.95950000000000213</v>
      </c>
      <c r="I44" s="57"/>
      <c r="J44" s="185">
        <f>0.64*$F$54+0.18*$F$55+0.18*$F$56</f>
        <v>9.5000000000000001E-2</v>
      </c>
      <c r="K44" s="26">
        <f>$F$16*(1+$J$73)-$F$16</f>
        <v>9.0500000000000114</v>
      </c>
      <c r="L44" s="184">
        <f t="shared" si="7"/>
        <v>0.85975000000000112</v>
      </c>
      <c r="M44" s="57"/>
      <c r="N44" s="186">
        <f t="shared" si="2"/>
        <v>-9.9750000000001005E-2</v>
      </c>
      <c r="O44" s="187">
        <f t="shared" si="3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23.509500000000003</v>
      </c>
      <c r="I46" s="41"/>
      <c r="J46" s="53"/>
      <c r="K46" s="55"/>
      <c r="L46" s="54">
        <f>SUM(L38:L45)+L37</f>
        <v>26.639941548721076</v>
      </c>
      <c r="M46" s="41"/>
      <c r="N46" s="44">
        <f t="shared" si="2"/>
        <v>3.1304415487210733</v>
      </c>
      <c r="O46" s="45">
        <f t="shared" ref="O46:O64" si="8">IF((H46)=0,"",(N46/H46))</f>
        <v>0.13315644946600622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260.10000000000002</v>
      </c>
      <c r="H47" s="27">
        <f>G47*F47</f>
        <v>1.9767600000000001</v>
      </c>
      <c r="I47" s="28"/>
      <c r="J47" s="263">
        <f>+'Res (100kWh)'!$J$47</f>
        <v>7.4000000000000003E-3</v>
      </c>
      <c r="K47" s="70">
        <f>F16*(1+J73)</f>
        <v>259.05</v>
      </c>
      <c r="L47" s="27">
        <f>K47*J47</f>
        <v>1.9169700000000001</v>
      </c>
      <c r="M47" s="28"/>
      <c r="N47" s="31">
        <f t="shared" si="2"/>
        <v>-5.979000000000001E-2</v>
      </c>
      <c r="O47" s="32">
        <f t="shared" si="8"/>
        <v>-3.0246463910641661E-2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260.10000000000002</v>
      </c>
      <c r="H48" s="27">
        <f>G48*F48</f>
        <v>0.59823000000000004</v>
      </c>
      <c r="I48" s="28"/>
      <c r="J48" s="263">
        <f>+'Res (100kWh)'!$J$48</f>
        <v>2.3E-3</v>
      </c>
      <c r="K48" s="70">
        <f>K47</f>
        <v>259.05</v>
      </c>
      <c r="L48" s="27">
        <f>K48*J48</f>
        <v>0.59581499999999998</v>
      </c>
      <c r="M48" s="28"/>
      <c r="N48" s="31">
        <f t="shared" si="2"/>
        <v>-2.415000000000056E-3</v>
      </c>
      <c r="O48" s="32">
        <f t="shared" si="8"/>
        <v>-4.036908881199632E-3</v>
      </c>
    </row>
    <row r="49" spans="2:19" ht="14.45" x14ac:dyDescent="0.3">
      <c r="B49" s="50" t="s">
        <v>30</v>
      </c>
      <c r="C49" s="36"/>
      <c r="D49" s="36"/>
      <c r="E49" s="36"/>
      <c r="F49" s="60"/>
      <c r="G49" s="60"/>
      <c r="H49" s="54">
        <f>SUM(H46:H48)</f>
        <v>26.084490000000002</v>
      </c>
      <c r="I49" s="61"/>
      <c r="J49" s="62"/>
      <c r="K49" s="62"/>
      <c r="L49" s="54">
        <f>SUM(L46:L48)</f>
        <v>29.152726548721077</v>
      </c>
      <c r="M49" s="61"/>
      <c r="N49" s="44">
        <f t="shared" si="2"/>
        <v>3.0682365487210745</v>
      </c>
      <c r="O49" s="45">
        <f t="shared" si="8"/>
        <v>0.11762685598687474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260.10000000000002</v>
      </c>
      <c r="H50" s="66">
        <f t="shared" ref="H50:H56" si="9">G50*F50</f>
        <v>1.1444400000000001</v>
      </c>
      <c r="I50" s="28"/>
      <c r="J50" s="263">
        <f>+'Res (100kWh)'!$J$50</f>
        <v>4.4000000000000003E-3</v>
      </c>
      <c r="K50" s="70">
        <f>K48</f>
        <v>259.05</v>
      </c>
      <c r="L50" s="66">
        <f t="shared" ref="L50:L56" si="10">K50*J50</f>
        <v>1.1398200000000001</v>
      </c>
      <c r="M50" s="28"/>
      <c r="N50" s="31">
        <f t="shared" si="2"/>
        <v>-4.6200000000000685E-3</v>
      </c>
      <c r="O50" s="68">
        <f t="shared" si="8"/>
        <v>-4.0369088811995982E-3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260.10000000000002</v>
      </c>
      <c r="H51" s="66">
        <f t="shared" si="9"/>
        <v>0.33813000000000004</v>
      </c>
      <c r="I51" s="28"/>
      <c r="J51" s="263">
        <f>+'Res (100kWh)'!$J$51</f>
        <v>1.2999999999999999E-3</v>
      </c>
      <c r="K51" s="70">
        <f>K48</f>
        <v>259.05</v>
      </c>
      <c r="L51" s="66">
        <f t="shared" si="10"/>
        <v>0.33676499999999998</v>
      </c>
      <c r="M51" s="28"/>
      <c r="N51" s="31">
        <f t="shared" si="2"/>
        <v>-1.3650000000000606E-3</v>
      </c>
      <c r="O51" s="68">
        <f t="shared" si="8"/>
        <v>-4.036908881199717E-3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250</v>
      </c>
      <c r="H53" s="66">
        <f t="shared" si="9"/>
        <v>1.75</v>
      </c>
      <c r="I53" s="28"/>
      <c r="J53" s="263">
        <f>+'Res (100kWh)'!$J$53</f>
        <v>7.0000000000000001E-3</v>
      </c>
      <c r="K53" s="70">
        <f>F16</f>
        <v>250</v>
      </c>
      <c r="L53" s="66">
        <f t="shared" si="10"/>
        <v>1.75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160</v>
      </c>
      <c r="H54" s="66">
        <f t="shared" si="9"/>
        <v>12.32</v>
      </c>
      <c r="I54" s="28"/>
      <c r="J54" s="263">
        <f>+'Res (100kWh)'!$J$54</f>
        <v>7.6999999999999999E-2</v>
      </c>
      <c r="K54" s="69">
        <f>G54</f>
        <v>160</v>
      </c>
      <c r="L54" s="66">
        <f t="shared" si="10"/>
        <v>12.32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45</v>
      </c>
      <c r="H55" s="66">
        <f t="shared" si="9"/>
        <v>5.13</v>
      </c>
      <c r="I55" s="28"/>
      <c r="J55" s="263">
        <f>+'Res (100kWh)'!$J$55</f>
        <v>0.114</v>
      </c>
      <c r="K55" s="69">
        <f>G55</f>
        <v>45</v>
      </c>
      <c r="L55" s="66">
        <f t="shared" si="10"/>
        <v>5.13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45</v>
      </c>
      <c r="H56" s="66">
        <f t="shared" si="9"/>
        <v>6.3000000000000007</v>
      </c>
      <c r="I56" s="28"/>
      <c r="J56" s="263">
        <f>+'Res (100kWh)'!$J$56</f>
        <v>0.14000000000000001</v>
      </c>
      <c r="K56" s="69">
        <f>G56</f>
        <v>45</v>
      </c>
      <c r="L56" s="66">
        <f t="shared" si="10"/>
        <v>6.3000000000000007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250</v>
      </c>
      <c r="H57" s="66">
        <f>G57*F57</f>
        <v>22</v>
      </c>
      <c r="I57" s="79"/>
      <c r="J57" s="263">
        <f>+'Res (100kWh)'!$J$57</f>
        <v>8.7999999999999995E-2</v>
      </c>
      <c r="K57" s="78">
        <f>G57</f>
        <v>250</v>
      </c>
      <c r="L57" s="66">
        <f>K57*J57</f>
        <v>22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63">
        <f>+'Res (100kWh)'!$J$58</f>
        <v>0.10299999999999999</v>
      </c>
      <c r="K58" s="78">
        <f>G58</f>
        <v>0</v>
      </c>
      <c r="L58" s="66">
        <f>K58*J58</f>
        <v>0</v>
      </c>
      <c r="M58" s="79"/>
      <c r="N58" s="80">
        <f t="shared" si="2"/>
        <v>0</v>
      </c>
      <c r="O58" s="68" t="str">
        <f t="shared" si="8"/>
        <v/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53.317059999999998</v>
      </c>
      <c r="I60" s="95"/>
      <c r="J60" s="96"/>
      <c r="K60" s="96"/>
      <c r="L60" s="190">
        <f>SUM(L50:L56,L49)</f>
        <v>56.379311548721077</v>
      </c>
      <c r="M60" s="97"/>
      <c r="N60" s="98">
        <f>L60-H60</f>
        <v>3.0622515487210791</v>
      </c>
      <c r="O60" s="99">
        <f>IF((H60)=0,"",(N60/H60))</f>
        <v>5.7434741313963658E-2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6.9312177999999998</v>
      </c>
      <c r="I61" s="104"/>
      <c r="J61" s="105">
        <v>0.13</v>
      </c>
      <c r="K61" s="104"/>
      <c r="L61" s="106">
        <f>L60*J61</f>
        <v>7.3293105013337403</v>
      </c>
      <c r="M61" s="107"/>
      <c r="N61" s="108">
        <f t="shared" si="2"/>
        <v>0.39809270133374053</v>
      </c>
      <c r="O61" s="109">
        <f t="shared" si="8"/>
        <v>5.7434741313963693E-2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60.248277799999997</v>
      </c>
      <c r="I62" s="104"/>
      <c r="J62" s="104"/>
      <c r="K62" s="104"/>
      <c r="L62" s="106">
        <f>L60+L61</f>
        <v>63.708622050054814</v>
      </c>
      <c r="M62" s="107"/>
      <c r="N62" s="108">
        <f t="shared" si="2"/>
        <v>3.4603442500548169</v>
      </c>
      <c r="O62" s="109">
        <f t="shared" si="8"/>
        <v>5.7434741313963616E-2</v>
      </c>
      <c r="S62" s="72"/>
    </row>
    <row r="63" spans="2:19" ht="15.75" customHeight="1" x14ac:dyDescent="0.25">
      <c r="B63" s="359" t="s">
        <v>43</v>
      </c>
      <c r="C63" s="359"/>
      <c r="D63" s="359"/>
      <c r="E63" s="22"/>
      <c r="F63" s="111"/>
      <c r="G63" s="102"/>
      <c r="H63" s="112">
        <f>ROUND(-H62*10%,2)</f>
        <v>-6.02</v>
      </c>
      <c r="I63" s="104"/>
      <c r="J63" s="104"/>
      <c r="K63" s="104"/>
      <c r="L63" s="113">
        <f>ROUND(-L62*10%,2)</f>
        <v>-6.37</v>
      </c>
      <c r="M63" s="107"/>
      <c r="N63" s="114">
        <f t="shared" si="2"/>
        <v>-0.35000000000000053</v>
      </c>
      <c r="O63" s="115">
        <f t="shared" si="8"/>
        <v>5.813953488372102E-2</v>
      </c>
    </row>
    <row r="64" spans="2:19" ht="15.75" thickBot="1" x14ac:dyDescent="0.3">
      <c r="B64" s="360" t="s">
        <v>44</v>
      </c>
      <c r="C64" s="360"/>
      <c r="D64" s="360"/>
      <c r="E64" s="116"/>
      <c r="F64" s="117"/>
      <c r="G64" s="118"/>
      <c r="H64" s="119">
        <f>H62+H63</f>
        <v>54.228277800000001</v>
      </c>
      <c r="I64" s="120"/>
      <c r="J64" s="120"/>
      <c r="K64" s="120"/>
      <c r="L64" s="121">
        <f>L62+L63</f>
        <v>57.338622050054816</v>
      </c>
      <c r="M64" s="122"/>
      <c r="N64" s="123">
        <f t="shared" si="2"/>
        <v>3.1103442500548155</v>
      </c>
      <c r="O64" s="124">
        <f t="shared" si="8"/>
        <v>5.7356500634707881E-2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51.567060000000005</v>
      </c>
      <c r="I66" s="136"/>
      <c r="J66" s="137"/>
      <c r="K66" s="137"/>
      <c r="L66" s="189">
        <f>SUM(L57:L58,L49,L50:L53)</f>
        <v>54.629311548721077</v>
      </c>
      <c r="M66" s="138"/>
      <c r="N66" s="139">
        <f>L66-H66</f>
        <v>3.062251548721072</v>
      </c>
      <c r="O66" s="99">
        <f>IF((H66)=0,"",(N66/H66))</f>
        <v>5.9383869251438258E-2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6.7037178000000006</v>
      </c>
      <c r="I67" s="143"/>
      <c r="J67" s="144">
        <v>0.13</v>
      </c>
      <c r="K67" s="145"/>
      <c r="L67" s="146">
        <f>L66*J67</f>
        <v>7.1018105013337403</v>
      </c>
      <c r="M67" s="147"/>
      <c r="N67" s="148">
        <f>L67-H67</f>
        <v>0.39809270133373964</v>
      </c>
      <c r="O67" s="109">
        <f>IF((H67)=0,"",(N67/H67))</f>
        <v>5.93838692514383E-2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58.270777800000005</v>
      </c>
      <c r="I68" s="143"/>
      <c r="J68" s="143"/>
      <c r="K68" s="143"/>
      <c r="L68" s="146">
        <f>L66+L67</f>
        <v>61.731122050054815</v>
      </c>
      <c r="M68" s="147"/>
      <c r="N68" s="148">
        <f>L68-H68</f>
        <v>3.4603442500548098</v>
      </c>
      <c r="O68" s="109">
        <f>IF((H68)=0,"",(N68/H68))</f>
        <v>5.938386925143823E-2</v>
      </c>
    </row>
    <row r="69" spans="1:15" s="73" customFormat="1" ht="15.75" customHeight="1" x14ac:dyDescent="0.2">
      <c r="B69" s="361" t="s">
        <v>43</v>
      </c>
      <c r="C69" s="361"/>
      <c r="D69" s="361"/>
      <c r="E69" s="75"/>
      <c r="F69" s="150"/>
      <c r="G69" s="151"/>
      <c r="H69" s="152">
        <f>ROUND(-H68*10%,2)</f>
        <v>-5.83</v>
      </c>
      <c r="I69" s="143"/>
      <c r="J69" s="143"/>
      <c r="K69" s="143"/>
      <c r="L69" s="153">
        <f>ROUND(-L68*10%,2)</f>
        <v>-6.17</v>
      </c>
      <c r="M69" s="147"/>
      <c r="N69" s="154">
        <f>L69-H69</f>
        <v>-0.33999999999999986</v>
      </c>
      <c r="O69" s="115">
        <f>IF((H69)=0,"",(N69/H69))</f>
        <v>5.8319039451114899E-2</v>
      </c>
    </row>
    <row r="70" spans="1:15" s="73" customFormat="1" ht="13.5" thickBot="1" x14ac:dyDescent="0.25">
      <c r="B70" s="352" t="s">
        <v>46</v>
      </c>
      <c r="C70" s="352"/>
      <c r="D70" s="352"/>
      <c r="E70" s="155"/>
      <c r="F70" s="156"/>
      <c r="G70" s="157"/>
      <c r="H70" s="158">
        <f>SUM(H68:H69)</f>
        <v>52.440777800000006</v>
      </c>
      <c r="I70" s="159"/>
      <c r="J70" s="159"/>
      <c r="K70" s="159"/>
      <c r="L70" s="160">
        <f>SUM(L68:L69)</f>
        <v>55.561122050054813</v>
      </c>
      <c r="M70" s="161"/>
      <c r="N70" s="162">
        <f>L70-H70</f>
        <v>3.1203442500548064</v>
      </c>
      <c r="O70" s="163">
        <f>IF((H70)=0,"",(N70/H70))</f>
        <v>5.9502249603452795E-2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D12:O12"/>
    <mergeCell ref="N1:O1"/>
    <mergeCell ref="N2:O2"/>
    <mergeCell ref="N5:O5"/>
    <mergeCell ref="B8:O8"/>
    <mergeCell ref="B9:O9"/>
    <mergeCell ref="N3:O3"/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T88"/>
  <sheetViews>
    <sheetView showGridLines="0" topLeftCell="A19" zoomScaleNormal="100" workbookViewId="0">
      <selection activeCell="J27" sqref="J2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/>
    </row>
    <row r="4" spans="1:20" s="2" customFormat="1" ht="9" customHeight="1" x14ac:dyDescent="0.3">
      <c r="L4" s="3"/>
      <c r="N4" s="311"/>
      <c r="O4"/>
      <c r="P4"/>
    </row>
    <row r="5" spans="1:20" s="2" customFormat="1" ht="14.45" x14ac:dyDescent="0.3">
      <c r="L5" s="3" t="s">
        <v>76</v>
      </c>
      <c r="N5" s="368">
        <v>42124</v>
      </c>
      <c r="O5" s="368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72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50</v>
      </c>
      <c r="G16" s="13" t="s">
        <v>7</v>
      </c>
      <c r="H16" s="264">
        <v>0.14000000000000001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v>0.33</v>
      </c>
      <c r="G21" s="265">
        <v>1</v>
      </c>
      <c r="H21" s="27">
        <f>G21*F21</f>
        <v>0.33</v>
      </c>
      <c r="I21" s="28"/>
      <c r="J21" s="173">
        <f>+'SL (1kW)'!J21</f>
        <v>0.37</v>
      </c>
      <c r="K21" s="270">
        <v>1</v>
      </c>
      <c r="L21" s="27">
        <f>K21*J21</f>
        <v>0.37</v>
      </c>
      <c r="M21" s="28"/>
      <c r="N21" s="31">
        <f>L21-H21</f>
        <v>3.999999999999998E-2</v>
      </c>
      <c r="O21" s="32">
        <f>IF((H21)=0,"",(N21/H21))</f>
        <v>0.12121212121212115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/>
      <c r="G22" s="265">
        <v>1</v>
      </c>
      <c r="H22" s="27">
        <f t="shared" ref="H22:H36" si="0">G22*F22</f>
        <v>0</v>
      </c>
      <c r="I22" s="28"/>
      <c r="J22" s="29"/>
      <c r="K22" s="27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14.45" hidden="1" x14ac:dyDescent="0.3">
      <c r="B23" s="175"/>
      <c r="C23" s="22"/>
      <c r="D23" s="56" t="s">
        <v>60</v>
      </c>
      <c r="E23" s="57"/>
      <c r="F23" s="173"/>
      <c r="G23" s="265">
        <v>1</v>
      </c>
      <c r="H23" s="27">
        <f t="shared" si="0"/>
        <v>0</v>
      </c>
      <c r="I23" s="28"/>
      <c r="J23" s="29"/>
      <c r="K23" s="27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4.45" hidden="1" x14ac:dyDescent="0.3">
      <c r="B24" s="175"/>
      <c r="C24" s="22"/>
      <c r="D24" s="56" t="s">
        <v>60</v>
      </c>
      <c r="E24" s="24"/>
      <c r="F24" s="25"/>
      <c r="G24" s="265">
        <v>1</v>
      </c>
      <c r="H24" s="27">
        <f t="shared" si="0"/>
        <v>0</v>
      </c>
      <c r="I24" s="28"/>
      <c r="J24" s="173"/>
      <c r="K24" s="27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70</v>
      </c>
      <c r="E25" s="24"/>
      <c r="F25" s="25">
        <v>-2.0799999999999999E-2</v>
      </c>
      <c r="G25" s="265">
        <f>$H$16</f>
        <v>0.14000000000000001</v>
      </c>
      <c r="H25" s="27">
        <f t="shared" si="0"/>
        <v>-2.9120000000000001E-3</v>
      </c>
      <c r="I25" s="28"/>
      <c r="J25" s="263">
        <v>-2.0799999999999999E-2</v>
      </c>
      <c r="K25" s="265">
        <f>$H$16</f>
        <v>0.14000000000000001</v>
      </c>
      <c r="L25" s="27">
        <f t="shared" si="1"/>
        <v>-2.9120000000000001E-3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70</v>
      </c>
      <c r="E26" s="24"/>
      <c r="F26" s="173"/>
      <c r="G26" s="265">
        <f>$H$16</f>
        <v>0.14000000000000001</v>
      </c>
      <c r="H26" s="27">
        <f t="shared" si="0"/>
        <v>0</v>
      </c>
      <c r="I26" s="28"/>
      <c r="J26" s="310">
        <v>-0.217</v>
      </c>
      <c r="K26" s="265">
        <f>$H$16</f>
        <v>0.14000000000000001</v>
      </c>
      <c r="L26" s="27">
        <f t="shared" si="1"/>
        <v>-3.0380000000000004E-2</v>
      </c>
      <c r="M26" s="28"/>
      <c r="N26" s="31">
        <f t="shared" si="2"/>
        <v>-3.0380000000000004E-2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8.6831999999999994</v>
      </c>
      <c r="G27" s="265">
        <f>$H$16</f>
        <v>0.14000000000000001</v>
      </c>
      <c r="H27" s="27">
        <f t="shared" si="0"/>
        <v>1.2156480000000001</v>
      </c>
      <c r="I27" s="28"/>
      <c r="J27" s="263">
        <f>+'SL (1kW)'!J27</f>
        <v>9.6486999999999998</v>
      </c>
      <c r="K27" s="265">
        <f>$H$16</f>
        <v>0.14000000000000001</v>
      </c>
      <c r="L27" s="27">
        <f t="shared" si="1"/>
        <v>1.3508180000000001</v>
      </c>
      <c r="M27" s="28"/>
      <c r="N27" s="31">
        <f t="shared" si="2"/>
        <v>0.13517000000000001</v>
      </c>
      <c r="O27" s="32">
        <f t="shared" si="3"/>
        <v>0.11119172655242307</v>
      </c>
    </row>
    <row r="28" spans="2:15" ht="14.45" hidden="1" x14ac:dyDescent="0.3">
      <c r="B28" s="22" t="s">
        <v>20</v>
      </c>
      <c r="C28" s="22"/>
      <c r="D28" s="23"/>
      <c r="E28" s="24"/>
      <c r="F28" s="25"/>
      <c r="G28" s="265">
        <f>$F$16</f>
        <v>50</v>
      </c>
      <c r="H28" s="27">
        <f t="shared" si="0"/>
        <v>0</v>
      </c>
      <c r="I28" s="28"/>
      <c r="J28" s="29"/>
      <c r="K28" s="265">
        <f t="shared" ref="K28:K36" si="4">$F$16</f>
        <v>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2" t="s">
        <v>21</v>
      </c>
      <c r="C29" s="22"/>
      <c r="D29" s="23"/>
      <c r="E29" s="24"/>
      <c r="F29" s="25"/>
      <c r="G29" s="265">
        <f>$F$16</f>
        <v>50</v>
      </c>
      <c r="H29" s="27">
        <f t="shared" si="0"/>
        <v>0</v>
      </c>
      <c r="I29" s="28"/>
      <c r="J29" s="29"/>
      <c r="K29" s="265">
        <f t="shared" si="4"/>
        <v>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33"/>
      <c r="C30" s="22"/>
      <c r="D30" s="23"/>
      <c r="E30" s="24"/>
      <c r="F30" s="25"/>
      <c r="G30" s="265">
        <f t="shared" ref="G30:G36" si="5">$F$16</f>
        <v>50</v>
      </c>
      <c r="H30" s="27">
        <f t="shared" si="0"/>
        <v>0</v>
      </c>
      <c r="I30" s="28"/>
      <c r="J30" s="29"/>
      <c r="K30" s="265">
        <f t="shared" si="4"/>
        <v>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33"/>
      <c r="C31" s="22"/>
      <c r="D31" s="23"/>
      <c r="E31" s="24"/>
      <c r="F31" s="25"/>
      <c r="G31" s="265">
        <f t="shared" si="5"/>
        <v>50</v>
      </c>
      <c r="H31" s="27">
        <f t="shared" si="0"/>
        <v>0</v>
      </c>
      <c r="I31" s="28"/>
      <c r="J31" s="29"/>
      <c r="K31" s="265">
        <f t="shared" si="4"/>
        <v>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33"/>
      <c r="C32" s="22"/>
      <c r="D32" s="23"/>
      <c r="E32" s="24"/>
      <c r="F32" s="25"/>
      <c r="G32" s="265">
        <f t="shared" si="5"/>
        <v>50</v>
      </c>
      <c r="H32" s="27">
        <f t="shared" si="0"/>
        <v>0</v>
      </c>
      <c r="I32" s="28"/>
      <c r="J32" s="29"/>
      <c r="K32" s="265">
        <f t="shared" si="4"/>
        <v>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33"/>
      <c r="C33" s="22"/>
      <c r="D33" s="23"/>
      <c r="E33" s="24"/>
      <c r="F33" s="25"/>
      <c r="G33" s="265">
        <f t="shared" si="5"/>
        <v>50</v>
      </c>
      <c r="H33" s="27">
        <f t="shared" si="0"/>
        <v>0</v>
      </c>
      <c r="I33" s="28"/>
      <c r="J33" s="29"/>
      <c r="K33" s="265">
        <f t="shared" si="4"/>
        <v>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33"/>
      <c r="C34" s="22"/>
      <c r="D34" s="23"/>
      <c r="E34" s="24"/>
      <c r="F34" s="25"/>
      <c r="G34" s="265">
        <f t="shared" si="5"/>
        <v>50</v>
      </c>
      <c r="H34" s="27">
        <f t="shared" si="0"/>
        <v>0</v>
      </c>
      <c r="I34" s="28"/>
      <c r="J34" s="29"/>
      <c r="K34" s="265">
        <f t="shared" si="4"/>
        <v>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33"/>
      <c r="C35" s="22"/>
      <c r="D35" s="23"/>
      <c r="E35" s="24"/>
      <c r="F35" s="25"/>
      <c r="G35" s="265">
        <f t="shared" si="5"/>
        <v>50</v>
      </c>
      <c r="H35" s="27">
        <f t="shared" si="0"/>
        <v>0</v>
      </c>
      <c r="I35" s="28"/>
      <c r="J35" s="29"/>
      <c r="K35" s="265">
        <f t="shared" si="4"/>
        <v>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33"/>
      <c r="C36" s="22"/>
      <c r="D36" s="23"/>
      <c r="E36" s="24"/>
      <c r="F36" s="25"/>
      <c r="G36" s="265">
        <f t="shared" si="5"/>
        <v>50</v>
      </c>
      <c r="H36" s="27">
        <f t="shared" si="0"/>
        <v>0</v>
      </c>
      <c r="I36" s="28"/>
      <c r="J36" s="29"/>
      <c r="K36" s="265">
        <f t="shared" si="4"/>
        <v>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266"/>
      <c r="H37" s="40">
        <f>SUM(H21:H36)</f>
        <v>1.5427360000000001</v>
      </c>
      <c r="I37" s="41"/>
      <c r="J37" s="271"/>
      <c r="K37" s="271"/>
      <c r="L37" s="40">
        <f>SUM(L21:L36)</f>
        <v>1.6875260000000001</v>
      </c>
      <c r="M37" s="41"/>
      <c r="N37" s="44">
        <f t="shared" si="2"/>
        <v>0.14478999999999997</v>
      </c>
      <c r="O37" s="45">
        <f t="shared" si="3"/>
        <v>9.3852739548438591E-2</v>
      </c>
    </row>
    <row r="38" spans="2:15" ht="14.45" x14ac:dyDescent="0.3">
      <c r="B38" s="296" t="s">
        <v>23</v>
      </c>
      <c r="C38" s="22"/>
      <c r="D38" s="56" t="s">
        <v>70</v>
      </c>
      <c r="E38" s="57"/>
      <c r="F38" s="29">
        <v>-0.51990000000000003</v>
      </c>
      <c r="G38" s="265">
        <f>G27</f>
        <v>0.14000000000000001</v>
      </c>
      <c r="H38" s="27">
        <f t="shared" ref="H38:H44" si="6">G38*F38</f>
        <v>-7.2786000000000017E-2</v>
      </c>
      <c r="I38" s="28"/>
      <c r="J38" s="263">
        <f>0.707-0.5199</f>
        <v>0.18709999999999993</v>
      </c>
      <c r="K38" s="265">
        <f>H16</f>
        <v>0.14000000000000001</v>
      </c>
      <c r="L38" s="27">
        <f t="shared" ref="L38:L44" si="7">K38*J38</f>
        <v>2.6193999999999992E-2</v>
      </c>
      <c r="M38" s="28"/>
      <c r="N38" s="31">
        <f t="shared" si="2"/>
        <v>9.8980000000000012E-2</v>
      </c>
      <c r="O38" s="32">
        <f t="shared" si="3"/>
        <v>-1.3598768994037314</v>
      </c>
    </row>
    <row r="39" spans="2:15" ht="14.45" hidden="1" x14ac:dyDescent="0.3">
      <c r="B39" s="296"/>
      <c r="C39" s="22"/>
      <c r="D39" s="23" t="s">
        <v>70</v>
      </c>
      <c r="E39" s="24"/>
      <c r="F39" s="25"/>
      <c r="G39" s="265">
        <f>H16</f>
        <v>0.14000000000000001</v>
      </c>
      <c r="H39" s="27">
        <f t="shared" si="6"/>
        <v>0</v>
      </c>
      <c r="I39" s="47"/>
      <c r="J39" s="263"/>
      <c r="K39" s="265">
        <f>H16</f>
        <v>0.14000000000000001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t="14.45" hidden="1" x14ac:dyDescent="0.3">
      <c r="B40" s="296"/>
      <c r="C40" s="22"/>
      <c r="D40" s="23" t="s">
        <v>70</v>
      </c>
      <c r="E40" s="24"/>
      <c r="F40" s="25"/>
      <c r="G40" s="265">
        <f>H16</f>
        <v>0.14000000000000001</v>
      </c>
      <c r="H40" s="27">
        <f t="shared" si="6"/>
        <v>0</v>
      </c>
      <c r="I40" s="47"/>
      <c r="J40" s="263"/>
      <c r="K40" s="265">
        <f>H16</f>
        <v>0.14000000000000001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" customHeight="1" x14ac:dyDescent="0.3">
      <c r="B41" s="296" t="s">
        <v>74</v>
      </c>
      <c r="C41" s="22"/>
      <c r="D41" s="23" t="s">
        <v>70</v>
      </c>
      <c r="E41" s="24"/>
      <c r="F41" s="29">
        <v>0.21390000000000001</v>
      </c>
      <c r="G41" s="265">
        <f>H16</f>
        <v>0.14000000000000001</v>
      </c>
      <c r="H41" s="27">
        <f t="shared" si="6"/>
        <v>2.9946000000000004E-2</v>
      </c>
      <c r="I41" s="47"/>
      <c r="J41" s="263">
        <f>1.1196+0.2139</f>
        <v>1.3334999999999999</v>
      </c>
      <c r="K41" s="265">
        <f>H16</f>
        <v>0.14000000000000001</v>
      </c>
      <c r="L41" s="27">
        <f t="shared" si="7"/>
        <v>0.18668999999999999</v>
      </c>
      <c r="M41" s="48"/>
      <c r="N41" s="31">
        <f t="shared" si="2"/>
        <v>0.15674399999999999</v>
      </c>
      <c r="O41" s="32">
        <f t="shared" si="3"/>
        <v>5.2342215988779799</v>
      </c>
    </row>
    <row r="42" spans="2:15" ht="14.45" x14ac:dyDescent="0.3">
      <c r="B42" s="49" t="s">
        <v>24</v>
      </c>
      <c r="C42" s="22"/>
      <c r="D42" s="23" t="s">
        <v>70</v>
      </c>
      <c r="E42" s="24"/>
      <c r="F42" s="25">
        <v>3.4099999999999998E-2</v>
      </c>
      <c r="G42" s="265">
        <f>H16</f>
        <v>0.14000000000000001</v>
      </c>
      <c r="H42" s="27">
        <f t="shared" si="6"/>
        <v>4.7740000000000005E-3</v>
      </c>
      <c r="I42" s="28"/>
      <c r="J42" s="263">
        <v>5.8000000000000003E-2</v>
      </c>
      <c r="K42" s="265">
        <f>H16</f>
        <v>0.14000000000000001</v>
      </c>
      <c r="L42" s="27">
        <f t="shared" si="7"/>
        <v>8.1200000000000005E-3</v>
      </c>
      <c r="M42" s="28"/>
      <c r="N42" s="31">
        <f t="shared" si="2"/>
        <v>3.346E-3</v>
      </c>
      <c r="O42" s="32">
        <f t="shared" si="3"/>
        <v>0.70087976539589436</v>
      </c>
    </row>
    <row r="43" spans="2:15" s="34" customFormat="1" x14ac:dyDescent="0.25">
      <c r="B43" s="181" t="s">
        <v>25</v>
      </c>
      <c r="C43" s="24"/>
      <c r="D43" s="182" t="s">
        <v>61</v>
      </c>
      <c r="E43" s="24"/>
      <c r="F43" s="396">
        <f>+F53</f>
        <v>0.10186000000000001</v>
      </c>
      <c r="G43" s="265">
        <f>$F$16*(1+$F$72)-$F$16</f>
        <v>2.019999999999996</v>
      </c>
      <c r="H43" s="184">
        <f t="shared" si="6"/>
        <v>0.20575719999999961</v>
      </c>
      <c r="I43" s="57"/>
      <c r="J43" s="397">
        <f>+J53</f>
        <v>0.10186000000000001</v>
      </c>
      <c r="K43" s="265">
        <f>$F$16*(1+$J$72)-$F$16</f>
        <v>1.8100000000000023</v>
      </c>
      <c r="L43" s="184">
        <f t="shared" si="7"/>
        <v>0.18436660000000024</v>
      </c>
      <c r="M43" s="57"/>
      <c r="N43" s="186">
        <f t="shared" si="2"/>
        <v>-2.1390599999999371E-2</v>
      </c>
      <c r="O43" s="187">
        <f t="shared" si="3"/>
        <v>-0.1039603960396011</v>
      </c>
    </row>
    <row r="44" spans="2:15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5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14.4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1.7104271999999998</v>
      </c>
      <c r="I45" s="41"/>
      <c r="J45" s="288"/>
      <c r="K45" s="55"/>
      <c r="L45" s="54">
        <f>SUM(L38:L44)+L37</f>
        <v>2.0928966000000004</v>
      </c>
      <c r="M45" s="41"/>
      <c r="N45" s="44">
        <f t="shared" si="2"/>
        <v>0.38246940000000063</v>
      </c>
      <c r="O45" s="45">
        <f t="shared" ref="O45:O63" si="8">IF((H45)=0,"",(N45/H45))</f>
        <v>0.22361045240627644</v>
      </c>
    </row>
    <row r="46" spans="2:15" ht="14.45" x14ac:dyDescent="0.3">
      <c r="B46" s="28" t="s">
        <v>28</v>
      </c>
      <c r="C46" s="28"/>
      <c r="D46" s="56" t="s">
        <v>70</v>
      </c>
      <c r="E46" s="57"/>
      <c r="F46" s="263">
        <v>2.1436999999999999</v>
      </c>
      <c r="G46" s="308">
        <f>H16</f>
        <v>0.14000000000000001</v>
      </c>
      <c r="H46" s="27">
        <f>G46*F46</f>
        <v>0.300118</v>
      </c>
      <c r="I46" s="28"/>
      <c r="J46" s="263">
        <v>2.0924</v>
      </c>
      <c r="K46" s="309">
        <f>+G46</f>
        <v>0.14000000000000001</v>
      </c>
      <c r="L46" s="27">
        <f>K46*J46</f>
        <v>0.29293600000000003</v>
      </c>
      <c r="M46" s="28"/>
      <c r="N46" s="31">
        <f t="shared" si="2"/>
        <v>-7.1819999999999662E-3</v>
      </c>
      <c r="O46" s="32">
        <f t="shared" si="8"/>
        <v>-2.3930587302327638E-2</v>
      </c>
    </row>
    <row r="47" spans="2:15" ht="14.45" x14ac:dyDescent="0.3">
      <c r="B47" s="59" t="s">
        <v>29</v>
      </c>
      <c r="C47" s="28"/>
      <c r="D47" s="56" t="s">
        <v>70</v>
      </c>
      <c r="E47" s="57"/>
      <c r="F47" s="263">
        <v>0.63100000000000001</v>
      </c>
      <c r="G47" s="308">
        <f>G46</f>
        <v>0.14000000000000001</v>
      </c>
      <c r="H47" s="27">
        <f>G47*F47</f>
        <v>8.8340000000000016E-2</v>
      </c>
      <c r="I47" s="28"/>
      <c r="J47" s="263">
        <v>0.621</v>
      </c>
      <c r="K47" s="309">
        <f>K46</f>
        <v>0.14000000000000001</v>
      </c>
      <c r="L47" s="27">
        <f>K47*J47</f>
        <v>8.6940000000000003E-2</v>
      </c>
      <c r="M47" s="28"/>
      <c r="N47" s="31">
        <f t="shared" si="2"/>
        <v>-1.4000000000000123E-3</v>
      </c>
      <c r="O47" s="32">
        <f t="shared" si="8"/>
        <v>-1.5847860538827394E-2</v>
      </c>
    </row>
    <row r="48" spans="2:15" ht="14.45" x14ac:dyDescent="0.3">
      <c r="B48" s="50" t="s">
        <v>30</v>
      </c>
      <c r="C48" s="36"/>
      <c r="D48" s="36"/>
      <c r="E48" s="36"/>
      <c r="F48" s="60"/>
      <c r="G48" s="267"/>
      <c r="H48" s="54">
        <f>SUM(H45:H47)</f>
        <v>2.0988851999999998</v>
      </c>
      <c r="I48" s="61"/>
      <c r="J48" s="62"/>
      <c r="K48" s="269"/>
      <c r="L48" s="54">
        <f>SUM(L45:L47)</f>
        <v>2.4727726000000003</v>
      </c>
      <c r="M48" s="61"/>
      <c r="N48" s="44">
        <f t="shared" si="2"/>
        <v>0.37388740000000054</v>
      </c>
      <c r="O48" s="45">
        <f t="shared" si="8"/>
        <v>0.17813618391325098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308">
        <f>F16*(1+F72)</f>
        <v>52.019999999999996</v>
      </c>
      <c r="H49" s="66">
        <f t="shared" ref="H49:H55" si="9">G49*F49</f>
        <v>0.22888800000000001</v>
      </c>
      <c r="I49" s="28"/>
      <c r="J49" s="263">
        <f>+F49</f>
        <v>4.4000000000000003E-3</v>
      </c>
      <c r="K49" s="309">
        <f>F16*(1+J72)</f>
        <v>51.81</v>
      </c>
      <c r="L49" s="66">
        <f t="shared" ref="L49:L55" si="10">K49*J49</f>
        <v>0.22796400000000003</v>
      </c>
      <c r="M49" s="28"/>
      <c r="N49" s="31">
        <f t="shared" si="2"/>
        <v>-9.2399999999998039E-4</v>
      </c>
      <c r="O49" s="68">
        <f t="shared" si="8"/>
        <v>-4.0369088811994525E-3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308">
        <f>G49</f>
        <v>52.019999999999996</v>
      </c>
      <c r="H50" s="66">
        <f t="shared" si="9"/>
        <v>6.7625999999999992E-2</v>
      </c>
      <c r="I50" s="28"/>
      <c r="J50" s="263">
        <f>+F50</f>
        <v>1.2999999999999999E-3</v>
      </c>
      <c r="K50" s="309">
        <f>K49</f>
        <v>51.81</v>
      </c>
      <c r="L50" s="66">
        <f t="shared" si="10"/>
        <v>6.7352999999999996E-2</v>
      </c>
      <c r="M50" s="28"/>
      <c r="N50" s="31">
        <f t="shared" si="2"/>
        <v>-2.7299999999999547E-4</v>
      </c>
      <c r="O50" s="68">
        <f t="shared" si="8"/>
        <v>-4.0369088811994724E-3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v>0.25</v>
      </c>
      <c r="G51" s="265">
        <v>1</v>
      </c>
      <c r="H51" s="66">
        <f t="shared" si="9"/>
        <v>0.25</v>
      </c>
      <c r="I51" s="28"/>
      <c r="J51" s="283">
        <f>+F51</f>
        <v>0.25</v>
      </c>
      <c r="K51" s="27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ht="14.45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265">
        <f>F16</f>
        <v>50</v>
      </c>
      <c r="H52" s="66">
        <f t="shared" si="9"/>
        <v>0.35000000000000003</v>
      </c>
      <c r="I52" s="28"/>
      <c r="J52" s="263">
        <f>+F52</f>
        <v>7.0000000000000001E-3</v>
      </c>
      <c r="K52" s="270">
        <f>F16</f>
        <v>50</v>
      </c>
      <c r="L52" s="66">
        <f t="shared" si="10"/>
        <v>0.35000000000000003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22" t="s">
        <v>98</v>
      </c>
      <c r="C53" s="22"/>
      <c r="D53" s="23" t="s">
        <v>61</v>
      </c>
      <c r="E53" s="24"/>
      <c r="F53" s="305">
        <f>+'GS 50-4999 (60kW)'!F53</f>
        <v>0.10186000000000001</v>
      </c>
      <c r="G53" s="265">
        <f>F16</f>
        <v>50</v>
      </c>
      <c r="H53" s="66">
        <f t="shared" si="9"/>
        <v>5.093</v>
      </c>
      <c r="I53" s="28"/>
      <c r="J53" s="344">
        <f>+F53</f>
        <v>0.10186000000000001</v>
      </c>
      <c r="K53" s="265">
        <f>F16</f>
        <v>50</v>
      </c>
      <c r="L53" s="66">
        <f t="shared" si="10"/>
        <v>5.093</v>
      </c>
      <c r="M53" s="28"/>
      <c r="N53" s="31">
        <f t="shared" si="2"/>
        <v>0</v>
      </c>
      <c r="O53" s="68">
        <f t="shared" si="8"/>
        <v>0</v>
      </c>
      <c r="S53" s="72"/>
    </row>
    <row r="54" spans="2:19" hidden="1" thickBot="1" x14ac:dyDescent="0.35">
      <c r="B54" s="49" t="s">
        <v>36</v>
      </c>
      <c r="C54" s="22"/>
      <c r="D54" s="23"/>
      <c r="E54" s="24"/>
      <c r="F54" s="71">
        <v>0.104</v>
      </c>
      <c r="G54" s="265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idden="1" thickBot="1" x14ac:dyDescent="0.35">
      <c r="B55" s="12" t="s">
        <v>37</v>
      </c>
      <c r="C55" s="22"/>
      <c r="D55" s="23"/>
      <c r="E55" s="24"/>
      <c r="F55" s="71">
        <v>0.124</v>
      </c>
      <c r="G55" s="265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idden="1" thickBot="1" x14ac:dyDescent="0.3">
      <c r="B56" s="180" t="s">
        <v>38</v>
      </c>
      <c r="C56" s="75"/>
      <c r="D56" s="76"/>
      <c r="E56" s="77"/>
      <c r="F56" s="71">
        <v>7.4999999999999997E-2</v>
      </c>
      <c r="G56" s="268">
        <f>IF(AND($T$1=1, F16&gt;=600), 600, IF(AND($T$1=1, AND(F16&lt;600, F16&gt;=0)), F16, IF(AND($T$1=2, F16&gt;=1000), 1000, IF(AND($T$1=2, AND(F16&lt;1000, F16&gt;=0)), F16))))</f>
        <v>50</v>
      </c>
      <c r="H56" s="66">
        <f>G56*F56</f>
        <v>3.75</v>
      </c>
      <c r="I56" s="79"/>
      <c r="J56" s="65">
        <v>7.4999999999999997E-2</v>
      </c>
      <c r="K56" s="78">
        <f>G56</f>
        <v>50</v>
      </c>
      <c r="L56" s="66">
        <f>K56*J56</f>
        <v>3.75</v>
      </c>
      <c r="M56" s="79"/>
      <c r="N56" s="80">
        <f t="shared" si="2"/>
        <v>0</v>
      </c>
      <c r="O56" s="68">
        <f t="shared" si="8"/>
        <v>0</v>
      </c>
    </row>
    <row r="57" spans="2:19" s="73" customFormat="1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26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thickBot="1" x14ac:dyDescent="0.35">
      <c r="B59" s="91" t="s">
        <v>40</v>
      </c>
      <c r="C59" s="22"/>
      <c r="D59" s="22"/>
      <c r="E59" s="22"/>
      <c r="F59" s="92"/>
      <c r="G59" s="93"/>
      <c r="H59" s="94">
        <f>SUM(H49:H55,H48)</f>
        <v>8.0883991999999996</v>
      </c>
      <c r="I59" s="95"/>
      <c r="J59" s="96"/>
      <c r="K59" s="96"/>
      <c r="L59" s="94">
        <f>SUM(L49:L55,L48)</f>
        <v>8.4610896000000011</v>
      </c>
      <c r="M59" s="97"/>
      <c r="N59" s="98">
        <f>L59-H59</f>
        <v>0.37269040000000153</v>
      </c>
      <c r="O59" s="99">
        <f>IF((H59)=0,"",(N59/H59))</f>
        <v>4.6077152077261659E-2</v>
      </c>
      <c r="S59" s="72"/>
    </row>
    <row r="60" spans="2:19" hidden="1" thickBot="1" x14ac:dyDescent="0.3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1.0514918959999999</v>
      </c>
      <c r="I60" s="104"/>
      <c r="J60" s="105">
        <v>0.13</v>
      </c>
      <c r="K60" s="104"/>
      <c r="L60" s="106">
        <f>L59*J60</f>
        <v>1.0999416480000002</v>
      </c>
      <c r="M60" s="107"/>
      <c r="N60" s="108">
        <f t="shared" si="2"/>
        <v>4.8449752000000235E-2</v>
      </c>
      <c r="O60" s="109">
        <f t="shared" si="8"/>
        <v>4.6077152077261693E-2</v>
      </c>
      <c r="S60" s="72"/>
    </row>
    <row r="61" spans="2:19" hidden="1" thickBot="1" x14ac:dyDescent="0.35">
      <c r="B61" s="110" t="s">
        <v>42</v>
      </c>
      <c r="C61" s="22"/>
      <c r="D61" s="22"/>
      <c r="E61" s="22"/>
      <c r="F61" s="111"/>
      <c r="G61" s="102"/>
      <c r="H61" s="103">
        <f>H59+H60</f>
        <v>9.1398910959999995</v>
      </c>
      <c r="I61" s="104"/>
      <c r="J61" s="104"/>
      <c r="K61" s="104"/>
      <c r="L61" s="106">
        <f>L59+L60</f>
        <v>9.5610312480000008</v>
      </c>
      <c r="M61" s="107"/>
      <c r="N61" s="108">
        <f t="shared" si="2"/>
        <v>0.42114015200000132</v>
      </c>
      <c r="O61" s="109">
        <f t="shared" si="8"/>
        <v>4.6077152077261617E-2</v>
      </c>
      <c r="S61" s="72"/>
    </row>
    <row r="62" spans="2:19" ht="15.75" hidden="1" customHeight="1" x14ac:dyDescent="0.3">
      <c r="B62" s="369" t="s">
        <v>43</v>
      </c>
      <c r="C62" s="369"/>
      <c r="D62" s="369"/>
      <c r="E62" s="22"/>
      <c r="F62" s="111"/>
      <c r="G62" s="102"/>
      <c r="H62" s="112">
        <f>ROUND(-H61*10%,2)</f>
        <v>-0.91</v>
      </c>
      <c r="I62" s="104"/>
      <c r="J62" s="104"/>
      <c r="K62" s="104"/>
      <c r="L62" s="113">
        <f>ROUND(-L61*10%,2)</f>
        <v>-0.96</v>
      </c>
      <c r="M62" s="107"/>
      <c r="N62" s="114">
        <f t="shared" si="2"/>
        <v>-4.9999999999999933E-2</v>
      </c>
      <c r="O62" s="115">
        <f t="shared" si="8"/>
        <v>5.4945054945054868E-2</v>
      </c>
    </row>
    <row r="63" spans="2:19" hidden="1" thickBot="1" x14ac:dyDescent="0.35">
      <c r="B63" s="360" t="s">
        <v>44</v>
      </c>
      <c r="C63" s="360"/>
      <c r="D63" s="360"/>
      <c r="E63" s="116"/>
      <c r="F63" s="117"/>
      <c r="G63" s="118"/>
      <c r="H63" s="119">
        <f>H61+H62</f>
        <v>8.2298910959999994</v>
      </c>
      <c r="I63" s="120"/>
      <c r="J63" s="120"/>
      <c r="K63" s="120"/>
      <c r="L63" s="121">
        <f>L61+L62</f>
        <v>8.6010312480000017</v>
      </c>
      <c r="M63" s="122"/>
      <c r="N63" s="123">
        <f t="shared" si="2"/>
        <v>0.37114015200000239</v>
      </c>
      <c r="O63" s="124">
        <f t="shared" si="8"/>
        <v>4.5096605492190391E-2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15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8.0883991999999996</v>
      </c>
      <c r="I65" s="136"/>
      <c r="J65" s="137"/>
      <c r="K65" s="137"/>
      <c r="L65" s="189">
        <f>SUM(L53,L48,L49:L52)</f>
        <v>8.4610895999999993</v>
      </c>
      <c r="M65" s="138"/>
      <c r="N65" s="139">
        <f>L65-H65</f>
        <v>0.37269039999999976</v>
      </c>
      <c r="O65" s="99">
        <f>IF((H65)=0,"",(N65/H65))</f>
        <v>4.6077152077261443E-2</v>
      </c>
    </row>
    <row r="66" spans="1:15" s="73" customFormat="1" ht="13.15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1.0514918959999999</v>
      </c>
      <c r="I66" s="143"/>
      <c r="J66" s="144">
        <v>0.13</v>
      </c>
      <c r="K66" s="145"/>
      <c r="L66" s="146">
        <f>L65*J66</f>
        <v>1.0999416479999999</v>
      </c>
      <c r="M66" s="147"/>
      <c r="N66" s="148">
        <f>L66-H66</f>
        <v>4.8449752000000013E-2</v>
      </c>
      <c r="O66" s="109">
        <f>IF((H66)=0,"",(N66/H66))</f>
        <v>4.6077152077261485E-2</v>
      </c>
    </row>
    <row r="67" spans="1:15" s="73" customFormat="1" ht="13.15" x14ac:dyDescent="0.25">
      <c r="B67" s="149" t="s">
        <v>42</v>
      </c>
      <c r="C67" s="75"/>
      <c r="D67" s="75"/>
      <c r="E67" s="75"/>
      <c r="F67" s="150"/>
      <c r="G67" s="151"/>
      <c r="H67" s="142">
        <f>H65+H66</f>
        <v>9.1398910959999995</v>
      </c>
      <c r="I67" s="143"/>
      <c r="J67" s="143"/>
      <c r="K67" s="143"/>
      <c r="L67" s="146">
        <f>L65+L66</f>
        <v>9.561031247999999</v>
      </c>
      <c r="M67" s="147"/>
      <c r="N67" s="148">
        <f>L67-H67</f>
        <v>0.42114015199999955</v>
      </c>
      <c r="O67" s="109">
        <f>IF((H67)=0,"",(N67/H67))</f>
        <v>4.6077152077261423E-2</v>
      </c>
    </row>
    <row r="68" spans="1:15" s="73" customFormat="1" ht="15.75" customHeight="1" x14ac:dyDescent="0.25">
      <c r="B68" s="370" t="s">
        <v>43</v>
      </c>
      <c r="C68" s="370"/>
      <c r="D68" s="370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9" thickBot="1" x14ac:dyDescent="0.3">
      <c r="B69" s="352" t="s">
        <v>46</v>
      </c>
      <c r="C69" s="352"/>
      <c r="D69" s="352"/>
      <c r="E69" s="155"/>
      <c r="F69" s="156"/>
      <c r="G69" s="157"/>
      <c r="H69" s="158">
        <f>SUM(H67:H68)</f>
        <v>9.1398910959999995</v>
      </c>
      <c r="I69" s="159"/>
      <c r="J69" s="159"/>
      <c r="K69" s="159"/>
      <c r="L69" s="160">
        <f>SUM(L67:L68)</f>
        <v>9.561031247999999</v>
      </c>
      <c r="M69" s="161"/>
      <c r="N69" s="162">
        <f>L69-H69</f>
        <v>0.42114015199999955</v>
      </c>
      <c r="O69" s="163">
        <f>IF((H69)=0,"",(N69/H69))</f>
        <v>4.6077152077261423E-2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5:O5"/>
    <mergeCell ref="B8:O8"/>
    <mergeCell ref="N3:O3"/>
  </mergeCells>
  <dataValidations count="3">
    <dataValidation type="list" allowBlank="1" showInputMessage="1" showErrorMessage="1" sqref="E46:E47 E38:E44 E21:E36 E49:E58 E70 E64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orientation="portrait" verticalDpi="4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T88"/>
  <sheetViews>
    <sheetView showGridLines="0" topLeftCell="A19" zoomScaleNormal="100" workbookViewId="0">
      <selection activeCell="J43" activeCellId="3" sqref="F53 J53 F43 J43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/>
    </row>
    <row r="4" spans="1:20" s="2" customFormat="1" ht="9" customHeight="1" x14ac:dyDescent="0.3">
      <c r="L4" s="3"/>
      <c r="N4" s="311"/>
      <c r="O4"/>
      <c r="P4"/>
    </row>
    <row r="5" spans="1:20" s="2" customFormat="1" ht="14.45" x14ac:dyDescent="0.3">
      <c r="L5" s="3" t="s">
        <v>76</v>
      </c>
      <c r="N5" s="368">
        <v>42124</v>
      </c>
      <c r="O5" s="368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73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150</v>
      </c>
      <c r="G16" s="13" t="s">
        <v>7</v>
      </c>
      <c r="H16" s="14"/>
      <c r="I16" s="13"/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v>15.98</v>
      </c>
      <c r="G21" s="26">
        <v>1</v>
      </c>
      <c r="H21" s="27">
        <f>G21*F21</f>
        <v>15.98</v>
      </c>
      <c r="I21" s="28"/>
      <c r="J21" s="283">
        <v>11.037599999999999</v>
      </c>
      <c r="K21" s="30">
        <v>1</v>
      </c>
      <c r="L21" s="27">
        <f>K21*J21</f>
        <v>11.037599999999999</v>
      </c>
      <c r="M21" s="28"/>
      <c r="N21" s="31">
        <f>L21-H21</f>
        <v>-4.942400000000001</v>
      </c>
      <c r="O21" s="32">
        <f>IF((H21)=0,"",(N21/H21))</f>
        <v>-0.30928660826032545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63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14.45" hidden="1" x14ac:dyDescent="0.3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t="14.45" hidden="1" x14ac:dyDescent="0.3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307">
        <v>-1.4999999999999999E-4</v>
      </c>
      <c r="G25" s="179">
        <f>$F$16</f>
        <v>150</v>
      </c>
      <c r="H25" s="27">
        <f t="shared" si="0"/>
        <v>-2.2499999999999999E-2</v>
      </c>
      <c r="I25" s="28"/>
      <c r="J25" s="263">
        <v>-1.4999999999999999E-4</v>
      </c>
      <c r="K25" s="179">
        <f>$F$16</f>
        <v>150</v>
      </c>
      <c r="L25" s="27">
        <f t="shared" si="1"/>
        <v>-2.2499999999999999E-2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173"/>
      <c r="G26" s="179">
        <f>$F$16</f>
        <v>150</v>
      </c>
      <c r="H26" s="27">
        <f t="shared" si="0"/>
        <v>0</v>
      </c>
      <c r="I26" s="28"/>
      <c r="J26" s="310">
        <v>-5.9999999999999995E-4</v>
      </c>
      <c r="K26" s="179">
        <f>$F$16</f>
        <v>150</v>
      </c>
      <c r="L26" s="27">
        <f t="shared" si="1"/>
        <v>-0.09</v>
      </c>
      <c r="M26" s="28"/>
      <c r="N26" s="31">
        <f t="shared" si="2"/>
        <v>-0.09</v>
      </c>
      <c r="O26" s="32" t="str">
        <f t="shared" si="3"/>
        <v/>
      </c>
    </row>
    <row r="27" spans="2:15" ht="14.45" x14ac:dyDescent="0.3">
      <c r="B27" s="22" t="s">
        <v>19</v>
      </c>
      <c r="C27" s="22"/>
      <c r="D27" s="23" t="s">
        <v>61</v>
      </c>
      <c r="E27" s="24"/>
      <c r="F27" s="25">
        <v>1.9900000000000001E-2</v>
      </c>
      <c r="G27" s="179">
        <f>$F$16</f>
        <v>150</v>
      </c>
      <c r="H27" s="27">
        <f t="shared" si="0"/>
        <v>2.9850000000000003</v>
      </c>
      <c r="I27" s="28"/>
      <c r="J27" s="263">
        <v>1.37E-2</v>
      </c>
      <c r="K27" s="179">
        <f>$F$16</f>
        <v>150</v>
      </c>
      <c r="L27" s="27">
        <f t="shared" si="1"/>
        <v>2.0550000000000002</v>
      </c>
      <c r="M27" s="28"/>
      <c r="N27" s="31">
        <f t="shared" si="2"/>
        <v>-0.93000000000000016</v>
      </c>
      <c r="O27" s="32">
        <f t="shared" si="3"/>
        <v>-0.31155778894472363</v>
      </c>
    </row>
    <row r="28" spans="2:15" ht="14.45" hidden="1" x14ac:dyDescent="0.3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18.942499999999999</v>
      </c>
      <c r="I37" s="41"/>
      <c r="J37" s="43"/>
      <c r="K37" s="43"/>
      <c r="L37" s="40">
        <f>SUM(L21:L36)</f>
        <v>12.980099999999998</v>
      </c>
      <c r="M37" s="41"/>
      <c r="N37" s="44">
        <f t="shared" si="2"/>
        <v>-5.9624000000000006</v>
      </c>
      <c r="O37" s="45">
        <f t="shared" si="3"/>
        <v>-0.31476309885178838</v>
      </c>
    </row>
    <row r="38" spans="2:15" ht="14.45" x14ac:dyDescent="0.3">
      <c r="B38" s="296" t="s">
        <v>23</v>
      </c>
      <c r="C38" s="22"/>
      <c r="D38" s="56" t="s">
        <v>61</v>
      </c>
      <c r="E38" s="57"/>
      <c r="F38" s="29">
        <v>-1.5E-3</v>
      </c>
      <c r="G38" s="179">
        <f>F16</f>
        <v>150</v>
      </c>
      <c r="H38" s="27">
        <f t="shared" ref="H38:H44" si="6">G38*F38</f>
        <v>-0.22500000000000001</v>
      </c>
      <c r="I38" s="28"/>
      <c r="J38" s="263">
        <f>0.0016-0.0015</f>
        <v>1.0000000000000005E-4</v>
      </c>
      <c r="K38" s="179">
        <f>F16</f>
        <v>150</v>
      </c>
      <c r="L38" s="27">
        <f t="shared" ref="L38:L44" si="7">K38*J38</f>
        <v>1.5000000000000006E-2</v>
      </c>
      <c r="M38" s="28"/>
      <c r="N38" s="31">
        <f t="shared" ref="N38:N44" si="8">L38-H38</f>
        <v>0.24000000000000002</v>
      </c>
      <c r="O38" s="32">
        <f t="shared" ref="O38:O43" si="9">IF((H38)=0,"",(N38/H38))</f>
        <v>-1.0666666666666667</v>
      </c>
    </row>
    <row r="39" spans="2:15" ht="14.45" hidden="1" x14ac:dyDescent="0.3">
      <c r="B39" s="296"/>
      <c r="C39" s="22"/>
      <c r="D39" s="23" t="s">
        <v>61</v>
      </c>
      <c r="E39" s="24"/>
      <c r="F39" s="25"/>
      <c r="G39" s="179">
        <f>F16</f>
        <v>150</v>
      </c>
      <c r="H39" s="27">
        <f t="shared" si="6"/>
        <v>0</v>
      </c>
      <c r="I39" s="47"/>
      <c r="J39" s="263"/>
      <c r="K39" s="179">
        <f>F16</f>
        <v>150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t="14.45" hidden="1" x14ac:dyDescent="0.3">
      <c r="B40" s="296"/>
      <c r="C40" s="22"/>
      <c r="D40" s="23" t="s">
        <v>61</v>
      </c>
      <c r="E40" s="24"/>
      <c r="F40" s="25"/>
      <c r="G40" s="179">
        <f>F16</f>
        <v>150</v>
      </c>
      <c r="H40" s="27">
        <f t="shared" si="6"/>
        <v>0</v>
      </c>
      <c r="I40" s="47"/>
      <c r="J40" s="263"/>
      <c r="K40" s="179">
        <f>F16</f>
        <v>150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27.75" customHeight="1" x14ac:dyDescent="0.3">
      <c r="B41" s="296" t="s">
        <v>74</v>
      </c>
      <c r="C41" s="22"/>
      <c r="D41" s="23" t="s">
        <v>61</v>
      </c>
      <c r="E41" s="24"/>
      <c r="F41" s="29"/>
      <c r="G41" s="26">
        <f>$F$16</f>
        <v>150</v>
      </c>
      <c r="H41" s="27">
        <f t="shared" si="6"/>
        <v>0</v>
      </c>
      <c r="I41" s="47"/>
      <c r="J41" s="263">
        <v>0</v>
      </c>
      <c r="K41" s="26">
        <f>$F$16</f>
        <v>150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14.45" x14ac:dyDescent="0.3">
      <c r="B42" s="49" t="s">
        <v>24</v>
      </c>
      <c r="C42" s="22"/>
      <c r="D42" s="23" t="s">
        <v>61</v>
      </c>
      <c r="E42" s="24"/>
      <c r="F42" s="25">
        <v>1E-4</v>
      </c>
      <c r="G42" s="179">
        <f>F16</f>
        <v>150</v>
      </c>
      <c r="H42" s="27">
        <f t="shared" si="6"/>
        <v>1.5000000000000001E-2</v>
      </c>
      <c r="I42" s="28"/>
      <c r="J42" s="29">
        <v>2.0000000000000001E-4</v>
      </c>
      <c r="K42" s="179">
        <f>F16</f>
        <v>150</v>
      </c>
      <c r="L42" s="27">
        <f t="shared" si="7"/>
        <v>3.0000000000000002E-2</v>
      </c>
      <c r="M42" s="28"/>
      <c r="N42" s="31">
        <f t="shared" si="8"/>
        <v>1.5000000000000001E-2</v>
      </c>
      <c r="O42" s="32">
        <f t="shared" si="9"/>
        <v>1</v>
      </c>
    </row>
    <row r="43" spans="2:15" s="34" customFormat="1" x14ac:dyDescent="0.25">
      <c r="B43" s="181" t="s">
        <v>25</v>
      </c>
      <c r="C43" s="24"/>
      <c r="D43" s="182" t="s">
        <v>61</v>
      </c>
      <c r="E43" s="24"/>
      <c r="F43" s="396">
        <f>+F53</f>
        <v>0.10186000000000001</v>
      </c>
      <c r="G43" s="26">
        <f>$F$16*(1+$F$72)-$F$16</f>
        <v>6.0600000000000023</v>
      </c>
      <c r="H43" s="184">
        <f t="shared" si="6"/>
        <v>0.61727160000000025</v>
      </c>
      <c r="I43" s="57"/>
      <c r="J43" s="397">
        <f>+J53</f>
        <v>0.10186000000000001</v>
      </c>
      <c r="K43" s="26">
        <f>$F$16*(1+$J$72)-$F$16</f>
        <v>5.4300000000000068</v>
      </c>
      <c r="L43" s="184">
        <f t="shared" si="7"/>
        <v>0.5530998000000007</v>
      </c>
      <c r="M43" s="57"/>
      <c r="N43" s="186">
        <f t="shared" si="8"/>
        <v>-6.4171799999999557E-2</v>
      </c>
      <c r="O43" s="187">
        <f t="shared" si="9"/>
        <v>-0.10396039603960321</v>
      </c>
    </row>
    <row r="44" spans="2:15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14.4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19.3497716</v>
      </c>
      <c r="I45" s="41"/>
      <c r="J45" s="53"/>
      <c r="K45" s="55"/>
      <c r="L45" s="54">
        <f>SUM(L38:L44)+L37</f>
        <v>13.578199799999998</v>
      </c>
      <c r="M45" s="41"/>
      <c r="N45" s="44">
        <f t="shared" ref="N45:N63" si="10">L45-H45</f>
        <v>-5.771571800000002</v>
      </c>
      <c r="O45" s="45">
        <f t="shared" ref="O45:O63" si="11">IF((H45)=0,"",(N45/H45))</f>
        <v>-0.29827596517986815</v>
      </c>
    </row>
    <row r="46" spans="2:15" ht="14.45" x14ac:dyDescent="0.3">
      <c r="B46" s="28" t="s">
        <v>28</v>
      </c>
      <c r="C46" s="28"/>
      <c r="D46" s="56" t="s">
        <v>61</v>
      </c>
      <c r="E46" s="57"/>
      <c r="F46" s="263">
        <v>6.8999999999999999E-3</v>
      </c>
      <c r="G46" s="69">
        <f>F16*(1+F72)</f>
        <v>156.06</v>
      </c>
      <c r="H46" s="27">
        <f>G46*F46</f>
        <v>1.0768139999999999</v>
      </c>
      <c r="I46" s="28"/>
      <c r="J46" s="263">
        <v>6.7000000000000002E-3</v>
      </c>
      <c r="K46" s="70">
        <f>F16*(1+J72)</f>
        <v>155.43</v>
      </c>
      <c r="L46" s="27">
        <f>K46*J46</f>
        <v>1.0413810000000001</v>
      </c>
      <c r="M46" s="28"/>
      <c r="N46" s="31">
        <f t="shared" si="10"/>
        <v>-3.5432999999999826E-2</v>
      </c>
      <c r="O46" s="32">
        <f t="shared" si="11"/>
        <v>-3.2905404275947216E-2</v>
      </c>
    </row>
    <row r="47" spans="2:15" ht="14.45" x14ac:dyDescent="0.3">
      <c r="B47" s="59" t="s">
        <v>29</v>
      </c>
      <c r="C47" s="28"/>
      <c r="D47" s="56" t="s">
        <v>61</v>
      </c>
      <c r="E47" s="57"/>
      <c r="F47" s="263">
        <v>2.0999999999999999E-3</v>
      </c>
      <c r="G47" s="69">
        <f>G46</f>
        <v>156.06</v>
      </c>
      <c r="H47" s="27">
        <f>G47*F47</f>
        <v>0.32772599999999996</v>
      </c>
      <c r="I47" s="28"/>
      <c r="J47" s="263">
        <v>2.0999999999999999E-3</v>
      </c>
      <c r="K47" s="70">
        <f>K46</f>
        <v>155.43</v>
      </c>
      <c r="L47" s="27">
        <f>K47*J47</f>
        <v>0.326403</v>
      </c>
      <c r="M47" s="28"/>
      <c r="N47" s="31">
        <f t="shared" si="10"/>
        <v>-1.3229999999999631E-3</v>
      </c>
      <c r="O47" s="32">
        <f t="shared" si="11"/>
        <v>-4.0369088811994264E-3</v>
      </c>
    </row>
    <row r="48" spans="2:15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20.754311599999998</v>
      </c>
      <c r="I48" s="61"/>
      <c r="J48" s="62"/>
      <c r="K48" s="63"/>
      <c r="L48" s="54">
        <f>SUM(L45:L47)</f>
        <v>14.945983799999997</v>
      </c>
      <c r="M48" s="61"/>
      <c r="N48" s="44">
        <f t="shared" si="10"/>
        <v>-5.8083278000000007</v>
      </c>
      <c r="O48" s="45">
        <f t="shared" si="11"/>
        <v>-0.27986126025013525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69">
        <f>F16*(1+F72)</f>
        <v>156.06</v>
      </c>
      <c r="H49" s="66">
        <f t="shared" ref="H49:H55" si="12">G49*F49</f>
        <v>0.68666400000000005</v>
      </c>
      <c r="I49" s="28"/>
      <c r="J49" s="67">
        <f>+F49</f>
        <v>4.4000000000000003E-3</v>
      </c>
      <c r="K49" s="70">
        <f>F16*(1+J72)</f>
        <v>155.43</v>
      </c>
      <c r="L49" s="66">
        <f t="shared" ref="L49:L55" si="13">K49*J49</f>
        <v>0.68389200000000006</v>
      </c>
      <c r="M49" s="28"/>
      <c r="N49" s="31">
        <f t="shared" si="10"/>
        <v>-2.7719999999999967E-3</v>
      </c>
      <c r="O49" s="68">
        <f t="shared" si="11"/>
        <v>-4.0369088811995331E-3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69">
        <f>G49</f>
        <v>156.06</v>
      </c>
      <c r="H50" s="66">
        <f t="shared" si="12"/>
        <v>0.202878</v>
      </c>
      <c r="I50" s="28"/>
      <c r="J50" s="67">
        <f>+F50</f>
        <v>1.2999999999999999E-3</v>
      </c>
      <c r="K50" s="70">
        <f>K49</f>
        <v>155.43</v>
      </c>
      <c r="L50" s="66">
        <f t="shared" si="13"/>
        <v>0.20205899999999999</v>
      </c>
      <c r="M50" s="28"/>
      <c r="N50" s="31">
        <f t="shared" si="10"/>
        <v>-8.1900000000001416E-4</v>
      </c>
      <c r="O50" s="68">
        <f t="shared" si="11"/>
        <v>-4.0369088811996086E-3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177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ht="14.45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150</v>
      </c>
      <c r="H52" s="66">
        <f t="shared" si="12"/>
        <v>1.05</v>
      </c>
      <c r="I52" s="28"/>
      <c r="J52" s="67">
        <f>+F52</f>
        <v>7.0000000000000001E-3</v>
      </c>
      <c r="K52" s="70">
        <f>F16</f>
        <v>150</v>
      </c>
      <c r="L52" s="66">
        <f t="shared" si="13"/>
        <v>1.05</v>
      </c>
      <c r="M52" s="28"/>
      <c r="N52" s="31">
        <f t="shared" si="10"/>
        <v>0</v>
      </c>
      <c r="O52" s="68">
        <f t="shared" si="11"/>
        <v>0</v>
      </c>
    </row>
    <row r="53" spans="2:19" ht="15.75" thickBot="1" x14ac:dyDescent="0.3">
      <c r="B53" s="22" t="s">
        <v>98</v>
      </c>
      <c r="C53" s="22"/>
      <c r="D53" s="23" t="s">
        <v>61</v>
      </c>
      <c r="E53" s="24"/>
      <c r="F53" s="305">
        <f>+'GS 50-4999 (60kW)'!F53</f>
        <v>0.10186000000000001</v>
      </c>
      <c r="G53" s="69">
        <f>F16</f>
        <v>150</v>
      </c>
      <c r="H53" s="66">
        <f t="shared" si="12"/>
        <v>15.279000000000002</v>
      </c>
      <c r="I53" s="28"/>
      <c r="J53" s="305">
        <f>+F53</f>
        <v>0.10186000000000001</v>
      </c>
      <c r="K53" s="69">
        <f>F16</f>
        <v>150</v>
      </c>
      <c r="L53" s="66">
        <f t="shared" si="13"/>
        <v>15.279000000000002</v>
      </c>
      <c r="M53" s="28"/>
      <c r="N53" s="31">
        <f t="shared" si="10"/>
        <v>0</v>
      </c>
      <c r="O53" s="68">
        <f t="shared" si="11"/>
        <v>0</v>
      </c>
      <c r="S53" s="72"/>
    </row>
    <row r="54" spans="2:19" ht="14.45" hidden="1" x14ac:dyDescent="0.3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12"/>
        <v>0</v>
      </c>
      <c r="I54" s="28"/>
      <c r="J54" s="65">
        <v>0.104</v>
      </c>
      <c r="K54" s="58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t="14.45" hidden="1" x14ac:dyDescent="0.3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12"/>
        <v>0</v>
      </c>
      <c r="I55" s="28"/>
      <c r="J55" s="65">
        <v>0.124</v>
      </c>
      <c r="K55" s="58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t="14.45" hidden="1" x14ac:dyDescent="0.25">
      <c r="B56" s="180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6">
        <f>G56*F56</f>
        <v>11.25</v>
      </c>
      <c r="I56" s="79"/>
      <c r="J56" s="65">
        <v>7.4999999999999997E-2</v>
      </c>
      <c r="K56" s="78">
        <f>G56</f>
        <v>150</v>
      </c>
      <c r="L56" s="66">
        <f>K56*J56</f>
        <v>11.25</v>
      </c>
      <c r="M56" s="79"/>
      <c r="N56" s="80">
        <f t="shared" si="10"/>
        <v>0</v>
      </c>
      <c r="O56" s="68">
        <f t="shared" si="11"/>
        <v>0</v>
      </c>
    </row>
    <row r="57" spans="2:19" s="73" customFormat="1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4.45" hidden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38.222853600000001</v>
      </c>
      <c r="I59" s="95"/>
      <c r="J59" s="96"/>
      <c r="K59" s="96"/>
      <c r="L59" s="94">
        <f>SUM(L49:L55,L48)</f>
        <v>32.4109348</v>
      </c>
      <c r="M59" s="97"/>
      <c r="N59" s="98">
        <f>L59-H59</f>
        <v>-5.8119188000000008</v>
      </c>
      <c r="O59" s="99">
        <f>IF((H59)=0,"",(N59/H59))</f>
        <v>-0.15205350340457052</v>
      </c>
      <c r="S59" s="72"/>
    </row>
    <row r="60" spans="2:19" ht="14.45" hidden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4.9689709679999998</v>
      </c>
      <c r="I60" s="104"/>
      <c r="J60" s="105">
        <v>0.13</v>
      </c>
      <c r="K60" s="104"/>
      <c r="L60" s="106">
        <f>L59*J60</f>
        <v>4.2134215240000001</v>
      </c>
      <c r="M60" s="107"/>
      <c r="N60" s="108">
        <f t="shared" si="10"/>
        <v>-0.75554944399999968</v>
      </c>
      <c r="O60" s="109">
        <f t="shared" si="11"/>
        <v>-0.15205350340457044</v>
      </c>
      <c r="S60" s="72"/>
    </row>
    <row r="61" spans="2:19" ht="14.45" hidden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43.191824568000001</v>
      </c>
      <c r="I61" s="104"/>
      <c r="J61" s="104"/>
      <c r="K61" s="104"/>
      <c r="L61" s="106">
        <f>L59+L60</f>
        <v>36.624356323999997</v>
      </c>
      <c r="M61" s="107"/>
      <c r="N61" s="108">
        <f t="shared" si="10"/>
        <v>-6.5674682440000041</v>
      </c>
      <c r="O61" s="109">
        <f t="shared" si="11"/>
        <v>-0.15205350340457061</v>
      </c>
      <c r="S61" s="72"/>
    </row>
    <row r="62" spans="2:19" ht="15.75" hidden="1" customHeight="1" x14ac:dyDescent="0.3">
      <c r="B62" s="369" t="s">
        <v>43</v>
      </c>
      <c r="C62" s="369"/>
      <c r="D62" s="369"/>
      <c r="E62" s="22"/>
      <c r="F62" s="111"/>
      <c r="G62" s="102"/>
      <c r="H62" s="112">
        <f>ROUND(-H61*10%,2)</f>
        <v>-4.32</v>
      </c>
      <c r="I62" s="104"/>
      <c r="J62" s="104"/>
      <c r="K62" s="104"/>
      <c r="L62" s="113">
        <f>ROUND(-L61*10%,2)</f>
        <v>-3.66</v>
      </c>
      <c r="M62" s="107"/>
      <c r="N62" s="114">
        <f t="shared" si="10"/>
        <v>0.66000000000000014</v>
      </c>
      <c r="O62" s="115">
        <f t="shared" si="11"/>
        <v>-0.15277777777777779</v>
      </c>
    </row>
    <row r="63" spans="2:19" ht="14.45" hidden="1" x14ac:dyDescent="0.3">
      <c r="B63" s="360" t="s">
        <v>44</v>
      </c>
      <c r="C63" s="360"/>
      <c r="D63" s="360"/>
      <c r="E63" s="116"/>
      <c r="F63" s="117"/>
      <c r="G63" s="118"/>
      <c r="H63" s="119">
        <f>H61+H62</f>
        <v>38.871824568000001</v>
      </c>
      <c r="I63" s="120"/>
      <c r="J63" s="120"/>
      <c r="K63" s="120"/>
      <c r="L63" s="121">
        <f>L61+L62</f>
        <v>32.964356323999993</v>
      </c>
      <c r="M63" s="122"/>
      <c r="N63" s="123">
        <f t="shared" si="10"/>
        <v>-5.9074682440000075</v>
      </c>
      <c r="O63" s="124">
        <f t="shared" si="11"/>
        <v>-0.1519730115489136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15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38.222853599999993</v>
      </c>
      <c r="I65" s="136"/>
      <c r="J65" s="137"/>
      <c r="K65" s="137"/>
      <c r="L65" s="189">
        <f>SUM(L53,L48,L49:L52)</f>
        <v>32.410934799999993</v>
      </c>
      <c r="M65" s="138"/>
      <c r="N65" s="139">
        <f>L65-H65</f>
        <v>-5.8119188000000008</v>
      </c>
      <c r="O65" s="99">
        <f>IF((H65)=0,"",(N65/H65))</f>
        <v>-0.15205350340457055</v>
      </c>
    </row>
    <row r="66" spans="1:15" s="73" customFormat="1" ht="13.15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4.9689709679999989</v>
      </c>
      <c r="I66" s="143"/>
      <c r="J66" s="144">
        <v>0.13</v>
      </c>
      <c r="K66" s="145"/>
      <c r="L66" s="146">
        <f>L65*J66</f>
        <v>4.2134215239999993</v>
      </c>
      <c r="M66" s="147"/>
      <c r="N66" s="148">
        <f>L66-H66</f>
        <v>-0.75554944399999968</v>
      </c>
      <c r="O66" s="109">
        <f>IF((H66)=0,"",(N66/H66))</f>
        <v>-0.15205350340457047</v>
      </c>
    </row>
    <row r="67" spans="1:15" s="73" customFormat="1" ht="13.15" x14ac:dyDescent="0.25">
      <c r="B67" s="149" t="s">
        <v>42</v>
      </c>
      <c r="C67" s="75"/>
      <c r="D67" s="75"/>
      <c r="E67" s="75"/>
      <c r="F67" s="150"/>
      <c r="G67" s="151"/>
      <c r="H67" s="142">
        <f>H65+H66</f>
        <v>43.191824567999994</v>
      </c>
      <c r="I67" s="143"/>
      <c r="J67" s="143"/>
      <c r="K67" s="143"/>
      <c r="L67" s="146">
        <f>L65+L66</f>
        <v>36.62435632399999</v>
      </c>
      <c r="M67" s="147"/>
      <c r="N67" s="148">
        <f>L67-H67</f>
        <v>-6.5674682440000041</v>
      </c>
      <c r="O67" s="109">
        <f>IF((H67)=0,"",(N67/H67))</f>
        <v>-0.15205350340457063</v>
      </c>
    </row>
    <row r="68" spans="1:15" s="73" customFormat="1" ht="15.75" customHeight="1" x14ac:dyDescent="0.25">
      <c r="B68" s="370" t="s">
        <v>43</v>
      </c>
      <c r="C68" s="370"/>
      <c r="D68" s="370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9" thickBot="1" x14ac:dyDescent="0.3">
      <c r="B69" s="352" t="s">
        <v>46</v>
      </c>
      <c r="C69" s="352"/>
      <c r="D69" s="352"/>
      <c r="E69" s="155"/>
      <c r="F69" s="156"/>
      <c r="G69" s="157"/>
      <c r="H69" s="158">
        <f>SUM(H67:H68)</f>
        <v>43.191824567999994</v>
      </c>
      <c r="I69" s="159"/>
      <c r="J69" s="159"/>
      <c r="K69" s="159"/>
      <c r="L69" s="160">
        <f>SUM(L67:L68)</f>
        <v>36.62435632399999</v>
      </c>
      <c r="M69" s="161"/>
      <c r="N69" s="162">
        <f>L69-H69</f>
        <v>-6.5674682440000041</v>
      </c>
      <c r="O69" s="163">
        <f>IF((H69)=0,"",(N69/H69))</f>
        <v>-0.15205350340457063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S88"/>
  <sheetViews>
    <sheetView showGridLines="0" topLeftCell="A11" zoomScaleNormal="100" workbookViewId="0">
      <selection activeCell="J53" activeCellId="3" sqref="F43 J43 F53 J53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9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16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/>
    </row>
    <row r="2" spans="1:16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/>
    </row>
    <row r="3" spans="1:16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/>
    </row>
    <row r="4" spans="1:16" s="2" customFormat="1" ht="9" customHeight="1" x14ac:dyDescent="0.3">
      <c r="L4" s="3"/>
      <c r="N4" s="311"/>
      <c r="O4"/>
      <c r="P4"/>
    </row>
    <row r="5" spans="1:16" s="2" customFormat="1" ht="14.45" x14ac:dyDescent="0.3">
      <c r="L5" s="3" t="s">
        <v>76</v>
      </c>
      <c r="N5" s="368">
        <v>42124</v>
      </c>
      <c r="O5" s="368"/>
      <c r="P5"/>
    </row>
    <row r="6" spans="1:16" s="2" customFormat="1" ht="15" customHeight="1" x14ac:dyDescent="0.3">
      <c r="N6" s="7"/>
      <c r="O6"/>
      <c r="P6"/>
    </row>
    <row r="7" spans="1:16" ht="7.5" customHeight="1" x14ac:dyDescent="0.3">
      <c r="L7"/>
      <c r="M7"/>
      <c r="N7"/>
      <c r="O7"/>
      <c r="P7"/>
    </row>
    <row r="8" spans="1:16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16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16" ht="7.5" customHeight="1" x14ac:dyDescent="0.3">
      <c r="L10"/>
      <c r="M10"/>
      <c r="N10"/>
      <c r="O10"/>
      <c r="P10"/>
    </row>
    <row r="11" spans="1:16" ht="7.5" customHeight="1" x14ac:dyDescent="0.3">
      <c r="L11"/>
      <c r="M11"/>
      <c r="N11"/>
      <c r="O11"/>
      <c r="P11"/>
    </row>
    <row r="12" spans="1:16" ht="15.6" x14ac:dyDescent="0.3">
      <c r="B12" s="8" t="s">
        <v>3</v>
      </c>
      <c r="D12" s="367" t="s">
        <v>89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16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6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16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16" ht="14.45" x14ac:dyDescent="0.3">
      <c r="B16" s="12"/>
      <c r="D16" s="13" t="s">
        <v>6</v>
      </c>
      <c r="E16" s="13"/>
      <c r="F16" s="14">
        <v>2615000</v>
      </c>
      <c r="G16" s="13" t="s">
        <v>7</v>
      </c>
      <c r="H16" s="14">
        <v>6000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14.45" x14ac:dyDescent="0.3">
      <c r="B21" s="22" t="s">
        <v>18</v>
      </c>
      <c r="C21" s="22"/>
      <c r="D21" s="23" t="s">
        <v>60</v>
      </c>
      <c r="E21" s="24"/>
      <c r="F21" s="174"/>
      <c r="G21" s="26">
        <v>1</v>
      </c>
      <c r="H21" s="27">
        <f>G21*F21</f>
        <v>0</v>
      </c>
      <c r="I21" s="28"/>
      <c r="J21" s="173"/>
      <c r="K21" s="30">
        <v>1</v>
      </c>
      <c r="L21" s="27">
        <f>K21*J21</f>
        <v>0</v>
      </c>
      <c r="M21" s="28"/>
      <c r="N21" s="31">
        <f>L21-H21</f>
        <v>0</v>
      </c>
      <c r="O21" s="32" t="str">
        <f>IF((H21)=0,"",(N21/H21))</f>
        <v/>
      </c>
    </row>
    <row r="22" spans="2:15" ht="28.9" x14ac:dyDescent="0.3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14.45" x14ac:dyDescent="0.3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4.45" x14ac:dyDescent="0.3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70</v>
      </c>
      <c r="E25" s="24"/>
      <c r="F25" s="25"/>
      <c r="G25" s="179">
        <f>$H$16</f>
        <v>6000</v>
      </c>
      <c r="H25" s="27">
        <f t="shared" si="0"/>
        <v>0</v>
      </c>
      <c r="I25" s="28"/>
      <c r="J25" s="25"/>
      <c r="K25" s="179">
        <f>$H$16</f>
        <v>6000</v>
      </c>
      <c r="L25" s="27">
        <f t="shared" si="1"/>
        <v>0</v>
      </c>
      <c r="M25" s="28"/>
      <c r="N25" s="31">
        <f t="shared" si="2"/>
        <v>0</v>
      </c>
      <c r="O25" s="32" t="str">
        <f t="shared" si="3"/>
        <v/>
      </c>
    </row>
    <row r="26" spans="2:15" ht="14.45" x14ac:dyDescent="0.3">
      <c r="B26" s="296" t="s">
        <v>66</v>
      </c>
      <c r="C26" s="22"/>
      <c r="D26" s="23" t="s">
        <v>70</v>
      </c>
      <c r="E26" s="24"/>
      <c r="F26" s="25"/>
      <c r="G26" s="179">
        <f>$H$16</f>
        <v>6000</v>
      </c>
      <c r="H26" s="27">
        <f t="shared" si="0"/>
        <v>0</v>
      </c>
      <c r="I26" s="28"/>
      <c r="J26" s="284">
        <v>-0.25939791261736223</v>
      </c>
      <c r="K26" s="179">
        <f>$H$16</f>
        <v>6000</v>
      </c>
      <c r="L26" s="27">
        <f t="shared" si="1"/>
        <v>-1556.3874757041733</v>
      </c>
      <c r="M26" s="28"/>
      <c r="N26" s="31">
        <f t="shared" si="2"/>
        <v>-1556.3874757041733</v>
      </c>
      <c r="O26" s="32" t="str">
        <f t="shared" si="3"/>
        <v/>
      </c>
    </row>
    <row r="27" spans="2:15" ht="14.45" x14ac:dyDescent="0.3">
      <c r="B27" s="22" t="s">
        <v>19</v>
      </c>
      <c r="C27" s="22"/>
      <c r="D27" s="23" t="s">
        <v>70</v>
      </c>
      <c r="E27" s="24"/>
      <c r="F27" s="25">
        <v>1.26E-2</v>
      </c>
      <c r="G27" s="179">
        <f>$H$16</f>
        <v>6000</v>
      </c>
      <c r="H27" s="27">
        <f t="shared" si="0"/>
        <v>75.599999999999994</v>
      </c>
      <c r="I27" s="28"/>
      <c r="J27" s="263">
        <v>2.1299999999999999E-2</v>
      </c>
      <c r="K27" s="179">
        <f>$H$16</f>
        <v>6000</v>
      </c>
      <c r="L27" s="27">
        <f t="shared" si="1"/>
        <v>127.8</v>
      </c>
      <c r="M27" s="28"/>
      <c r="N27" s="31">
        <f t="shared" si="2"/>
        <v>52.2</v>
      </c>
      <c r="O27" s="32">
        <f t="shared" si="3"/>
        <v>0.69047619047619058</v>
      </c>
    </row>
    <row r="28" spans="2:15" ht="14.45" x14ac:dyDescent="0.3">
      <c r="B28" s="22" t="s">
        <v>20</v>
      </c>
      <c r="C28" s="22"/>
      <c r="D28" s="23"/>
      <c r="E28" s="24"/>
      <c r="F28" s="25"/>
      <c r="G28" s="26">
        <f>$F$16</f>
        <v>2615000</v>
      </c>
      <c r="H28" s="27">
        <f t="shared" si="0"/>
        <v>0</v>
      </c>
      <c r="I28" s="28"/>
      <c r="J28" s="263"/>
      <c r="K28" s="26">
        <f t="shared" ref="K28:K36" si="4">$F$16</f>
        <v>2615000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x14ac:dyDescent="0.3">
      <c r="B29" s="22" t="s">
        <v>21</v>
      </c>
      <c r="C29" s="22"/>
      <c r="D29" s="23"/>
      <c r="E29" s="24"/>
      <c r="F29" s="25"/>
      <c r="G29" s="26">
        <f>$F$16</f>
        <v>2615000</v>
      </c>
      <c r="H29" s="27">
        <f t="shared" si="0"/>
        <v>0</v>
      </c>
      <c r="I29" s="28"/>
      <c r="J29" s="29"/>
      <c r="K29" s="26">
        <f t="shared" si="4"/>
        <v>2615000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33"/>
      <c r="C30" s="22"/>
      <c r="D30" s="23"/>
      <c r="E30" s="24"/>
      <c r="F30" s="25"/>
      <c r="G30" s="26">
        <f t="shared" ref="G30:G36" si="5">$F$16</f>
        <v>2615000</v>
      </c>
      <c r="H30" s="27">
        <f t="shared" si="0"/>
        <v>0</v>
      </c>
      <c r="I30" s="28"/>
      <c r="J30" s="29"/>
      <c r="K30" s="26">
        <f t="shared" si="4"/>
        <v>2615000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33"/>
      <c r="C31" s="22"/>
      <c r="D31" s="23"/>
      <c r="E31" s="24"/>
      <c r="F31" s="25"/>
      <c r="G31" s="26">
        <f t="shared" si="5"/>
        <v>2615000</v>
      </c>
      <c r="H31" s="27">
        <f t="shared" si="0"/>
        <v>0</v>
      </c>
      <c r="I31" s="28"/>
      <c r="J31" s="29"/>
      <c r="K31" s="26">
        <f t="shared" si="4"/>
        <v>2615000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33"/>
      <c r="C32" s="22"/>
      <c r="D32" s="23"/>
      <c r="E32" s="24"/>
      <c r="F32" s="25"/>
      <c r="G32" s="26">
        <f t="shared" si="5"/>
        <v>2615000</v>
      </c>
      <c r="H32" s="27">
        <f t="shared" si="0"/>
        <v>0</v>
      </c>
      <c r="I32" s="28"/>
      <c r="J32" s="29"/>
      <c r="K32" s="26">
        <f t="shared" si="4"/>
        <v>2615000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33"/>
      <c r="C33" s="22"/>
      <c r="D33" s="23"/>
      <c r="E33" s="24"/>
      <c r="F33" s="25"/>
      <c r="G33" s="26">
        <f t="shared" si="5"/>
        <v>2615000</v>
      </c>
      <c r="H33" s="27">
        <f t="shared" si="0"/>
        <v>0</v>
      </c>
      <c r="I33" s="28"/>
      <c r="J33" s="29"/>
      <c r="K33" s="26">
        <f t="shared" si="4"/>
        <v>2615000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33"/>
      <c r="C34" s="22"/>
      <c r="D34" s="23"/>
      <c r="E34" s="24"/>
      <c r="F34" s="25"/>
      <c r="G34" s="26">
        <f t="shared" si="5"/>
        <v>2615000</v>
      </c>
      <c r="H34" s="27">
        <f t="shared" si="0"/>
        <v>0</v>
      </c>
      <c r="I34" s="28"/>
      <c r="J34" s="29"/>
      <c r="K34" s="26">
        <f t="shared" si="4"/>
        <v>2615000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33"/>
      <c r="C35" s="22"/>
      <c r="D35" s="23"/>
      <c r="E35" s="24"/>
      <c r="F35" s="25"/>
      <c r="G35" s="26">
        <f t="shared" si="5"/>
        <v>2615000</v>
      </c>
      <c r="H35" s="27">
        <f t="shared" si="0"/>
        <v>0</v>
      </c>
      <c r="I35" s="28"/>
      <c r="J35" s="29"/>
      <c r="K35" s="26">
        <f t="shared" si="4"/>
        <v>2615000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33"/>
      <c r="C36" s="22"/>
      <c r="D36" s="23"/>
      <c r="E36" s="24"/>
      <c r="F36" s="25"/>
      <c r="G36" s="26">
        <f t="shared" si="5"/>
        <v>2615000</v>
      </c>
      <c r="H36" s="27">
        <f t="shared" si="0"/>
        <v>0</v>
      </c>
      <c r="I36" s="28"/>
      <c r="J36" s="29"/>
      <c r="K36" s="26">
        <f t="shared" si="4"/>
        <v>2615000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75.599999999999994</v>
      </c>
      <c r="I37" s="41"/>
      <c r="J37" s="42"/>
      <c r="K37" s="43"/>
      <c r="L37" s="40">
        <f>SUM(L21:L36)</f>
        <v>-1428.5874757041734</v>
      </c>
      <c r="M37" s="41"/>
      <c r="N37" s="44">
        <f t="shared" si="2"/>
        <v>-1504.1874757041733</v>
      </c>
      <c r="O37" s="45">
        <f t="shared" si="3"/>
        <v>-19.896659731536683</v>
      </c>
    </row>
    <row r="38" spans="2:15" ht="14.45" x14ac:dyDescent="0.3">
      <c r="B38" s="296" t="s">
        <v>23</v>
      </c>
      <c r="C38" s="22"/>
      <c r="D38" s="56" t="s">
        <v>70</v>
      </c>
      <c r="E38" s="57"/>
      <c r="F38" s="29">
        <v>-0.58230000000000004</v>
      </c>
      <c r="G38" s="179">
        <f>G27</f>
        <v>6000</v>
      </c>
      <c r="H38" s="27">
        <f t="shared" ref="H38:H44" si="6">G38*F38</f>
        <v>-3493.8</v>
      </c>
      <c r="I38" s="28"/>
      <c r="J38" s="29">
        <f>0.5369-0.5823</f>
        <v>-4.5399999999999996E-2</v>
      </c>
      <c r="K38" s="179">
        <f>H16</f>
        <v>6000</v>
      </c>
      <c r="L38" s="27">
        <f t="shared" ref="L38:L44" si="7">K38*J38</f>
        <v>-272.39999999999998</v>
      </c>
      <c r="M38" s="28"/>
      <c r="N38" s="31">
        <f t="shared" si="2"/>
        <v>3221.4</v>
      </c>
      <c r="O38" s="32">
        <f t="shared" si="3"/>
        <v>-0.92203331616005491</v>
      </c>
    </row>
    <row r="39" spans="2:15" ht="14.45" hidden="1" x14ac:dyDescent="0.3">
      <c r="B39" s="46"/>
      <c r="C39" s="22"/>
      <c r="D39" s="23" t="s">
        <v>70</v>
      </c>
      <c r="E39" s="24"/>
      <c r="F39" s="25"/>
      <c r="G39" s="179">
        <f>H16</f>
        <v>6000</v>
      </c>
      <c r="H39" s="27">
        <f t="shared" si="6"/>
        <v>0</v>
      </c>
      <c r="I39" s="47"/>
      <c r="J39" s="29"/>
      <c r="K39" s="179">
        <f>H16</f>
        <v>6000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t="14.45" hidden="1" x14ac:dyDescent="0.3">
      <c r="B40" s="46"/>
      <c r="C40" s="22"/>
      <c r="D40" s="23" t="s">
        <v>70</v>
      </c>
      <c r="E40" s="24"/>
      <c r="F40" s="25"/>
      <c r="G40" s="179">
        <f>H16</f>
        <v>6000</v>
      </c>
      <c r="H40" s="27">
        <f t="shared" si="6"/>
        <v>0</v>
      </c>
      <c r="I40" s="47"/>
      <c r="J40" s="29"/>
      <c r="K40" s="179">
        <f>H16</f>
        <v>6000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26.45" x14ac:dyDescent="0.3">
      <c r="B41" s="296" t="s">
        <v>74</v>
      </c>
      <c r="C41" s="22"/>
      <c r="D41" s="23" t="s">
        <v>70</v>
      </c>
      <c r="E41" s="24"/>
      <c r="F41" s="29">
        <v>0.23960000000000001</v>
      </c>
      <c r="G41" s="179">
        <f>H16</f>
        <v>6000</v>
      </c>
      <c r="H41" s="27">
        <f>G41*F41</f>
        <v>1437.6000000000001</v>
      </c>
      <c r="I41" s="47"/>
      <c r="J41" s="29">
        <f>1.3679+0.2396</f>
        <v>1.6074999999999999</v>
      </c>
      <c r="K41" s="179">
        <f>H16</f>
        <v>6000</v>
      </c>
      <c r="L41" s="27">
        <f t="shared" si="7"/>
        <v>9645</v>
      </c>
      <c r="M41" s="48"/>
      <c r="N41" s="31">
        <f t="shared" si="2"/>
        <v>8207.4</v>
      </c>
      <c r="O41" s="32">
        <f t="shared" si="3"/>
        <v>5.7090984974958259</v>
      </c>
    </row>
    <row r="42" spans="2:15" x14ac:dyDescent="0.25">
      <c r="B42" s="49" t="s">
        <v>24</v>
      </c>
      <c r="C42" s="22"/>
      <c r="D42" s="23" t="s">
        <v>70</v>
      </c>
      <c r="E42" s="24"/>
      <c r="F42" s="25"/>
      <c r="G42" s="179">
        <f>H16</f>
        <v>6000</v>
      </c>
      <c r="H42" s="27">
        <f t="shared" si="6"/>
        <v>0</v>
      </c>
      <c r="I42" s="28"/>
      <c r="J42" s="29"/>
      <c r="K42" s="179">
        <f>H16</f>
        <v>6000</v>
      </c>
      <c r="L42" s="27">
        <f t="shared" si="7"/>
        <v>0</v>
      </c>
      <c r="M42" s="28"/>
      <c r="N42" s="31">
        <f t="shared" si="2"/>
        <v>0</v>
      </c>
      <c r="O42" s="32" t="str">
        <f t="shared" si="3"/>
        <v/>
      </c>
    </row>
    <row r="43" spans="2:15" s="34" customFormat="1" x14ac:dyDescent="0.25">
      <c r="B43" s="181" t="s">
        <v>25</v>
      </c>
      <c r="C43" s="24"/>
      <c r="D43" s="182" t="s">
        <v>61</v>
      </c>
      <c r="E43" s="24"/>
      <c r="F43" s="396">
        <f>+F53</f>
        <v>0.10186000000000001</v>
      </c>
      <c r="G43" s="26">
        <f>$F$16*(1+$F$72)-$F$16</f>
        <v>13074.999999999534</v>
      </c>
      <c r="H43" s="184">
        <f t="shared" si="6"/>
        <v>1331.8194999999525</v>
      </c>
      <c r="I43" s="57"/>
      <c r="J43" s="397">
        <f>+J53</f>
        <v>0.10186000000000001</v>
      </c>
      <c r="K43" s="26">
        <f>$F$16*(1+$J$72)-$F$16</f>
        <v>12290.5</v>
      </c>
      <c r="L43" s="184">
        <f t="shared" si="7"/>
        <v>1251.9103300000002</v>
      </c>
      <c r="M43" s="57"/>
      <c r="N43" s="186">
        <f t="shared" si="2"/>
        <v>-79.909169999952383</v>
      </c>
      <c r="O43" s="187">
        <f t="shared" si="3"/>
        <v>-5.9999999999966386E-2</v>
      </c>
    </row>
    <row r="44" spans="2:15" x14ac:dyDescent="0.25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-648.78050000004725</v>
      </c>
      <c r="I45" s="41"/>
      <c r="J45" s="53"/>
      <c r="K45" s="55"/>
      <c r="L45" s="54">
        <f>SUM(L38:L44)+L37</f>
        <v>9195.9228542958281</v>
      </c>
      <c r="M45" s="41"/>
      <c r="N45" s="44">
        <f t="shared" si="2"/>
        <v>9844.7033542958761</v>
      </c>
      <c r="O45" s="45">
        <f>-IF((H45)=0,"",(N45/H45))</f>
        <v>15.174166539060836</v>
      </c>
    </row>
    <row r="46" spans="2:15" x14ac:dyDescent="0.25">
      <c r="B46" s="28" t="s">
        <v>28</v>
      </c>
      <c r="C46" s="28"/>
      <c r="D46" s="56" t="s">
        <v>70</v>
      </c>
      <c r="E46" s="57"/>
      <c r="F46" s="29"/>
      <c r="G46" s="289">
        <f>+H16</f>
        <v>6000</v>
      </c>
      <c r="H46" s="27">
        <f>G46*F46</f>
        <v>0</v>
      </c>
      <c r="I46" s="28"/>
      <c r="J46" s="29"/>
      <c r="K46" s="290">
        <f>+G46</f>
        <v>6000</v>
      </c>
      <c r="L46" s="27">
        <f>K46*J46</f>
        <v>0</v>
      </c>
      <c r="M46" s="28"/>
      <c r="N46" s="31">
        <f t="shared" si="2"/>
        <v>0</v>
      </c>
      <c r="O46" s="32" t="str">
        <f t="shared" ref="O46:O63" si="8">IF((H46)=0,"",(N46/H46))</f>
        <v/>
      </c>
    </row>
    <row r="47" spans="2:15" x14ac:dyDescent="0.25">
      <c r="B47" s="59" t="s">
        <v>29</v>
      </c>
      <c r="C47" s="28"/>
      <c r="D47" s="56" t="s">
        <v>70</v>
      </c>
      <c r="E47" s="57"/>
      <c r="F47" s="29"/>
      <c r="G47" s="289">
        <f>G46</f>
        <v>6000</v>
      </c>
      <c r="H47" s="27">
        <f>G47*F47</f>
        <v>0</v>
      </c>
      <c r="I47" s="28"/>
      <c r="J47" s="29"/>
      <c r="K47" s="290">
        <f>K46</f>
        <v>6000</v>
      </c>
      <c r="L47" s="27">
        <f>K47*J47</f>
        <v>0</v>
      </c>
      <c r="M47" s="28"/>
      <c r="N47" s="31">
        <f t="shared" si="2"/>
        <v>0</v>
      </c>
      <c r="O47" s="32" t="str">
        <f t="shared" si="8"/>
        <v/>
      </c>
    </row>
    <row r="48" spans="2:15" x14ac:dyDescent="0.25">
      <c r="B48" s="50" t="s">
        <v>30</v>
      </c>
      <c r="C48" s="36"/>
      <c r="D48" s="36"/>
      <c r="E48" s="36"/>
      <c r="F48" s="60"/>
      <c r="G48" s="53"/>
      <c r="H48" s="54">
        <f>SUM(H45:H47)</f>
        <v>-648.78050000004725</v>
      </c>
      <c r="I48" s="61"/>
      <c r="J48" s="62"/>
      <c r="K48" s="63"/>
      <c r="L48" s="54">
        <f>SUM(L45:L47)</f>
        <v>9195.9228542958281</v>
      </c>
      <c r="M48" s="61"/>
      <c r="N48" s="44">
        <f t="shared" si="2"/>
        <v>9844.7033542958761</v>
      </c>
      <c r="O48" s="45">
        <f>-IF((H48)=0,"",(N48/H48))</f>
        <v>15.174166539060836</v>
      </c>
    </row>
    <row r="49" spans="2:19" x14ac:dyDescent="0.25">
      <c r="B49" s="64" t="s">
        <v>31</v>
      </c>
      <c r="C49" s="22"/>
      <c r="D49" s="23" t="s">
        <v>61</v>
      </c>
      <c r="E49" s="24"/>
      <c r="F49" s="65">
        <v>4.4000000000000003E-3</v>
      </c>
      <c r="G49" s="69">
        <f>F16*(1+F72)</f>
        <v>2628074.9999999995</v>
      </c>
      <c r="H49" s="66">
        <f t="shared" ref="H49:H55" si="9">G49*F49</f>
        <v>11563.529999999999</v>
      </c>
      <c r="I49" s="28"/>
      <c r="J49" s="263">
        <f>+F49</f>
        <v>4.4000000000000003E-3</v>
      </c>
      <c r="K49" s="70">
        <f>F16*(1+J72)</f>
        <v>2627290.5</v>
      </c>
      <c r="L49" s="66">
        <f t="shared" ref="L49:L55" si="10">K49*J49</f>
        <v>11560.0782</v>
      </c>
      <c r="M49" s="28"/>
      <c r="N49" s="31">
        <f t="shared" si="2"/>
        <v>-3.4517999999989115</v>
      </c>
      <c r="O49" s="68">
        <f t="shared" si="8"/>
        <v>-2.9850746268647306E-4</v>
      </c>
    </row>
    <row r="50" spans="2:19" x14ac:dyDescent="0.25">
      <c r="B50" s="64" t="s">
        <v>32</v>
      </c>
      <c r="C50" s="22"/>
      <c r="D50" s="23" t="s">
        <v>61</v>
      </c>
      <c r="E50" s="24"/>
      <c r="F50" s="65">
        <v>1.2999999999999999E-3</v>
      </c>
      <c r="G50" s="69">
        <f>G49</f>
        <v>2628074.9999999995</v>
      </c>
      <c r="H50" s="66">
        <f t="shared" si="9"/>
        <v>3416.497499999999</v>
      </c>
      <c r="I50" s="28"/>
      <c r="J50" s="263">
        <f>+F50</f>
        <v>1.2999999999999999E-3</v>
      </c>
      <c r="K50" s="70">
        <f>K49</f>
        <v>2627290.5</v>
      </c>
      <c r="L50" s="66">
        <f t="shared" si="10"/>
        <v>3415.4776499999998</v>
      </c>
      <c r="M50" s="28"/>
      <c r="N50" s="31">
        <f t="shared" si="2"/>
        <v>-1.0198499999992237</v>
      </c>
      <c r="O50" s="68">
        <f t="shared" si="8"/>
        <v>-2.9850746268634003E-4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9"/>
        <v>0.25</v>
      </c>
      <c r="I51" s="28"/>
      <c r="J51" s="283">
        <f>+F51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2615000</v>
      </c>
      <c r="H52" s="66">
        <f t="shared" si="9"/>
        <v>18305</v>
      </c>
      <c r="I52" s="28"/>
      <c r="J52" s="263">
        <f>+F52</f>
        <v>7.0000000000000001E-3</v>
      </c>
      <c r="K52" s="70">
        <f>F16</f>
        <v>2615000</v>
      </c>
      <c r="L52" s="66">
        <f t="shared" si="10"/>
        <v>18305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22" t="s">
        <v>98</v>
      </c>
      <c r="C53" s="22"/>
      <c r="D53" s="23" t="s">
        <v>61</v>
      </c>
      <c r="E53" s="24"/>
      <c r="F53" s="305">
        <f>+'GS 50-4999 (60kW)'!F53</f>
        <v>0.10186000000000001</v>
      </c>
      <c r="G53" s="69">
        <f>F16</f>
        <v>2615000</v>
      </c>
      <c r="H53" s="66">
        <f t="shared" si="9"/>
        <v>266363.90000000002</v>
      </c>
      <c r="I53" s="28"/>
      <c r="J53" s="305">
        <f>F53</f>
        <v>0.10186000000000001</v>
      </c>
      <c r="K53" s="69">
        <f>G53</f>
        <v>2615000</v>
      </c>
      <c r="L53" s="66">
        <f t="shared" si="10"/>
        <v>266363.90000000002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4.45" hidden="1" x14ac:dyDescent="0.3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4.45" hidden="1" x14ac:dyDescent="0.3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4.45" hidden="1" x14ac:dyDescent="0.25">
      <c r="B56" s="180" t="s">
        <v>38</v>
      </c>
      <c r="C56" s="75"/>
      <c r="D56" s="76"/>
      <c r="E56" s="77"/>
      <c r="F56" s="71">
        <v>7.4999999999999997E-2</v>
      </c>
      <c r="G56" s="78"/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78"/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15.75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299000.39699999994</v>
      </c>
      <c r="I59" s="95"/>
      <c r="J59" s="96"/>
      <c r="K59" s="96"/>
      <c r="L59" s="94">
        <f>SUM(L49:L55,L48)</f>
        <v>308840.62870429584</v>
      </c>
      <c r="M59" s="97"/>
      <c r="N59" s="98">
        <f>L59-H59</f>
        <v>9840.2317042959039</v>
      </c>
      <c r="O59" s="99">
        <f>IF((H59)=0,"",(N59/H59))</f>
        <v>3.2910430230284629E-2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38870.051609999995</v>
      </c>
      <c r="I60" s="104"/>
      <c r="J60" s="105">
        <v>0.13</v>
      </c>
      <c r="K60" s="104"/>
      <c r="L60" s="106">
        <f>L59*J60</f>
        <v>40149.281731558462</v>
      </c>
      <c r="M60" s="107"/>
      <c r="N60" s="108">
        <f t="shared" si="2"/>
        <v>1279.2301215584666</v>
      </c>
      <c r="O60" s="109">
        <f t="shared" si="8"/>
        <v>3.2910430230284608E-2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337870.44860999996</v>
      </c>
      <c r="I61" s="104"/>
      <c r="J61" s="104"/>
      <c r="K61" s="104"/>
      <c r="L61" s="106">
        <f>L59+L60</f>
        <v>348989.91043585428</v>
      </c>
      <c r="M61" s="107"/>
      <c r="N61" s="108">
        <f t="shared" si="2"/>
        <v>11119.46182585432</v>
      </c>
      <c r="O61" s="109">
        <f t="shared" si="8"/>
        <v>3.2910430230284476E-2</v>
      </c>
      <c r="S61" s="72"/>
    </row>
    <row r="62" spans="2:19" x14ac:dyDescent="0.25">
      <c r="B62" s="369" t="s">
        <v>43</v>
      </c>
      <c r="C62" s="369"/>
      <c r="D62" s="369"/>
      <c r="E62" s="22"/>
      <c r="F62" s="111"/>
      <c r="G62" s="102"/>
      <c r="H62" s="112"/>
      <c r="I62" s="104"/>
      <c r="J62" s="104"/>
      <c r="K62" s="104"/>
      <c r="L62" s="113"/>
      <c r="M62" s="107"/>
      <c r="N62" s="114">
        <f t="shared" si="2"/>
        <v>0</v>
      </c>
      <c r="O62" s="115" t="str">
        <f t="shared" si="8"/>
        <v/>
      </c>
    </row>
    <row r="63" spans="2:19" ht="15.75" thickBot="1" x14ac:dyDescent="0.3">
      <c r="B63" s="360" t="s">
        <v>44</v>
      </c>
      <c r="C63" s="360"/>
      <c r="D63" s="360"/>
      <c r="E63" s="116"/>
      <c r="F63" s="117"/>
      <c r="G63" s="118"/>
      <c r="H63" s="119">
        <f>H61+H62</f>
        <v>337870.44860999996</v>
      </c>
      <c r="I63" s="120"/>
      <c r="J63" s="120"/>
      <c r="K63" s="120"/>
      <c r="L63" s="121">
        <f>L61+L62</f>
        <v>348989.91043585428</v>
      </c>
      <c r="M63" s="122"/>
      <c r="N63" s="123">
        <f t="shared" si="2"/>
        <v>11119.46182585432</v>
      </c>
      <c r="O63" s="124">
        <f t="shared" si="8"/>
        <v>3.2910430230284476E-2</v>
      </c>
    </row>
    <row r="64" spans="2:19" s="73" customFormat="1" ht="15.75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299000.39699999994</v>
      </c>
      <c r="I65" s="136"/>
      <c r="J65" s="137"/>
      <c r="K65" s="137"/>
      <c r="L65" s="189">
        <f>SUM(L53,L48,L49:L52)</f>
        <v>308840.62870429584</v>
      </c>
      <c r="M65" s="138"/>
      <c r="N65" s="139">
        <f>L65-H65</f>
        <v>9840.2317042959039</v>
      </c>
      <c r="O65" s="99">
        <f>IF((H65)=0,"",(N65/H65))</f>
        <v>3.2910430230284629E-2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38870.051609999995</v>
      </c>
      <c r="I66" s="143"/>
      <c r="J66" s="144">
        <v>0.13</v>
      </c>
      <c r="K66" s="145"/>
      <c r="L66" s="146">
        <f>L65*J66</f>
        <v>40149.281731558462</v>
      </c>
      <c r="M66" s="147"/>
      <c r="N66" s="148">
        <f>L66-H66</f>
        <v>1279.2301215584666</v>
      </c>
      <c r="O66" s="109">
        <f>IF((H66)=0,"",(N66/H66))</f>
        <v>3.2910430230284608E-2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337870.44860999996</v>
      </c>
      <c r="I67" s="143"/>
      <c r="J67" s="143"/>
      <c r="K67" s="143"/>
      <c r="L67" s="146">
        <f>L65+L66</f>
        <v>348989.91043585428</v>
      </c>
      <c r="M67" s="147"/>
      <c r="N67" s="148">
        <f>L67-H67</f>
        <v>11119.46182585432</v>
      </c>
      <c r="O67" s="109">
        <f>IF((H67)=0,"",(N67/H67))</f>
        <v>3.2910430230284476E-2</v>
      </c>
    </row>
    <row r="68" spans="1:15" s="73" customFormat="1" ht="12.75" x14ac:dyDescent="0.2">
      <c r="B68" s="370" t="s">
        <v>43</v>
      </c>
      <c r="C68" s="370"/>
      <c r="D68" s="370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52" t="s">
        <v>46</v>
      </c>
      <c r="C69" s="352"/>
      <c r="D69" s="352"/>
      <c r="E69" s="155"/>
      <c r="F69" s="156"/>
      <c r="G69" s="157"/>
      <c r="H69" s="158">
        <f>SUM(H67:H68)</f>
        <v>337870.44860999996</v>
      </c>
      <c r="I69" s="159"/>
      <c r="J69" s="159"/>
      <c r="K69" s="159"/>
      <c r="L69" s="160">
        <f>SUM(L67:L68)</f>
        <v>348989.91043585428</v>
      </c>
      <c r="M69" s="161"/>
      <c r="N69" s="162">
        <f>L69-H69</f>
        <v>11119.46182585432</v>
      </c>
      <c r="O69" s="163">
        <f>IF((H69)=0,"",(N69/H69))</f>
        <v>3.2910430230284476E-2</v>
      </c>
    </row>
    <row r="70" spans="1:15" s="73" customFormat="1" ht="15.75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x14ac:dyDescent="0.25">
      <c r="L71" s="72"/>
    </row>
    <row r="72" spans="1:15" x14ac:dyDescent="0.25">
      <c r="B72" s="13" t="s">
        <v>47</v>
      </c>
      <c r="F72" s="170">
        <f>+'LU (14,500kW)'!F72</f>
        <v>5.0000000000000001E-3</v>
      </c>
      <c r="J72" s="346">
        <v>4.7000000000000002E-3</v>
      </c>
    </row>
    <row r="74" spans="1:15" x14ac:dyDescent="0.25">
      <c r="A74" s="171" t="s">
        <v>48</v>
      </c>
    </row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9:O9"/>
    <mergeCell ref="N1:O1"/>
    <mergeCell ref="N2:O2"/>
    <mergeCell ref="N5:O5"/>
    <mergeCell ref="B8:O8"/>
    <mergeCell ref="N3:O3"/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7" orientation="portrait" verticalDpi="4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1:K47"/>
  <sheetViews>
    <sheetView showGridLines="0" topLeftCell="A9" workbookViewId="0">
      <pane xSplit="4" ySplit="1" topLeftCell="E25" activePane="bottomRight" state="frozen"/>
      <selection activeCell="F37" sqref="F37"/>
      <selection pane="topRight" activeCell="F37" sqref="F37"/>
      <selection pane="bottomLeft" activeCell="F37" sqref="F37"/>
      <selection pane="bottomRight" activeCell="J14" sqref="J14:K14"/>
    </sheetView>
  </sheetViews>
  <sheetFormatPr defaultColWidth="9.140625" defaultRowHeight="14.25" x14ac:dyDescent="0.2"/>
  <cols>
    <col min="1" max="2" width="9.140625" style="205"/>
    <col min="3" max="3" width="10.42578125" style="205" customWidth="1"/>
    <col min="4" max="4" width="11.5703125" style="205" bestFit="1" customWidth="1"/>
    <col min="5" max="5" width="7.5703125" style="205" bestFit="1" customWidth="1"/>
    <col min="6" max="6" width="15" style="205" customWidth="1"/>
    <col min="7" max="8" width="14.5703125" style="205" bestFit="1" customWidth="1"/>
    <col min="9" max="9" width="14.7109375" style="205" customWidth="1"/>
    <col min="10" max="10" width="18" style="205" customWidth="1"/>
    <col min="11" max="11" width="15.85546875" style="205" bestFit="1" customWidth="1"/>
    <col min="12" max="16384" width="9.140625" style="205"/>
  </cols>
  <sheetData>
    <row r="1" spans="2:11" ht="13.9" x14ac:dyDescent="0.25">
      <c r="G1" s="373"/>
      <c r="H1" s="373"/>
      <c r="I1" s="373"/>
      <c r="J1" s="373"/>
    </row>
    <row r="2" spans="2:11" ht="13.9" x14ac:dyDescent="0.25">
      <c r="H2" s="206" t="s">
        <v>0</v>
      </c>
      <c r="I2" s="198"/>
      <c r="J2" s="198"/>
    </row>
    <row r="3" spans="2:11" ht="13.9" x14ac:dyDescent="0.25">
      <c r="H3" s="206" t="s">
        <v>83</v>
      </c>
      <c r="I3" s="199"/>
      <c r="J3" s="199"/>
    </row>
    <row r="4" spans="2:11" ht="13.9" x14ac:dyDescent="0.25">
      <c r="H4" s="206" t="s">
        <v>75</v>
      </c>
      <c r="I4" s="202"/>
    </row>
    <row r="5" spans="2:11" ht="13.9" x14ac:dyDescent="0.25">
      <c r="H5" s="206"/>
      <c r="I5" s="200"/>
      <c r="J5" s="200"/>
    </row>
    <row r="6" spans="2:11" ht="13.9" x14ac:dyDescent="0.25">
      <c r="H6" s="206" t="s">
        <v>76</v>
      </c>
      <c r="I6" s="200"/>
      <c r="J6" s="200"/>
    </row>
    <row r="7" spans="2:11" ht="13.9" x14ac:dyDescent="0.25">
      <c r="I7" s="206"/>
      <c r="J7" s="207"/>
    </row>
    <row r="8" spans="2:11" ht="14.45" thickBot="1" x14ac:dyDescent="0.3"/>
    <row r="9" spans="2:11" ht="47.25" customHeight="1" thickBot="1" x14ac:dyDescent="0.25">
      <c r="B9" s="374" t="s">
        <v>77</v>
      </c>
      <c r="C9" s="375"/>
      <c r="D9" s="276" t="s">
        <v>78</v>
      </c>
      <c r="E9" s="277" t="s">
        <v>69</v>
      </c>
      <c r="F9" s="276" t="s">
        <v>79</v>
      </c>
      <c r="G9" s="277" t="s">
        <v>86</v>
      </c>
      <c r="H9" s="276" t="s">
        <v>87</v>
      </c>
      <c r="I9" s="277" t="s">
        <v>80</v>
      </c>
      <c r="J9" s="276" t="s">
        <v>92</v>
      </c>
      <c r="K9" s="276" t="s">
        <v>99</v>
      </c>
    </row>
    <row r="10" spans="2:11" ht="13.9" x14ac:dyDescent="0.25">
      <c r="B10" s="208"/>
      <c r="C10" s="209"/>
      <c r="D10" s="210"/>
      <c r="E10" s="211"/>
      <c r="F10" s="212"/>
      <c r="G10" s="209"/>
      <c r="H10" s="212"/>
      <c r="I10" s="209"/>
      <c r="J10" s="212"/>
      <c r="K10" s="212"/>
    </row>
    <row r="11" spans="2:11" ht="13.9" x14ac:dyDescent="0.25">
      <c r="B11" s="376" t="s">
        <v>59</v>
      </c>
      <c r="C11" s="377"/>
      <c r="D11" s="213">
        <v>100</v>
      </c>
      <c r="E11" s="211"/>
      <c r="F11" s="212"/>
      <c r="G11" s="214">
        <f>'Res (100kWh)'!H64</f>
        <v>32.890611119999996</v>
      </c>
      <c r="H11" s="215">
        <f>'Res (100kWh)'!L64</f>
        <v>36.420768690054807</v>
      </c>
      <c r="I11" s="214">
        <f>H11-G11</f>
        <v>3.5301575700548113</v>
      </c>
      <c r="J11" s="216">
        <f>I11/G11</f>
        <v>0.10733025169934306</v>
      </c>
      <c r="K11" s="216">
        <f>+'Res (100kWh)'!O37</f>
        <v>0.17560830118215781</v>
      </c>
    </row>
    <row r="12" spans="2:11" ht="13.9" x14ac:dyDescent="0.25">
      <c r="B12" s="378" t="s">
        <v>81</v>
      </c>
      <c r="C12" s="379"/>
      <c r="D12" s="213">
        <v>250</v>
      </c>
      <c r="E12" s="211"/>
      <c r="F12" s="212"/>
      <c r="G12" s="214">
        <f>'Res (250kWh)'!H64</f>
        <v>54.228277800000001</v>
      </c>
      <c r="H12" s="215">
        <f>'Res (250kWh)'!L64</f>
        <v>57.338622050054816</v>
      </c>
      <c r="I12" s="214">
        <f t="shared" ref="I12:I17" si="0">H12-G12</f>
        <v>3.1103442500548155</v>
      </c>
      <c r="J12" s="216">
        <f t="shared" ref="J12:J17" si="1">I12/G12</f>
        <v>5.7356500634707881E-2</v>
      </c>
      <c r="K12" s="216">
        <f>+'Res (250kWh)'!O37</f>
        <v>0.12701795556808118</v>
      </c>
    </row>
    <row r="13" spans="2:11" ht="13.9" x14ac:dyDescent="0.25">
      <c r="B13" s="208"/>
      <c r="C13" s="209"/>
      <c r="D13" s="213">
        <v>500</v>
      </c>
      <c r="E13" s="211"/>
      <c r="F13" s="212"/>
      <c r="G13" s="214">
        <f>'Res (500kWh)'!H64</f>
        <v>89.781055600000002</v>
      </c>
      <c r="H13" s="215">
        <f>'Res (500kWh)'!L64</f>
        <v>92.198377650054823</v>
      </c>
      <c r="I13" s="214">
        <f t="shared" si="0"/>
        <v>2.4173220500548211</v>
      </c>
      <c r="J13" s="216">
        <f t="shared" si="1"/>
        <v>2.692463386512935E-2</v>
      </c>
      <c r="K13" s="216">
        <f>+'Res (500kWh)'!O37</f>
        <v>6.9068933310538719E-2</v>
      </c>
    </row>
    <row r="14" spans="2:11" ht="13.9" x14ac:dyDescent="0.25">
      <c r="B14" s="208"/>
      <c r="C14" s="209"/>
      <c r="D14" s="244">
        <v>800</v>
      </c>
      <c r="E14" s="211"/>
      <c r="F14" s="212"/>
      <c r="G14" s="214">
        <f>'Res (800kWh)'!H64</f>
        <v>132.45638896</v>
      </c>
      <c r="H14" s="215">
        <f>'Res (800kWh)'!L64</f>
        <v>134.02408437005482</v>
      </c>
      <c r="I14" s="214">
        <f t="shared" si="0"/>
        <v>1.5676954100548244</v>
      </c>
      <c r="J14" s="245">
        <f t="shared" si="1"/>
        <v>1.1835559027116818E-2</v>
      </c>
      <c r="K14" s="245">
        <f>+'Res (800kWh)'!O37</f>
        <v>2.1945122697792752E-2</v>
      </c>
    </row>
    <row r="15" spans="2:11" ht="13.9" x14ac:dyDescent="0.25">
      <c r="B15" s="208"/>
      <c r="C15" s="209"/>
      <c r="D15" s="217">
        <v>1000</v>
      </c>
      <c r="E15" s="211"/>
      <c r="F15" s="212"/>
      <c r="G15" s="214">
        <f>'Res (1,000kWh)'!H64</f>
        <v>160.90661120000001</v>
      </c>
      <c r="H15" s="215">
        <f>'Res (1,000kWh)'!L64</f>
        <v>161.9078888500548</v>
      </c>
      <c r="I15" s="214">
        <f t="shared" si="0"/>
        <v>1.0012776500547886</v>
      </c>
      <c r="J15" s="216">
        <f t="shared" si="1"/>
        <v>6.2227253596823535E-3</v>
      </c>
      <c r="K15" s="216">
        <f>+'Res (1,000kWh)'!O37</f>
        <v>-1.230663314444523E-3</v>
      </c>
    </row>
    <row r="16" spans="2:11" ht="13.9" x14ac:dyDescent="0.25">
      <c r="B16" s="208"/>
      <c r="C16" s="209"/>
      <c r="D16" s="217">
        <v>1500</v>
      </c>
      <c r="E16" s="211"/>
      <c r="F16" s="212"/>
      <c r="G16" s="214">
        <f>'Res (1,500kWh)'!H64</f>
        <v>232.0321668</v>
      </c>
      <c r="H16" s="215">
        <f>'Res (1,500kWh)'!L64</f>
        <v>231.61740005005481</v>
      </c>
      <c r="I16" s="214">
        <f t="shared" si="0"/>
        <v>-0.41476674994518703</v>
      </c>
      <c r="J16" s="216">
        <f t="shared" si="1"/>
        <v>-1.7875398728776041E-3</v>
      </c>
      <c r="K16" s="216">
        <f>+'Res (1,500kWh)'!O37</f>
        <v>-4.2315240454284524E-2</v>
      </c>
    </row>
    <row r="17" spans="2:11" ht="13.9" x14ac:dyDescent="0.25">
      <c r="B17" s="208"/>
      <c r="C17" s="209"/>
      <c r="D17" s="217">
        <v>2000</v>
      </c>
      <c r="E17" s="211"/>
      <c r="F17" s="212"/>
      <c r="G17" s="214">
        <f>'Res (2,000kWh)'!H64</f>
        <v>303.15772240000007</v>
      </c>
      <c r="H17" s="215">
        <f>'Res (2,000kWh)'!L64</f>
        <v>301.33691125005481</v>
      </c>
      <c r="I17" s="214">
        <f t="shared" si="0"/>
        <v>-1.8208111499452571</v>
      </c>
      <c r="J17" s="216">
        <f t="shared" si="1"/>
        <v>-6.0061513047746018E-3</v>
      </c>
      <c r="K17" s="216">
        <f>+'Res (2,000kWh)'!O37</f>
        <v>-6.9263348068436842E-2</v>
      </c>
    </row>
    <row r="18" spans="2:11" ht="13.9" x14ac:dyDescent="0.25">
      <c r="B18" s="218"/>
      <c r="C18" s="219"/>
      <c r="D18" s="220"/>
      <c r="E18" s="221"/>
      <c r="F18" s="222"/>
      <c r="G18" s="223"/>
      <c r="H18" s="224"/>
      <c r="I18" s="223"/>
      <c r="J18" s="225"/>
      <c r="K18" s="225"/>
    </row>
    <row r="19" spans="2:11" ht="13.9" x14ac:dyDescent="0.25">
      <c r="B19" s="226"/>
      <c r="C19" s="227"/>
      <c r="D19" s="228"/>
      <c r="E19" s="229"/>
      <c r="F19" s="230"/>
      <c r="G19" s="231"/>
      <c r="H19" s="232"/>
      <c r="I19" s="231"/>
      <c r="J19" s="233"/>
      <c r="K19" s="233"/>
    </row>
    <row r="20" spans="2:11" ht="13.9" x14ac:dyDescent="0.25">
      <c r="B20" s="380" t="s">
        <v>67</v>
      </c>
      <c r="C20" s="381"/>
      <c r="D20" s="217">
        <v>1000</v>
      </c>
      <c r="E20" s="211"/>
      <c r="F20" s="212"/>
      <c r="G20" s="214">
        <f>'GS&lt;50 (1,000kWh)'!H64</f>
        <v>175.52882440000002</v>
      </c>
      <c r="H20" s="215">
        <f>'GS&lt;50 (1,000kWh)'!L64</f>
        <v>177.61229973690791</v>
      </c>
      <c r="I20" s="214">
        <f>H20-G20</f>
        <v>2.0834753369078953</v>
      </c>
      <c r="J20" s="216">
        <f>I20/G20</f>
        <v>1.1869704842094842E-2</v>
      </c>
      <c r="K20" s="216">
        <f>+'GS&lt;50 (1,000kWh)'!O37</f>
        <v>1.5934896839139331E-2</v>
      </c>
    </row>
    <row r="21" spans="2:11" ht="13.9" x14ac:dyDescent="0.25">
      <c r="B21" s="378" t="s">
        <v>81</v>
      </c>
      <c r="C21" s="379"/>
      <c r="D21" s="247">
        <v>2000</v>
      </c>
      <c r="E21" s="211"/>
      <c r="F21" s="212"/>
      <c r="G21" s="214">
        <f>'GS&lt;50 (2,000kWh)'!H64</f>
        <v>311.89134880000006</v>
      </c>
      <c r="H21" s="215">
        <f>'GS&lt;50 (2,000kWh)'!L64</f>
        <v>316.65900673690788</v>
      </c>
      <c r="I21" s="214">
        <f>H21-G21</f>
        <v>4.767657936907824</v>
      </c>
      <c r="J21" s="248">
        <f>I21/G21</f>
        <v>1.5286278235197471E-2</v>
      </c>
      <c r="K21" s="248">
        <f>+'GS&lt;50 (2,000kWh)'!O37</f>
        <v>3.3714610649087123E-2</v>
      </c>
    </row>
    <row r="22" spans="2:11" ht="13.9" x14ac:dyDescent="0.25">
      <c r="B22" s="208"/>
      <c r="C22" s="209"/>
      <c r="D22" s="217">
        <v>5000</v>
      </c>
      <c r="E22" s="211"/>
      <c r="F22" s="212"/>
      <c r="G22" s="214">
        <f>'GS&lt;50 (5,000kWh)'!H64</f>
        <v>720.96892200000002</v>
      </c>
      <c r="H22" s="215">
        <f>'GS&lt;50 (5,000kWh)'!L64</f>
        <v>733.76912773690799</v>
      </c>
      <c r="I22" s="214">
        <f>H22-G22</f>
        <v>12.800205736907969</v>
      </c>
      <c r="J22" s="216">
        <f>I22/G22</f>
        <v>1.7754171291322274E-2</v>
      </c>
      <c r="K22" s="216">
        <f>+'GS&lt;50 (5,000kWh)'!O37</f>
        <v>5.9088970424211691E-2</v>
      </c>
    </row>
    <row r="23" spans="2:11" ht="13.9" x14ac:dyDescent="0.25">
      <c r="B23" s="208"/>
      <c r="C23" s="209"/>
      <c r="D23" s="217">
        <v>10000</v>
      </c>
      <c r="E23" s="211"/>
      <c r="F23" s="212"/>
      <c r="G23" s="214">
        <f>'GS&lt;50 (10,000kWh)'!H64</f>
        <v>1402.7815440000004</v>
      </c>
      <c r="H23" s="215">
        <f>'GS&lt;50 (10,000kWh)'!L64</f>
        <v>1428.962662736908</v>
      </c>
      <c r="I23" s="214">
        <f>H23-G23</f>
        <v>26.181118736907592</v>
      </c>
      <c r="J23" s="216">
        <f>I23/G23</f>
        <v>1.8663717703508356E-2</v>
      </c>
      <c r="K23" s="216">
        <f>+'GS&lt;50 (10,000kWh)'!O37</f>
        <v>7.459105886825762E-2</v>
      </c>
    </row>
    <row r="24" spans="2:11" ht="13.9" x14ac:dyDescent="0.25">
      <c r="B24" s="208"/>
      <c r="C24" s="209"/>
      <c r="D24" s="217">
        <v>15000</v>
      </c>
      <c r="E24" s="211"/>
      <c r="F24" s="212"/>
      <c r="G24" s="214">
        <f>'GS&lt;50 (15,000kWh)'!H64</f>
        <v>2084.5841660000006</v>
      </c>
      <c r="H24" s="215">
        <f>'GS&lt;50 (15,000kWh)'!L64</f>
        <v>2124.1461977369077</v>
      </c>
      <c r="I24" s="214">
        <f>H24-G24</f>
        <v>39.562031736907102</v>
      </c>
      <c r="J24" s="216">
        <f>I24/G24</f>
        <v>1.8978380620064197E-2</v>
      </c>
      <c r="K24" s="216">
        <f>+'GS&lt;50 (15,000kWh)'!O37</f>
        <v>8.1299868101744777E-2</v>
      </c>
    </row>
    <row r="25" spans="2:11" ht="13.9" x14ac:dyDescent="0.25">
      <c r="B25" s="218"/>
      <c r="C25" s="219"/>
      <c r="D25" s="234"/>
      <c r="E25" s="221"/>
      <c r="F25" s="222"/>
      <c r="G25" s="223"/>
      <c r="H25" s="224"/>
      <c r="I25" s="223"/>
      <c r="J25" s="225"/>
      <c r="K25" s="225"/>
    </row>
    <row r="26" spans="2:11" ht="13.9" x14ac:dyDescent="0.25">
      <c r="B26" s="226"/>
      <c r="C26" s="227"/>
      <c r="D26" s="235"/>
      <c r="E26" s="229"/>
      <c r="F26" s="230"/>
      <c r="G26" s="231"/>
      <c r="H26" s="232"/>
      <c r="I26" s="231"/>
      <c r="J26" s="233"/>
      <c r="K26" s="233"/>
    </row>
    <row r="27" spans="2:11" ht="13.9" x14ac:dyDescent="0.25">
      <c r="B27" s="382" t="s">
        <v>85</v>
      </c>
      <c r="C27" s="383"/>
      <c r="D27" s="236">
        <v>20000</v>
      </c>
      <c r="E27" s="211">
        <v>60</v>
      </c>
      <c r="F27" s="212"/>
      <c r="G27" s="214">
        <f>'GS 50-4999 (60kW)'!H69</f>
        <v>3368.9531624000001</v>
      </c>
      <c r="H27" s="215">
        <f>'GS 50-4999 (60kW)'!L69</f>
        <v>3534.5060272000001</v>
      </c>
      <c r="I27" s="214">
        <f>H27-G27</f>
        <v>165.55286479999995</v>
      </c>
      <c r="J27" s="216">
        <f>I27/G27</f>
        <v>4.914074396987525E-2</v>
      </c>
      <c r="K27" s="216">
        <f>+'GS 50-4999 (60kW)'!O37</f>
        <v>8.9915566182817569E-2</v>
      </c>
    </row>
    <row r="28" spans="2:11" ht="13.9" x14ac:dyDescent="0.25">
      <c r="B28" s="203"/>
      <c r="C28" s="204"/>
      <c r="D28" s="236">
        <v>40000</v>
      </c>
      <c r="E28" s="211">
        <v>100</v>
      </c>
      <c r="F28" s="212"/>
      <c r="G28" s="214">
        <f>'GS 50-4999 (100kW)'!H69</f>
        <v>6420.5548648000004</v>
      </c>
      <c r="H28" s="215">
        <f>'GS 50-4999 (100kW)'!L69</f>
        <v>6683.0763744000005</v>
      </c>
      <c r="I28" s="214">
        <f>H28-G28</f>
        <v>262.52150960000017</v>
      </c>
      <c r="J28" s="216">
        <f>I28/G28</f>
        <v>4.0887667051837849E-2</v>
      </c>
      <c r="K28" s="216">
        <f>+'GS 50-4999 (100kW)'!O37</f>
        <v>8.7061484957963425E-2</v>
      </c>
    </row>
    <row r="29" spans="2:11" ht="13.9" x14ac:dyDescent="0.25">
      <c r="B29" s="208"/>
      <c r="C29" s="209"/>
      <c r="D29" s="246">
        <v>100000</v>
      </c>
      <c r="E29" s="249">
        <v>250</v>
      </c>
      <c r="F29" s="212"/>
      <c r="G29" s="214">
        <f>+'GS 50-4999 (250kW)'!H69</f>
        <v>15848.614312000002</v>
      </c>
      <c r="H29" s="215">
        <f>+'GS 50-4999 (250kW)'!L69</f>
        <v>16482.425436000001</v>
      </c>
      <c r="I29" s="214">
        <f t="shared" ref="I29:I30" si="2">H29-G29</f>
        <v>633.81112399999984</v>
      </c>
      <c r="J29" s="250">
        <f t="shared" ref="J29:J30" si="3">I29/G29</f>
        <v>3.9991579801402624E-2</v>
      </c>
      <c r="K29" s="250">
        <f>+'GS 50-4999 (250kW)'!O37</f>
        <v>8.3746869670758492E-2</v>
      </c>
    </row>
    <row r="30" spans="2:11" ht="13.9" x14ac:dyDescent="0.25">
      <c r="B30" s="208"/>
      <c r="C30" s="209"/>
      <c r="D30" s="236">
        <v>200000</v>
      </c>
      <c r="E30" s="211">
        <v>500</v>
      </c>
      <c r="F30" s="212"/>
      <c r="G30" s="214">
        <f>+'GS 50-4999 (500kW)'!H69</f>
        <v>31562.046724</v>
      </c>
      <c r="H30" s="215">
        <f>+'GS 50-4999 (500kW)'!L69</f>
        <v>32814.673871999999</v>
      </c>
      <c r="I30" s="214">
        <f t="shared" si="2"/>
        <v>1252.6271479999996</v>
      </c>
      <c r="J30" s="216">
        <f t="shared" si="3"/>
        <v>3.9687766733058322E-2</v>
      </c>
      <c r="K30" s="216">
        <f>+'GS 50-4999 (500kW)'!O37</f>
        <v>8.2429614601196369E-2</v>
      </c>
    </row>
    <row r="31" spans="2:11" ht="13.9" x14ac:dyDescent="0.25">
      <c r="B31" s="384"/>
      <c r="C31" s="385"/>
      <c r="D31" s="236">
        <v>400000</v>
      </c>
      <c r="E31" s="237">
        <v>1000</v>
      </c>
      <c r="F31" s="212"/>
      <c r="G31" s="214">
        <f>'GS 50-4999 (1,000kW)'!H69</f>
        <v>60412.511547999995</v>
      </c>
      <c r="H31" s="215">
        <f>'GS 50-4999 (1,000kW)'!L69</f>
        <v>62902.770744000001</v>
      </c>
      <c r="I31" s="214">
        <f>H31-G31</f>
        <v>2490.2591960000063</v>
      </c>
      <c r="J31" s="216">
        <f>I31/G31</f>
        <v>4.1220918187144108E-2</v>
      </c>
      <c r="K31" s="216">
        <f>+'GS 50-4999 (1,000kW)'!O37</f>
        <v>8.1722341605863405E-2</v>
      </c>
    </row>
    <row r="32" spans="2:11" ht="13.9" x14ac:dyDescent="0.25">
      <c r="B32" s="218"/>
      <c r="C32" s="219"/>
      <c r="D32" s="234"/>
      <c r="E32" s="238"/>
      <c r="F32" s="222"/>
      <c r="G32" s="223"/>
      <c r="H32" s="224"/>
      <c r="I32" s="223"/>
      <c r="J32" s="225"/>
      <c r="K32" s="225"/>
    </row>
    <row r="33" spans="2:11" ht="13.9" x14ac:dyDescent="0.25">
      <c r="B33" s="226"/>
      <c r="C33" s="227"/>
      <c r="D33" s="235"/>
      <c r="E33" s="229"/>
      <c r="F33" s="230"/>
      <c r="G33" s="231"/>
      <c r="H33" s="232"/>
      <c r="I33" s="231"/>
      <c r="J33" s="233"/>
      <c r="K33" s="233"/>
    </row>
    <row r="34" spans="2:11" ht="13.9" x14ac:dyDescent="0.25">
      <c r="B34" s="386" t="s">
        <v>71</v>
      </c>
      <c r="C34" s="387"/>
      <c r="D34" s="251">
        <v>8000000</v>
      </c>
      <c r="E34" s="252">
        <v>14500</v>
      </c>
      <c r="F34" s="212"/>
      <c r="G34" s="214">
        <f>'LU (14,500kW)'!H69</f>
        <v>1163016.0800999999</v>
      </c>
      <c r="H34" s="215">
        <f>'LU (14,500kW)'!L69</f>
        <v>1190680.4530799999</v>
      </c>
      <c r="I34" s="214">
        <f>H34-G34</f>
        <v>27664.372979999986</v>
      </c>
      <c r="J34" s="253">
        <f>I34/G34</f>
        <v>2.3786750203506485E-2</v>
      </c>
      <c r="K34" s="253">
        <f>+'LU (14,500kW)'!O37</f>
        <v>0.18135125857978646</v>
      </c>
    </row>
    <row r="35" spans="2:11" ht="13.9" x14ac:dyDescent="0.25">
      <c r="B35" s="196"/>
      <c r="C35" s="197"/>
      <c r="D35" s="234"/>
      <c r="E35" s="238"/>
      <c r="F35" s="222"/>
      <c r="G35" s="223"/>
      <c r="H35" s="224"/>
      <c r="I35" s="223"/>
      <c r="J35" s="225"/>
      <c r="K35" s="225"/>
    </row>
    <row r="36" spans="2:11" ht="13.9" x14ac:dyDescent="0.25">
      <c r="B36" s="226"/>
      <c r="C36" s="227"/>
      <c r="D36" s="235"/>
      <c r="E36" s="229"/>
      <c r="F36" s="230"/>
      <c r="G36" s="231"/>
      <c r="H36" s="232"/>
      <c r="I36" s="231"/>
      <c r="J36" s="233"/>
      <c r="K36" s="233"/>
    </row>
    <row r="37" spans="2:11" ht="13.9" x14ac:dyDescent="0.25">
      <c r="B37" s="388" t="s">
        <v>82</v>
      </c>
      <c r="C37" s="389"/>
      <c r="D37" s="259">
        <v>150</v>
      </c>
      <c r="E37" s="211"/>
      <c r="F37" s="239">
        <v>1</v>
      </c>
      <c r="G37" s="214">
        <f>'USL (150kWh)'!H69</f>
        <v>43.191824567999994</v>
      </c>
      <c r="H37" s="215">
        <f>'USL (150kWh)'!L69</f>
        <v>36.62435632399999</v>
      </c>
      <c r="I37" s="214">
        <f>H37-G37</f>
        <v>-6.5674682440000041</v>
      </c>
      <c r="J37" s="254">
        <f>I37/G37</f>
        <v>-0.15205350340457063</v>
      </c>
      <c r="K37" s="254">
        <f>+'USL (150kWh)'!O37</f>
        <v>-0.31476309885178838</v>
      </c>
    </row>
    <row r="38" spans="2:11" ht="13.9" x14ac:dyDescent="0.25">
      <c r="B38" s="196"/>
      <c r="C38" s="197"/>
      <c r="D38" s="234"/>
      <c r="E38" s="221"/>
      <c r="F38" s="240"/>
      <c r="G38" s="223"/>
      <c r="H38" s="224"/>
      <c r="I38" s="223"/>
      <c r="J38" s="225"/>
      <c r="K38" s="225"/>
    </row>
    <row r="39" spans="2:11" ht="13.9" x14ac:dyDescent="0.25">
      <c r="B39" s="226"/>
      <c r="C39" s="227"/>
      <c r="D39" s="235"/>
      <c r="E39" s="229"/>
      <c r="F39" s="235"/>
      <c r="G39" s="231"/>
      <c r="H39" s="232"/>
      <c r="I39" s="231"/>
      <c r="J39" s="233"/>
      <c r="K39" s="233"/>
    </row>
    <row r="40" spans="2:11" ht="13.9" x14ac:dyDescent="0.25">
      <c r="B40" s="390" t="s">
        <v>72</v>
      </c>
      <c r="C40" s="391"/>
      <c r="D40" s="213">
        <v>150</v>
      </c>
      <c r="E40" s="272">
        <v>1</v>
      </c>
      <c r="F40" s="239">
        <v>1</v>
      </c>
      <c r="G40" s="214">
        <f>+'SL (1kW)'!H69</f>
        <v>33.426545367999999</v>
      </c>
      <c r="H40" s="215">
        <f>+'SL (1kW)'!L69</f>
        <v>36.262785703999995</v>
      </c>
      <c r="I40" s="214">
        <f>H40-G40</f>
        <v>2.8362403359999959</v>
      </c>
      <c r="J40" s="273">
        <f>I40/G40</f>
        <v>8.4849939016288359E-2</v>
      </c>
      <c r="K40" s="273">
        <f>+'SL (1kW)'!O37</f>
        <v>8.7685156354254598E-2</v>
      </c>
    </row>
    <row r="41" spans="2:11" ht="13.9" x14ac:dyDescent="0.25">
      <c r="B41" s="274"/>
      <c r="C41" s="275"/>
      <c r="D41" s="260">
        <v>50</v>
      </c>
      <c r="E41" s="261">
        <v>0.14000000000000001</v>
      </c>
      <c r="F41" s="239">
        <v>1</v>
      </c>
      <c r="G41" s="214">
        <f>+'SL (.14 kW)'!H69</f>
        <v>9.1398910959999995</v>
      </c>
      <c r="H41" s="215">
        <f>+'SL (.14 kW)'!L69</f>
        <v>9.561031247999999</v>
      </c>
      <c r="I41" s="214">
        <f>H41-G41</f>
        <v>0.42114015199999955</v>
      </c>
      <c r="J41" s="255">
        <f>I41/G41</f>
        <v>4.6077152077261423E-2</v>
      </c>
      <c r="K41" s="255">
        <f>+'SL (.14 kW)'!O37</f>
        <v>9.3852739548438591E-2</v>
      </c>
    </row>
    <row r="42" spans="2:11" ht="14.45" thickBot="1" x14ac:dyDescent="0.3">
      <c r="B42" s="241"/>
      <c r="C42" s="242"/>
      <c r="D42" s="243"/>
      <c r="E42" s="242"/>
      <c r="F42" s="243"/>
      <c r="G42" s="242"/>
      <c r="H42" s="243"/>
      <c r="I42" s="242"/>
      <c r="J42" s="243"/>
      <c r="K42" s="243"/>
    </row>
    <row r="43" spans="2:11" x14ac:dyDescent="0.2">
      <c r="B43" s="226"/>
      <c r="C43" s="227"/>
      <c r="D43" s="235"/>
      <c r="E43" s="229"/>
      <c r="F43" s="235"/>
      <c r="G43" s="231"/>
      <c r="H43" s="232"/>
      <c r="I43" s="231"/>
      <c r="J43" s="233"/>
      <c r="K43" s="233"/>
    </row>
    <row r="44" spans="2:11" x14ac:dyDescent="0.2">
      <c r="B44" s="371" t="s">
        <v>89</v>
      </c>
      <c r="C44" s="372"/>
      <c r="D44" s="256">
        <v>2615000</v>
      </c>
      <c r="E44" s="257">
        <v>6000</v>
      </c>
      <c r="F44" s="239"/>
      <c r="G44" s="214">
        <f>+'ED (6,000kW)'!H69</f>
        <v>337870.44860999996</v>
      </c>
      <c r="H44" s="215">
        <f>+'ED (6,000kW)'!L69</f>
        <v>348989.91043585428</v>
      </c>
      <c r="I44" s="214">
        <f>H44-G44</f>
        <v>11119.46182585432</v>
      </c>
      <c r="J44" s="258">
        <f>I44/G44</f>
        <v>3.2910430230284476E-2</v>
      </c>
      <c r="K44" s="258">
        <f>+'ED (6,000kW)'!O37</f>
        <v>-19.896659731536683</v>
      </c>
    </row>
    <row r="45" spans="2:11" ht="15" thickBot="1" x14ac:dyDescent="0.25">
      <c r="B45" s="241"/>
      <c r="C45" s="242"/>
      <c r="D45" s="243"/>
      <c r="E45" s="242"/>
      <c r="F45" s="243"/>
      <c r="G45" s="242"/>
      <c r="H45" s="243"/>
      <c r="I45" s="242"/>
      <c r="J45" s="243"/>
      <c r="K45" s="243"/>
    </row>
    <row r="47" spans="2:11" x14ac:dyDescent="0.2">
      <c r="B47" s="347" t="s">
        <v>100</v>
      </c>
    </row>
  </sheetData>
  <mergeCells count="12">
    <mergeCell ref="B44:C44"/>
    <mergeCell ref="G1:J1"/>
    <mergeCell ref="B9:C9"/>
    <mergeCell ref="B11:C11"/>
    <mergeCell ref="B12:C12"/>
    <mergeCell ref="B20:C20"/>
    <mergeCell ref="B21:C21"/>
    <mergeCell ref="B27:C27"/>
    <mergeCell ref="B31:C31"/>
    <mergeCell ref="B34:C34"/>
    <mergeCell ref="B37:C37"/>
    <mergeCell ref="B40:C40"/>
  </mergeCells>
  <pageMargins left="0.7" right="0.7" top="0.75" bottom="0.75" header="0.3" footer="0.3"/>
  <pageSetup scale="64" orientation="portrait" verticalDpi="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K24"/>
  <sheetViews>
    <sheetView showGridLines="0" workbookViewId="0">
      <selection activeCell="D26" sqref="D26"/>
    </sheetView>
  </sheetViews>
  <sheetFormatPr defaultColWidth="9.140625" defaultRowHeight="14.25" x14ac:dyDescent="0.2"/>
  <cols>
    <col min="1" max="2" width="9.140625" style="205"/>
    <col min="3" max="3" width="10.42578125" style="205" customWidth="1"/>
    <col min="4" max="4" width="11.5703125" style="205" bestFit="1" customWidth="1"/>
    <col min="5" max="5" width="7.5703125" style="205" bestFit="1" customWidth="1"/>
    <col min="6" max="6" width="15" style="205" customWidth="1"/>
    <col min="7" max="8" width="14.5703125" style="205" bestFit="1" customWidth="1"/>
    <col min="9" max="9" width="14.7109375" style="205" customWidth="1"/>
    <col min="10" max="10" width="18" style="205" customWidth="1"/>
    <col min="11" max="11" width="15.85546875" style="205" bestFit="1" customWidth="1"/>
    <col min="12" max="16384" width="9.140625" style="205"/>
  </cols>
  <sheetData>
    <row r="1" spans="2:11" ht="47.25" customHeight="1" thickBot="1" x14ac:dyDescent="0.25">
      <c r="B1" s="374" t="s">
        <v>77</v>
      </c>
      <c r="C1" s="375"/>
      <c r="D1" s="276" t="s">
        <v>78</v>
      </c>
      <c r="E1" s="312" t="s">
        <v>69</v>
      </c>
      <c r="F1" s="276" t="s">
        <v>79</v>
      </c>
      <c r="G1" s="312" t="s">
        <v>86</v>
      </c>
      <c r="H1" s="276" t="s">
        <v>87</v>
      </c>
      <c r="I1" s="312" t="s">
        <v>80</v>
      </c>
      <c r="J1" s="276" t="s">
        <v>92</v>
      </c>
      <c r="K1" s="276" t="s">
        <v>99</v>
      </c>
    </row>
    <row r="2" spans="2:11" ht="13.9" x14ac:dyDescent="0.25">
      <c r="B2" s="208"/>
      <c r="C2" s="209"/>
      <c r="D2" s="210"/>
      <c r="E2" s="313"/>
      <c r="F2" s="212"/>
      <c r="G2" s="209"/>
      <c r="H2" s="212"/>
      <c r="I2" s="209"/>
      <c r="J2" s="212"/>
      <c r="K2" s="212"/>
    </row>
    <row r="3" spans="2:11" ht="13.9" x14ac:dyDescent="0.25">
      <c r="B3" s="394" t="s">
        <v>59</v>
      </c>
      <c r="C3" s="395"/>
      <c r="D3" s="213">
        <v>800</v>
      </c>
      <c r="E3" s="314"/>
      <c r="F3" s="210"/>
      <c r="G3" s="315">
        <f>+Summary!G14</f>
        <v>132.45638896</v>
      </c>
      <c r="H3" s="316">
        <f>+Summary!H14</f>
        <v>134.02408437005482</v>
      </c>
      <c r="I3" s="315">
        <f>+Summary!I14</f>
        <v>1.5676954100548244</v>
      </c>
      <c r="J3" s="273">
        <f>+Summary!J14</f>
        <v>1.1835559027116818E-2</v>
      </c>
      <c r="K3" s="273">
        <f>+Summary!K14</f>
        <v>2.1945122697792752E-2</v>
      </c>
    </row>
    <row r="4" spans="2:11" ht="13.9" x14ac:dyDescent="0.25">
      <c r="B4" s="317"/>
      <c r="C4" s="318"/>
      <c r="D4" s="220"/>
      <c r="E4" s="319"/>
      <c r="F4" s="320"/>
      <c r="G4" s="321"/>
      <c r="H4" s="322"/>
      <c r="I4" s="321"/>
      <c r="J4" s="323"/>
      <c r="K4" s="323"/>
    </row>
    <row r="5" spans="2:11" ht="13.9" x14ac:dyDescent="0.25">
      <c r="B5" s="324"/>
      <c r="C5" s="325"/>
      <c r="D5" s="228"/>
      <c r="E5" s="326"/>
      <c r="F5" s="327"/>
      <c r="G5" s="328"/>
      <c r="H5" s="329"/>
      <c r="I5" s="328"/>
      <c r="J5" s="330"/>
      <c r="K5" s="330"/>
    </row>
    <row r="6" spans="2:11" ht="13.9" x14ac:dyDescent="0.25">
      <c r="B6" s="392" t="s">
        <v>67</v>
      </c>
      <c r="C6" s="393"/>
      <c r="D6" s="217">
        <v>2000</v>
      </c>
      <c r="E6" s="314"/>
      <c r="F6" s="210"/>
      <c r="G6" s="315">
        <f>+Summary!G21</f>
        <v>311.89134880000006</v>
      </c>
      <c r="H6" s="316">
        <f>+Summary!H21</f>
        <v>316.65900673690788</v>
      </c>
      <c r="I6" s="315">
        <f>+Summary!I21</f>
        <v>4.767657936907824</v>
      </c>
      <c r="J6" s="273">
        <f>+Summary!J21</f>
        <v>1.5286278235197471E-2</v>
      </c>
      <c r="K6" s="273">
        <f>+Summary!K21</f>
        <v>3.3714610649087123E-2</v>
      </c>
    </row>
    <row r="7" spans="2:11" ht="13.9" x14ac:dyDescent="0.25">
      <c r="B7" s="317"/>
      <c r="C7" s="318"/>
      <c r="D7" s="220"/>
      <c r="E7" s="319"/>
      <c r="F7" s="320"/>
      <c r="G7" s="321"/>
      <c r="H7" s="322"/>
      <c r="I7" s="321"/>
      <c r="J7" s="323"/>
      <c r="K7" s="323"/>
    </row>
    <row r="8" spans="2:11" ht="13.9" x14ac:dyDescent="0.25">
      <c r="B8" s="324"/>
      <c r="C8" s="325"/>
      <c r="D8" s="228"/>
      <c r="E8" s="326"/>
      <c r="F8" s="327"/>
      <c r="G8" s="328"/>
      <c r="H8" s="329"/>
      <c r="I8" s="328"/>
      <c r="J8" s="330"/>
      <c r="K8" s="330"/>
    </row>
    <row r="9" spans="2:11" ht="13.9" x14ac:dyDescent="0.25">
      <c r="B9" s="392" t="s">
        <v>85</v>
      </c>
      <c r="C9" s="393"/>
      <c r="D9" s="217">
        <v>100000</v>
      </c>
      <c r="E9" s="314">
        <v>250</v>
      </c>
      <c r="F9" s="210"/>
      <c r="G9" s="315">
        <f>+Summary!G29</f>
        <v>15848.614312000002</v>
      </c>
      <c r="H9" s="316">
        <f>+Summary!H29</f>
        <v>16482.425436000001</v>
      </c>
      <c r="I9" s="315">
        <f>+Summary!I29</f>
        <v>633.81112399999984</v>
      </c>
      <c r="J9" s="273">
        <f>+Summary!J29</f>
        <v>3.9991579801402624E-2</v>
      </c>
      <c r="K9" s="273">
        <f>+Summary!K29</f>
        <v>8.3746869670758492E-2</v>
      </c>
    </row>
    <row r="10" spans="2:11" ht="13.9" x14ac:dyDescent="0.25">
      <c r="B10" s="317"/>
      <c r="C10" s="318"/>
      <c r="D10" s="220"/>
      <c r="E10" s="331"/>
      <c r="F10" s="320"/>
      <c r="G10" s="321"/>
      <c r="H10" s="322"/>
      <c r="I10" s="321"/>
      <c r="J10" s="323"/>
      <c r="K10" s="323"/>
    </row>
    <row r="11" spans="2:11" ht="13.9" x14ac:dyDescent="0.25">
      <c r="B11" s="324"/>
      <c r="C11" s="325"/>
      <c r="D11" s="228"/>
      <c r="E11" s="326"/>
      <c r="F11" s="327"/>
      <c r="G11" s="328"/>
      <c r="H11" s="329"/>
      <c r="I11" s="328"/>
      <c r="J11" s="330"/>
      <c r="K11" s="330"/>
    </row>
    <row r="12" spans="2:11" ht="13.9" x14ac:dyDescent="0.25">
      <c r="B12" s="392" t="s">
        <v>71</v>
      </c>
      <c r="C12" s="393"/>
      <c r="D12" s="217">
        <v>8000000</v>
      </c>
      <c r="E12" s="332">
        <v>14500</v>
      </c>
      <c r="F12" s="210"/>
      <c r="G12" s="315">
        <f>+Summary!G34</f>
        <v>1163016.0800999999</v>
      </c>
      <c r="H12" s="316">
        <f>+Summary!H34</f>
        <v>1190680.4530799999</v>
      </c>
      <c r="I12" s="315">
        <f>+Summary!I34</f>
        <v>27664.372979999986</v>
      </c>
      <c r="J12" s="273">
        <f>+Summary!J34</f>
        <v>2.3786750203506485E-2</v>
      </c>
      <c r="K12" s="273">
        <f>+Summary!K34</f>
        <v>0.18135125857978646</v>
      </c>
    </row>
    <row r="13" spans="2:11" ht="13.9" x14ac:dyDescent="0.25">
      <c r="B13" s="333"/>
      <c r="C13" s="334"/>
      <c r="D13" s="220"/>
      <c r="E13" s="331"/>
      <c r="F13" s="320"/>
      <c r="G13" s="321"/>
      <c r="H13" s="322"/>
      <c r="I13" s="321"/>
      <c r="J13" s="323"/>
      <c r="K13" s="323"/>
    </row>
    <row r="14" spans="2:11" ht="13.9" x14ac:dyDescent="0.25">
      <c r="B14" s="324"/>
      <c r="C14" s="325"/>
      <c r="D14" s="228"/>
      <c r="E14" s="326"/>
      <c r="F14" s="327"/>
      <c r="G14" s="328"/>
      <c r="H14" s="329"/>
      <c r="I14" s="328"/>
      <c r="J14" s="330"/>
      <c r="K14" s="330"/>
    </row>
    <row r="15" spans="2:11" ht="13.9" x14ac:dyDescent="0.25">
      <c r="B15" s="392" t="s">
        <v>82</v>
      </c>
      <c r="C15" s="393"/>
      <c r="D15" s="217">
        <v>150</v>
      </c>
      <c r="E15" s="314"/>
      <c r="F15" s="213">
        <v>1</v>
      </c>
      <c r="G15" s="315">
        <f>+Summary!G37</f>
        <v>43.191824567999994</v>
      </c>
      <c r="H15" s="316">
        <f>+Summary!H37</f>
        <v>36.62435632399999</v>
      </c>
      <c r="I15" s="315">
        <f>+Summary!I37</f>
        <v>-6.5674682440000041</v>
      </c>
      <c r="J15" s="273">
        <f>+Summary!J37</f>
        <v>-0.15205350340457063</v>
      </c>
      <c r="K15" s="273">
        <f>+Summary!K37</f>
        <v>-0.31476309885178838</v>
      </c>
    </row>
    <row r="16" spans="2:11" ht="13.9" x14ac:dyDescent="0.25">
      <c r="B16" s="333"/>
      <c r="C16" s="334"/>
      <c r="D16" s="220"/>
      <c r="E16" s="319"/>
      <c r="F16" s="335"/>
      <c r="G16" s="321"/>
      <c r="H16" s="322"/>
      <c r="I16" s="321"/>
      <c r="J16" s="323"/>
      <c r="K16" s="323"/>
    </row>
    <row r="17" spans="2:11" ht="13.9" x14ac:dyDescent="0.25">
      <c r="B17" s="324"/>
      <c r="C17" s="325"/>
      <c r="D17" s="228"/>
      <c r="E17" s="326"/>
      <c r="F17" s="228"/>
      <c r="G17" s="328"/>
      <c r="H17" s="329"/>
      <c r="I17" s="328"/>
      <c r="J17" s="330"/>
      <c r="K17" s="330"/>
    </row>
    <row r="18" spans="2:11" ht="13.9" x14ac:dyDescent="0.25">
      <c r="B18" s="392" t="s">
        <v>72</v>
      </c>
      <c r="C18" s="393"/>
      <c r="D18" s="213">
        <v>50</v>
      </c>
      <c r="E18" s="314">
        <v>0.14000000000000001</v>
      </c>
      <c r="F18" s="213">
        <v>1</v>
      </c>
      <c r="G18" s="315">
        <f>+Summary!G41</f>
        <v>9.1398910959999995</v>
      </c>
      <c r="H18" s="316">
        <f>+Summary!H41</f>
        <v>9.561031247999999</v>
      </c>
      <c r="I18" s="315">
        <f>+Summary!I41</f>
        <v>0.42114015199999955</v>
      </c>
      <c r="J18" s="273">
        <f>+Summary!J41</f>
        <v>4.6077152077261423E-2</v>
      </c>
      <c r="K18" s="273">
        <f>+Summary!K41</f>
        <v>9.3852739548438591E-2</v>
      </c>
    </row>
    <row r="19" spans="2:11" ht="14.45" thickBot="1" x14ac:dyDescent="0.3">
      <c r="B19" s="336"/>
      <c r="C19" s="337"/>
      <c r="D19" s="338"/>
      <c r="E19" s="337"/>
      <c r="F19" s="338"/>
      <c r="G19" s="337"/>
      <c r="H19" s="338"/>
      <c r="I19" s="337"/>
      <c r="J19" s="338"/>
      <c r="K19" s="338"/>
    </row>
    <row r="20" spans="2:11" ht="13.9" x14ac:dyDescent="0.25">
      <c r="B20" s="324"/>
      <c r="C20" s="325"/>
      <c r="D20" s="228"/>
      <c r="E20" s="326"/>
      <c r="F20" s="228"/>
      <c r="G20" s="328"/>
      <c r="H20" s="329"/>
      <c r="I20" s="328"/>
      <c r="J20" s="330"/>
      <c r="K20" s="330"/>
    </row>
    <row r="21" spans="2:11" ht="13.9" x14ac:dyDescent="0.25">
      <c r="B21" s="392" t="s">
        <v>89</v>
      </c>
      <c r="C21" s="393"/>
      <c r="D21" s="339">
        <v>2615000</v>
      </c>
      <c r="E21" s="340">
        <v>6000</v>
      </c>
      <c r="F21" s="213"/>
      <c r="G21" s="315">
        <f>+Summary!G44</f>
        <v>337870.44860999996</v>
      </c>
      <c r="H21" s="316">
        <f>+Summary!H44</f>
        <v>348989.91043585428</v>
      </c>
      <c r="I21" s="315">
        <f>+Summary!I44</f>
        <v>11119.46182585432</v>
      </c>
      <c r="J21" s="273">
        <f>+Summary!J44</f>
        <v>3.2910430230284476E-2</v>
      </c>
      <c r="K21" s="273">
        <f>+Summary!K44</f>
        <v>-19.896659731536683</v>
      </c>
    </row>
    <row r="22" spans="2:11" ht="14.45" thickBot="1" x14ac:dyDescent="0.3">
      <c r="B22" s="241"/>
      <c r="C22" s="242"/>
      <c r="D22" s="243"/>
      <c r="E22" s="242"/>
      <c r="F22" s="243"/>
      <c r="G22" s="242"/>
      <c r="H22" s="243"/>
      <c r="I22" s="242"/>
      <c r="J22" s="243"/>
      <c r="K22" s="243"/>
    </row>
    <row r="24" spans="2:11" x14ac:dyDescent="0.2">
      <c r="B24" s="347" t="s">
        <v>100</v>
      </c>
    </row>
  </sheetData>
  <mergeCells count="8">
    <mergeCell ref="B15:C15"/>
    <mergeCell ref="B18:C18"/>
    <mergeCell ref="B21:C21"/>
    <mergeCell ref="B1:C1"/>
    <mergeCell ref="B3:C3"/>
    <mergeCell ref="B6:C6"/>
    <mergeCell ref="B9:C9"/>
    <mergeCell ref="B12:C12"/>
  </mergeCells>
  <pageMargins left="0.7" right="0.7" top="0.75" bottom="0.75" header="0.3" footer="0.3"/>
  <pageSetup scale="64"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52" workbookViewId="0">
      <selection activeCell="F37" sqref="F3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6.28515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 s="192"/>
    </row>
    <row r="4" spans="1:20" s="2" customFormat="1" ht="9" customHeight="1" x14ac:dyDescent="0.3">
      <c r="L4" s="3"/>
      <c r="N4" s="311"/>
      <c r="O4"/>
      <c r="P4" s="194"/>
    </row>
    <row r="5" spans="1:20" s="2" customFormat="1" ht="14.45" x14ac:dyDescent="0.3">
      <c r="L5" s="3" t="s">
        <v>76</v>
      </c>
      <c r="N5" s="368">
        <v>42124</v>
      </c>
      <c r="O5" s="368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59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500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20.49</v>
      </c>
      <c r="K21" s="30">
        <v>1</v>
      </c>
      <c r="L21" s="27">
        <f>K21*J21</f>
        <v>20.49</v>
      </c>
      <c r="M21" s="28"/>
      <c r="N21" s="31">
        <f>L21-H21</f>
        <v>5.2899999999999991</v>
      </c>
      <c r="O21" s="32">
        <f>IF((H21)=0,"",(N21/H21))</f>
        <v>0.34802631578947363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500</v>
      </c>
      <c r="H25" s="27">
        <f t="shared" si="0"/>
        <v>-0.05</v>
      </c>
      <c r="I25" s="28"/>
      <c r="J25" s="173">
        <f>+'Res (100kWh)'!$J$25</f>
        <v>-1E-4</v>
      </c>
      <c r="K25" s="26">
        <f>$F$16</f>
        <v>500</v>
      </c>
      <c r="L25" s="27">
        <f t="shared" si="1"/>
        <v>-0.05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500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500</v>
      </c>
      <c r="L26" s="27">
        <f t="shared" si="1"/>
        <v>-0.3</v>
      </c>
      <c r="M26" s="28"/>
      <c r="N26" s="31">
        <f t="shared" si="2"/>
        <v>-0.3</v>
      </c>
      <c r="O26" s="32" t="str">
        <f t="shared" si="3"/>
        <v/>
      </c>
    </row>
    <row r="27" spans="2:15" ht="14.45" x14ac:dyDescent="0.3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500</v>
      </c>
      <c r="H27" s="27">
        <f t="shared" si="0"/>
        <v>9.6</v>
      </c>
      <c r="I27" s="28"/>
      <c r="J27" s="29">
        <f>+'Res (100kWh)'!$J$27</f>
        <v>1.6E-2</v>
      </c>
      <c r="K27" s="26">
        <f>$F$16</f>
        <v>500</v>
      </c>
      <c r="L27" s="27">
        <f t="shared" si="1"/>
        <v>8</v>
      </c>
      <c r="M27" s="28"/>
      <c r="N27" s="31">
        <f t="shared" si="2"/>
        <v>-1.5999999999999996</v>
      </c>
      <c r="O27" s="32">
        <f>IF((H27)=0,"",(N27/H27))</f>
        <v>-0.16666666666666663</v>
      </c>
    </row>
    <row r="28" spans="2:15" ht="14.45" hidden="1" x14ac:dyDescent="0.3">
      <c r="B28" s="24" t="s">
        <v>20</v>
      </c>
      <c r="C28" s="22"/>
      <c r="D28" s="23"/>
      <c r="E28" s="24"/>
      <c r="F28" s="25"/>
      <c r="G28" s="26">
        <f>$F$16</f>
        <v>500</v>
      </c>
      <c r="H28" s="27">
        <f t="shared" si="0"/>
        <v>0</v>
      </c>
      <c r="I28" s="28"/>
      <c r="J28" s="29"/>
      <c r="K28" s="26">
        <f t="shared" ref="K28:K36" si="4">$F$16</f>
        <v>500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4" t="s">
        <v>21</v>
      </c>
      <c r="C29" s="22"/>
      <c r="D29" s="23"/>
      <c r="E29" s="24"/>
      <c r="F29" s="25"/>
      <c r="G29" s="26">
        <f>$F$16</f>
        <v>500</v>
      </c>
      <c r="H29" s="27">
        <f t="shared" si="0"/>
        <v>0</v>
      </c>
      <c r="I29" s="28"/>
      <c r="J29" s="29"/>
      <c r="K29" s="26">
        <f t="shared" si="4"/>
        <v>500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182"/>
      <c r="C30" s="22"/>
      <c r="D30" s="23"/>
      <c r="E30" s="24"/>
      <c r="F30" s="25"/>
      <c r="G30" s="26">
        <f t="shared" ref="G30:G36" si="5">$F$16</f>
        <v>500</v>
      </c>
      <c r="H30" s="27">
        <f t="shared" si="0"/>
        <v>0</v>
      </c>
      <c r="I30" s="28"/>
      <c r="J30" s="29"/>
      <c r="K30" s="26">
        <f t="shared" si="4"/>
        <v>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182"/>
      <c r="C31" s="22"/>
      <c r="D31" s="23"/>
      <c r="E31" s="24"/>
      <c r="F31" s="25"/>
      <c r="G31" s="26">
        <f t="shared" si="5"/>
        <v>500</v>
      </c>
      <c r="H31" s="27">
        <f t="shared" si="0"/>
        <v>0</v>
      </c>
      <c r="I31" s="28"/>
      <c r="J31" s="29"/>
      <c r="K31" s="26">
        <f t="shared" si="4"/>
        <v>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182"/>
      <c r="C32" s="22"/>
      <c r="D32" s="23"/>
      <c r="E32" s="24"/>
      <c r="F32" s="25"/>
      <c r="G32" s="26">
        <f t="shared" si="5"/>
        <v>500</v>
      </c>
      <c r="H32" s="27">
        <f t="shared" si="0"/>
        <v>0</v>
      </c>
      <c r="I32" s="28"/>
      <c r="J32" s="29"/>
      <c r="K32" s="26">
        <f t="shared" si="4"/>
        <v>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182"/>
      <c r="C33" s="22"/>
      <c r="D33" s="23"/>
      <c r="E33" s="24"/>
      <c r="F33" s="25"/>
      <c r="G33" s="26">
        <f t="shared" si="5"/>
        <v>500</v>
      </c>
      <c r="H33" s="27">
        <f t="shared" si="0"/>
        <v>0</v>
      </c>
      <c r="I33" s="28"/>
      <c r="J33" s="29"/>
      <c r="K33" s="26">
        <f t="shared" si="4"/>
        <v>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182"/>
      <c r="C34" s="22"/>
      <c r="D34" s="23"/>
      <c r="E34" s="24"/>
      <c r="F34" s="25"/>
      <c r="G34" s="26">
        <f t="shared" si="5"/>
        <v>500</v>
      </c>
      <c r="H34" s="27">
        <f t="shared" si="0"/>
        <v>0</v>
      </c>
      <c r="I34" s="28"/>
      <c r="J34" s="29"/>
      <c r="K34" s="26">
        <f t="shared" si="4"/>
        <v>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182"/>
      <c r="C35" s="22"/>
      <c r="D35" s="23"/>
      <c r="E35" s="24"/>
      <c r="F35" s="25"/>
      <c r="G35" s="26">
        <f t="shared" si="5"/>
        <v>500</v>
      </c>
      <c r="H35" s="27">
        <f t="shared" si="0"/>
        <v>0</v>
      </c>
      <c r="I35" s="28"/>
      <c r="J35" s="29"/>
      <c r="K35" s="26">
        <f t="shared" si="4"/>
        <v>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182"/>
      <c r="C36" s="22"/>
      <c r="D36" s="23"/>
      <c r="E36" s="24"/>
      <c r="F36" s="25"/>
      <c r="G36" s="26">
        <f t="shared" si="5"/>
        <v>500</v>
      </c>
      <c r="H36" s="27">
        <f t="shared" si="0"/>
        <v>0</v>
      </c>
      <c r="I36" s="28"/>
      <c r="J36" s="29"/>
      <c r="K36" s="26">
        <f t="shared" si="4"/>
        <v>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26.86</v>
      </c>
      <c r="I37" s="41"/>
      <c r="J37" s="42"/>
      <c r="K37" s="43"/>
      <c r="L37" s="40">
        <f>SUM(L21:L36)</f>
        <v>28.715191548721069</v>
      </c>
      <c r="M37" s="41"/>
      <c r="N37" s="44">
        <f t="shared" si="2"/>
        <v>1.8551915487210699</v>
      </c>
      <c r="O37" s="45">
        <f t="shared" si="3"/>
        <v>6.9068933310538719E-2</v>
      </c>
    </row>
    <row r="38" spans="2:15" ht="14.45" hidden="1" x14ac:dyDescent="0.3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4.4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500</v>
      </c>
      <c r="H39" s="27">
        <f t="shared" ref="H39:H45" si="6">G39*F39</f>
        <v>-0.7</v>
      </c>
      <c r="I39" s="28"/>
      <c r="J39" s="29">
        <f>+'Res (100kWh)'!$J$39</f>
        <v>2.0000000000000009E-4</v>
      </c>
      <c r="K39" s="26">
        <f>$F$16</f>
        <v>500</v>
      </c>
      <c r="L39" s="27">
        <f t="shared" ref="L39:L45" si="7">K39*J39</f>
        <v>0.10000000000000005</v>
      </c>
      <c r="M39" s="28"/>
      <c r="N39" s="31">
        <f t="shared" si="2"/>
        <v>0.8</v>
      </c>
      <c r="O39" s="32">
        <f t="shared" si="3"/>
        <v>-1.142857142857143</v>
      </c>
    </row>
    <row r="40" spans="2:15" ht="15" hidden="1" customHeight="1" x14ac:dyDescent="0.3">
      <c r="B40" s="46"/>
      <c r="C40" s="22"/>
      <c r="D40" s="23" t="s">
        <v>61</v>
      </c>
      <c r="E40" s="24"/>
      <c r="F40" s="25"/>
      <c r="G40" s="26">
        <f>$F$16</f>
        <v>500</v>
      </c>
      <c r="H40" s="27">
        <f t="shared" si="6"/>
        <v>0</v>
      </c>
      <c r="I40" s="47"/>
      <c r="J40" s="29"/>
      <c r="K40" s="26">
        <f>$F$16</f>
        <v>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customHeight="1" x14ac:dyDescent="0.3">
      <c r="B41" s="46"/>
      <c r="C41" s="22"/>
      <c r="D41" s="23" t="s">
        <v>61</v>
      </c>
      <c r="E41" s="24"/>
      <c r="F41" s="25"/>
      <c r="G41" s="26">
        <f>$F$16</f>
        <v>500</v>
      </c>
      <c r="H41" s="27">
        <f t="shared" si="6"/>
        <v>0</v>
      </c>
      <c r="I41" s="47"/>
      <c r="J41" s="29"/>
      <c r="K41" s="26">
        <f>$F$16</f>
        <v>500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4.45" hidden="1" x14ac:dyDescent="0.3">
      <c r="B42" s="46"/>
      <c r="C42" s="22"/>
      <c r="D42" s="23"/>
      <c r="E42" s="24"/>
      <c r="F42" s="25"/>
      <c r="G42" s="26">
        <f>$F$16</f>
        <v>500</v>
      </c>
      <c r="H42" s="27">
        <f t="shared" si="6"/>
        <v>0</v>
      </c>
      <c r="I42" s="47"/>
      <c r="J42" s="29"/>
      <c r="K42" s="26">
        <f>$F$16</f>
        <v>500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4.4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500</v>
      </c>
      <c r="H43" s="27">
        <f t="shared" si="6"/>
        <v>0.05</v>
      </c>
      <c r="I43" s="28"/>
      <c r="J43" s="29">
        <f>+'Res (100kWh)'!$J$43</f>
        <v>2.0000000000000001E-4</v>
      </c>
      <c r="K43" s="26">
        <f>$F$16</f>
        <v>500</v>
      </c>
      <c r="L43" s="27">
        <f t="shared" si="7"/>
        <v>0.1</v>
      </c>
      <c r="M43" s="28"/>
      <c r="N43" s="31">
        <f t="shared" si="2"/>
        <v>0.05</v>
      </c>
      <c r="O43" s="32">
        <f t="shared" si="3"/>
        <v>1</v>
      </c>
    </row>
    <row r="44" spans="2:15" s="34" customFormat="1" ht="14.45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20.200000000000045</v>
      </c>
      <c r="H44" s="184">
        <f t="shared" si="6"/>
        <v>1.9190000000000043</v>
      </c>
      <c r="I44" s="57"/>
      <c r="J44" s="185">
        <f>0.64*$F$54+0.18*$F$55+0.18*$F$56</f>
        <v>9.5000000000000001E-2</v>
      </c>
      <c r="K44" s="26">
        <f>$F$16*(1+$J$73)-$F$16</f>
        <v>18.100000000000023</v>
      </c>
      <c r="L44" s="184">
        <f t="shared" si="7"/>
        <v>1.7195000000000022</v>
      </c>
      <c r="M44" s="57"/>
      <c r="N44" s="186">
        <f t="shared" si="2"/>
        <v>-0.19950000000000201</v>
      </c>
      <c r="O44" s="187">
        <f t="shared" si="3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8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28.919000000000004</v>
      </c>
      <c r="I46" s="41"/>
      <c r="J46" s="53"/>
      <c r="K46" s="55"/>
      <c r="L46" s="54">
        <f>SUM(L38:L45)+L37</f>
        <v>31.424691548721071</v>
      </c>
      <c r="M46" s="41"/>
      <c r="N46" s="44">
        <f t="shared" si="2"/>
        <v>2.5056915487210674</v>
      </c>
      <c r="O46" s="45">
        <f t="shared" ref="O46:O64" si="8">IF((H46)=0,"",(N46/H46))</f>
        <v>8.6645165763721665E-2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520.20000000000005</v>
      </c>
      <c r="H47" s="27">
        <f>G47*F47</f>
        <v>3.9535200000000001</v>
      </c>
      <c r="I47" s="28"/>
      <c r="J47" s="263">
        <f>+'Res (100kWh)'!$J$47</f>
        <v>7.4000000000000003E-3</v>
      </c>
      <c r="K47" s="70">
        <f>F16*(1+J73)</f>
        <v>518.1</v>
      </c>
      <c r="L47" s="27">
        <f>K47*J47</f>
        <v>3.8339400000000001</v>
      </c>
      <c r="M47" s="28"/>
      <c r="N47" s="31">
        <f t="shared" si="2"/>
        <v>-0.11958000000000002</v>
      </c>
      <c r="O47" s="32">
        <f t="shared" si="8"/>
        <v>-3.0246463910641661E-2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520.20000000000005</v>
      </c>
      <c r="H48" s="27">
        <f>G48*F48</f>
        <v>1.1964600000000001</v>
      </c>
      <c r="I48" s="28"/>
      <c r="J48" s="263">
        <f>+'Res (100kWh)'!$J$48</f>
        <v>2.3E-3</v>
      </c>
      <c r="K48" s="70">
        <f>K47</f>
        <v>518.1</v>
      </c>
      <c r="L48" s="27">
        <f>K48*J48</f>
        <v>1.19163</v>
      </c>
      <c r="M48" s="28"/>
      <c r="N48" s="31">
        <f t="shared" si="2"/>
        <v>-4.830000000000112E-3</v>
      </c>
      <c r="O48" s="32">
        <f t="shared" si="8"/>
        <v>-4.036908881199632E-3</v>
      </c>
    </row>
    <row r="49" spans="2:19" ht="14.45" x14ac:dyDescent="0.3">
      <c r="B49" s="50" t="s">
        <v>30</v>
      </c>
      <c r="C49" s="36"/>
      <c r="D49" s="36"/>
      <c r="E49" s="36"/>
      <c r="F49" s="60"/>
      <c r="G49" s="60"/>
      <c r="H49" s="54">
        <f>SUM(H46:H48)</f>
        <v>34.068980000000003</v>
      </c>
      <c r="I49" s="61"/>
      <c r="J49" s="62"/>
      <c r="K49" s="62"/>
      <c r="L49" s="54">
        <f>SUM(L46:L48)</f>
        <v>36.450261548721073</v>
      </c>
      <c r="M49" s="61"/>
      <c r="N49" s="44">
        <f t="shared" si="2"/>
        <v>2.3812815487210699</v>
      </c>
      <c r="O49" s="45">
        <f t="shared" si="8"/>
        <v>6.9895886190929984E-2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520.20000000000005</v>
      </c>
      <c r="H50" s="66">
        <f t="shared" ref="H50:H56" si="9">G50*F50</f>
        <v>2.2888800000000002</v>
      </c>
      <c r="I50" s="28"/>
      <c r="J50" s="263">
        <f>+'Res (100kWh)'!$J$50</f>
        <v>4.4000000000000003E-3</v>
      </c>
      <c r="K50" s="70">
        <f>K48</f>
        <v>518.1</v>
      </c>
      <c r="L50" s="66">
        <f t="shared" ref="L50:L56" si="10">K50*J50</f>
        <v>2.2796400000000001</v>
      </c>
      <c r="M50" s="28"/>
      <c r="N50" s="31">
        <f t="shared" si="2"/>
        <v>-9.240000000000137E-3</v>
      </c>
      <c r="O50" s="68">
        <f t="shared" si="8"/>
        <v>-4.0369088811995982E-3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520.20000000000005</v>
      </c>
      <c r="H51" s="66">
        <f t="shared" si="9"/>
        <v>0.67626000000000008</v>
      </c>
      <c r="I51" s="28"/>
      <c r="J51" s="263">
        <f>+'Res (100kWh)'!$J$51</f>
        <v>1.2999999999999999E-3</v>
      </c>
      <c r="K51" s="70">
        <f>K48</f>
        <v>518.1</v>
      </c>
      <c r="L51" s="66">
        <f t="shared" si="10"/>
        <v>0.67352999999999996</v>
      </c>
      <c r="M51" s="28"/>
      <c r="N51" s="31">
        <f t="shared" si="2"/>
        <v>-2.7300000000001212E-3</v>
      </c>
      <c r="O51" s="68">
        <f t="shared" si="8"/>
        <v>-4.036908881199717E-3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500</v>
      </c>
      <c r="H53" s="66">
        <f t="shared" si="9"/>
        <v>3.5</v>
      </c>
      <c r="I53" s="28"/>
      <c r="J53" s="263">
        <f>+'Res (100kWh)'!$J$53</f>
        <v>7.0000000000000001E-3</v>
      </c>
      <c r="K53" s="70">
        <f>F16</f>
        <v>500</v>
      </c>
      <c r="L53" s="66">
        <f t="shared" si="10"/>
        <v>3.5</v>
      </c>
      <c r="M53" s="28"/>
      <c r="N53" s="31">
        <f t="shared" si="2"/>
        <v>0</v>
      </c>
      <c r="O53" s="68">
        <f t="shared" si="8"/>
        <v>0</v>
      </c>
    </row>
    <row r="54" spans="2:19" ht="14.45" x14ac:dyDescent="0.3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320</v>
      </c>
      <c r="H54" s="66">
        <f t="shared" si="9"/>
        <v>24.64</v>
      </c>
      <c r="I54" s="28"/>
      <c r="J54" s="263">
        <f>+'Res (100kWh)'!$J$54</f>
        <v>7.6999999999999999E-2</v>
      </c>
      <c r="K54" s="69">
        <f>G54</f>
        <v>320</v>
      </c>
      <c r="L54" s="66">
        <f t="shared" si="10"/>
        <v>24.64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4.45" x14ac:dyDescent="0.3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90</v>
      </c>
      <c r="H55" s="66">
        <f t="shared" si="9"/>
        <v>10.26</v>
      </c>
      <c r="I55" s="28"/>
      <c r="J55" s="263">
        <f>+'Res (100kWh)'!$J$55</f>
        <v>0.114</v>
      </c>
      <c r="K55" s="69">
        <f>G55</f>
        <v>90</v>
      </c>
      <c r="L55" s="66">
        <f t="shared" si="10"/>
        <v>10.26</v>
      </c>
      <c r="M55" s="28"/>
      <c r="N55" s="31">
        <f t="shared" si="2"/>
        <v>0</v>
      </c>
      <c r="O55" s="68">
        <f t="shared" si="8"/>
        <v>0</v>
      </c>
      <c r="S55" s="72"/>
    </row>
    <row r="56" spans="2:19" ht="14.45" x14ac:dyDescent="0.3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90</v>
      </c>
      <c r="H56" s="66">
        <f t="shared" si="9"/>
        <v>12.600000000000001</v>
      </c>
      <c r="I56" s="28"/>
      <c r="J56" s="263">
        <f>+'Res (100kWh)'!$J$56</f>
        <v>0.14000000000000001</v>
      </c>
      <c r="K56" s="69">
        <f>G56</f>
        <v>90</v>
      </c>
      <c r="L56" s="66">
        <f t="shared" si="10"/>
        <v>12.600000000000001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ht="14.45" x14ac:dyDescent="0.25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500</v>
      </c>
      <c r="H57" s="66">
        <f>G57*F57</f>
        <v>44</v>
      </c>
      <c r="I57" s="79"/>
      <c r="J57" s="263">
        <f>+'Res (100kWh)'!$J$57</f>
        <v>8.7999999999999995E-2</v>
      </c>
      <c r="K57" s="78">
        <f>G57</f>
        <v>500</v>
      </c>
      <c r="L57" s="66">
        <f>K57*J57</f>
        <v>44</v>
      </c>
      <c r="M57" s="79"/>
      <c r="N57" s="80">
        <f t="shared" si="2"/>
        <v>0</v>
      </c>
      <c r="O57" s="68">
        <f t="shared" si="8"/>
        <v>0</v>
      </c>
    </row>
    <row r="58" spans="2:19" s="73" customFormat="1" thickBot="1" x14ac:dyDescent="0.3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63">
        <f>+'Res (100kWh)'!$J$58</f>
        <v>0.10299999999999999</v>
      </c>
      <c r="K58" s="78">
        <f>G58</f>
        <v>0</v>
      </c>
      <c r="L58" s="66">
        <f>K58*J58</f>
        <v>0</v>
      </c>
      <c r="M58" s="79"/>
      <c r="N58" s="80">
        <f t="shared" si="2"/>
        <v>0</v>
      </c>
      <c r="O58" s="68" t="str">
        <f t="shared" si="8"/>
        <v/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4.45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88.284120000000001</v>
      </c>
      <c r="I60" s="95"/>
      <c r="J60" s="96"/>
      <c r="K60" s="96"/>
      <c r="L60" s="190">
        <f>SUM(L50:L56,L49)</f>
        <v>90.653431548721073</v>
      </c>
      <c r="M60" s="97"/>
      <c r="N60" s="98">
        <f>L60-H60</f>
        <v>2.3693115487210719</v>
      </c>
      <c r="O60" s="99">
        <f>IF((H60)=0,"",(N60/H60))</f>
        <v>2.6837346837925914E-2</v>
      </c>
      <c r="S60" s="72"/>
    </row>
    <row r="61" spans="2:19" ht="14.45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11.476935600000001</v>
      </c>
      <c r="I61" s="104"/>
      <c r="J61" s="105">
        <v>0.13</v>
      </c>
      <c r="K61" s="104"/>
      <c r="L61" s="106">
        <f>L60*J61</f>
        <v>11.784946101333739</v>
      </c>
      <c r="M61" s="107"/>
      <c r="N61" s="108">
        <f t="shared" si="2"/>
        <v>0.30801050133373842</v>
      </c>
      <c r="O61" s="109">
        <f t="shared" si="8"/>
        <v>2.6837346837925831E-2</v>
      </c>
      <c r="S61" s="72"/>
    </row>
    <row r="62" spans="2:19" ht="14.45" x14ac:dyDescent="0.3">
      <c r="B62" s="110" t="s">
        <v>42</v>
      </c>
      <c r="C62" s="22"/>
      <c r="D62" s="22"/>
      <c r="E62" s="22"/>
      <c r="F62" s="111"/>
      <c r="G62" s="102"/>
      <c r="H62" s="103">
        <f>H60+H61</f>
        <v>99.761055600000006</v>
      </c>
      <c r="I62" s="104"/>
      <c r="J62" s="104"/>
      <c r="K62" s="104"/>
      <c r="L62" s="106">
        <f>L60+L61</f>
        <v>102.43837765005482</v>
      </c>
      <c r="M62" s="107"/>
      <c r="N62" s="108">
        <f t="shared" si="2"/>
        <v>2.6773220500548121</v>
      </c>
      <c r="O62" s="109">
        <f t="shared" si="8"/>
        <v>2.6837346837925921E-2</v>
      </c>
      <c r="S62" s="72"/>
    </row>
    <row r="63" spans="2:19" ht="15.75" customHeight="1" x14ac:dyDescent="0.3">
      <c r="B63" s="359" t="s">
        <v>43</v>
      </c>
      <c r="C63" s="359"/>
      <c r="D63" s="359"/>
      <c r="E63" s="22"/>
      <c r="F63" s="111"/>
      <c r="G63" s="102"/>
      <c r="H63" s="112">
        <f>ROUND(-H62*10%,2)</f>
        <v>-9.98</v>
      </c>
      <c r="I63" s="104"/>
      <c r="J63" s="104"/>
      <c r="K63" s="104"/>
      <c r="L63" s="113">
        <f>ROUND(-L62*10%,2)</f>
        <v>-10.24</v>
      </c>
      <c r="M63" s="107"/>
      <c r="N63" s="114">
        <f t="shared" si="2"/>
        <v>-0.25999999999999979</v>
      </c>
      <c r="O63" s="115">
        <f t="shared" si="8"/>
        <v>2.6052104208416811E-2</v>
      </c>
    </row>
    <row r="64" spans="2:19" thickBot="1" x14ac:dyDescent="0.35">
      <c r="B64" s="360" t="s">
        <v>44</v>
      </c>
      <c r="C64" s="360"/>
      <c r="D64" s="360"/>
      <c r="E64" s="116"/>
      <c r="F64" s="117"/>
      <c r="G64" s="118"/>
      <c r="H64" s="119">
        <f>H62+H63</f>
        <v>89.781055600000002</v>
      </c>
      <c r="I64" s="120"/>
      <c r="J64" s="120"/>
      <c r="K64" s="120"/>
      <c r="L64" s="121">
        <f>L62+L63</f>
        <v>92.198377650054823</v>
      </c>
      <c r="M64" s="122"/>
      <c r="N64" s="123">
        <f t="shared" si="2"/>
        <v>2.4173220500548211</v>
      </c>
      <c r="O64" s="124">
        <f t="shared" si="8"/>
        <v>2.692463386512935E-2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15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84.784120000000016</v>
      </c>
      <c r="I66" s="136"/>
      <c r="J66" s="137"/>
      <c r="K66" s="137"/>
      <c r="L66" s="189">
        <f>SUM(L57:L58,L49,L50:L53)</f>
        <v>87.153431548721073</v>
      </c>
      <c r="M66" s="138"/>
      <c r="N66" s="139">
        <f>L66-H66</f>
        <v>2.3693115487210576</v>
      </c>
      <c r="O66" s="99">
        <f>IF((H66)=0,"",(N66/H66))</f>
        <v>2.7945227817674549E-2</v>
      </c>
    </row>
    <row r="67" spans="1:15" s="73" customFormat="1" ht="13.15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11.021935600000003</v>
      </c>
      <c r="I67" s="143"/>
      <c r="J67" s="144">
        <v>0.13</v>
      </c>
      <c r="K67" s="145"/>
      <c r="L67" s="146">
        <f>L66*J67</f>
        <v>11.329946101333739</v>
      </c>
      <c r="M67" s="147"/>
      <c r="N67" s="148">
        <f>L67-H67</f>
        <v>0.30801050133373664</v>
      </c>
      <c r="O67" s="109">
        <f>IF((H67)=0,"",(N67/H67))</f>
        <v>2.7945227817674473E-2</v>
      </c>
    </row>
    <row r="68" spans="1:15" s="73" customFormat="1" ht="13.15" x14ac:dyDescent="0.25">
      <c r="B68" s="149" t="s">
        <v>42</v>
      </c>
      <c r="C68" s="75"/>
      <c r="D68" s="75"/>
      <c r="E68" s="75"/>
      <c r="F68" s="150"/>
      <c r="G68" s="151"/>
      <c r="H68" s="142">
        <f>H66+H67</f>
        <v>95.806055600000022</v>
      </c>
      <c r="I68" s="143"/>
      <c r="J68" s="143"/>
      <c r="K68" s="143"/>
      <c r="L68" s="146">
        <f>L66+L67</f>
        <v>98.48337765005482</v>
      </c>
      <c r="M68" s="147"/>
      <c r="N68" s="148">
        <f>L68-H68</f>
        <v>2.6773220500547978</v>
      </c>
      <c r="O68" s="109">
        <f>IF((H68)=0,"",(N68/H68))</f>
        <v>2.7945227817674577E-2</v>
      </c>
    </row>
    <row r="69" spans="1:15" s="73" customFormat="1" ht="15.75" customHeight="1" x14ac:dyDescent="0.25">
      <c r="B69" s="361" t="s">
        <v>43</v>
      </c>
      <c r="C69" s="361"/>
      <c r="D69" s="361"/>
      <c r="E69" s="75"/>
      <c r="F69" s="150"/>
      <c r="G69" s="151"/>
      <c r="H69" s="152">
        <f>ROUND(-H68*10%,2)</f>
        <v>-9.58</v>
      </c>
      <c r="I69" s="143"/>
      <c r="J69" s="143"/>
      <c r="K69" s="143"/>
      <c r="L69" s="153">
        <f>ROUND(-L68*10%,2)</f>
        <v>-9.85</v>
      </c>
      <c r="M69" s="147"/>
      <c r="N69" s="154">
        <f>L69-H69</f>
        <v>-0.26999999999999957</v>
      </c>
      <c r="O69" s="115">
        <f>IF((H69)=0,"",(N69/H69))</f>
        <v>2.8183716075156531E-2</v>
      </c>
    </row>
    <row r="70" spans="1:15" s="73" customFormat="1" ht="13.9" thickBot="1" x14ac:dyDescent="0.3">
      <c r="B70" s="352" t="s">
        <v>46</v>
      </c>
      <c r="C70" s="352"/>
      <c r="D70" s="352"/>
      <c r="E70" s="155"/>
      <c r="F70" s="156"/>
      <c r="G70" s="157"/>
      <c r="H70" s="158">
        <f>SUM(H68:H69)</f>
        <v>86.226055600000024</v>
      </c>
      <c r="I70" s="159"/>
      <c r="J70" s="159"/>
      <c r="K70" s="159"/>
      <c r="L70" s="160">
        <f>SUM(L68:L69)</f>
        <v>88.633377650054825</v>
      </c>
      <c r="M70" s="161"/>
      <c r="N70" s="162">
        <f>L70-H70</f>
        <v>2.4073220500548018</v>
      </c>
      <c r="O70" s="163">
        <f>IF((H70)=0,"",(N70/H70))</f>
        <v>2.7918730983385039E-2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ht="14.4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149999999999999" x14ac:dyDescent="0.3">
      <c r="A75" s="171" t="s">
        <v>48</v>
      </c>
    </row>
    <row r="76" spans="1:15" ht="10.5" customHeight="1" x14ac:dyDescent="0.3"/>
    <row r="77" spans="1:15" ht="14.45" x14ac:dyDescent="0.3">
      <c r="A77" s="7" t="s">
        <v>49</v>
      </c>
    </row>
    <row r="78" spans="1:15" ht="14.45" x14ac:dyDescent="0.3">
      <c r="A78" s="7" t="s">
        <v>50</v>
      </c>
    </row>
    <row r="80" spans="1:15" ht="14.45" x14ac:dyDescent="0.3">
      <c r="A80" s="12" t="s">
        <v>51</v>
      </c>
    </row>
    <row r="81" spans="1:2" ht="14.45" x14ac:dyDescent="0.3">
      <c r="A81" s="12" t="s">
        <v>52</v>
      </c>
    </row>
    <row r="83" spans="1:2" ht="14.45" x14ac:dyDescent="0.3">
      <c r="A83" s="7" t="s">
        <v>53</v>
      </c>
    </row>
    <row r="84" spans="1:2" ht="14.45" x14ac:dyDescent="0.3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D12:O12"/>
    <mergeCell ref="N1:O1"/>
    <mergeCell ref="N2:O2"/>
    <mergeCell ref="N5:O5"/>
    <mergeCell ref="B8:O8"/>
    <mergeCell ref="B9:O9"/>
    <mergeCell ref="N3:O3"/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CC"/>
    <pageSetUpPr fitToPage="1"/>
  </sheetPr>
  <dimension ref="A1:T89"/>
  <sheetViews>
    <sheetView showGridLines="0" topLeftCell="A6" workbookViewId="0">
      <selection activeCell="F44" sqref="F44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customWidth="1"/>
    <col min="16" max="16" width="6.28515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 s="192"/>
    </row>
    <row r="4" spans="1:20" s="2" customFormat="1" ht="9" customHeight="1" x14ac:dyDescent="0.3">
      <c r="L4" s="3"/>
      <c r="N4" s="311"/>
      <c r="O4"/>
      <c r="P4"/>
    </row>
    <row r="5" spans="1:20" s="2" customFormat="1" ht="14.45" x14ac:dyDescent="0.3">
      <c r="L5" s="3" t="s">
        <v>76</v>
      </c>
      <c r="N5" s="368">
        <v>42124</v>
      </c>
      <c r="O5" s="368"/>
      <c r="P5" s="191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59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800</v>
      </c>
      <c r="G16" s="13" t="s">
        <v>7</v>
      </c>
      <c r="J16" s="280"/>
      <c r="K16" s="34"/>
      <c r="L16" s="34"/>
    </row>
    <row r="17" spans="2:15" ht="14.45" x14ac:dyDescent="0.3">
      <c r="B17" s="12"/>
      <c r="F17" s="281"/>
      <c r="G17" s="34"/>
      <c r="H17" s="34"/>
      <c r="J17" s="281"/>
      <c r="K17" s="34"/>
      <c r="L17" s="34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342">
        <f>+'Res (100kWh)'!$J$21</f>
        <v>20.49</v>
      </c>
      <c r="K21" s="30">
        <v>1</v>
      </c>
      <c r="L21" s="27">
        <f>K21*J21</f>
        <v>20.49</v>
      </c>
      <c r="M21" s="28"/>
      <c r="N21" s="31">
        <f>L21-H21</f>
        <v>5.2899999999999991</v>
      </c>
      <c r="O21" s="32">
        <f>IF((H21)=0,"",(N21/H21))</f>
        <v>0.34802631578947363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90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>IF((H24)=0,"",(N24/H24))</f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800</v>
      </c>
      <c r="H25" s="27">
        <f t="shared" si="0"/>
        <v>-0.08</v>
      </c>
      <c r="I25" s="28"/>
      <c r="J25" s="29">
        <f>+'Res (100kWh)'!$J$25</f>
        <v>-1E-4</v>
      </c>
      <c r="K25" s="26">
        <f>$F$16</f>
        <v>800</v>
      </c>
      <c r="L25" s="27">
        <f t="shared" si="1"/>
        <v>-0.08</v>
      </c>
      <c r="M25" s="28"/>
      <c r="N25" s="31">
        <f t="shared" si="2"/>
        <v>0</v>
      </c>
      <c r="O25" s="32">
        <f t="shared" si="3"/>
        <v>0</v>
      </c>
    </row>
    <row r="26" spans="2:15" ht="15" customHeight="1" x14ac:dyDescent="0.3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800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800</v>
      </c>
      <c r="L26" s="27">
        <f t="shared" si="1"/>
        <v>-0.48</v>
      </c>
      <c r="M26" s="28"/>
      <c r="N26" s="31">
        <f t="shared" si="2"/>
        <v>-0.48</v>
      </c>
      <c r="O26" s="32" t="str">
        <f t="shared" si="3"/>
        <v/>
      </c>
    </row>
    <row r="27" spans="2:15" ht="14.45" x14ac:dyDescent="0.3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800</v>
      </c>
      <c r="H27" s="27">
        <f t="shared" si="0"/>
        <v>15.36</v>
      </c>
      <c r="I27" s="28"/>
      <c r="J27" s="185">
        <f>+'Res (100kWh)'!$J$27</f>
        <v>1.6E-2</v>
      </c>
      <c r="K27" s="26">
        <f>$F$16</f>
        <v>800</v>
      </c>
      <c r="L27" s="27">
        <f t="shared" si="1"/>
        <v>12.8</v>
      </c>
      <c r="M27" s="28"/>
      <c r="N27" s="31">
        <f t="shared" si="2"/>
        <v>-2.5599999999999987</v>
      </c>
      <c r="O27" s="32">
        <f t="shared" si="3"/>
        <v>-0.1666666666666666</v>
      </c>
    </row>
    <row r="28" spans="2:15" ht="14.45" hidden="1" x14ac:dyDescent="0.3">
      <c r="B28" s="24" t="s">
        <v>20</v>
      </c>
      <c r="C28" s="22"/>
      <c r="D28" s="23"/>
      <c r="E28" s="24"/>
      <c r="F28" s="25"/>
      <c r="G28" s="26">
        <f>$F$16</f>
        <v>800</v>
      </c>
      <c r="H28" s="27">
        <f t="shared" si="0"/>
        <v>0</v>
      </c>
      <c r="I28" s="28"/>
      <c r="J28" s="29"/>
      <c r="K28" s="26">
        <f t="shared" ref="K28:K36" si="4">$F$16</f>
        <v>800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4" t="s">
        <v>21</v>
      </c>
      <c r="C29" s="22"/>
      <c r="D29" s="23"/>
      <c r="E29" s="24"/>
      <c r="F29" s="25"/>
      <c r="G29" s="26">
        <f>$F$16</f>
        <v>800</v>
      </c>
      <c r="H29" s="27">
        <f t="shared" si="0"/>
        <v>0</v>
      </c>
      <c r="I29" s="28"/>
      <c r="J29" s="29"/>
      <c r="K29" s="26">
        <f t="shared" si="4"/>
        <v>800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182"/>
      <c r="C30" s="22"/>
      <c r="D30" s="23"/>
      <c r="E30" s="24"/>
      <c r="F30" s="25"/>
      <c r="G30" s="26">
        <f t="shared" ref="G30:G36" si="5">$F$16</f>
        <v>800</v>
      </c>
      <c r="H30" s="27">
        <f t="shared" si="0"/>
        <v>0</v>
      </c>
      <c r="I30" s="28"/>
      <c r="J30" s="29"/>
      <c r="K30" s="26">
        <f t="shared" si="4"/>
        <v>800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182"/>
      <c r="C31" s="22"/>
      <c r="D31" s="23"/>
      <c r="E31" s="24"/>
      <c r="F31" s="25"/>
      <c r="G31" s="26">
        <f t="shared" si="5"/>
        <v>800</v>
      </c>
      <c r="H31" s="27">
        <f t="shared" si="0"/>
        <v>0</v>
      </c>
      <c r="I31" s="28"/>
      <c r="J31" s="29"/>
      <c r="K31" s="26">
        <f t="shared" si="4"/>
        <v>800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182"/>
      <c r="C32" s="22"/>
      <c r="D32" s="23"/>
      <c r="E32" s="24"/>
      <c r="F32" s="25"/>
      <c r="G32" s="26">
        <f t="shared" si="5"/>
        <v>800</v>
      </c>
      <c r="H32" s="27">
        <f t="shared" si="0"/>
        <v>0</v>
      </c>
      <c r="I32" s="28"/>
      <c r="J32" s="29"/>
      <c r="K32" s="26">
        <f t="shared" si="4"/>
        <v>800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182"/>
      <c r="C33" s="22"/>
      <c r="D33" s="23"/>
      <c r="E33" s="24"/>
      <c r="F33" s="25"/>
      <c r="G33" s="26">
        <f t="shared" si="5"/>
        <v>800</v>
      </c>
      <c r="H33" s="27">
        <f t="shared" si="0"/>
        <v>0</v>
      </c>
      <c r="I33" s="28"/>
      <c r="J33" s="29"/>
      <c r="K33" s="26">
        <f t="shared" si="4"/>
        <v>800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182"/>
      <c r="C34" s="22"/>
      <c r="D34" s="23"/>
      <c r="E34" s="24"/>
      <c r="F34" s="25"/>
      <c r="G34" s="26">
        <f t="shared" si="5"/>
        <v>800</v>
      </c>
      <c r="H34" s="27">
        <f t="shared" si="0"/>
        <v>0</v>
      </c>
      <c r="I34" s="28"/>
      <c r="J34" s="29"/>
      <c r="K34" s="26">
        <f t="shared" si="4"/>
        <v>800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182"/>
      <c r="C35" s="22"/>
      <c r="D35" s="23"/>
      <c r="E35" s="24"/>
      <c r="F35" s="25"/>
      <c r="G35" s="26">
        <f t="shared" si="5"/>
        <v>800</v>
      </c>
      <c r="H35" s="27">
        <f t="shared" si="0"/>
        <v>0</v>
      </c>
      <c r="I35" s="28"/>
      <c r="J35" s="29"/>
      <c r="K35" s="26">
        <f t="shared" si="4"/>
        <v>800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182"/>
      <c r="C36" s="22"/>
      <c r="D36" s="23"/>
      <c r="E36" s="24"/>
      <c r="F36" s="25"/>
      <c r="G36" s="26">
        <f t="shared" si="5"/>
        <v>800</v>
      </c>
      <c r="H36" s="27">
        <f t="shared" si="0"/>
        <v>0</v>
      </c>
      <c r="I36" s="28"/>
      <c r="J36" s="29"/>
      <c r="K36" s="26">
        <f t="shared" si="4"/>
        <v>800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32.590000000000003</v>
      </c>
      <c r="I37" s="41"/>
      <c r="J37" s="42"/>
      <c r="K37" s="43"/>
      <c r="L37" s="40">
        <f>SUM(L21:L36)</f>
        <v>33.305191548721069</v>
      </c>
      <c r="M37" s="41"/>
      <c r="N37" s="44">
        <f t="shared" si="2"/>
        <v>0.71519154872106583</v>
      </c>
      <c r="O37" s="45">
        <f t="shared" si="3"/>
        <v>2.1945122697792752E-2</v>
      </c>
    </row>
    <row r="38" spans="2:15" ht="15" hidden="1" customHeight="1" x14ac:dyDescent="0.3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4.4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800</v>
      </c>
      <c r="H39" s="27">
        <f t="shared" ref="H39:H45" si="6">G39*F39</f>
        <v>-1.1199999999999999</v>
      </c>
      <c r="I39" s="28"/>
      <c r="J39" s="29">
        <f>+'Res (100kWh)'!$J$39</f>
        <v>2.0000000000000009E-4</v>
      </c>
      <c r="K39" s="26">
        <f>$F$16</f>
        <v>800</v>
      </c>
      <c r="L39" s="27">
        <f t="shared" ref="L39:L45" si="7">K39*J39</f>
        <v>0.16000000000000009</v>
      </c>
      <c r="M39" s="28"/>
      <c r="N39" s="31">
        <f t="shared" si="2"/>
        <v>1.28</v>
      </c>
      <c r="O39" s="32">
        <f t="shared" si="3"/>
        <v>-1.142857142857143</v>
      </c>
    </row>
    <row r="40" spans="2:15" ht="14.45" hidden="1" x14ac:dyDescent="0.3">
      <c r="B40" s="46"/>
      <c r="C40" s="22"/>
      <c r="D40" s="23" t="s">
        <v>61</v>
      </c>
      <c r="E40" s="24"/>
      <c r="F40" s="25"/>
      <c r="G40" s="26">
        <f>$F$16</f>
        <v>800</v>
      </c>
      <c r="H40" s="27">
        <f t="shared" si="6"/>
        <v>0</v>
      </c>
      <c r="I40" s="47"/>
      <c r="J40" s="29"/>
      <c r="K40" s="26">
        <f>$F$16</f>
        <v>800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4.45" hidden="1" x14ac:dyDescent="0.3">
      <c r="B41" s="46"/>
      <c r="C41" s="22"/>
      <c r="D41" s="23" t="s">
        <v>61</v>
      </c>
      <c r="E41" s="24"/>
      <c r="F41" s="25"/>
      <c r="G41" s="26">
        <f>$F$16</f>
        <v>800</v>
      </c>
      <c r="H41" s="27">
        <f t="shared" si="6"/>
        <v>0</v>
      </c>
      <c r="I41" s="47"/>
      <c r="J41" s="29"/>
      <c r="K41" s="26">
        <f>$F$16</f>
        <v>800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4.45" hidden="1" x14ac:dyDescent="0.3">
      <c r="B42" s="46"/>
      <c r="C42" s="22"/>
      <c r="D42" s="23"/>
      <c r="E42" s="24"/>
      <c r="F42" s="25"/>
      <c r="G42" s="26">
        <f>$F$16</f>
        <v>800</v>
      </c>
      <c r="H42" s="27">
        <f t="shared" si="6"/>
        <v>0</v>
      </c>
      <c r="I42" s="47"/>
      <c r="J42" s="29"/>
      <c r="K42" s="26">
        <f>$F$16</f>
        <v>800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4.4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800</v>
      </c>
      <c r="H43" s="27">
        <f t="shared" si="6"/>
        <v>0.08</v>
      </c>
      <c r="I43" s="28"/>
      <c r="J43" s="29">
        <f>+'Res (100kWh)'!$J$43</f>
        <v>2.0000000000000001E-4</v>
      </c>
      <c r="K43" s="26">
        <f>$F$16</f>
        <v>800</v>
      </c>
      <c r="L43" s="27">
        <f t="shared" si="7"/>
        <v>0.16</v>
      </c>
      <c r="M43" s="28"/>
      <c r="N43" s="31">
        <f t="shared" si="2"/>
        <v>0.08</v>
      </c>
      <c r="O43" s="32">
        <f t="shared" si="3"/>
        <v>1</v>
      </c>
    </row>
    <row r="44" spans="2:15" s="34" customFormat="1" ht="14.45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32.319999999999936</v>
      </c>
      <c r="H44" s="184">
        <f t="shared" si="6"/>
        <v>3.070399999999994</v>
      </c>
      <c r="I44" s="57"/>
      <c r="J44" s="185">
        <f>0.64*$F$54+0.18*$F$55+0.18*$F$56</f>
        <v>9.5000000000000001E-2</v>
      </c>
      <c r="K44" s="26">
        <f>$F$16*(1+$J$73)-$F$16</f>
        <v>28.960000000000036</v>
      </c>
      <c r="L44" s="184">
        <f t="shared" si="7"/>
        <v>2.7512000000000034</v>
      </c>
      <c r="M44" s="57"/>
      <c r="N44" s="186">
        <f t="shared" si="2"/>
        <v>-0.3191999999999906</v>
      </c>
      <c r="O44" s="187">
        <f t="shared" si="3"/>
        <v>-0.1039603960396011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35.410399999999996</v>
      </c>
      <c r="I46" s="41"/>
      <c r="J46" s="53"/>
      <c r="K46" s="53"/>
      <c r="L46" s="54">
        <f>SUM(L38:L45)+L37</f>
        <v>37.166391548721073</v>
      </c>
      <c r="M46" s="41"/>
      <c r="N46" s="44">
        <f t="shared" si="2"/>
        <v>1.7559915487210773</v>
      </c>
      <c r="O46" s="45">
        <f t="shared" ref="O46:O64" si="8">IF((H46)=0,"",(N46/H46))</f>
        <v>4.9589712308278855E-2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63">
        <f>+'Res (100kWh)'!$F$47</f>
        <v>7.6E-3</v>
      </c>
      <c r="G47" s="69">
        <f>F16*(1+F73)</f>
        <v>832.31999999999994</v>
      </c>
      <c r="H47" s="27">
        <f>G47*F47</f>
        <v>6.3256319999999997</v>
      </c>
      <c r="I47" s="28"/>
      <c r="J47" s="263">
        <f>+'Res (100kWh)'!$J$47</f>
        <v>7.4000000000000003E-3</v>
      </c>
      <c r="K47" s="70">
        <f>F16*(1+J73)</f>
        <v>828.96</v>
      </c>
      <c r="L47" s="27">
        <f>K47*J47</f>
        <v>6.1343040000000002</v>
      </c>
      <c r="M47" s="28"/>
      <c r="N47" s="31">
        <f t="shared" si="2"/>
        <v>-0.1913279999999995</v>
      </c>
      <c r="O47" s="32">
        <f t="shared" si="8"/>
        <v>-3.0246463910641577E-2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63">
        <f>+'Res (100kWh)'!$F$48</f>
        <v>2.3E-3</v>
      </c>
      <c r="G48" s="69">
        <f>G47</f>
        <v>832.31999999999994</v>
      </c>
      <c r="H48" s="27">
        <f>G48*F48</f>
        <v>1.9143359999999998</v>
      </c>
      <c r="I48" s="28"/>
      <c r="J48" s="263">
        <f>+'Res (100kWh)'!$J$48</f>
        <v>2.3E-3</v>
      </c>
      <c r="K48" s="70">
        <f>K47</f>
        <v>828.96</v>
      </c>
      <c r="L48" s="27">
        <f>K48*J48</f>
        <v>1.9066080000000001</v>
      </c>
      <c r="M48" s="28"/>
      <c r="N48" s="31">
        <f t="shared" si="2"/>
        <v>-7.7279999999997351E-3</v>
      </c>
      <c r="O48" s="32">
        <f t="shared" si="8"/>
        <v>-4.0369088811994004E-3</v>
      </c>
    </row>
    <row r="49" spans="2:19" ht="14.45" x14ac:dyDescent="0.3">
      <c r="B49" s="50" t="s">
        <v>30</v>
      </c>
      <c r="C49" s="36"/>
      <c r="D49" s="36"/>
      <c r="E49" s="36"/>
      <c r="F49" s="60"/>
      <c r="G49" s="293"/>
      <c r="H49" s="54">
        <f>SUM(H46:H48)</f>
        <v>43.650367999999993</v>
      </c>
      <c r="I49" s="61"/>
      <c r="J49" s="62"/>
      <c r="K49" s="294"/>
      <c r="L49" s="54">
        <f>SUM(L46:L48)</f>
        <v>45.207303548721072</v>
      </c>
      <c r="M49" s="61"/>
      <c r="N49" s="44">
        <f t="shared" si="2"/>
        <v>1.5569355487210785</v>
      </c>
      <c r="O49" s="45">
        <f t="shared" si="8"/>
        <v>3.5668325836819489E-2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832.31999999999994</v>
      </c>
      <c r="H50" s="66">
        <f t="shared" ref="H50:H56" si="9">G50*F50</f>
        <v>3.6622080000000001</v>
      </c>
      <c r="I50" s="28"/>
      <c r="J50" s="263">
        <f>+'Res (100kWh)'!$J$50</f>
        <v>4.4000000000000003E-3</v>
      </c>
      <c r="K50" s="70">
        <f>K48</f>
        <v>828.96</v>
      </c>
      <c r="L50" s="66">
        <f t="shared" ref="L50:L56" si="10">K50*J50</f>
        <v>3.6474240000000004</v>
      </c>
      <c r="M50" s="28"/>
      <c r="N50" s="31">
        <f t="shared" si="2"/>
        <v>-1.4783999999999686E-2</v>
      </c>
      <c r="O50" s="68">
        <f t="shared" si="8"/>
        <v>-4.0369088811994525E-3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832.31999999999994</v>
      </c>
      <c r="H51" s="66">
        <f t="shared" si="9"/>
        <v>1.0820159999999999</v>
      </c>
      <c r="I51" s="28"/>
      <c r="J51" s="263">
        <f>+'Res (100kWh)'!$J$51</f>
        <v>1.2999999999999999E-3</v>
      </c>
      <c r="K51" s="70">
        <f>K48</f>
        <v>828.96</v>
      </c>
      <c r="L51" s="66">
        <f t="shared" si="10"/>
        <v>1.0776479999999999</v>
      </c>
      <c r="M51" s="28"/>
      <c r="N51" s="31">
        <f t="shared" si="2"/>
        <v>-4.3679999999999275E-3</v>
      </c>
      <c r="O51" s="68">
        <f t="shared" si="8"/>
        <v>-4.0369088811994724E-3</v>
      </c>
    </row>
    <row r="52" spans="2:19" x14ac:dyDescent="0.25">
      <c r="B52" s="24" t="s">
        <v>33</v>
      </c>
      <c r="C52" s="24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4" t="s">
        <v>34</v>
      </c>
      <c r="C53" s="24"/>
      <c r="D53" s="23" t="s">
        <v>61</v>
      </c>
      <c r="E53" s="24"/>
      <c r="F53" s="65">
        <f>+'Res (100kWh)'!$F$53</f>
        <v>7.0000000000000001E-3</v>
      </c>
      <c r="G53" s="69">
        <f>F16</f>
        <v>800</v>
      </c>
      <c r="H53" s="66">
        <f t="shared" si="9"/>
        <v>5.6000000000000005</v>
      </c>
      <c r="I53" s="28"/>
      <c r="J53" s="263">
        <f>+'Res (100kWh)'!$J$53</f>
        <v>7.0000000000000001E-3</v>
      </c>
      <c r="K53" s="70">
        <f>F16</f>
        <v>800</v>
      </c>
      <c r="L53" s="66">
        <f t="shared" si="10"/>
        <v>5.6000000000000005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181" t="s">
        <v>35</v>
      </c>
      <c r="C54" s="24"/>
      <c r="D54" s="23" t="s">
        <v>61</v>
      </c>
      <c r="E54" s="24"/>
      <c r="F54" s="65">
        <f>+'Res (100kWh)'!$F$54</f>
        <v>7.6999999999999999E-2</v>
      </c>
      <c r="G54" s="69">
        <f>0.64*$F$16</f>
        <v>512</v>
      </c>
      <c r="H54" s="66">
        <f t="shared" si="9"/>
        <v>39.423999999999999</v>
      </c>
      <c r="I54" s="28"/>
      <c r="J54" s="263">
        <f>+'Res (100kWh)'!$J$54</f>
        <v>7.6999999999999999E-2</v>
      </c>
      <c r="K54" s="69">
        <f>G54</f>
        <v>512</v>
      </c>
      <c r="L54" s="66">
        <f t="shared" si="10"/>
        <v>39.423999999999999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181" t="s">
        <v>36</v>
      </c>
      <c r="C55" s="24"/>
      <c r="D55" s="23" t="s">
        <v>61</v>
      </c>
      <c r="E55" s="24"/>
      <c r="F55" s="65">
        <f>+'Res (100kWh)'!$F$55</f>
        <v>0.114</v>
      </c>
      <c r="G55" s="69">
        <f>0.18*$F$16</f>
        <v>144</v>
      </c>
      <c r="H55" s="66">
        <f t="shared" si="9"/>
        <v>16.416</v>
      </c>
      <c r="I55" s="28"/>
      <c r="J55" s="263">
        <f>+'Res (100kWh)'!$J$55</f>
        <v>0.114</v>
      </c>
      <c r="K55" s="69">
        <f>G55</f>
        <v>144</v>
      </c>
      <c r="L55" s="66">
        <f t="shared" si="10"/>
        <v>16.416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299" t="s">
        <v>37</v>
      </c>
      <c r="C56" s="24"/>
      <c r="D56" s="23" t="s">
        <v>61</v>
      </c>
      <c r="E56" s="24"/>
      <c r="F56" s="65">
        <f>+'Res (100kWh)'!$F$56</f>
        <v>0.14000000000000001</v>
      </c>
      <c r="G56" s="69">
        <f>0.18*$F$16</f>
        <v>144</v>
      </c>
      <c r="H56" s="66">
        <f t="shared" si="9"/>
        <v>20.160000000000004</v>
      </c>
      <c r="I56" s="28"/>
      <c r="J56" s="263">
        <f>+'Res (100kWh)'!$J$56</f>
        <v>0.14000000000000001</v>
      </c>
      <c r="K56" s="69">
        <f>G56</f>
        <v>144</v>
      </c>
      <c r="L56" s="66">
        <f t="shared" si="10"/>
        <v>20.160000000000004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291" t="s">
        <v>38</v>
      </c>
      <c r="C57" s="77"/>
      <c r="D57" s="23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291" t="s">
        <v>39</v>
      </c>
      <c r="C58" s="77"/>
      <c r="D58" s="23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200</v>
      </c>
      <c r="H58" s="66">
        <f>G58*F58</f>
        <v>20.599999999999998</v>
      </c>
      <c r="I58" s="79"/>
      <c r="J58" s="263">
        <f>+'Res (100kWh)'!$J$58</f>
        <v>0.10299999999999999</v>
      </c>
      <c r="K58" s="78">
        <f>G58</f>
        <v>200</v>
      </c>
      <c r="L58" s="66">
        <f>K58*J58</f>
        <v>20.599999999999998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">
      <c r="B59" s="300"/>
      <c r="C59" s="301"/>
      <c r="D59" s="302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4"/>
      <c r="D60" s="24"/>
      <c r="E60" s="22"/>
      <c r="F60" s="92"/>
      <c r="G60" s="93"/>
      <c r="H60" s="94">
        <f>SUM(H50:H56,H49)</f>
        <v>130.24459199999998</v>
      </c>
      <c r="I60" s="95"/>
      <c r="J60" s="96"/>
      <c r="K60" s="96"/>
      <c r="L60" s="190">
        <f>SUM(L50:L56,L49)</f>
        <v>131.78237554872106</v>
      </c>
      <c r="M60" s="97"/>
      <c r="N60" s="98">
        <f>L60-H60</f>
        <v>1.5377835487210803</v>
      </c>
      <c r="O60" s="99">
        <f>IF((H60)=0,"",(N60/H60))</f>
        <v>1.1806889830182589E-2</v>
      </c>
      <c r="S60" s="72"/>
    </row>
    <row r="61" spans="2:19" x14ac:dyDescent="0.25">
      <c r="B61" s="100" t="s">
        <v>41</v>
      </c>
      <c r="C61" s="24"/>
      <c r="D61" s="24"/>
      <c r="E61" s="22"/>
      <c r="F61" s="101">
        <v>0.13</v>
      </c>
      <c r="G61" s="102"/>
      <c r="H61" s="103">
        <f>H60*F61</f>
        <v>16.93179696</v>
      </c>
      <c r="I61" s="104"/>
      <c r="J61" s="105">
        <v>0.13</v>
      </c>
      <c r="K61" s="104"/>
      <c r="L61" s="106">
        <f>L60*J61</f>
        <v>17.131708821333739</v>
      </c>
      <c r="M61" s="107"/>
      <c r="N61" s="108">
        <f t="shared" si="2"/>
        <v>0.19991186133373873</v>
      </c>
      <c r="O61" s="109">
        <f t="shared" si="8"/>
        <v>1.1806889830182486E-2</v>
      </c>
      <c r="S61" s="72"/>
    </row>
    <row r="62" spans="2:19" x14ac:dyDescent="0.25">
      <c r="B62" s="303" t="s">
        <v>42</v>
      </c>
      <c r="C62" s="24"/>
      <c r="D62" s="24"/>
      <c r="E62" s="22"/>
      <c r="F62" s="111"/>
      <c r="G62" s="102"/>
      <c r="H62" s="103">
        <f>H60+H61</f>
        <v>147.17638896</v>
      </c>
      <c r="I62" s="104"/>
      <c r="J62" s="104"/>
      <c r="K62" s="104"/>
      <c r="L62" s="106">
        <f>L60+L61</f>
        <v>148.91408437005481</v>
      </c>
      <c r="M62" s="107"/>
      <c r="N62" s="108">
        <f t="shared" si="2"/>
        <v>1.7376954100548119</v>
      </c>
      <c r="O62" s="109">
        <f t="shared" si="8"/>
        <v>1.1806889830182526E-2</v>
      </c>
      <c r="S62" s="72"/>
    </row>
    <row r="63" spans="2:19" ht="15.75" customHeight="1" x14ac:dyDescent="0.25">
      <c r="B63" s="359" t="s">
        <v>43</v>
      </c>
      <c r="C63" s="359"/>
      <c r="D63" s="359"/>
      <c r="E63" s="22"/>
      <c r="F63" s="111"/>
      <c r="G63" s="102"/>
      <c r="H63" s="112">
        <f>ROUND(-H62*10%,2)</f>
        <v>-14.72</v>
      </c>
      <c r="I63" s="104"/>
      <c r="J63" s="104"/>
      <c r="K63" s="104"/>
      <c r="L63" s="113">
        <f>ROUND(-L62*10%,2)</f>
        <v>-14.89</v>
      </c>
      <c r="M63" s="107"/>
      <c r="N63" s="114">
        <f t="shared" si="2"/>
        <v>-0.16999999999999993</v>
      </c>
      <c r="O63" s="115">
        <f t="shared" si="8"/>
        <v>1.1548913043478255E-2</v>
      </c>
    </row>
    <row r="64" spans="2:19" ht="15.75" thickBot="1" x14ac:dyDescent="0.3">
      <c r="B64" s="360" t="s">
        <v>44</v>
      </c>
      <c r="C64" s="360"/>
      <c r="D64" s="360"/>
      <c r="E64" s="116"/>
      <c r="F64" s="117"/>
      <c r="G64" s="118"/>
      <c r="H64" s="119">
        <f>H62+H63</f>
        <v>132.45638896</v>
      </c>
      <c r="I64" s="120"/>
      <c r="J64" s="120"/>
      <c r="K64" s="120"/>
      <c r="L64" s="121">
        <f>L62+L63</f>
        <v>134.02408437005482</v>
      </c>
      <c r="M64" s="122"/>
      <c r="N64" s="123">
        <f t="shared" si="2"/>
        <v>1.5676954100548244</v>
      </c>
      <c r="O64" s="124">
        <f t="shared" si="8"/>
        <v>1.1835559027116818E-2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127.64459199999999</v>
      </c>
      <c r="I66" s="136"/>
      <c r="J66" s="137"/>
      <c r="K66" s="137"/>
      <c r="L66" s="189">
        <f>SUM(L57:L58,L49,L50:L53)</f>
        <v>129.18237554872107</v>
      </c>
      <c r="M66" s="138"/>
      <c r="N66" s="139">
        <f>L66-H66</f>
        <v>1.5377835487210803</v>
      </c>
      <c r="O66" s="99">
        <f>IF((H66)=0,"",(N66/H66))</f>
        <v>1.2047385044883691E-2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16.593796959999999</v>
      </c>
      <c r="I67" s="143"/>
      <c r="J67" s="144">
        <v>0.13</v>
      </c>
      <c r="K67" s="145"/>
      <c r="L67" s="146">
        <f>L66*J67</f>
        <v>16.793708821333741</v>
      </c>
      <c r="M67" s="147"/>
      <c r="N67" s="148">
        <f>L67-H67</f>
        <v>0.19991186133374228</v>
      </c>
      <c r="O67" s="109">
        <f>IF((H67)=0,"",(N67/H67))</f>
        <v>1.2047385044883802E-2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144.23838895999998</v>
      </c>
      <c r="I68" s="143"/>
      <c r="J68" s="143"/>
      <c r="K68" s="143"/>
      <c r="L68" s="146">
        <f>L66+L67</f>
        <v>145.97608437005482</v>
      </c>
      <c r="M68" s="147"/>
      <c r="N68" s="148">
        <f>L68-H68</f>
        <v>1.7376954100548403</v>
      </c>
      <c r="O68" s="109">
        <f>IF((H68)=0,"",(N68/H68))</f>
        <v>1.2047385044883827E-2</v>
      </c>
    </row>
    <row r="69" spans="1:15" s="73" customFormat="1" ht="15.75" customHeight="1" x14ac:dyDescent="0.2">
      <c r="B69" s="361" t="s">
        <v>43</v>
      </c>
      <c r="C69" s="361"/>
      <c r="D69" s="361"/>
      <c r="E69" s="75"/>
      <c r="F69" s="150"/>
      <c r="G69" s="151"/>
      <c r="H69" s="152">
        <f>ROUND(-H68*10%,2)</f>
        <v>-14.42</v>
      </c>
      <c r="I69" s="143"/>
      <c r="J69" s="143"/>
      <c r="K69" s="143"/>
      <c r="L69" s="153">
        <f>ROUND(-L68*10%,2)</f>
        <v>-14.6</v>
      </c>
      <c r="M69" s="147"/>
      <c r="N69" s="154">
        <f>L69-H69</f>
        <v>-0.17999999999999972</v>
      </c>
      <c r="O69" s="115">
        <f>IF((H69)=0,"",(N69/H69))</f>
        <v>1.2482662968099842E-2</v>
      </c>
    </row>
    <row r="70" spans="1:15" s="73" customFormat="1" ht="13.5" thickBot="1" x14ac:dyDescent="0.25">
      <c r="B70" s="352" t="s">
        <v>46</v>
      </c>
      <c r="C70" s="352"/>
      <c r="D70" s="352"/>
      <c r="E70" s="155"/>
      <c r="F70" s="156"/>
      <c r="G70" s="157"/>
      <c r="H70" s="158">
        <f>SUM(H68:H69)</f>
        <v>129.81838895999999</v>
      </c>
      <c r="I70" s="159"/>
      <c r="J70" s="159"/>
      <c r="K70" s="159"/>
      <c r="L70" s="160">
        <f>SUM(L68:L69)</f>
        <v>131.37608437005483</v>
      </c>
      <c r="M70" s="161"/>
      <c r="N70" s="162">
        <f>L70-H70</f>
        <v>1.5576954100548335</v>
      </c>
      <c r="O70" s="163">
        <f>IF((H70)=0,"",(N70/H70))</f>
        <v>1.1999035133110417E-2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N1:O1"/>
    <mergeCell ref="N2:O2"/>
    <mergeCell ref="N5:O5"/>
    <mergeCell ref="B8:O8"/>
    <mergeCell ref="B9:O9"/>
    <mergeCell ref="B70:D70"/>
    <mergeCell ref="D19:D20"/>
    <mergeCell ref="N19:N20"/>
    <mergeCell ref="O19:O20"/>
    <mergeCell ref="B63:D63"/>
    <mergeCell ref="B64:D64"/>
    <mergeCell ref="B69:D69"/>
    <mergeCell ref="F18:H18"/>
    <mergeCell ref="J18:L18"/>
    <mergeCell ref="N18:O18"/>
    <mergeCell ref="N3:O3"/>
    <mergeCell ref="D12:O12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24" workbookViewId="0">
      <selection activeCell="F37" sqref="F3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7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 s="19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 s="192"/>
    </row>
    <row r="4" spans="1:20" s="2" customFormat="1" ht="9" customHeight="1" x14ac:dyDescent="0.3">
      <c r="L4" s="3"/>
      <c r="N4" s="311"/>
      <c r="O4"/>
      <c r="P4" s="194"/>
    </row>
    <row r="5" spans="1:20" s="2" customFormat="1" ht="14.45" x14ac:dyDescent="0.3">
      <c r="L5" s="3" t="s">
        <v>76</v>
      </c>
      <c r="N5" s="368">
        <v>42124</v>
      </c>
      <c r="O5" s="368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59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1000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20.49</v>
      </c>
      <c r="K21" s="30">
        <v>1</v>
      </c>
      <c r="L21" s="27">
        <f>K21*J21</f>
        <v>20.49</v>
      </c>
      <c r="M21" s="28"/>
      <c r="N21" s="31">
        <f>L21-H21</f>
        <v>5.2899999999999991</v>
      </c>
      <c r="O21" s="32">
        <f>IF((H21)=0,"",(N21/H21))</f>
        <v>0.34802631578947363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1000</v>
      </c>
      <c r="H25" s="27">
        <f t="shared" si="0"/>
        <v>-0.1</v>
      </c>
      <c r="I25" s="28"/>
      <c r="J25" s="173">
        <f>+'Res (100kWh)'!$J$25</f>
        <v>-1E-4</v>
      </c>
      <c r="K25" s="26">
        <f>$F$16</f>
        <v>1000</v>
      </c>
      <c r="L25" s="27">
        <f t="shared" si="1"/>
        <v>-0.1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1000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1000</v>
      </c>
      <c r="L26" s="27">
        <f t="shared" si="1"/>
        <v>-0.6</v>
      </c>
      <c r="M26" s="28"/>
      <c r="N26" s="31">
        <f t="shared" si="2"/>
        <v>-0.6</v>
      </c>
      <c r="O26" s="32" t="str">
        <f t="shared" si="3"/>
        <v/>
      </c>
    </row>
    <row r="27" spans="2:15" ht="14.45" x14ac:dyDescent="0.3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1000</v>
      </c>
      <c r="H27" s="27">
        <f t="shared" si="0"/>
        <v>19.2</v>
      </c>
      <c r="I27" s="28"/>
      <c r="J27" s="29">
        <f>+'Res (100kWh)'!$J$27</f>
        <v>1.6E-2</v>
      </c>
      <c r="K27" s="26">
        <f>$F$16</f>
        <v>1000</v>
      </c>
      <c r="L27" s="27">
        <f t="shared" si="1"/>
        <v>16</v>
      </c>
      <c r="M27" s="28"/>
      <c r="N27" s="31">
        <f t="shared" si="2"/>
        <v>-3.1999999999999993</v>
      </c>
      <c r="O27" s="32">
        <f t="shared" si="3"/>
        <v>-0.16666666666666663</v>
      </c>
    </row>
    <row r="28" spans="2:15" ht="14.45" hidden="1" x14ac:dyDescent="0.3">
      <c r="B28" s="24" t="s">
        <v>20</v>
      </c>
      <c r="C28" s="22"/>
      <c r="D28" s="23"/>
      <c r="E28" s="24"/>
      <c r="F28" s="25"/>
      <c r="G28" s="26">
        <f>$F$16</f>
        <v>1000</v>
      </c>
      <c r="H28" s="27">
        <f t="shared" si="0"/>
        <v>0</v>
      </c>
      <c r="I28" s="28"/>
      <c r="J28" s="29"/>
      <c r="K28" s="26">
        <f t="shared" ref="K28:K36" si="4">$F$16</f>
        <v>1000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4" t="s">
        <v>21</v>
      </c>
      <c r="C29" s="22"/>
      <c r="D29" s="23"/>
      <c r="E29" s="24"/>
      <c r="F29" s="25"/>
      <c r="G29" s="26">
        <f>$F$16</f>
        <v>1000</v>
      </c>
      <c r="H29" s="27">
        <f t="shared" si="0"/>
        <v>0</v>
      </c>
      <c r="I29" s="28"/>
      <c r="J29" s="29"/>
      <c r="K29" s="26">
        <f t="shared" si="4"/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182"/>
      <c r="C30" s="22"/>
      <c r="D30" s="23"/>
      <c r="E30" s="24"/>
      <c r="F30" s="25"/>
      <c r="G30" s="26">
        <f t="shared" ref="G30:G36" si="5">$F$16</f>
        <v>1000</v>
      </c>
      <c r="H30" s="27">
        <f t="shared" si="0"/>
        <v>0</v>
      </c>
      <c r="I30" s="28"/>
      <c r="J30" s="29"/>
      <c r="K30" s="26">
        <f t="shared" si="4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182"/>
      <c r="C31" s="22"/>
      <c r="D31" s="23"/>
      <c r="E31" s="24"/>
      <c r="F31" s="25"/>
      <c r="G31" s="26">
        <f t="shared" si="5"/>
        <v>1000</v>
      </c>
      <c r="H31" s="27">
        <f t="shared" si="0"/>
        <v>0</v>
      </c>
      <c r="I31" s="28"/>
      <c r="J31" s="29"/>
      <c r="K31" s="26">
        <f t="shared" si="4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182"/>
      <c r="C32" s="22"/>
      <c r="D32" s="23"/>
      <c r="E32" s="24"/>
      <c r="F32" s="25"/>
      <c r="G32" s="26">
        <f t="shared" si="5"/>
        <v>1000</v>
      </c>
      <c r="H32" s="27">
        <f t="shared" si="0"/>
        <v>0</v>
      </c>
      <c r="I32" s="28"/>
      <c r="J32" s="29"/>
      <c r="K32" s="26">
        <f t="shared" si="4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182"/>
      <c r="C33" s="22"/>
      <c r="D33" s="23"/>
      <c r="E33" s="24"/>
      <c r="F33" s="25"/>
      <c r="G33" s="26">
        <f t="shared" si="5"/>
        <v>1000</v>
      </c>
      <c r="H33" s="27">
        <f t="shared" si="0"/>
        <v>0</v>
      </c>
      <c r="I33" s="28"/>
      <c r="J33" s="29"/>
      <c r="K33" s="26">
        <f t="shared" si="4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182"/>
      <c r="C34" s="22"/>
      <c r="D34" s="23"/>
      <c r="E34" s="24"/>
      <c r="F34" s="25"/>
      <c r="G34" s="26">
        <f t="shared" si="5"/>
        <v>1000</v>
      </c>
      <c r="H34" s="27">
        <f t="shared" si="0"/>
        <v>0</v>
      </c>
      <c r="I34" s="28"/>
      <c r="J34" s="29"/>
      <c r="K34" s="26">
        <f t="shared" si="4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182"/>
      <c r="C35" s="22"/>
      <c r="D35" s="23"/>
      <c r="E35" s="24"/>
      <c r="F35" s="25"/>
      <c r="G35" s="26">
        <f t="shared" si="5"/>
        <v>1000</v>
      </c>
      <c r="H35" s="27">
        <f t="shared" si="0"/>
        <v>0</v>
      </c>
      <c r="I35" s="28"/>
      <c r="J35" s="29"/>
      <c r="K35" s="26">
        <f t="shared" si="4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182"/>
      <c r="C36" s="22"/>
      <c r="D36" s="23"/>
      <c r="E36" s="24"/>
      <c r="F36" s="25"/>
      <c r="G36" s="26">
        <f t="shared" si="5"/>
        <v>1000</v>
      </c>
      <c r="H36" s="27">
        <f t="shared" si="0"/>
        <v>0</v>
      </c>
      <c r="I36" s="28"/>
      <c r="J36" s="29"/>
      <c r="K36" s="26">
        <f t="shared" si="4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36.409999999999997</v>
      </c>
      <c r="I37" s="41"/>
      <c r="J37" s="42"/>
      <c r="K37" s="43"/>
      <c r="L37" s="40">
        <f>SUM(L21:L36)</f>
        <v>36.365191548721072</v>
      </c>
      <c r="M37" s="41"/>
      <c r="N37" s="44">
        <f t="shared" si="2"/>
        <v>-4.4808451278925077E-2</v>
      </c>
      <c r="O37" s="45">
        <f t="shared" si="3"/>
        <v>-1.230663314444523E-3</v>
      </c>
    </row>
    <row r="38" spans="2:15" ht="14.45" hidden="1" x14ac:dyDescent="0.3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4.4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1000</v>
      </c>
      <c r="H39" s="27">
        <f t="shared" ref="H39:H45" si="6">G39*F39</f>
        <v>-1.4</v>
      </c>
      <c r="I39" s="28"/>
      <c r="J39" s="29">
        <f>+'Res (100kWh)'!$J$39</f>
        <v>2.0000000000000009E-4</v>
      </c>
      <c r="K39" s="26">
        <f>$F$16</f>
        <v>1000</v>
      </c>
      <c r="L39" s="27">
        <f t="shared" ref="L39:L45" si="7">K39*J39</f>
        <v>0.20000000000000009</v>
      </c>
      <c r="M39" s="28"/>
      <c r="N39" s="31">
        <f t="shared" si="2"/>
        <v>1.6</v>
      </c>
      <c r="O39" s="32">
        <f t="shared" si="3"/>
        <v>-1.142857142857143</v>
      </c>
    </row>
    <row r="40" spans="2:15" ht="14.45" hidden="1" x14ac:dyDescent="0.3">
      <c r="B40" s="46"/>
      <c r="C40" s="22"/>
      <c r="D40" s="23" t="s">
        <v>61</v>
      </c>
      <c r="E40" s="24"/>
      <c r="F40" s="25"/>
      <c r="G40" s="26">
        <f>$F$16</f>
        <v>1000</v>
      </c>
      <c r="H40" s="27">
        <f t="shared" si="6"/>
        <v>0</v>
      </c>
      <c r="I40" s="47"/>
      <c r="J40" s="29"/>
      <c r="K40" s="26">
        <f>$F$16</f>
        <v>1000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4.45" hidden="1" x14ac:dyDescent="0.3">
      <c r="B41" s="46"/>
      <c r="C41" s="22"/>
      <c r="D41" s="23" t="s">
        <v>61</v>
      </c>
      <c r="E41" s="24"/>
      <c r="F41" s="25"/>
      <c r="G41" s="26">
        <f>$F$16</f>
        <v>1000</v>
      </c>
      <c r="H41" s="27">
        <f t="shared" si="6"/>
        <v>0</v>
      </c>
      <c r="I41" s="47"/>
      <c r="J41" s="29"/>
      <c r="K41" s="26">
        <f>$F$16</f>
        <v>1000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4.45" hidden="1" x14ac:dyDescent="0.3">
      <c r="B42" s="46"/>
      <c r="C42" s="22"/>
      <c r="D42" s="23"/>
      <c r="E42" s="24"/>
      <c r="F42" s="25"/>
      <c r="G42" s="26">
        <f>$F$16</f>
        <v>1000</v>
      </c>
      <c r="H42" s="27">
        <f t="shared" si="6"/>
        <v>0</v>
      </c>
      <c r="I42" s="47"/>
      <c r="J42" s="29"/>
      <c r="K42" s="26">
        <f>$F$16</f>
        <v>1000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4.4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1000</v>
      </c>
      <c r="H43" s="27">
        <f t="shared" si="6"/>
        <v>0.1</v>
      </c>
      <c r="I43" s="28"/>
      <c r="J43" s="29">
        <f>+'Res (100kWh)'!$J$43</f>
        <v>2.0000000000000001E-4</v>
      </c>
      <c r="K43" s="26">
        <f>$F$16</f>
        <v>1000</v>
      </c>
      <c r="L43" s="27">
        <f t="shared" si="7"/>
        <v>0.2</v>
      </c>
      <c r="M43" s="28"/>
      <c r="N43" s="31">
        <f t="shared" si="2"/>
        <v>0.1</v>
      </c>
      <c r="O43" s="32">
        <f t="shared" si="3"/>
        <v>1</v>
      </c>
    </row>
    <row r="44" spans="2:15" s="34" customFormat="1" ht="14.45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40.400000000000091</v>
      </c>
      <c r="H44" s="184">
        <f t="shared" si="6"/>
        <v>3.8380000000000085</v>
      </c>
      <c r="I44" s="57"/>
      <c r="J44" s="185">
        <f>0.64*$F$54+0.18*$F$55+0.18*$F$56</f>
        <v>9.5000000000000001E-2</v>
      </c>
      <c r="K44" s="26">
        <f>$F$16*(1+$J$73)-$F$16</f>
        <v>36.200000000000045</v>
      </c>
      <c r="L44" s="184">
        <f t="shared" si="7"/>
        <v>3.4390000000000045</v>
      </c>
      <c r="M44" s="57"/>
      <c r="N44" s="186">
        <f t="shared" si="2"/>
        <v>-0.39900000000000402</v>
      </c>
      <c r="O44" s="187">
        <f t="shared" si="3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293"/>
      <c r="H46" s="54">
        <f>SUM(H38:H45)+H37</f>
        <v>39.738000000000007</v>
      </c>
      <c r="I46" s="41"/>
      <c r="J46" s="53"/>
      <c r="K46" s="55"/>
      <c r="L46" s="54">
        <f>SUM(L38:L45)+L37</f>
        <v>40.994191548721076</v>
      </c>
      <c r="M46" s="41"/>
      <c r="N46" s="44">
        <f>L46-H46</f>
        <v>1.2561915487210698</v>
      </c>
      <c r="O46" s="45">
        <f>IF((H46)=0,"",(N46/H46))</f>
        <v>3.1611846311366189E-2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1040.4000000000001</v>
      </c>
      <c r="H47" s="27">
        <f>G47*F47</f>
        <v>7.9070400000000003</v>
      </c>
      <c r="I47" s="28"/>
      <c r="J47" s="263">
        <f>+'Res (100kWh)'!$J$47</f>
        <v>7.4000000000000003E-3</v>
      </c>
      <c r="K47" s="70">
        <f>F16*(1+J73)</f>
        <v>1036.2</v>
      </c>
      <c r="L47" s="27">
        <f>K47*J47</f>
        <v>7.6678800000000003</v>
      </c>
      <c r="M47" s="28"/>
      <c r="N47" s="31">
        <f t="shared" si="2"/>
        <v>-0.23916000000000004</v>
      </c>
      <c r="O47" s="32">
        <f t="shared" ref="O47:O64" si="8">IF((H47)=0,"",(N47/H47))</f>
        <v>-3.0246463910641661E-2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1040.4000000000001</v>
      </c>
      <c r="H48" s="27">
        <f>G48*F48</f>
        <v>2.3929200000000002</v>
      </c>
      <c r="I48" s="28"/>
      <c r="J48" s="263">
        <f>+'Res (100kWh)'!$J$48</f>
        <v>2.3E-3</v>
      </c>
      <c r="K48" s="70">
        <f>K47</f>
        <v>1036.2</v>
      </c>
      <c r="L48" s="27">
        <f>K48*J48</f>
        <v>2.3832599999999999</v>
      </c>
      <c r="M48" s="28"/>
      <c r="N48" s="31">
        <f t="shared" si="2"/>
        <v>-9.660000000000224E-3</v>
      </c>
      <c r="O48" s="32">
        <f t="shared" si="8"/>
        <v>-4.036908881199632E-3</v>
      </c>
    </row>
    <row r="49" spans="2:19" ht="14.45" x14ac:dyDescent="0.3">
      <c r="B49" s="50" t="s">
        <v>30</v>
      </c>
      <c r="C49" s="36"/>
      <c r="D49" s="36"/>
      <c r="E49" s="36"/>
      <c r="F49" s="60"/>
      <c r="G49" s="60"/>
      <c r="H49" s="54">
        <f>SUM(H46:H48)</f>
        <v>50.037960000000012</v>
      </c>
      <c r="I49" s="61"/>
      <c r="J49" s="62"/>
      <c r="K49" s="62"/>
      <c r="L49" s="54">
        <f>SUM(L46:L48)</f>
        <v>51.045331548721073</v>
      </c>
      <c r="M49" s="61"/>
      <c r="N49" s="44">
        <f t="shared" si="2"/>
        <v>1.0073715487210606</v>
      </c>
      <c r="O49" s="45">
        <f t="shared" si="8"/>
        <v>2.0132146648685526E-2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1040.4000000000001</v>
      </c>
      <c r="H50" s="66">
        <f t="shared" ref="H50:H56" si="9">G50*F50</f>
        <v>4.5777600000000005</v>
      </c>
      <c r="I50" s="28"/>
      <c r="J50" s="263">
        <f>+'Res (100kWh)'!$J$50</f>
        <v>4.4000000000000003E-3</v>
      </c>
      <c r="K50" s="70">
        <f>K48</f>
        <v>1036.2</v>
      </c>
      <c r="L50" s="66">
        <f t="shared" ref="L50:L56" si="10">K50*J50</f>
        <v>4.5592800000000002</v>
      </c>
      <c r="M50" s="28"/>
      <c r="N50" s="31">
        <f t="shared" si="2"/>
        <v>-1.8480000000000274E-2</v>
      </c>
      <c r="O50" s="68">
        <f t="shared" si="8"/>
        <v>-4.0369088811995982E-3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1040.4000000000001</v>
      </c>
      <c r="H51" s="66">
        <f t="shared" si="9"/>
        <v>1.3525200000000002</v>
      </c>
      <c r="I51" s="28"/>
      <c r="J51" s="263">
        <f>+'Res (100kWh)'!$J$51</f>
        <v>1.2999999999999999E-3</v>
      </c>
      <c r="K51" s="70">
        <f>K48</f>
        <v>1036.2</v>
      </c>
      <c r="L51" s="66">
        <f t="shared" si="10"/>
        <v>1.3470599999999999</v>
      </c>
      <c r="M51" s="28"/>
      <c r="N51" s="31">
        <f t="shared" si="2"/>
        <v>-5.4600000000002424E-3</v>
      </c>
      <c r="O51" s="68">
        <f t="shared" si="8"/>
        <v>-4.036908881199717E-3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1000</v>
      </c>
      <c r="H53" s="66">
        <f t="shared" si="9"/>
        <v>7</v>
      </c>
      <c r="I53" s="28"/>
      <c r="J53" s="263">
        <f>+'Res (100kWh)'!$J$53</f>
        <v>7.0000000000000001E-3</v>
      </c>
      <c r="K53" s="70">
        <f>F16</f>
        <v>1000</v>
      </c>
      <c r="L53" s="66">
        <f t="shared" si="10"/>
        <v>7</v>
      </c>
      <c r="M53" s="28"/>
      <c r="N53" s="31">
        <f t="shared" si="2"/>
        <v>0</v>
      </c>
      <c r="O53" s="68">
        <f t="shared" si="8"/>
        <v>0</v>
      </c>
    </row>
    <row r="54" spans="2:19" ht="14.45" x14ac:dyDescent="0.3">
      <c r="B54" s="49" t="s">
        <v>35</v>
      </c>
      <c r="C54" s="22"/>
      <c r="D54" s="23" t="s">
        <v>61</v>
      </c>
      <c r="E54" s="24"/>
      <c r="F54" s="71">
        <f>+'Res (100kWh)'!$F$54</f>
        <v>7.6999999999999999E-2</v>
      </c>
      <c r="G54" s="69">
        <f>0.64*$F$16</f>
        <v>640</v>
      </c>
      <c r="H54" s="66">
        <f t="shared" si="9"/>
        <v>49.28</v>
      </c>
      <c r="I54" s="28"/>
      <c r="J54" s="263">
        <f>+'Res (100kWh)'!$J$54</f>
        <v>7.6999999999999999E-2</v>
      </c>
      <c r="K54" s="69">
        <f>G54</f>
        <v>640</v>
      </c>
      <c r="L54" s="66">
        <f t="shared" si="10"/>
        <v>49.28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4.45" x14ac:dyDescent="0.3">
      <c r="B55" s="49" t="s">
        <v>36</v>
      </c>
      <c r="C55" s="22"/>
      <c r="D55" s="23" t="s">
        <v>61</v>
      </c>
      <c r="E55" s="24"/>
      <c r="F55" s="71">
        <f>+'Res (100kWh)'!$F$55</f>
        <v>0.114</v>
      </c>
      <c r="G55" s="69">
        <f>0.18*$F$16</f>
        <v>180</v>
      </c>
      <c r="H55" s="66">
        <f t="shared" si="9"/>
        <v>20.52</v>
      </c>
      <c r="I55" s="28"/>
      <c r="J55" s="263">
        <f>+'Res (100kWh)'!$J$55</f>
        <v>0.114</v>
      </c>
      <c r="K55" s="69">
        <f>G55</f>
        <v>180</v>
      </c>
      <c r="L55" s="66">
        <f t="shared" si="10"/>
        <v>20.52</v>
      </c>
      <c r="M55" s="28"/>
      <c r="N55" s="31">
        <f t="shared" si="2"/>
        <v>0</v>
      </c>
      <c r="O55" s="68">
        <f t="shared" si="8"/>
        <v>0</v>
      </c>
      <c r="S55" s="72"/>
    </row>
    <row r="56" spans="2:19" ht="14.45" x14ac:dyDescent="0.3">
      <c r="B56" s="12" t="s">
        <v>37</v>
      </c>
      <c r="C56" s="22"/>
      <c r="D56" s="23" t="s">
        <v>61</v>
      </c>
      <c r="E56" s="24"/>
      <c r="F56" s="71">
        <f>+'Res (100kWh)'!$F$56</f>
        <v>0.14000000000000001</v>
      </c>
      <c r="G56" s="69">
        <f>0.18*$F$16</f>
        <v>180</v>
      </c>
      <c r="H56" s="66">
        <f t="shared" si="9"/>
        <v>25.200000000000003</v>
      </c>
      <c r="I56" s="28"/>
      <c r="J56" s="263">
        <f>+'Res (100kWh)'!$J$56</f>
        <v>0.14000000000000001</v>
      </c>
      <c r="K56" s="69">
        <f>G56</f>
        <v>180</v>
      </c>
      <c r="L56" s="66">
        <f t="shared" si="10"/>
        <v>25.200000000000003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ht="14.45" x14ac:dyDescent="0.25">
      <c r="B57" s="74" t="s">
        <v>38</v>
      </c>
      <c r="C57" s="75"/>
      <c r="D57" s="76" t="s">
        <v>61</v>
      </c>
      <c r="E57" s="77"/>
      <c r="F57" s="71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thickBot="1" x14ac:dyDescent="0.3">
      <c r="B58" s="74" t="s">
        <v>39</v>
      </c>
      <c r="C58" s="75"/>
      <c r="D58" s="76" t="s">
        <v>61</v>
      </c>
      <c r="E58" s="77"/>
      <c r="F58" s="71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400</v>
      </c>
      <c r="H58" s="66">
        <f>G58*F58</f>
        <v>41.199999999999996</v>
      </c>
      <c r="I58" s="79"/>
      <c r="J58" s="263">
        <f>+'Res (100kWh)'!$J$58</f>
        <v>0.10299999999999999</v>
      </c>
      <c r="K58" s="78">
        <f>G58</f>
        <v>400</v>
      </c>
      <c r="L58" s="66">
        <f>K58*J58</f>
        <v>41.199999999999996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4.45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158.21824000000001</v>
      </c>
      <c r="I60" s="95"/>
      <c r="J60" s="96"/>
      <c r="K60" s="96"/>
      <c r="L60" s="190">
        <f>SUM(L50:L56,L49)</f>
        <v>159.20167154872107</v>
      </c>
      <c r="M60" s="97"/>
      <c r="N60" s="98">
        <f>L60-H60</f>
        <v>0.98343154872105742</v>
      </c>
      <c r="O60" s="99">
        <f>IF((H60)=0,"",(N60/H60))</f>
        <v>6.2156648229752609E-3</v>
      </c>
      <c r="S60" s="72"/>
    </row>
    <row r="61" spans="2:19" ht="14.45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20.568371200000001</v>
      </c>
      <c r="I61" s="104"/>
      <c r="J61" s="105">
        <v>0.13</v>
      </c>
      <c r="K61" s="104"/>
      <c r="L61" s="106">
        <f>L60*J61</f>
        <v>20.696217301333739</v>
      </c>
      <c r="M61" s="107"/>
      <c r="N61" s="108">
        <f t="shared" si="2"/>
        <v>0.12784610133373775</v>
      </c>
      <c r="O61" s="109">
        <f t="shared" si="8"/>
        <v>6.2156648229752748E-3</v>
      </c>
      <c r="S61" s="72"/>
    </row>
    <row r="62" spans="2:19" ht="14.45" x14ac:dyDescent="0.3">
      <c r="B62" s="110" t="s">
        <v>42</v>
      </c>
      <c r="C62" s="22"/>
      <c r="D62" s="22"/>
      <c r="E62" s="22"/>
      <c r="F62" s="111"/>
      <c r="G62" s="102"/>
      <c r="H62" s="103">
        <f>H60+H61</f>
        <v>178.78661120000001</v>
      </c>
      <c r="I62" s="104"/>
      <c r="J62" s="104"/>
      <c r="K62" s="104"/>
      <c r="L62" s="106">
        <f>L60+L61</f>
        <v>179.89788885005481</v>
      </c>
      <c r="M62" s="107"/>
      <c r="N62" s="108">
        <f t="shared" si="2"/>
        <v>1.1112776500548023</v>
      </c>
      <c r="O62" s="109">
        <f t="shared" si="8"/>
        <v>6.2156648229753026E-3</v>
      </c>
      <c r="S62" s="72"/>
    </row>
    <row r="63" spans="2:19" ht="15.75" customHeight="1" x14ac:dyDescent="0.3">
      <c r="B63" s="359" t="s">
        <v>43</v>
      </c>
      <c r="C63" s="359"/>
      <c r="D63" s="359"/>
      <c r="E63" s="22"/>
      <c r="F63" s="111"/>
      <c r="G63" s="102"/>
      <c r="H63" s="112">
        <f>ROUND(-H62*10%,2)</f>
        <v>-17.88</v>
      </c>
      <c r="I63" s="104"/>
      <c r="J63" s="104"/>
      <c r="K63" s="104"/>
      <c r="L63" s="113">
        <f>ROUND(-L62*10%,2)</f>
        <v>-17.989999999999998</v>
      </c>
      <c r="M63" s="107"/>
      <c r="N63" s="114">
        <f t="shared" si="2"/>
        <v>-0.10999999999999943</v>
      </c>
      <c r="O63" s="115">
        <f t="shared" si="8"/>
        <v>6.152125279642027E-3</v>
      </c>
    </row>
    <row r="64" spans="2:19" thickBot="1" x14ac:dyDescent="0.35">
      <c r="B64" s="360" t="s">
        <v>44</v>
      </c>
      <c r="C64" s="360"/>
      <c r="D64" s="360"/>
      <c r="E64" s="116"/>
      <c r="F64" s="117"/>
      <c r="G64" s="118"/>
      <c r="H64" s="119">
        <f>H62+H63</f>
        <v>160.90661120000001</v>
      </c>
      <c r="I64" s="120"/>
      <c r="J64" s="120"/>
      <c r="K64" s="120"/>
      <c r="L64" s="121">
        <f>L62+L63</f>
        <v>161.9078888500548</v>
      </c>
      <c r="M64" s="122"/>
      <c r="N64" s="123">
        <f t="shared" si="2"/>
        <v>1.0012776500547886</v>
      </c>
      <c r="O64" s="124">
        <f t="shared" si="8"/>
        <v>6.2227253596823535E-3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15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157.21824000000001</v>
      </c>
      <c r="I66" s="136"/>
      <c r="J66" s="137"/>
      <c r="K66" s="137"/>
      <c r="L66" s="189">
        <f>SUM(L57:L58,L49,L50:L53)</f>
        <v>158.20167154872107</v>
      </c>
      <c r="M66" s="138"/>
      <c r="N66" s="139">
        <f>L66-H66</f>
        <v>0.98343154872105742</v>
      </c>
      <c r="O66" s="99">
        <f>IF((H66)=0,"",(N66/H66))</f>
        <v>6.2552000882407626E-3</v>
      </c>
    </row>
    <row r="67" spans="1:15" s="73" customFormat="1" ht="13.15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20.438371200000002</v>
      </c>
      <c r="I67" s="143"/>
      <c r="J67" s="144">
        <v>0.13</v>
      </c>
      <c r="K67" s="145"/>
      <c r="L67" s="146">
        <f>L66*J67</f>
        <v>20.56621730133374</v>
      </c>
      <c r="M67" s="147"/>
      <c r="N67" s="148">
        <f>L67-H67</f>
        <v>0.12784610133373775</v>
      </c>
      <c r="O67" s="109">
        <f>IF((H67)=0,"",(N67/H67))</f>
        <v>6.2552000882407756E-3</v>
      </c>
    </row>
    <row r="68" spans="1:15" s="73" customFormat="1" ht="13.15" x14ac:dyDescent="0.25">
      <c r="B68" s="149" t="s">
        <v>42</v>
      </c>
      <c r="C68" s="75"/>
      <c r="D68" s="75"/>
      <c r="E68" s="75"/>
      <c r="F68" s="150"/>
      <c r="G68" s="151"/>
      <c r="H68" s="142">
        <f>H66+H67</f>
        <v>177.65661120000001</v>
      </c>
      <c r="I68" s="143"/>
      <c r="J68" s="143"/>
      <c r="K68" s="143"/>
      <c r="L68" s="146">
        <f>L66+L67</f>
        <v>178.76788885005482</v>
      </c>
      <c r="M68" s="147"/>
      <c r="N68" s="148">
        <f>L68-H68</f>
        <v>1.1112776500548023</v>
      </c>
      <c r="O68" s="109">
        <f>IF((H68)=0,"",(N68/H68))</f>
        <v>6.2552000882408042E-3</v>
      </c>
    </row>
    <row r="69" spans="1:15" s="73" customFormat="1" ht="15.75" customHeight="1" x14ac:dyDescent="0.2">
      <c r="B69" s="361" t="s">
        <v>43</v>
      </c>
      <c r="C69" s="361"/>
      <c r="D69" s="361"/>
      <c r="E69" s="75"/>
      <c r="F69" s="150"/>
      <c r="G69" s="151"/>
      <c r="H69" s="152">
        <f>ROUND(-H68*10%,2)</f>
        <v>-17.77</v>
      </c>
      <c r="I69" s="143"/>
      <c r="J69" s="143"/>
      <c r="K69" s="143"/>
      <c r="L69" s="153">
        <f>ROUND(-L68*10%,2)</f>
        <v>-17.88</v>
      </c>
      <c r="M69" s="147"/>
      <c r="N69" s="154">
        <f>L69-H69</f>
        <v>-0.10999999999999943</v>
      </c>
      <c r="O69" s="115">
        <f>IF((H69)=0,"",(N69/H69))</f>
        <v>6.1902082160945095E-3</v>
      </c>
    </row>
    <row r="70" spans="1:15" s="73" customFormat="1" ht="13.5" thickBot="1" x14ac:dyDescent="0.25">
      <c r="B70" s="352" t="s">
        <v>46</v>
      </c>
      <c r="C70" s="352"/>
      <c r="D70" s="352"/>
      <c r="E70" s="155"/>
      <c r="F70" s="156"/>
      <c r="G70" s="157"/>
      <c r="H70" s="158">
        <f>SUM(H68:H69)</f>
        <v>159.8866112</v>
      </c>
      <c r="I70" s="159"/>
      <c r="J70" s="159"/>
      <c r="K70" s="159"/>
      <c r="L70" s="160">
        <f>SUM(L68:L69)</f>
        <v>160.88788885005482</v>
      </c>
      <c r="M70" s="161"/>
      <c r="N70" s="162">
        <f>L70-H70</f>
        <v>1.0012776500548171</v>
      </c>
      <c r="O70" s="163">
        <f>IF((H70)=0,"",(N70/H70))</f>
        <v>6.2624233670343565E-3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D12:O12"/>
    <mergeCell ref="N1:O1"/>
    <mergeCell ref="N2:O2"/>
    <mergeCell ref="N5:O5"/>
    <mergeCell ref="B8:O8"/>
    <mergeCell ref="B9:O9"/>
    <mergeCell ref="N3:O3"/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24" workbookViewId="0">
      <selection activeCell="F37" sqref="F3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7.5703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 s="192"/>
    </row>
    <row r="4" spans="1:20" s="2" customFormat="1" ht="9" customHeight="1" x14ac:dyDescent="0.3">
      <c r="L4" s="3"/>
      <c r="N4" s="311"/>
      <c r="O4"/>
      <c r="P4" s="194"/>
    </row>
    <row r="5" spans="1:20" s="2" customFormat="1" ht="14.45" x14ac:dyDescent="0.3">
      <c r="L5" s="3" t="s">
        <v>76</v>
      </c>
      <c r="N5" s="368">
        <v>42124</v>
      </c>
      <c r="O5" s="368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59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1500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20.49</v>
      </c>
      <c r="K21" s="30">
        <v>1</v>
      </c>
      <c r="L21" s="27">
        <f>K21*J21</f>
        <v>20.49</v>
      </c>
      <c r="M21" s="28"/>
      <c r="N21" s="31">
        <f>L21-H21</f>
        <v>5.2899999999999991</v>
      </c>
      <c r="O21" s="32">
        <f>IF((H21)=0,"",(N21/H21))</f>
        <v>0.34802631578947363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1500</v>
      </c>
      <c r="H25" s="27">
        <f t="shared" si="0"/>
        <v>-0.15</v>
      </c>
      <c r="I25" s="28"/>
      <c r="J25" s="173">
        <f>+'Res (100kWh)'!$J$25</f>
        <v>-1E-4</v>
      </c>
      <c r="K25" s="26">
        <f>$F$16</f>
        <v>1500</v>
      </c>
      <c r="L25" s="27">
        <f t="shared" si="1"/>
        <v>-0.15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1500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1500</v>
      </c>
      <c r="L26" s="27">
        <f t="shared" si="1"/>
        <v>-0.89999999999999991</v>
      </c>
      <c r="M26" s="28"/>
      <c r="N26" s="31">
        <f t="shared" si="2"/>
        <v>-0.89999999999999991</v>
      </c>
      <c r="O26" s="32" t="str">
        <f t="shared" si="3"/>
        <v/>
      </c>
    </row>
    <row r="27" spans="2:15" ht="14.45" x14ac:dyDescent="0.3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1500</v>
      </c>
      <c r="H27" s="27">
        <f t="shared" si="0"/>
        <v>28.799999999999997</v>
      </c>
      <c r="I27" s="28"/>
      <c r="J27" s="29">
        <f>+'Res (100kWh)'!$J$27</f>
        <v>1.6E-2</v>
      </c>
      <c r="K27" s="26">
        <f>$F$16</f>
        <v>1500</v>
      </c>
      <c r="L27" s="27">
        <f t="shared" si="1"/>
        <v>24</v>
      </c>
      <c r="M27" s="28"/>
      <c r="N27" s="31">
        <f t="shared" si="2"/>
        <v>-4.7999999999999972</v>
      </c>
      <c r="O27" s="32">
        <f t="shared" si="3"/>
        <v>-0.16666666666666657</v>
      </c>
    </row>
    <row r="28" spans="2:15" ht="14.45" hidden="1" x14ac:dyDescent="0.3">
      <c r="B28" s="24" t="s">
        <v>20</v>
      </c>
      <c r="C28" s="22"/>
      <c r="D28" s="23"/>
      <c r="E28" s="24"/>
      <c r="F28" s="25"/>
      <c r="G28" s="26">
        <f>$F$16</f>
        <v>1500</v>
      </c>
      <c r="H28" s="27">
        <f t="shared" si="0"/>
        <v>0</v>
      </c>
      <c r="I28" s="28"/>
      <c r="J28" s="29"/>
      <c r="K28" s="26">
        <f t="shared" ref="K28:K36" si="4">$F$16</f>
        <v>1500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4" t="s">
        <v>21</v>
      </c>
      <c r="C29" s="22"/>
      <c r="D29" s="23"/>
      <c r="E29" s="24"/>
      <c r="F29" s="25"/>
      <c r="G29" s="26">
        <f>$F$16</f>
        <v>1500</v>
      </c>
      <c r="H29" s="27">
        <f t="shared" si="0"/>
        <v>0</v>
      </c>
      <c r="I29" s="28"/>
      <c r="J29" s="29"/>
      <c r="K29" s="26">
        <f t="shared" si="4"/>
        <v>1500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182"/>
      <c r="C30" s="22"/>
      <c r="D30" s="23"/>
      <c r="E30" s="24"/>
      <c r="F30" s="25"/>
      <c r="G30" s="26">
        <f t="shared" ref="G30:G36" si="5">$F$16</f>
        <v>1500</v>
      </c>
      <c r="H30" s="27">
        <f t="shared" si="0"/>
        <v>0</v>
      </c>
      <c r="I30" s="28"/>
      <c r="J30" s="29"/>
      <c r="K30" s="26">
        <f t="shared" si="4"/>
        <v>1500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182"/>
      <c r="C31" s="22"/>
      <c r="D31" s="23"/>
      <c r="E31" s="24"/>
      <c r="F31" s="25"/>
      <c r="G31" s="26">
        <f t="shared" si="5"/>
        <v>1500</v>
      </c>
      <c r="H31" s="27">
        <f t="shared" si="0"/>
        <v>0</v>
      </c>
      <c r="I31" s="28"/>
      <c r="J31" s="29"/>
      <c r="K31" s="26">
        <f t="shared" si="4"/>
        <v>1500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182"/>
      <c r="C32" s="22"/>
      <c r="D32" s="23"/>
      <c r="E32" s="24"/>
      <c r="F32" s="25"/>
      <c r="G32" s="26">
        <f t="shared" si="5"/>
        <v>1500</v>
      </c>
      <c r="H32" s="27">
        <f t="shared" si="0"/>
        <v>0</v>
      </c>
      <c r="I32" s="28"/>
      <c r="J32" s="29"/>
      <c r="K32" s="26">
        <f t="shared" si="4"/>
        <v>1500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182"/>
      <c r="C33" s="22"/>
      <c r="D33" s="23"/>
      <c r="E33" s="24"/>
      <c r="F33" s="25"/>
      <c r="G33" s="26">
        <f t="shared" si="5"/>
        <v>1500</v>
      </c>
      <c r="H33" s="27">
        <f t="shared" si="0"/>
        <v>0</v>
      </c>
      <c r="I33" s="28"/>
      <c r="J33" s="29"/>
      <c r="K33" s="26">
        <f t="shared" si="4"/>
        <v>1500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182"/>
      <c r="C34" s="22"/>
      <c r="D34" s="23"/>
      <c r="E34" s="24"/>
      <c r="F34" s="25"/>
      <c r="G34" s="26">
        <f t="shared" si="5"/>
        <v>1500</v>
      </c>
      <c r="H34" s="27">
        <f t="shared" si="0"/>
        <v>0</v>
      </c>
      <c r="I34" s="28"/>
      <c r="J34" s="29"/>
      <c r="K34" s="26">
        <f t="shared" si="4"/>
        <v>1500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182"/>
      <c r="C35" s="22"/>
      <c r="D35" s="23"/>
      <c r="E35" s="24"/>
      <c r="F35" s="25"/>
      <c r="G35" s="26">
        <f t="shared" si="5"/>
        <v>1500</v>
      </c>
      <c r="H35" s="27">
        <f t="shared" si="0"/>
        <v>0</v>
      </c>
      <c r="I35" s="28"/>
      <c r="J35" s="29"/>
      <c r="K35" s="26">
        <f t="shared" si="4"/>
        <v>1500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182"/>
      <c r="C36" s="22"/>
      <c r="D36" s="23"/>
      <c r="E36" s="24"/>
      <c r="F36" s="25"/>
      <c r="G36" s="26">
        <f t="shared" si="5"/>
        <v>1500</v>
      </c>
      <c r="H36" s="27">
        <f t="shared" si="0"/>
        <v>0</v>
      </c>
      <c r="I36" s="28"/>
      <c r="J36" s="29"/>
      <c r="K36" s="26">
        <f t="shared" si="4"/>
        <v>1500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45.959999999999994</v>
      </c>
      <c r="I37" s="41"/>
      <c r="J37" s="42"/>
      <c r="K37" s="43"/>
      <c r="L37" s="40">
        <f>SUM(L21:L36)</f>
        <v>44.015191548721077</v>
      </c>
      <c r="M37" s="41"/>
      <c r="N37" s="44">
        <f t="shared" si="2"/>
        <v>-1.9448084512789166</v>
      </c>
      <c r="O37" s="45">
        <f t="shared" si="3"/>
        <v>-4.2315240454284524E-2</v>
      </c>
    </row>
    <row r="38" spans="2:15" ht="14.45" hidden="1" x14ac:dyDescent="0.3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4.4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1500</v>
      </c>
      <c r="H39" s="27">
        <f t="shared" ref="H39:H45" si="6">G39*F39</f>
        <v>-2.1</v>
      </c>
      <c r="I39" s="28"/>
      <c r="J39" s="29">
        <f>+'Res (100kWh)'!$J$39</f>
        <v>2.0000000000000009E-4</v>
      </c>
      <c r="K39" s="26">
        <f>$F$16</f>
        <v>1500</v>
      </c>
      <c r="L39" s="27">
        <f t="shared" ref="L39:L45" si="7">K39*J39</f>
        <v>0.30000000000000016</v>
      </c>
      <c r="M39" s="28"/>
      <c r="N39" s="31">
        <f t="shared" si="2"/>
        <v>2.4000000000000004</v>
      </c>
      <c r="O39" s="32">
        <f t="shared" si="3"/>
        <v>-1.142857142857143</v>
      </c>
    </row>
    <row r="40" spans="2:15" ht="14.45" hidden="1" x14ac:dyDescent="0.3">
      <c r="B40" s="46"/>
      <c r="C40" s="22"/>
      <c r="D40" s="23" t="s">
        <v>61</v>
      </c>
      <c r="E40" s="24"/>
      <c r="F40" s="25"/>
      <c r="G40" s="26">
        <f>$F$16</f>
        <v>1500</v>
      </c>
      <c r="H40" s="27">
        <f t="shared" si="6"/>
        <v>0</v>
      </c>
      <c r="I40" s="47"/>
      <c r="J40" s="29"/>
      <c r="K40" s="26">
        <f>$F$16</f>
        <v>1500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4.45" hidden="1" x14ac:dyDescent="0.3">
      <c r="B41" s="46"/>
      <c r="C41" s="22"/>
      <c r="D41" s="23" t="s">
        <v>61</v>
      </c>
      <c r="E41" s="24"/>
      <c r="F41" s="25"/>
      <c r="G41" s="26">
        <f>$F$16</f>
        <v>1500</v>
      </c>
      <c r="H41" s="27">
        <f t="shared" si="6"/>
        <v>0</v>
      </c>
      <c r="I41" s="47"/>
      <c r="J41" s="29"/>
      <c r="K41" s="26">
        <f>$F$16</f>
        <v>1500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4.45" hidden="1" x14ac:dyDescent="0.3">
      <c r="B42" s="46"/>
      <c r="C42" s="22"/>
      <c r="D42" s="23"/>
      <c r="E42" s="24"/>
      <c r="F42" s="25"/>
      <c r="G42" s="26">
        <f>$F$16</f>
        <v>1500</v>
      </c>
      <c r="H42" s="27">
        <f t="shared" si="6"/>
        <v>0</v>
      </c>
      <c r="I42" s="47"/>
      <c r="J42" s="29"/>
      <c r="K42" s="26">
        <f>$F$16</f>
        <v>1500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4.4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1500</v>
      </c>
      <c r="H43" s="27">
        <f t="shared" si="6"/>
        <v>0.15</v>
      </c>
      <c r="I43" s="28"/>
      <c r="J43" s="29">
        <f>+'Res (100kWh)'!$J$43</f>
        <v>2.0000000000000001E-4</v>
      </c>
      <c r="K43" s="26">
        <f>$F$16</f>
        <v>1500</v>
      </c>
      <c r="L43" s="27">
        <f t="shared" si="7"/>
        <v>0.3</v>
      </c>
      <c r="M43" s="28"/>
      <c r="N43" s="31">
        <f t="shared" si="2"/>
        <v>0.15</v>
      </c>
      <c r="O43" s="32">
        <f t="shared" si="3"/>
        <v>1</v>
      </c>
    </row>
    <row r="44" spans="2:15" s="34" customFormat="1" ht="14.45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60.599999999999909</v>
      </c>
      <c r="H44" s="184">
        <f t="shared" si="6"/>
        <v>5.7569999999999917</v>
      </c>
      <c r="I44" s="57"/>
      <c r="J44" s="185">
        <f>0.64*$F$54+0.18*$F$55+0.18*$F$56</f>
        <v>9.5000000000000001E-2</v>
      </c>
      <c r="K44" s="26">
        <f>$F$16*(1+$J$73)-$F$16</f>
        <v>54.299999999999955</v>
      </c>
      <c r="L44" s="184">
        <f t="shared" si="7"/>
        <v>5.1584999999999956</v>
      </c>
      <c r="M44" s="57"/>
      <c r="N44" s="186">
        <f t="shared" si="2"/>
        <v>-0.59849999999999604</v>
      </c>
      <c r="O44" s="187">
        <f t="shared" si="3"/>
        <v>-0.10396039603960343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50.556999999999988</v>
      </c>
      <c r="I46" s="41"/>
      <c r="J46" s="53"/>
      <c r="K46" s="55"/>
      <c r="L46" s="54">
        <f>SUM(L38:L45)+L37</f>
        <v>50.563691548721074</v>
      </c>
      <c r="M46" s="41"/>
      <c r="N46" s="44">
        <f t="shared" si="2"/>
        <v>6.6915487210863489E-3</v>
      </c>
      <c r="O46" s="45">
        <f t="shared" ref="O46:O64" si="8">IF((H46)=0,"",(N46/H46))</f>
        <v>1.3235652275820066E-4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1560.6</v>
      </c>
      <c r="H47" s="27">
        <f>G47*F47</f>
        <v>11.86056</v>
      </c>
      <c r="I47" s="28"/>
      <c r="J47" s="263">
        <f>+'Res (100kWh)'!$J$47</f>
        <v>7.4000000000000003E-3</v>
      </c>
      <c r="K47" s="70">
        <f>F16*(1+J73)</f>
        <v>1554.3</v>
      </c>
      <c r="L47" s="27">
        <f>K47*J47</f>
        <v>11.50182</v>
      </c>
      <c r="M47" s="28"/>
      <c r="N47" s="31">
        <f t="shared" si="2"/>
        <v>-0.35873999999999917</v>
      </c>
      <c r="O47" s="32">
        <f t="shared" si="8"/>
        <v>-3.0246463910641588E-2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1560.6</v>
      </c>
      <c r="H48" s="27">
        <f>G48*F48</f>
        <v>3.5893799999999998</v>
      </c>
      <c r="I48" s="28"/>
      <c r="J48" s="263">
        <f>+'Res (100kWh)'!$J$48</f>
        <v>2.3E-3</v>
      </c>
      <c r="K48" s="70">
        <f>K47</f>
        <v>1554.3</v>
      </c>
      <c r="L48" s="27">
        <f>K48*J48</f>
        <v>3.5748899999999999</v>
      </c>
      <c r="M48" s="28"/>
      <c r="N48" s="31">
        <f t="shared" si="2"/>
        <v>-1.4489999999999892E-2</v>
      </c>
      <c r="O48" s="32">
        <f t="shared" si="8"/>
        <v>-4.0369088811995088E-3</v>
      </c>
    </row>
    <row r="49" spans="2:19" ht="14.45" x14ac:dyDescent="0.3">
      <c r="B49" s="50" t="s">
        <v>30</v>
      </c>
      <c r="C49" s="36"/>
      <c r="D49" s="36"/>
      <c r="E49" s="36"/>
      <c r="F49" s="60"/>
      <c r="G49" s="60"/>
      <c r="H49" s="54">
        <f>SUM(H46:H48)</f>
        <v>66.006939999999986</v>
      </c>
      <c r="I49" s="61"/>
      <c r="J49" s="62"/>
      <c r="K49" s="63"/>
      <c r="L49" s="54">
        <f>SUM(L46:L48)</f>
        <v>65.640401548721073</v>
      </c>
      <c r="M49" s="61"/>
      <c r="N49" s="44">
        <f t="shared" si="2"/>
        <v>-0.36653845127891316</v>
      </c>
      <c r="O49" s="45">
        <f t="shared" si="8"/>
        <v>-5.5530289887535042E-3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1560.6</v>
      </c>
      <c r="H50" s="66">
        <f t="shared" ref="H50:H56" si="9">G50*F50</f>
        <v>6.8666400000000003</v>
      </c>
      <c r="I50" s="28"/>
      <c r="J50" s="263">
        <f>+'Res (100kWh)'!$J$50</f>
        <v>4.4000000000000003E-3</v>
      </c>
      <c r="K50" s="70">
        <f>K48</f>
        <v>1554.3</v>
      </c>
      <c r="L50" s="66">
        <f t="shared" ref="L50:L56" si="10">K50*J50</f>
        <v>6.8389199999999999</v>
      </c>
      <c r="M50" s="28"/>
      <c r="N50" s="31">
        <f t="shared" si="2"/>
        <v>-2.7720000000000411E-2</v>
      </c>
      <c r="O50" s="68">
        <f t="shared" si="8"/>
        <v>-4.0369088811995982E-3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1560.6</v>
      </c>
      <c r="H51" s="66">
        <f t="shared" si="9"/>
        <v>2.0287799999999998</v>
      </c>
      <c r="I51" s="28"/>
      <c r="J51" s="263">
        <f>+'Res (100kWh)'!$J$51</f>
        <v>1.2999999999999999E-3</v>
      </c>
      <c r="K51" s="70">
        <f>K48</f>
        <v>1554.3</v>
      </c>
      <c r="L51" s="66">
        <f t="shared" si="10"/>
        <v>2.0205899999999999</v>
      </c>
      <c r="M51" s="28"/>
      <c r="N51" s="31">
        <f t="shared" si="2"/>
        <v>-8.1899999999999196E-3</v>
      </c>
      <c r="O51" s="68">
        <f t="shared" si="8"/>
        <v>-4.0369088811994993E-3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1500</v>
      </c>
      <c r="H53" s="66">
        <f t="shared" si="9"/>
        <v>10.5</v>
      </c>
      <c r="I53" s="28"/>
      <c r="J53" s="263">
        <f>+'Res (100kWh)'!$J$53</f>
        <v>7.0000000000000001E-3</v>
      </c>
      <c r="K53" s="70">
        <f>F16</f>
        <v>1500</v>
      </c>
      <c r="L53" s="66">
        <f t="shared" si="10"/>
        <v>10.5</v>
      </c>
      <c r="M53" s="28"/>
      <c r="N53" s="31">
        <f t="shared" si="2"/>
        <v>0</v>
      </c>
      <c r="O53" s="68">
        <f t="shared" si="8"/>
        <v>0</v>
      </c>
    </row>
    <row r="54" spans="2:19" ht="14.45" x14ac:dyDescent="0.3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960</v>
      </c>
      <c r="H54" s="66">
        <f t="shared" si="9"/>
        <v>73.92</v>
      </c>
      <c r="I54" s="28"/>
      <c r="J54" s="263">
        <f>+'Res (100kWh)'!$J$54</f>
        <v>7.6999999999999999E-2</v>
      </c>
      <c r="K54" s="69">
        <f>G54</f>
        <v>960</v>
      </c>
      <c r="L54" s="66">
        <f t="shared" si="10"/>
        <v>73.92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4.45" x14ac:dyDescent="0.3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270</v>
      </c>
      <c r="H55" s="66">
        <f t="shared" si="9"/>
        <v>30.78</v>
      </c>
      <c r="I55" s="28"/>
      <c r="J55" s="263">
        <f>+'Res (100kWh)'!$J$55</f>
        <v>0.114</v>
      </c>
      <c r="K55" s="69">
        <f>G55</f>
        <v>270</v>
      </c>
      <c r="L55" s="66">
        <f t="shared" si="10"/>
        <v>30.78</v>
      </c>
      <c r="M55" s="28"/>
      <c r="N55" s="31">
        <f t="shared" si="2"/>
        <v>0</v>
      </c>
      <c r="O55" s="68">
        <f t="shared" si="8"/>
        <v>0</v>
      </c>
      <c r="S55" s="72"/>
    </row>
    <row r="56" spans="2:19" ht="14.45" x14ac:dyDescent="0.3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270</v>
      </c>
      <c r="H56" s="66">
        <f t="shared" si="9"/>
        <v>37.800000000000004</v>
      </c>
      <c r="I56" s="28"/>
      <c r="J56" s="263">
        <f>+'Res (100kWh)'!$J$56</f>
        <v>0.14000000000000001</v>
      </c>
      <c r="K56" s="69">
        <f>G56</f>
        <v>270</v>
      </c>
      <c r="L56" s="66">
        <f t="shared" si="10"/>
        <v>37.800000000000004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ht="14.45" x14ac:dyDescent="0.25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thickBot="1" x14ac:dyDescent="0.3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900</v>
      </c>
      <c r="H58" s="66">
        <f>G58*F58</f>
        <v>92.699999999999989</v>
      </c>
      <c r="I58" s="79"/>
      <c r="J58" s="263">
        <f>+'Res (100kWh)'!$J$58</f>
        <v>0.10299999999999999</v>
      </c>
      <c r="K58" s="78">
        <f>G58</f>
        <v>900</v>
      </c>
      <c r="L58" s="66">
        <f>K58*J58</f>
        <v>92.699999999999989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4.45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228.15235999999999</v>
      </c>
      <c r="I60" s="95"/>
      <c r="J60" s="96"/>
      <c r="K60" s="96"/>
      <c r="L60" s="190">
        <f>SUM(L50:L56,L49)</f>
        <v>227.74991154872106</v>
      </c>
      <c r="M60" s="97"/>
      <c r="N60" s="98">
        <f>L60-H60</f>
        <v>-0.40244845127892859</v>
      </c>
      <c r="O60" s="99">
        <f>IF((H60)=0,"",(N60/H60))</f>
        <v>-1.7639460371083981E-3</v>
      </c>
      <c r="S60" s="72"/>
    </row>
    <row r="61" spans="2:19" ht="14.45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29.659806799999998</v>
      </c>
      <c r="I61" s="104"/>
      <c r="J61" s="105">
        <v>0.13</v>
      </c>
      <c r="K61" s="104"/>
      <c r="L61" s="106">
        <f>L60*J61</f>
        <v>29.607488501333737</v>
      </c>
      <c r="M61" s="107"/>
      <c r="N61" s="108">
        <f t="shared" si="2"/>
        <v>-5.2318298666261143E-2</v>
      </c>
      <c r="O61" s="109">
        <f t="shared" si="8"/>
        <v>-1.7639460371084124E-3</v>
      </c>
      <c r="S61" s="72"/>
    </row>
    <row r="62" spans="2:19" ht="14.45" x14ac:dyDescent="0.3">
      <c r="B62" s="110" t="s">
        <v>42</v>
      </c>
      <c r="C62" s="22"/>
      <c r="D62" s="22"/>
      <c r="E62" s="22"/>
      <c r="F62" s="111"/>
      <c r="G62" s="102"/>
      <c r="H62" s="103">
        <f>H60+H61</f>
        <v>257.8121668</v>
      </c>
      <c r="I62" s="104"/>
      <c r="J62" s="104"/>
      <c r="K62" s="104"/>
      <c r="L62" s="106">
        <f>L60+L61</f>
        <v>257.35740005005482</v>
      </c>
      <c r="M62" s="107"/>
      <c r="N62" s="108">
        <f t="shared" si="2"/>
        <v>-0.45476674994517907</v>
      </c>
      <c r="O62" s="109">
        <f t="shared" si="8"/>
        <v>-1.7639460371083584E-3</v>
      </c>
      <c r="S62" s="72"/>
    </row>
    <row r="63" spans="2:19" ht="15.75" customHeight="1" x14ac:dyDescent="0.3">
      <c r="B63" s="359" t="s">
        <v>43</v>
      </c>
      <c r="C63" s="359"/>
      <c r="D63" s="359"/>
      <c r="E63" s="22"/>
      <c r="F63" s="111"/>
      <c r="G63" s="102"/>
      <c r="H63" s="112">
        <f>ROUND(-H62*10%,2)</f>
        <v>-25.78</v>
      </c>
      <c r="I63" s="104"/>
      <c r="J63" s="104"/>
      <c r="K63" s="104"/>
      <c r="L63" s="113">
        <f>ROUND(-L62*10%,2)</f>
        <v>-25.74</v>
      </c>
      <c r="M63" s="107"/>
      <c r="N63" s="114">
        <f t="shared" si="2"/>
        <v>4.00000000000027E-2</v>
      </c>
      <c r="O63" s="115">
        <f t="shared" si="8"/>
        <v>-1.5515903801397478E-3</v>
      </c>
    </row>
    <row r="64" spans="2:19" thickBot="1" x14ac:dyDescent="0.35">
      <c r="B64" s="360" t="s">
        <v>44</v>
      </c>
      <c r="C64" s="360"/>
      <c r="D64" s="360"/>
      <c r="E64" s="116"/>
      <c r="F64" s="117"/>
      <c r="G64" s="118"/>
      <c r="H64" s="119">
        <f>H62+H63</f>
        <v>232.0321668</v>
      </c>
      <c r="I64" s="120"/>
      <c r="J64" s="120"/>
      <c r="K64" s="120"/>
      <c r="L64" s="121">
        <f>L62+L63</f>
        <v>231.61740005005481</v>
      </c>
      <c r="M64" s="122"/>
      <c r="N64" s="123">
        <f t="shared" si="2"/>
        <v>-0.41476674994518703</v>
      </c>
      <c r="O64" s="124">
        <f t="shared" si="8"/>
        <v>-1.7875398728776041E-3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15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231.15235999999999</v>
      </c>
      <c r="I66" s="136"/>
      <c r="J66" s="137"/>
      <c r="K66" s="137"/>
      <c r="L66" s="189">
        <f>SUM(L57:L58,L49,L50:L53)</f>
        <v>230.74991154872106</v>
      </c>
      <c r="M66" s="138"/>
      <c r="N66" s="139">
        <f>L66-H66</f>
        <v>-0.40244845127892859</v>
      </c>
      <c r="O66" s="99">
        <f>IF((H66)=0,"",(N66/H66))</f>
        <v>-1.7410527466772505E-3</v>
      </c>
    </row>
    <row r="67" spans="1:15" s="73" customFormat="1" ht="13.15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30.049806799999999</v>
      </c>
      <c r="I67" s="143"/>
      <c r="J67" s="144">
        <v>0.13</v>
      </c>
      <c r="K67" s="145"/>
      <c r="L67" s="146">
        <f>L66*J67</f>
        <v>29.997488501333738</v>
      </c>
      <c r="M67" s="147"/>
      <c r="N67" s="148">
        <f>L67-H67</f>
        <v>-5.2318298666261143E-2</v>
      </c>
      <c r="O67" s="109">
        <f>IF((H67)=0,"",(N67/H67))</f>
        <v>-1.7410527466772646E-3</v>
      </c>
    </row>
    <row r="68" spans="1:15" s="73" customFormat="1" ht="13.15" x14ac:dyDescent="0.25">
      <c r="B68" s="149" t="s">
        <v>42</v>
      </c>
      <c r="C68" s="75"/>
      <c r="D68" s="75"/>
      <c r="E68" s="75"/>
      <c r="F68" s="150"/>
      <c r="G68" s="151"/>
      <c r="H68" s="142">
        <f>H66+H67</f>
        <v>261.20216679999999</v>
      </c>
      <c r="I68" s="143"/>
      <c r="J68" s="143"/>
      <c r="K68" s="143"/>
      <c r="L68" s="146">
        <f>L66+L67</f>
        <v>260.74740005005481</v>
      </c>
      <c r="M68" s="147"/>
      <c r="N68" s="148">
        <f>L68-H68</f>
        <v>-0.45476674994517907</v>
      </c>
      <c r="O68" s="109">
        <f>IF((H68)=0,"",(N68/H68))</f>
        <v>-1.7410527466772113E-3</v>
      </c>
    </row>
    <row r="69" spans="1:15" s="73" customFormat="1" ht="15.75" customHeight="1" x14ac:dyDescent="0.2">
      <c r="B69" s="361" t="s">
        <v>43</v>
      </c>
      <c r="C69" s="361"/>
      <c r="D69" s="361"/>
      <c r="E69" s="75"/>
      <c r="F69" s="150"/>
      <c r="G69" s="151"/>
      <c r="H69" s="152">
        <f>ROUND(-H68*10%,2)</f>
        <v>-26.12</v>
      </c>
      <c r="I69" s="143"/>
      <c r="J69" s="143"/>
      <c r="K69" s="143"/>
      <c r="L69" s="153">
        <f>ROUND(-L68*10%,2)</f>
        <v>-26.07</v>
      </c>
      <c r="M69" s="147"/>
      <c r="N69" s="154">
        <f>L69-H69</f>
        <v>5.0000000000000711E-2</v>
      </c>
      <c r="O69" s="115">
        <f>IF((H69)=0,"",(N69/H69))</f>
        <v>-1.9142419601837944E-3</v>
      </c>
    </row>
    <row r="70" spans="1:15" s="73" customFormat="1" ht="13.5" thickBot="1" x14ac:dyDescent="0.25">
      <c r="B70" s="352" t="s">
        <v>46</v>
      </c>
      <c r="C70" s="352"/>
      <c r="D70" s="352"/>
      <c r="E70" s="155"/>
      <c r="F70" s="156"/>
      <c r="G70" s="157"/>
      <c r="H70" s="158">
        <f>SUM(H68:H69)</f>
        <v>235.08216679999998</v>
      </c>
      <c r="I70" s="159"/>
      <c r="J70" s="159"/>
      <c r="K70" s="159"/>
      <c r="L70" s="160">
        <f>SUM(L68:L69)</f>
        <v>234.67740005005481</v>
      </c>
      <c r="M70" s="161"/>
      <c r="N70" s="162">
        <f>L70-H70</f>
        <v>-0.4047667499451677</v>
      </c>
      <c r="O70" s="163">
        <f>IF((H70)=0,"",(N70/H70))</f>
        <v>-1.72180967810089E-3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27" workbookViewId="0">
      <selection activeCell="F37" sqref="F3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7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 s="192"/>
    </row>
    <row r="4" spans="1:20" s="2" customFormat="1" ht="9" customHeight="1" x14ac:dyDescent="0.3">
      <c r="L4" s="3"/>
      <c r="N4" s="311"/>
      <c r="O4"/>
      <c r="P4" s="194"/>
    </row>
    <row r="5" spans="1:20" s="2" customFormat="1" ht="14.45" x14ac:dyDescent="0.3">
      <c r="L5" s="3" t="s">
        <v>76</v>
      </c>
      <c r="N5" s="368">
        <v>42124</v>
      </c>
      <c r="O5" s="368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59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2000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20.49</v>
      </c>
      <c r="K21" s="30">
        <v>1</v>
      </c>
      <c r="L21" s="27">
        <f>K21*J21</f>
        <v>20.49</v>
      </c>
      <c r="M21" s="28"/>
      <c r="N21" s="31">
        <f>L21-H21</f>
        <v>5.2899999999999991</v>
      </c>
      <c r="O21" s="32">
        <f>IF((H21)=0,"",(N21/H21))</f>
        <v>0.34802631578947363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2000</v>
      </c>
      <c r="H25" s="27">
        <f t="shared" si="0"/>
        <v>-0.2</v>
      </c>
      <c r="I25" s="28"/>
      <c r="J25" s="173">
        <f>+'Res (100kWh)'!$J$25</f>
        <v>-1E-4</v>
      </c>
      <c r="K25" s="26">
        <f>$F$16</f>
        <v>2000</v>
      </c>
      <c r="L25" s="27">
        <f t="shared" si="1"/>
        <v>-0.2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2000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2000</v>
      </c>
      <c r="L26" s="27">
        <f t="shared" si="1"/>
        <v>-1.2</v>
      </c>
      <c r="M26" s="28"/>
      <c r="N26" s="31">
        <f t="shared" si="2"/>
        <v>-1.2</v>
      </c>
      <c r="O26" s="32" t="str">
        <f t="shared" si="3"/>
        <v/>
      </c>
    </row>
    <row r="27" spans="2:15" ht="14.45" x14ac:dyDescent="0.3">
      <c r="B27" s="22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2000</v>
      </c>
      <c r="H27" s="27">
        <f t="shared" si="0"/>
        <v>38.4</v>
      </c>
      <c r="I27" s="28"/>
      <c r="J27" s="29">
        <f>+'Res (100kWh)'!$J$27</f>
        <v>1.6E-2</v>
      </c>
      <c r="K27" s="26">
        <f>$F$16</f>
        <v>2000</v>
      </c>
      <c r="L27" s="27">
        <f t="shared" si="1"/>
        <v>32</v>
      </c>
      <c r="M27" s="28"/>
      <c r="N27" s="31">
        <f t="shared" si="2"/>
        <v>-6.3999999999999986</v>
      </c>
      <c r="O27" s="32">
        <f t="shared" si="3"/>
        <v>-0.16666666666666663</v>
      </c>
    </row>
    <row r="28" spans="2:15" ht="14.45" hidden="1" x14ac:dyDescent="0.3">
      <c r="B28" s="22" t="s">
        <v>20</v>
      </c>
      <c r="C28" s="22"/>
      <c r="D28" s="23"/>
      <c r="E28" s="24"/>
      <c r="F28" s="25"/>
      <c r="G28" s="26">
        <f>$F$16</f>
        <v>2000</v>
      </c>
      <c r="H28" s="27">
        <f t="shared" si="0"/>
        <v>0</v>
      </c>
      <c r="I28" s="28"/>
      <c r="J28" s="29"/>
      <c r="K28" s="26">
        <f t="shared" ref="K28:K36" si="4">$F$16</f>
        <v>2000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2" t="s">
        <v>21</v>
      </c>
      <c r="C29" s="22"/>
      <c r="D29" s="23"/>
      <c r="E29" s="24"/>
      <c r="F29" s="25"/>
      <c r="G29" s="26">
        <f>$F$16</f>
        <v>2000</v>
      </c>
      <c r="H29" s="27">
        <f t="shared" si="0"/>
        <v>0</v>
      </c>
      <c r="I29" s="28"/>
      <c r="J29" s="29"/>
      <c r="K29" s="26">
        <f t="shared" si="4"/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33"/>
      <c r="C30" s="22"/>
      <c r="D30" s="23"/>
      <c r="E30" s="24"/>
      <c r="F30" s="25"/>
      <c r="G30" s="26">
        <f t="shared" ref="G30:G36" si="5">$F$16</f>
        <v>2000</v>
      </c>
      <c r="H30" s="27">
        <f t="shared" si="0"/>
        <v>0</v>
      </c>
      <c r="I30" s="28"/>
      <c r="J30" s="29"/>
      <c r="K30" s="26">
        <f t="shared" si="4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33"/>
      <c r="C31" s="22"/>
      <c r="D31" s="23"/>
      <c r="E31" s="24"/>
      <c r="F31" s="25"/>
      <c r="G31" s="26">
        <f t="shared" si="5"/>
        <v>2000</v>
      </c>
      <c r="H31" s="27">
        <f t="shared" si="0"/>
        <v>0</v>
      </c>
      <c r="I31" s="28"/>
      <c r="J31" s="29"/>
      <c r="K31" s="26">
        <f t="shared" si="4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33"/>
      <c r="C32" s="22"/>
      <c r="D32" s="23"/>
      <c r="E32" s="24"/>
      <c r="F32" s="25"/>
      <c r="G32" s="26">
        <f t="shared" si="5"/>
        <v>2000</v>
      </c>
      <c r="H32" s="27">
        <f t="shared" si="0"/>
        <v>0</v>
      </c>
      <c r="I32" s="28"/>
      <c r="J32" s="29"/>
      <c r="K32" s="26">
        <f t="shared" si="4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33"/>
      <c r="C33" s="22"/>
      <c r="D33" s="23"/>
      <c r="E33" s="24"/>
      <c r="F33" s="25"/>
      <c r="G33" s="26">
        <f t="shared" si="5"/>
        <v>2000</v>
      </c>
      <c r="H33" s="27">
        <f t="shared" si="0"/>
        <v>0</v>
      </c>
      <c r="I33" s="28"/>
      <c r="J33" s="29"/>
      <c r="K33" s="26">
        <f t="shared" si="4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33"/>
      <c r="C34" s="22"/>
      <c r="D34" s="23"/>
      <c r="E34" s="24"/>
      <c r="F34" s="25"/>
      <c r="G34" s="26">
        <f t="shared" si="5"/>
        <v>2000</v>
      </c>
      <c r="H34" s="27">
        <f t="shared" si="0"/>
        <v>0</v>
      </c>
      <c r="I34" s="28"/>
      <c r="J34" s="29"/>
      <c r="K34" s="26">
        <f t="shared" si="4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33"/>
      <c r="C35" s="22"/>
      <c r="D35" s="23"/>
      <c r="E35" s="24"/>
      <c r="F35" s="25"/>
      <c r="G35" s="26">
        <f t="shared" si="5"/>
        <v>2000</v>
      </c>
      <c r="H35" s="27">
        <f t="shared" si="0"/>
        <v>0</v>
      </c>
      <c r="I35" s="28"/>
      <c r="J35" s="29"/>
      <c r="K35" s="26">
        <f t="shared" si="4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33"/>
      <c r="C36" s="22"/>
      <c r="D36" s="23"/>
      <c r="E36" s="24"/>
      <c r="F36" s="25"/>
      <c r="G36" s="26">
        <f t="shared" si="5"/>
        <v>2000</v>
      </c>
      <c r="H36" s="27">
        <f t="shared" si="0"/>
        <v>0</v>
      </c>
      <c r="I36" s="28"/>
      <c r="J36" s="29"/>
      <c r="K36" s="26">
        <f t="shared" si="4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55.51</v>
      </c>
      <c r="I37" s="41"/>
      <c r="J37" s="42"/>
      <c r="K37" s="43"/>
      <c r="L37" s="40">
        <f>SUM(L21:L36)</f>
        <v>51.665191548721069</v>
      </c>
      <c r="M37" s="41"/>
      <c r="N37" s="44">
        <f t="shared" si="2"/>
        <v>-3.8448084512789293</v>
      </c>
      <c r="O37" s="45">
        <f t="shared" si="3"/>
        <v>-6.9263348068436842E-2</v>
      </c>
    </row>
    <row r="38" spans="2:15" ht="14.45" hidden="1" x14ac:dyDescent="0.3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4.4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2000</v>
      </c>
      <c r="H39" s="27">
        <f t="shared" ref="H39:H45" si="6">G39*F39</f>
        <v>-2.8</v>
      </c>
      <c r="I39" s="28"/>
      <c r="J39" s="29">
        <f>+'Res (100kWh)'!$J$39</f>
        <v>2.0000000000000009E-4</v>
      </c>
      <c r="K39" s="26">
        <f>$F$16</f>
        <v>2000</v>
      </c>
      <c r="L39" s="27">
        <f t="shared" ref="L39:L45" si="7">K39*J39</f>
        <v>0.40000000000000019</v>
      </c>
      <c r="M39" s="28"/>
      <c r="N39" s="31">
        <f t="shared" si="2"/>
        <v>3.2</v>
      </c>
      <c r="O39" s="32">
        <f t="shared" si="3"/>
        <v>-1.142857142857143</v>
      </c>
    </row>
    <row r="40" spans="2:15" ht="14.45" hidden="1" x14ac:dyDescent="0.3">
      <c r="B40" s="46"/>
      <c r="C40" s="22"/>
      <c r="D40" s="23" t="s">
        <v>61</v>
      </c>
      <c r="E40" s="24"/>
      <c r="F40" s="25"/>
      <c r="G40" s="26">
        <f>$F$16</f>
        <v>2000</v>
      </c>
      <c r="H40" s="27">
        <f t="shared" si="6"/>
        <v>0</v>
      </c>
      <c r="I40" s="47"/>
      <c r="J40" s="29"/>
      <c r="K40" s="26">
        <f>$F$16</f>
        <v>2000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4.45" hidden="1" x14ac:dyDescent="0.3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6"/>
        <v>0</v>
      </c>
      <c r="I41" s="47"/>
      <c r="J41" s="29"/>
      <c r="K41" s="26">
        <f>$F$16</f>
        <v>2000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4.45" hidden="1" x14ac:dyDescent="0.3">
      <c r="B42" s="46"/>
      <c r="C42" s="22"/>
      <c r="D42" s="23"/>
      <c r="E42" s="24"/>
      <c r="F42" s="25"/>
      <c r="G42" s="26">
        <f>$F$16</f>
        <v>2000</v>
      </c>
      <c r="H42" s="27">
        <f t="shared" si="6"/>
        <v>0</v>
      </c>
      <c r="I42" s="47"/>
      <c r="J42" s="29"/>
      <c r="K42" s="26">
        <f>$F$16</f>
        <v>2000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4.4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2000</v>
      </c>
      <c r="H43" s="27">
        <f t="shared" si="6"/>
        <v>0.2</v>
      </c>
      <c r="I43" s="28"/>
      <c r="J43" s="29">
        <f>+'Res (100kWh)'!$J$43</f>
        <v>2.0000000000000001E-4</v>
      </c>
      <c r="K43" s="26">
        <f>$F$16</f>
        <v>2000</v>
      </c>
      <c r="L43" s="27">
        <f t="shared" si="7"/>
        <v>0.4</v>
      </c>
      <c r="M43" s="28"/>
      <c r="N43" s="31">
        <f t="shared" si="2"/>
        <v>0.2</v>
      </c>
      <c r="O43" s="32">
        <f t="shared" si="3"/>
        <v>1</v>
      </c>
    </row>
    <row r="44" spans="2:15" s="34" customFormat="1" ht="14.45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80.800000000000182</v>
      </c>
      <c r="H44" s="184">
        <f t="shared" si="6"/>
        <v>7.676000000000017</v>
      </c>
      <c r="I44" s="57"/>
      <c r="J44" s="185">
        <f>0.64*$F$54+0.18*$F$55+0.18*$F$56</f>
        <v>9.5000000000000001E-2</v>
      </c>
      <c r="K44" s="26">
        <f>$F$16*(1+$J$73)-$F$16</f>
        <v>72.400000000000091</v>
      </c>
      <c r="L44" s="184">
        <f t="shared" si="7"/>
        <v>6.878000000000009</v>
      </c>
      <c r="M44" s="57"/>
      <c r="N44" s="186">
        <f t="shared" si="2"/>
        <v>-0.79800000000000804</v>
      </c>
      <c r="O44" s="187">
        <f t="shared" si="3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61.376000000000019</v>
      </c>
      <c r="I46" s="41"/>
      <c r="J46" s="53"/>
      <c r="K46" s="55"/>
      <c r="L46" s="54">
        <f>SUM(L38:L45)+L37</f>
        <v>60.133191548721079</v>
      </c>
      <c r="M46" s="41"/>
      <c r="N46" s="44">
        <f t="shared" si="2"/>
        <v>-1.2428084512789397</v>
      </c>
      <c r="O46" s="45">
        <f t="shared" ref="O46:O64" si="8">IF((H46)=0,"",(N46/H46))</f>
        <v>-2.0249094943934752E-2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2080.8000000000002</v>
      </c>
      <c r="H47" s="27">
        <f>G47*F47</f>
        <v>15.814080000000001</v>
      </c>
      <c r="I47" s="28"/>
      <c r="J47" s="263">
        <f>+'Res (100kWh)'!$J$47</f>
        <v>7.4000000000000003E-3</v>
      </c>
      <c r="K47" s="70">
        <f>F16*(1+J73)</f>
        <v>2072.4</v>
      </c>
      <c r="L47" s="27">
        <f>K47*J47</f>
        <v>15.335760000000001</v>
      </c>
      <c r="M47" s="28"/>
      <c r="N47" s="31">
        <f t="shared" si="2"/>
        <v>-0.47832000000000008</v>
      </c>
      <c r="O47" s="32">
        <f t="shared" si="8"/>
        <v>-3.0246463910641661E-2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2080.8000000000002</v>
      </c>
      <c r="H48" s="27">
        <f>G48*F48</f>
        <v>4.7858400000000003</v>
      </c>
      <c r="I48" s="28"/>
      <c r="J48" s="263">
        <f>+'Res (100kWh)'!$J$48</f>
        <v>2.3E-3</v>
      </c>
      <c r="K48" s="70">
        <f>K47</f>
        <v>2072.4</v>
      </c>
      <c r="L48" s="27">
        <f>K48*J48</f>
        <v>4.7665199999999999</v>
      </c>
      <c r="M48" s="28"/>
      <c r="N48" s="31">
        <f t="shared" si="2"/>
        <v>-1.9320000000000448E-2</v>
      </c>
      <c r="O48" s="32">
        <f t="shared" si="8"/>
        <v>-4.036908881199632E-3</v>
      </c>
    </row>
    <row r="49" spans="2:19" ht="14.45" x14ac:dyDescent="0.3">
      <c r="B49" s="50" t="s">
        <v>30</v>
      </c>
      <c r="C49" s="36"/>
      <c r="D49" s="36"/>
      <c r="E49" s="36"/>
      <c r="F49" s="60"/>
      <c r="G49" s="53"/>
      <c r="H49" s="54">
        <f>SUM(H46:H48)</f>
        <v>81.975920000000031</v>
      </c>
      <c r="I49" s="61"/>
      <c r="J49" s="62"/>
      <c r="K49" s="63"/>
      <c r="L49" s="54">
        <f>SUM(L46:L48)</f>
        <v>80.23547154872108</v>
      </c>
      <c r="M49" s="61"/>
      <c r="N49" s="44">
        <f t="shared" si="2"/>
        <v>-1.7404484512789509</v>
      </c>
      <c r="O49" s="45">
        <f t="shared" si="8"/>
        <v>-2.1231215840931704E-2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2080.8000000000002</v>
      </c>
      <c r="H50" s="66">
        <f t="shared" ref="H50:H56" si="9">G50*F50</f>
        <v>9.155520000000001</v>
      </c>
      <c r="I50" s="28"/>
      <c r="J50" s="263">
        <f>+'Res (100kWh)'!$J$50</f>
        <v>4.4000000000000003E-3</v>
      </c>
      <c r="K50" s="70">
        <f>K48</f>
        <v>2072.4</v>
      </c>
      <c r="L50" s="66">
        <f t="shared" ref="L50:L56" si="10">K50*J50</f>
        <v>9.1185600000000004</v>
      </c>
      <c r="M50" s="28"/>
      <c r="N50" s="31">
        <f t="shared" si="2"/>
        <v>-3.6960000000000548E-2</v>
      </c>
      <c r="O50" s="68">
        <f t="shared" si="8"/>
        <v>-4.0369088811995982E-3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2080.8000000000002</v>
      </c>
      <c r="H51" s="66">
        <f t="shared" si="9"/>
        <v>2.7050400000000003</v>
      </c>
      <c r="I51" s="28"/>
      <c r="J51" s="263">
        <f>+'Res (100kWh)'!$J$51</f>
        <v>1.2999999999999999E-3</v>
      </c>
      <c r="K51" s="70">
        <f>K48</f>
        <v>2072.4</v>
      </c>
      <c r="L51" s="66">
        <f t="shared" si="10"/>
        <v>2.6941199999999998</v>
      </c>
      <c r="M51" s="28"/>
      <c r="N51" s="31">
        <f t="shared" si="2"/>
        <v>-1.0920000000000485E-2</v>
      </c>
      <c r="O51" s="68">
        <f t="shared" si="8"/>
        <v>-4.036908881199717E-3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2000</v>
      </c>
      <c r="H53" s="66">
        <f t="shared" si="9"/>
        <v>14</v>
      </c>
      <c r="I53" s="28"/>
      <c r="J53" s="263">
        <f>+'Res (100kWh)'!$J$53</f>
        <v>7.0000000000000001E-3</v>
      </c>
      <c r="K53" s="70">
        <f>F16</f>
        <v>2000</v>
      </c>
      <c r="L53" s="66">
        <f t="shared" si="10"/>
        <v>14</v>
      </c>
      <c r="M53" s="28"/>
      <c r="N53" s="31">
        <f t="shared" si="2"/>
        <v>0</v>
      </c>
      <c r="O53" s="68">
        <f t="shared" si="8"/>
        <v>0</v>
      </c>
    </row>
    <row r="54" spans="2:19" ht="14.45" x14ac:dyDescent="0.3">
      <c r="B54" s="49" t="s">
        <v>35</v>
      </c>
      <c r="C54" s="22"/>
      <c r="D54" s="23" t="s">
        <v>61</v>
      </c>
      <c r="E54" s="24"/>
      <c r="F54" s="71">
        <f>+'Res (100kWh)'!$F$54</f>
        <v>7.6999999999999999E-2</v>
      </c>
      <c r="G54" s="69">
        <f>0.64*$F$16</f>
        <v>1280</v>
      </c>
      <c r="H54" s="66">
        <f t="shared" si="9"/>
        <v>98.56</v>
      </c>
      <c r="I54" s="28"/>
      <c r="J54" s="263">
        <f>+'Res (100kWh)'!$J$54</f>
        <v>7.6999999999999999E-2</v>
      </c>
      <c r="K54" s="69">
        <f>G54</f>
        <v>1280</v>
      </c>
      <c r="L54" s="66">
        <f t="shared" si="10"/>
        <v>98.56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4.45" x14ac:dyDescent="0.3">
      <c r="B55" s="49" t="s">
        <v>36</v>
      </c>
      <c r="C55" s="22"/>
      <c r="D55" s="23" t="s">
        <v>61</v>
      </c>
      <c r="E55" s="24"/>
      <c r="F55" s="71">
        <f>+'Res (100kWh)'!$F$55</f>
        <v>0.114</v>
      </c>
      <c r="G55" s="69">
        <f>0.18*$F$16</f>
        <v>360</v>
      </c>
      <c r="H55" s="66">
        <f t="shared" si="9"/>
        <v>41.04</v>
      </c>
      <c r="I55" s="28"/>
      <c r="J55" s="263">
        <f>+'Res (100kWh)'!$J$55</f>
        <v>0.114</v>
      </c>
      <c r="K55" s="69">
        <f>G55</f>
        <v>360</v>
      </c>
      <c r="L55" s="66">
        <f t="shared" si="10"/>
        <v>41.04</v>
      </c>
      <c r="M55" s="28"/>
      <c r="N55" s="31">
        <f t="shared" si="2"/>
        <v>0</v>
      </c>
      <c r="O55" s="68">
        <f t="shared" si="8"/>
        <v>0</v>
      </c>
      <c r="S55" s="72"/>
    </row>
    <row r="56" spans="2:19" ht="14.45" x14ac:dyDescent="0.3">
      <c r="B56" s="12" t="s">
        <v>37</v>
      </c>
      <c r="C56" s="22"/>
      <c r="D56" s="23" t="s">
        <v>61</v>
      </c>
      <c r="E56" s="24"/>
      <c r="F56" s="71">
        <f>+'Res (100kWh)'!$F$56</f>
        <v>0.14000000000000001</v>
      </c>
      <c r="G56" s="69">
        <f>0.18*$F$16</f>
        <v>360</v>
      </c>
      <c r="H56" s="66">
        <f t="shared" si="9"/>
        <v>50.400000000000006</v>
      </c>
      <c r="I56" s="28"/>
      <c r="J56" s="263">
        <f>+'Res (100kWh)'!$J$56</f>
        <v>0.14000000000000001</v>
      </c>
      <c r="K56" s="69">
        <f>G56</f>
        <v>360</v>
      </c>
      <c r="L56" s="66">
        <f t="shared" si="10"/>
        <v>50.400000000000006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ht="14.45" x14ac:dyDescent="0.25">
      <c r="B57" s="74" t="s">
        <v>38</v>
      </c>
      <c r="C57" s="75"/>
      <c r="D57" s="76" t="s">
        <v>61</v>
      </c>
      <c r="E57" s="77"/>
      <c r="F57" s="71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thickBot="1" x14ac:dyDescent="0.3">
      <c r="B58" s="74" t="s">
        <v>39</v>
      </c>
      <c r="C58" s="75"/>
      <c r="D58" s="76" t="s">
        <v>61</v>
      </c>
      <c r="E58" s="77"/>
      <c r="F58" s="71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1400</v>
      </c>
      <c r="H58" s="66">
        <f>G58*F58</f>
        <v>144.19999999999999</v>
      </c>
      <c r="I58" s="79"/>
      <c r="J58" s="263">
        <f>+'Res (100kWh)'!$J$58</f>
        <v>0.10299999999999999</v>
      </c>
      <c r="K58" s="78">
        <f>G58</f>
        <v>1400</v>
      </c>
      <c r="L58" s="66">
        <f>K58*J58</f>
        <v>144.19999999999999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4.45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298.08648000000005</v>
      </c>
      <c r="I60" s="95"/>
      <c r="J60" s="96"/>
      <c r="K60" s="96"/>
      <c r="L60" s="190">
        <f>SUM(L50:L56,L49)</f>
        <v>296.29815154872108</v>
      </c>
      <c r="M60" s="97"/>
      <c r="N60" s="98">
        <f>L60-H60</f>
        <v>-1.7883284512789714</v>
      </c>
      <c r="O60" s="99">
        <f>IF((H60)=0,"",(N60/H60))</f>
        <v>-5.999361162837614E-3</v>
      </c>
      <c r="S60" s="72"/>
    </row>
    <row r="61" spans="2:19" ht="14.45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38.75124240000001</v>
      </c>
      <c r="I61" s="104"/>
      <c r="J61" s="105">
        <v>0.13</v>
      </c>
      <c r="K61" s="104"/>
      <c r="L61" s="106">
        <f>L60*J61</f>
        <v>38.518759701333742</v>
      </c>
      <c r="M61" s="107"/>
      <c r="N61" s="108">
        <f t="shared" si="2"/>
        <v>-0.23248269866626714</v>
      </c>
      <c r="O61" s="109">
        <f t="shared" si="8"/>
        <v>-5.9993611628376357E-3</v>
      </c>
      <c r="S61" s="72"/>
    </row>
    <row r="62" spans="2:19" ht="14.45" x14ac:dyDescent="0.3">
      <c r="B62" s="110" t="s">
        <v>42</v>
      </c>
      <c r="C62" s="22"/>
      <c r="D62" s="22"/>
      <c r="E62" s="22"/>
      <c r="F62" s="111"/>
      <c r="G62" s="102"/>
      <c r="H62" s="103">
        <f>H60+H61</f>
        <v>336.83772240000008</v>
      </c>
      <c r="I62" s="104"/>
      <c r="J62" s="104"/>
      <c r="K62" s="104"/>
      <c r="L62" s="106">
        <f>L60+L61</f>
        <v>334.81691125005483</v>
      </c>
      <c r="M62" s="107"/>
      <c r="N62" s="108">
        <f t="shared" si="2"/>
        <v>-2.0208111499452457</v>
      </c>
      <c r="O62" s="109">
        <f t="shared" si="8"/>
        <v>-5.9993611628376374E-3</v>
      </c>
      <c r="S62" s="72"/>
    </row>
    <row r="63" spans="2:19" ht="15.75" customHeight="1" x14ac:dyDescent="0.3">
      <c r="B63" s="359" t="s">
        <v>43</v>
      </c>
      <c r="C63" s="359"/>
      <c r="D63" s="359"/>
      <c r="E63" s="22"/>
      <c r="F63" s="111"/>
      <c r="G63" s="102"/>
      <c r="H63" s="112">
        <f>ROUND(-H62*10%,2)</f>
        <v>-33.68</v>
      </c>
      <c r="I63" s="104"/>
      <c r="J63" s="104"/>
      <c r="K63" s="104"/>
      <c r="L63" s="113">
        <f>ROUND(-L62*10%,2)</f>
        <v>-33.479999999999997</v>
      </c>
      <c r="M63" s="107"/>
      <c r="N63" s="114">
        <f t="shared" si="2"/>
        <v>0.20000000000000284</v>
      </c>
      <c r="O63" s="115">
        <f t="shared" si="8"/>
        <v>-5.9382422802851205E-3</v>
      </c>
    </row>
    <row r="64" spans="2:19" thickBot="1" x14ac:dyDescent="0.35">
      <c r="B64" s="360" t="s">
        <v>44</v>
      </c>
      <c r="C64" s="360"/>
      <c r="D64" s="360"/>
      <c r="E64" s="116"/>
      <c r="F64" s="117"/>
      <c r="G64" s="118"/>
      <c r="H64" s="119">
        <f>H62+H63</f>
        <v>303.15772240000007</v>
      </c>
      <c r="I64" s="120"/>
      <c r="J64" s="120"/>
      <c r="K64" s="120"/>
      <c r="L64" s="121">
        <f>L62+L63</f>
        <v>301.33691125005481</v>
      </c>
      <c r="M64" s="122"/>
      <c r="N64" s="123">
        <f t="shared" si="2"/>
        <v>-1.8208111499452571</v>
      </c>
      <c r="O64" s="124">
        <f t="shared" si="8"/>
        <v>-6.0061513047746018E-3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15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305.08648000000005</v>
      </c>
      <c r="I66" s="136"/>
      <c r="J66" s="137"/>
      <c r="K66" s="137"/>
      <c r="L66" s="189">
        <f>SUM(L57:L58,L49,L50:L53)</f>
        <v>303.29815154872108</v>
      </c>
      <c r="M66" s="138"/>
      <c r="N66" s="139">
        <f>L66-H66</f>
        <v>-1.7883284512789714</v>
      </c>
      <c r="O66" s="99">
        <f>IF((H66)=0,"",(N66/H66))</f>
        <v>-5.861709936405478E-3</v>
      </c>
    </row>
    <row r="67" spans="1:15" s="73" customFormat="1" ht="13.15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39.661242400000006</v>
      </c>
      <c r="I67" s="143"/>
      <c r="J67" s="144">
        <v>0.13</v>
      </c>
      <c r="K67" s="145"/>
      <c r="L67" s="146">
        <f>L66*J67</f>
        <v>39.428759701333739</v>
      </c>
      <c r="M67" s="147"/>
      <c r="N67" s="148">
        <f>L67-H67</f>
        <v>-0.23248269866626714</v>
      </c>
      <c r="O67" s="109">
        <f>IF((H67)=0,"",(N67/H67))</f>
        <v>-5.8617099364054997E-3</v>
      </c>
    </row>
    <row r="68" spans="1:15" s="73" customFormat="1" ht="13.15" x14ac:dyDescent="0.25">
      <c r="B68" s="149" t="s">
        <v>42</v>
      </c>
      <c r="C68" s="75"/>
      <c r="D68" s="75"/>
      <c r="E68" s="75"/>
      <c r="F68" s="150"/>
      <c r="G68" s="151"/>
      <c r="H68" s="142">
        <f>H66+H67</f>
        <v>344.74772240000004</v>
      </c>
      <c r="I68" s="143"/>
      <c r="J68" s="143"/>
      <c r="K68" s="143"/>
      <c r="L68" s="146">
        <f>L66+L67</f>
        <v>342.7269112500548</v>
      </c>
      <c r="M68" s="147"/>
      <c r="N68" s="148">
        <f>L68-H68</f>
        <v>-2.0208111499452457</v>
      </c>
      <c r="O68" s="109">
        <f>IF((H68)=0,"",(N68/H68))</f>
        <v>-5.8617099364055014E-3</v>
      </c>
    </row>
    <row r="69" spans="1:15" s="73" customFormat="1" ht="15.75" customHeight="1" x14ac:dyDescent="0.25">
      <c r="B69" s="361" t="s">
        <v>43</v>
      </c>
      <c r="C69" s="361"/>
      <c r="D69" s="361"/>
      <c r="E69" s="75"/>
      <c r="F69" s="150"/>
      <c r="G69" s="151"/>
      <c r="H69" s="152">
        <f>ROUND(-H68*10%,2)</f>
        <v>-34.47</v>
      </c>
      <c r="I69" s="143"/>
      <c r="J69" s="143"/>
      <c r="K69" s="143"/>
      <c r="L69" s="153">
        <f>ROUND(-L68*10%,2)</f>
        <v>-34.270000000000003</v>
      </c>
      <c r="M69" s="147"/>
      <c r="N69" s="154">
        <f>L69-H69</f>
        <v>0.19999999999999574</v>
      </c>
      <c r="O69" s="115">
        <f>IF((H69)=0,"",(N69/H69))</f>
        <v>-5.802146794313773E-3</v>
      </c>
    </row>
    <row r="70" spans="1:15" s="73" customFormat="1" ht="13.9" thickBot="1" x14ac:dyDescent="0.3">
      <c r="B70" s="352" t="s">
        <v>46</v>
      </c>
      <c r="C70" s="352"/>
      <c r="D70" s="352"/>
      <c r="E70" s="155"/>
      <c r="F70" s="156"/>
      <c r="G70" s="157"/>
      <c r="H70" s="158">
        <f>SUM(H68:H69)</f>
        <v>310.27772240000002</v>
      </c>
      <c r="I70" s="159"/>
      <c r="J70" s="159"/>
      <c r="K70" s="159"/>
      <c r="L70" s="160">
        <f>SUM(L68:L69)</f>
        <v>308.45691125005482</v>
      </c>
      <c r="M70" s="161"/>
      <c r="N70" s="162">
        <f>L70-H70</f>
        <v>-1.8208111499452002</v>
      </c>
      <c r="O70" s="163">
        <f>IF((H70)=0,"",(N70/H70))</f>
        <v>-5.8683270454005371E-3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B27" workbookViewId="0">
      <selection activeCell="J27" activeCellId="1" sqref="J21 J2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 s="192"/>
    </row>
    <row r="4" spans="1:20" s="2" customFormat="1" ht="9" customHeight="1" x14ac:dyDescent="0.3">
      <c r="L4" s="3"/>
      <c r="N4" s="311"/>
      <c r="O4"/>
      <c r="P4" s="194"/>
    </row>
    <row r="5" spans="1:20" s="2" customFormat="1" ht="14.45" x14ac:dyDescent="0.3">
      <c r="L5" s="3" t="s">
        <v>76</v>
      </c>
      <c r="N5" s="368">
        <v>42124</v>
      </c>
      <c r="O5" s="368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67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1000</v>
      </c>
      <c r="G16" s="13" t="s">
        <v>7</v>
      </c>
      <c r="J16" s="280"/>
      <c r="K16" s="34"/>
      <c r="L16" s="34"/>
    </row>
    <row r="17" spans="2:15" ht="14.45" x14ac:dyDescent="0.3">
      <c r="B17" s="12"/>
      <c r="F17" s="281"/>
      <c r="G17" s="34"/>
      <c r="H17" s="34"/>
      <c r="J17" s="281"/>
      <c r="K17" s="34"/>
      <c r="L17" s="34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341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282">
        <v>31.96</v>
      </c>
      <c r="G21" s="26">
        <v>1</v>
      </c>
      <c r="H21" s="27">
        <f>G21*F21</f>
        <v>31.96</v>
      </c>
      <c r="I21" s="28"/>
      <c r="J21" s="283">
        <v>35.51</v>
      </c>
      <c r="K21" s="30">
        <v>1</v>
      </c>
      <c r="L21" s="27">
        <f>K21*J21</f>
        <v>35.51</v>
      </c>
      <c r="M21" s="28"/>
      <c r="N21" s="31">
        <f>L21-H21</f>
        <v>3.5499999999999972</v>
      </c>
      <c r="O21" s="32">
        <f>IF((H21)=0,"",(N21/H21))</f>
        <v>0.11107634543178964</v>
      </c>
    </row>
    <row r="22" spans="2:15" ht="36.75" customHeight="1" x14ac:dyDescent="0.3">
      <c r="B22" s="297" t="s">
        <v>88</v>
      </c>
      <c r="C22" s="22"/>
      <c r="D22" s="56" t="s">
        <v>61</v>
      </c>
      <c r="E22" s="24"/>
      <c r="F22" s="283"/>
      <c r="G22" s="26">
        <f>$F$16</f>
        <v>1000</v>
      </c>
      <c r="H22" s="27">
        <f t="shared" ref="H22:H36" si="0">G22*F22</f>
        <v>0</v>
      </c>
      <c r="I22" s="28"/>
      <c r="J22" s="263">
        <v>5.0000000000000001E-4</v>
      </c>
      <c r="K22" s="26">
        <f>$F$16</f>
        <v>1000</v>
      </c>
      <c r="L22" s="27">
        <f>K22*J22</f>
        <v>0.5</v>
      </c>
      <c r="M22" s="28"/>
      <c r="N22" s="31">
        <f>L22-H22</f>
        <v>0.5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283">
        <v>5.51</v>
      </c>
      <c r="G23" s="26">
        <v>1</v>
      </c>
      <c r="H23" s="27">
        <f t="shared" si="0"/>
        <v>5.51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-5.51</v>
      </c>
      <c r="O23" s="32">
        <f t="shared" ref="O23:O37" si="3">IF((H23)=0,"",(N23/H23))</f>
        <v>-1</v>
      </c>
    </row>
    <row r="24" spans="2:15" ht="14.45" x14ac:dyDescent="0.3">
      <c r="B24" s="297" t="s">
        <v>90</v>
      </c>
      <c r="C24" s="22"/>
      <c r="D24" s="23" t="s">
        <v>60</v>
      </c>
      <c r="E24" s="24"/>
      <c r="F24" s="284"/>
      <c r="G24" s="26">
        <v>1</v>
      </c>
      <c r="H24" s="27">
        <f t="shared" si="0"/>
        <v>0</v>
      </c>
      <c r="I24" s="28"/>
      <c r="J24" s="283"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305">
        <v>-5.0000000000000002E-5</v>
      </c>
      <c r="G25" s="26">
        <f>$F$16</f>
        <v>1000</v>
      </c>
      <c r="H25" s="27">
        <f t="shared" si="0"/>
        <v>-0.05</v>
      </c>
      <c r="I25" s="28"/>
      <c r="J25" s="305">
        <v>-5.0000000000000002E-5</v>
      </c>
      <c r="K25" s="26">
        <f>$F$16</f>
        <v>1000</v>
      </c>
      <c r="L25" s="27">
        <f t="shared" si="1"/>
        <v>-0.05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84"/>
      <c r="G26" s="26">
        <f>$F$16</f>
        <v>1000</v>
      </c>
      <c r="H26" s="27">
        <f t="shared" si="0"/>
        <v>0</v>
      </c>
      <c r="I26" s="28"/>
      <c r="J26" s="263">
        <v>-5.9999999999999995E-4</v>
      </c>
      <c r="K26" s="26">
        <f>$F$16</f>
        <v>1000</v>
      </c>
      <c r="L26" s="27">
        <f t="shared" si="1"/>
        <v>-0.6</v>
      </c>
      <c r="M26" s="28"/>
      <c r="N26" s="31">
        <f t="shared" si="2"/>
        <v>-0.6</v>
      </c>
      <c r="O26" s="32" t="str">
        <f t="shared" si="3"/>
        <v/>
      </c>
    </row>
    <row r="27" spans="2:15" x14ac:dyDescent="0.25">
      <c r="B27" s="24" t="s">
        <v>19</v>
      </c>
      <c r="C27" s="22"/>
      <c r="D27" s="23" t="s">
        <v>61</v>
      </c>
      <c r="E27" s="24"/>
      <c r="F27" s="284">
        <v>1.43E-2</v>
      </c>
      <c r="G27" s="26">
        <f>$F$16</f>
        <v>1000</v>
      </c>
      <c r="H27" s="27">
        <f t="shared" si="0"/>
        <v>14.3</v>
      </c>
      <c r="I27" s="28"/>
      <c r="J27" s="263">
        <v>1.5800000000000002E-2</v>
      </c>
      <c r="K27" s="26">
        <f>$F$16</f>
        <v>1000</v>
      </c>
      <c r="L27" s="27">
        <f t="shared" si="1"/>
        <v>15.8</v>
      </c>
      <c r="M27" s="28"/>
      <c r="N27" s="31">
        <f t="shared" si="2"/>
        <v>1.5</v>
      </c>
      <c r="O27" s="32">
        <f t="shared" si="3"/>
        <v>0.1048951048951049</v>
      </c>
    </row>
    <row r="28" spans="2:15" ht="14.45" hidden="1" x14ac:dyDescent="0.3">
      <c r="B28" s="24" t="s">
        <v>20</v>
      </c>
      <c r="C28" s="22"/>
      <c r="D28" s="23"/>
      <c r="E28" s="24"/>
      <c r="F28" s="284"/>
      <c r="G28" s="26">
        <f>$F$16</f>
        <v>1000</v>
      </c>
      <c r="H28" s="27">
        <f t="shared" si="0"/>
        <v>0</v>
      </c>
      <c r="I28" s="28"/>
      <c r="J28" s="29"/>
      <c r="K28" s="26">
        <f t="shared" ref="K28:K36" si="4">$F$16</f>
        <v>1000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4" t="s">
        <v>21</v>
      </c>
      <c r="C29" s="22"/>
      <c r="D29" s="23"/>
      <c r="E29" s="24"/>
      <c r="F29" s="284"/>
      <c r="G29" s="26">
        <f>$F$16</f>
        <v>1000</v>
      </c>
      <c r="H29" s="27">
        <f t="shared" si="0"/>
        <v>0</v>
      </c>
      <c r="I29" s="28"/>
      <c r="J29" s="29"/>
      <c r="K29" s="26">
        <f t="shared" si="4"/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182"/>
      <c r="C30" s="22"/>
      <c r="D30" s="23"/>
      <c r="E30" s="24"/>
      <c r="F30" s="284"/>
      <c r="G30" s="26">
        <f t="shared" ref="G30:G36" si="5">$F$16</f>
        <v>1000</v>
      </c>
      <c r="H30" s="27">
        <f t="shared" si="0"/>
        <v>0</v>
      </c>
      <c r="I30" s="28"/>
      <c r="J30" s="29"/>
      <c r="K30" s="26">
        <f t="shared" si="4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182"/>
      <c r="C31" s="22"/>
      <c r="D31" s="23"/>
      <c r="E31" s="24"/>
      <c r="F31" s="284"/>
      <c r="G31" s="26">
        <f t="shared" si="5"/>
        <v>1000</v>
      </c>
      <c r="H31" s="27">
        <f t="shared" si="0"/>
        <v>0</v>
      </c>
      <c r="I31" s="28"/>
      <c r="J31" s="29"/>
      <c r="K31" s="26">
        <f t="shared" si="4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182"/>
      <c r="C32" s="22"/>
      <c r="D32" s="23"/>
      <c r="E32" s="24"/>
      <c r="F32" s="284"/>
      <c r="G32" s="26">
        <f t="shared" si="5"/>
        <v>1000</v>
      </c>
      <c r="H32" s="27">
        <f t="shared" si="0"/>
        <v>0</v>
      </c>
      <c r="I32" s="28"/>
      <c r="J32" s="29"/>
      <c r="K32" s="26">
        <f t="shared" si="4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182"/>
      <c r="C33" s="22"/>
      <c r="D33" s="23"/>
      <c r="E33" s="24"/>
      <c r="F33" s="284"/>
      <c r="G33" s="26">
        <f t="shared" si="5"/>
        <v>1000</v>
      </c>
      <c r="H33" s="27">
        <f t="shared" si="0"/>
        <v>0</v>
      </c>
      <c r="I33" s="28"/>
      <c r="J33" s="29"/>
      <c r="K33" s="26">
        <f t="shared" si="4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182"/>
      <c r="C34" s="22"/>
      <c r="D34" s="23"/>
      <c r="E34" s="24"/>
      <c r="F34" s="284"/>
      <c r="G34" s="26">
        <f t="shared" si="5"/>
        <v>1000</v>
      </c>
      <c r="H34" s="27">
        <f t="shared" si="0"/>
        <v>0</v>
      </c>
      <c r="I34" s="28"/>
      <c r="J34" s="29"/>
      <c r="K34" s="26">
        <f t="shared" si="4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182"/>
      <c r="C35" s="22"/>
      <c r="D35" s="23"/>
      <c r="E35" s="24"/>
      <c r="F35" s="284"/>
      <c r="G35" s="26">
        <f t="shared" si="5"/>
        <v>1000</v>
      </c>
      <c r="H35" s="27">
        <f t="shared" si="0"/>
        <v>0</v>
      </c>
      <c r="I35" s="28"/>
      <c r="J35" s="29"/>
      <c r="K35" s="26">
        <f t="shared" si="4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182"/>
      <c r="C36" s="22"/>
      <c r="D36" s="23"/>
      <c r="E36" s="24"/>
      <c r="F36" s="284"/>
      <c r="G36" s="26">
        <f t="shared" si="5"/>
        <v>1000</v>
      </c>
      <c r="H36" s="27">
        <f t="shared" si="0"/>
        <v>0</v>
      </c>
      <c r="I36" s="28"/>
      <c r="J36" s="29"/>
      <c r="K36" s="26">
        <f t="shared" si="4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285"/>
      <c r="G37" s="39"/>
      <c r="H37" s="40">
        <f>SUM(H21:H36)</f>
        <v>51.72</v>
      </c>
      <c r="I37" s="41"/>
      <c r="J37" s="42"/>
      <c r="K37" s="43"/>
      <c r="L37" s="40">
        <f>SUM(L21:L36)</f>
        <v>52.544152864520285</v>
      </c>
      <c r="M37" s="41"/>
      <c r="N37" s="44">
        <f t="shared" si="2"/>
        <v>0.82415286452028624</v>
      </c>
      <c r="O37" s="45">
        <f t="shared" si="3"/>
        <v>1.5934896839139331E-2</v>
      </c>
    </row>
    <row r="38" spans="2:15" ht="14.45" hidden="1" x14ac:dyDescent="0.3">
      <c r="B38" s="297"/>
      <c r="C38" s="22"/>
      <c r="D38" s="56" t="s">
        <v>60</v>
      </c>
      <c r="E38" s="24"/>
      <c r="F38" s="284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4.45" x14ac:dyDescent="0.3">
      <c r="B39" s="296" t="s">
        <v>23</v>
      </c>
      <c r="C39" s="22"/>
      <c r="D39" s="56" t="s">
        <v>61</v>
      </c>
      <c r="E39" s="57"/>
      <c r="F39" s="263">
        <v>-1.4E-3</v>
      </c>
      <c r="G39" s="26">
        <f>$F$16</f>
        <v>1000</v>
      </c>
      <c r="H39" s="27">
        <f t="shared" ref="H39:H45" si="6">G39*F39</f>
        <v>-1.4</v>
      </c>
      <c r="I39" s="28"/>
      <c r="J39" s="263">
        <f>0.0018-0.0014</f>
        <v>3.9999999999999996E-4</v>
      </c>
      <c r="K39" s="26">
        <f>$F$16</f>
        <v>1000</v>
      </c>
      <c r="L39" s="27">
        <f t="shared" ref="L39:L45" si="7">K39*J39</f>
        <v>0.39999999999999997</v>
      </c>
      <c r="M39" s="28"/>
      <c r="N39" s="31">
        <f t="shared" ref="N39:N45" si="8">L39-H39</f>
        <v>1.7999999999999998</v>
      </c>
      <c r="O39" s="32">
        <f t="shared" ref="O39:O44" si="9">IF((H39)=0,"",(N39/H39))</f>
        <v>-1.2857142857142856</v>
      </c>
    </row>
    <row r="40" spans="2:15" ht="14.45" x14ac:dyDescent="0.3">
      <c r="B40" s="296"/>
      <c r="C40" s="22"/>
      <c r="D40" s="23" t="s">
        <v>61</v>
      </c>
      <c r="E40" s="24"/>
      <c r="F40" s="284"/>
      <c r="G40" s="26">
        <f>$F$16</f>
        <v>1000</v>
      </c>
      <c r="H40" s="27">
        <f t="shared" si="6"/>
        <v>0</v>
      </c>
      <c r="I40" s="47"/>
      <c r="J40" s="29"/>
      <c r="K40" s="26">
        <f>$F$16</f>
        <v>1000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14.45" hidden="1" x14ac:dyDescent="0.3">
      <c r="B41" s="46"/>
      <c r="C41" s="22"/>
      <c r="D41" s="23" t="s">
        <v>61</v>
      </c>
      <c r="E41" s="24"/>
      <c r="F41" s="284"/>
      <c r="G41" s="26">
        <f>$F$16</f>
        <v>1000</v>
      </c>
      <c r="H41" s="27">
        <f t="shared" si="6"/>
        <v>0</v>
      </c>
      <c r="I41" s="47"/>
      <c r="J41" s="29"/>
      <c r="K41" s="26">
        <f>$F$16</f>
        <v>1000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14.45" hidden="1" x14ac:dyDescent="0.3">
      <c r="B42" s="46"/>
      <c r="C42" s="22"/>
      <c r="D42" s="23"/>
      <c r="E42" s="24"/>
      <c r="F42" s="284"/>
      <c r="G42" s="26">
        <f>$F$16</f>
        <v>1000</v>
      </c>
      <c r="H42" s="27">
        <f t="shared" si="6"/>
        <v>0</v>
      </c>
      <c r="I42" s="47"/>
      <c r="J42" s="29"/>
      <c r="K42" s="26">
        <f>$F$16</f>
        <v>1000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ht="14.45" x14ac:dyDescent="0.3">
      <c r="B43" s="49" t="s">
        <v>24</v>
      </c>
      <c r="C43" s="22"/>
      <c r="D43" s="23" t="s">
        <v>61</v>
      </c>
      <c r="E43" s="24"/>
      <c r="F43" s="284">
        <v>1E-4</v>
      </c>
      <c r="G43" s="26">
        <f>$F$16</f>
        <v>1000</v>
      </c>
      <c r="H43" s="27">
        <f t="shared" si="6"/>
        <v>0.1</v>
      </c>
      <c r="I43" s="28"/>
      <c r="J43" s="29">
        <v>2.0000000000000001E-4</v>
      </c>
      <c r="K43" s="26">
        <f>$F$16</f>
        <v>1000</v>
      </c>
      <c r="L43" s="27">
        <f t="shared" si="7"/>
        <v>0.2</v>
      </c>
      <c r="M43" s="28"/>
      <c r="N43" s="31">
        <f t="shared" si="8"/>
        <v>0.1</v>
      </c>
      <c r="O43" s="32">
        <f t="shared" si="9"/>
        <v>1</v>
      </c>
    </row>
    <row r="44" spans="2:15" s="34" customFormat="1" ht="14.45" x14ac:dyDescent="0.3">
      <c r="B44" s="181" t="s">
        <v>25</v>
      </c>
      <c r="C44" s="24"/>
      <c r="D44" s="182" t="s">
        <v>61</v>
      </c>
      <c r="E44" s="24"/>
      <c r="F44" s="286">
        <f>IF(ISBLANK(D14)=TRUE, 0, IF(D14="TOU", 0.64*$F$54+0.18*$F$55+0.18*$F$56, IF(AND(D14="non-TOU", G58&gt;0), F58,F57)))</f>
        <v>9.5000000000000001E-2</v>
      </c>
      <c r="G44" s="26">
        <f>$F$16*(1+$F$73)-$F$16</f>
        <v>40.400000000000091</v>
      </c>
      <c r="H44" s="184">
        <f t="shared" si="6"/>
        <v>3.8380000000000085</v>
      </c>
      <c r="I44" s="57"/>
      <c r="J44" s="185">
        <f>0.64*$F$54+0.18*$F$55+0.18*$F$56</f>
        <v>9.5000000000000001E-2</v>
      </c>
      <c r="K44" s="26">
        <f>$F$16*(1+$J$73)-$F$16</f>
        <v>36.200000000000045</v>
      </c>
      <c r="L44" s="184">
        <f t="shared" si="7"/>
        <v>3.4390000000000045</v>
      </c>
      <c r="M44" s="57"/>
      <c r="N44" s="186">
        <f t="shared" si="8"/>
        <v>-0.39900000000000402</v>
      </c>
      <c r="O44" s="187">
        <f t="shared" si="9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282">
        <v>0.79</v>
      </c>
      <c r="G45" s="26">
        <v>1</v>
      </c>
      <c r="H45" s="27">
        <f t="shared" si="6"/>
        <v>0.79</v>
      </c>
      <c r="I45" s="28"/>
      <c r="J45" s="174">
        <v>0.79</v>
      </c>
      <c r="K45" s="26">
        <v>1</v>
      </c>
      <c r="L45" s="27">
        <f t="shared" si="7"/>
        <v>0.79</v>
      </c>
      <c r="M45" s="28"/>
      <c r="N45" s="31">
        <f t="shared" si="8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287"/>
      <c r="G46" s="53"/>
      <c r="H46" s="54">
        <f>SUM(H38:H45)+H37</f>
        <v>55.048000000000009</v>
      </c>
      <c r="I46" s="41"/>
      <c r="J46" s="53"/>
      <c r="K46" s="55"/>
      <c r="L46" s="54">
        <f>SUM(L38:L45)+L37</f>
        <v>57.373152864520293</v>
      </c>
      <c r="M46" s="41"/>
      <c r="N46" s="44">
        <f t="shared" ref="N46:N64" si="10">L46-H46</f>
        <v>2.3251528645202839</v>
      </c>
      <c r="O46" s="45">
        <f t="shared" ref="O46:O64" si="11">IF((H46)=0,"",(N46/H46))</f>
        <v>4.2238643811224448E-2</v>
      </c>
    </row>
    <row r="47" spans="2:15" ht="14.45" x14ac:dyDescent="0.3">
      <c r="B47" s="57" t="s">
        <v>28</v>
      </c>
      <c r="C47" s="28"/>
      <c r="D47" s="56" t="s">
        <v>61</v>
      </c>
      <c r="E47" s="57"/>
      <c r="F47" s="263">
        <v>6.8999999999999999E-3</v>
      </c>
      <c r="G47" s="69">
        <f>F16*(1+F73)</f>
        <v>1040.4000000000001</v>
      </c>
      <c r="H47" s="27">
        <f>G47*F47</f>
        <v>7.1787600000000005</v>
      </c>
      <c r="I47" s="28"/>
      <c r="J47" s="263">
        <v>6.7000000000000002E-3</v>
      </c>
      <c r="K47" s="70">
        <f>F16*(1+J73)</f>
        <v>1036.2</v>
      </c>
      <c r="L47" s="27">
        <f>K47*J47</f>
        <v>6.9425400000000002</v>
      </c>
      <c r="M47" s="28"/>
      <c r="N47" s="31">
        <f t="shared" si="10"/>
        <v>-0.23622000000000032</v>
      </c>
      <c r="O47" s="32">
        <f t="shared" si="11"/>
        <v>-3.2905404275947417E-2</v>
      </c>
    </row>
    <row r="48" spans="2:15" ht="14.45" x14ac:dyDescent="0.3">
      <c r="B48" s="295" t="s">
        <v>29</v>
      </c>
      <c r="C48" s="28"/>
      <c r="D48" s="56" t="s">
        <v>61</v>
      </c>
      <c r="E48" s="57"/>
      <c r="F48" s="263">
        <v>2.0999999999999999E-3</v>
      </c>
      <c r="G48" s="69">
        <f>G47</f>
        <v>1040.4000000000001</v>
      </c>
      <c r="H48" s="27">
        <f>G48*F48</f>
        <v>2.1848399999999999</v>
      </c>
      <c r="I48" s="28"/>
      <c r="J48" s="263">
        <v>2.0999999999999999E-3</v>
      </c>
      <c r="K48" s="70">
        <f>K47</f>
        <v>1036.2</v>
      </c>
      <c r="L48" s="27">
        <f>K48*J48</f>
        <v>2.1760199999999998</v>
      </c>
      <c r="M48" s="28"/>
      <c r="N48" s="31">
        <f t="shared" si="10"/>
        <v>-8.82000000000005E-3</v>
      </c>
      <c r="O48" s="32">
        <f t="shared" si="11"/>
        <v>-4.0369088811995617E-3</v>
      </c>
    </row>
    <row r="49" spans="2:19" ht="14.45" x14ac:dyDescent="0.3">
      <c r="B49" s="50" t="s">
        <v>30</v>
      </c>
      <c r="C49" s="36"/>
      <c r="D49" s="36"/>
      <c r="E49" s="36"/>
      <c r="F49" s="60"/>
      <c r="G49" s="53"/>
      <c r="H49" s="54">
        <f>SUM(H46:H48)</f>
        <v>64.411600000000007</v>
      </c>
      <c r="I49" s="61"/>
      <c r="J49" s="62"/>
      <c r="K49" s="63"/>
      <c r="L49" s="54">
        <f>SUM(L46:L48)</f>
        <v>66.491712864520281</v>
      </c>
      <c r="M49" s="61"/>
      <c r="N49" s="44">
        <f t="shared" si="10"/>
        <v>2.0801128645202738</v>
      </c>
      <c r="O49" s="45">
        <f t="shared" si="11"/>
        <v>3.2294072255933302E-2</v>
      </c>
    </row>
    <row r="50" spans="2:19" ht="14.45" x14ac:dyDescent="0.3">
      <c r="B50" s="297" t="s">
        <v>31</v>
      </c>
      <c r="C50" s="22"/>
      <c r="D50" s="23" t="s">
        <v>61</v>
      </c>
      <c r="E50" s="24"/>
      <c r="F50" s="65">
        <v>4.4000000000000003E-3</v>
      </c>
      <c r="G50" s="69">
        <f>G48</f>
        <v>1040.4000000000001</v>
      </c>
      <c r="H50" s="66">
        <f t="shared" ref="H50:H56" si="12">G50*F50</f>
        <v>4.5777600000000005</v>
      </c>
      <c r="I50" s="28"/>
      <c r="J50" s="67">
        <f>+F50</f>
        <v>4.4000000000000003E-3</v>
      </c>
      <c r="K50" s="70">
        <f>K48</f>
        <v>1036.2</v>
      </c>
      <c r="L50" s="66">
        <f t="shared" ref="L50:L56" si="13">K50*J50</f>
        <v>4.5592800000000002</v>
      </c>
      <c r="M50" s="28"/>
      <c r="N50" s="31">
        <f t="shared" si="10"/>
        <v>-1.8480000000000274E-2</v>
      </c>
      <c r="O50" s="68">
        <f t="shared" si="11"/>
        <v>-4.0369088811995982E-3</v>
      </c>
    </row>
    <row r="51" spans="2:19" ht="14.45" x14ac:dyDescent="0.3">
      <c r="B51" s="297" t="s">
        <v>32</v>
      </c>
      <c r="C51" s="22"/>
      <c r="D51" s="23" t="s">
        <v>61</v>
      </c>
      <c r="E51" s="24"/>
      <c r="F51" s="65">
        <v>1.2999999999999999E-3</v>
      </c>
      <c r="G51" s="69">
        <f>G48</f>
        <v>1040.4000000000001</v>
      </c>
      <c r="H51" s="66">
        <f t="shared" si="12"/>
        <v>1.3525200000000002</v>
      </c>
      <c r="I51" s="28"/>
      <c r="J51" s="67">
        <f>+F51</f>
        <v>1.2999999999999999E-3</v>
      </c>
      <c r="K51" s="70">
        <f>K48</f>
        <v>1036.2</v>
      </c>
      <c r="L51" s="66">
        <f t="shared" si="13"/>
        <v>1.3470599999999999</v>
      </c>
      <c r="M51" s="28"/>
      <c r="N51" s="31">
        <f t="shared" si="10"/>
        <v>-5.4600000000002424E-3</v>
      </c>
      <c r="O51" s="68">
        <f t="shared" si="11"/>
        <v>-4.036908881199717E-3</v>
      </c>
    </row>
    <row r="52" spans="2:19" ht="14.45" x14ac:dyDescent="0.3">
      <c r="B52" s="24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6">
        <f t="shared" si="12"/>
        <v>0.25</v>
      </c>
      <c r="I52" s="28"/>
      <c r="J52" s="177">
        <f>+F52</f>
        <v>0.25</v>
      </c>
      <c r="K52" s="30">
        <v>1</v>
      </c>
      <c r="L52" s="66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ht="14.45" x14ac:dyDescent="0.3">
      <c r="B53" s="24" t="s">
        <v>34</v>
      </c>
      <c r="C53" s="22"/>
      <c r="D53" s="23" t="s">
        <v>61</v>
      </c>
      <c r="E53" s="24"/>
      <c r="F53" s="65">
        <v>7.0000000000000001E-3</v>
      </c>
      <c r="G53" s="69">
        <f>F16</f>
        <v>1000</v>
      </c>
      <c r="H53" s="66">
        <f t="shared" si="12"/>
        <v>7</v>
      </c>
      <c r="I53" s="28"/>
      <c r="J53" s="67">
        <f>+F53</f>
        <v>7.0000000000000001E-3</v>
      </c>
      <c r="K53" s="70">
        <f>F16</f>
        <v>1000</v>
      </c>
      <c r="L53" s="66">
        <f t="shared" si="13"/>
        <v>7</v>
      </c>
      <c r="M53" s="28"/>
      <c r="N53" s="31">
        <f t="shared" si="10"/>
        <v>0</v>
      </c>
      <c r="O53" s="68">
        <f t="shared" si="11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65">
        <f>+'Res (100kWh)'!F54</f>
        <v>7.6999999999999999E-2</v>
      </c>
      <c r="G54" s="69">
        <f>0.64*$F$16</f>
        <v>640</v>
      </c>
      <c r="H54" s="66">
        <f t="shared" si="12"/>
        <v>49.28</v>
      </c>
      <c r="I54" s="28"/>
      <c r="J54" s="263">
        <f t="shared" ref="J54:J58" si="14">+F54</f>
        <v>7.6999999999999999E-2</v>
      </c>
      <c r="K54" s="69">
        <f>G54</f>
        <v>640</v>
      </c>
      <c r="L54" s="66">
        <f t="shared" si="13"/>
        <v>49.28</v>
      </c>
      <c r="M54" s="28"/>
      <c r="N54" s="31">
        <f t="shared" si="10"/>
        <v>0</v>
      </c>
      <c r="O54" s="68">
        <f t="shared" si="11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f>+'Res (100kWh)'!F55</f>
        <v>0.114</v>
      </c>
      <c r="G55" s="69">
        <f>0.18*$F$16</f>
        <v>180</v>
      </c>
      <c r="H55" s="66">
        <f t="shared" si="12"/>
        <v>20.52</v>
      </c>
      <c r="I55" s="28"/>
      <c r="J55" s="263">
        <f t="shared" si="14"/>
        <v>0.114</v>
      </c>
      <c r="K55" s="69">
        <f>G55</f>
        <v>180</v>
      </c>
      <c r="L55" s="66">
        <f t="shared" si="13"/>
        <v>20.52</v>
      </c>
      <c r="M55" s="28"/>
      <c r="N55" s="31">
        <f t="shared" si="10"/>
        <v>0</v>
      </c>
      <c r="O55" s="68">
        <f t="shared" si="11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f>+'Res (100kWh)'!F56</f>
        <v>0.14000000000000001</v>
      </c>
      <c r="G56" s="69">
        <f>0.18*$F$16</f>
        <v>180</v>
      </c>
      <c r="H56" s="66">
        <f t="shared" si="12"/>
        <v>25.200000000000003</v>
      </c>
      <c r="I56" s="28"/>
      <c r="J56" s="263">
        <f t="shared" si="14"/>
        <v>0.14000000000000001</v>
      </c>
      <c r="K56" s="69">
        <f>G56</f>
        <v>180</v>
      </c>
      <c r="L56" s="66">
        <f t="shared" si="13"/>
        <v>25.200000000000003</v>
      </c>
      <c r="M56" s="28"/>
      <c r="N56" s="31">
        <f t="shared" si="10"/>
        <v>0</v>
      </c>
      <c r="O56" s="68">
        <f t="shared" si="11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65">
        <f>+'Res (100kWh)'!F57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 t="shared" si="14"/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10"/>
        <v>0</v>
      </c>
      <c r="O57" s="68">
        <f t="shared" si="11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+'Res (100kWh)'!F58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400</v>
      </c>
      <c r="H58" s="66">
        <f>G58*F58</f>
        <v>41.199999999999996</v>
      </c>
      <c r="I58" s="79"/>
      <c r="J58" s="263">
        <f t="shared" si="14"/>
        <v>0.10299999999999999</v>
      </c>
      <c r="K58" s="78">
        <f>G58</f>
        <v>400</v>
      </c>
      <c r="L58" s="66">
        <f>K58*J58</f>
        <v>41.199999999999996</v>
      </c>
      <c r="M58" s="79"/>
      <c r="N58" s="80">
        <f t="shared" si="10"/>
        <v>0</v>
      </c>
      <c r="O58" s="68">
        <f t="shared" si="11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172.59188</v>
      </c>
      <c r="I60" s="95"/>
      <c r="J60" s="96"/>
      <c r="K60" s="96"/>
      <c r="L60" s="190">
        <f>SUM(L50:L56,L49)</f>
        <v>174.64805286452028</v>
      </c>
      <c r="M60" s="97"/>
      <c r="N60" s="98">
        <f>L60-H60</f>
        <v>2.0561728645202777</v>
      </c>
      <c r="O60" s="99">
        <f>IF((H60)=0,"",(N60/H60))</f>
        <v>1.1913497115393133E-2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22.436944400000002</v>
      </c>
      <c r="I61" s="104"/>
      <c r="J61" s="105">
        <v>0.13</v>
      </c>
      <c r="K61" s="104"/>
      <c r="L61" s="106">
        <f>L60*J61</f>
        <v>22.704246872387639</v>
      </c>
      <c r="M61" s="107"/>
      <c r="N61" s="108">
        <f t="shared" si="10"/>
        <v>0.26730247238763738</v>
      </c>
      <c r="O61" s="109">
        <f t="shared" si="11"/>
        <v>1.1913497115393188E-2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195.02882440000002</v>
      </c>
      <c r="I62" s="104"/>
      <c r="J62" s="104"/>
      <c r="K62" s="104"/>
      <c r="L62" s="106">
        <f>L60+L61</f>
        <v>197.35229973690792</v>
      </c>
      <c r="M62" s="107"/>
      <c r="N62" s="108">
        <f t="shared" si="10"/>
        <v>2.3234753369079044</v>
      </c>
      <c r="O62" s="109">
        <f t="shared" si="11"/>
        <v>1.1913497115393083E-2</v>
      </c>
      <c r="S62" s="72"/>
    </row>
    <row r="63" spans="2:19" ht="15.75" customHeight="1" x14ac:dyDescent="0.25">
      <c r="B63" s="359" t="s">
        <v>43</v>
      </c>
      <c r="C63" s="359"/>
      <c r="D63" s="359"/>
      <c r="E63" s="22"/>
      <c r="F63" s="111"/>
      <c r="G63" s="102"/>
      <c r="H63" s="112">
        <f>ROUND(-H62*10%,2)</f>
        <v>-19.5</v>
      </c>
      <c r="I63" s="104"/>
      <c r="J63" s="104"/>
      <c r="K63" s="104"/>
      <c r="L63" s="113">
        <f>ROUND(-L62*10%,2)</f>
        <v>-19.739999999999998</v>
      </c>
      <c r="M63" s="107"/>
      <c r="N63" s="114">
        <f t="shared" si="10"/>
        <v>-0.23999999999999844</v>
      </c>
      <c r="O63" s="115">
        <f t="shared" si="11"/>
        <v>1.2307692307692228E-2</v>
      </c>
    </row>
    <row r="64" spans="2:19" ht="15.75" thickBot="1" x14ac:dyDescent="0.3">
      <c r="B64" s="360" t="s">
        <v>44</v>
      </c>
      <c r="C64" s="360"/>
      <c r="D64" s="360"/>
      <c r="E64" s="116"/>
      <c r="F64" s="117"/>
      <c r="G64" s="118"/>
      <c r="H64" s="119">
        <f>H62+H63</f>
        <v>175.52882440000002</v>
      </c>
      <c r="I64" s="120"/>
      <c r="J64" s="120"/>
      <c r="K64" s="120"/>
      <c r="L64" s="121">
        <f>L62+L63</f>
        <v>177.61229973690791</v>
      </c>
      <c r="M64" s="122"/>
      <c r="N64" s="123">
        <f t="shared" si="10"/>
        <v>2.0834753369078953</v>
      </c>
      <c r="O64" s="124">
        <f t="shared" si="11"/>
        <v>1.1869704842094842E-2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171.59188000000003</v>
      </c>
      <c r="I66" s="136"/>
      <c r="J66" s="137"/>
      <c r="K66" s="137"/>
      <c r="L66" s="189">
        <f>SUM(L57:L58,L49,L50:L53)</f>
        <v>173.64805286452028</v>
      </c>
      <c r="M66" s="138"/>
      <c r="N66" s="139">
        <f>L66-H66</f>
        <v>2.0561728645202493</v>
      </c>
      <c r="O66" s="99">
        <f>IF((H66)=0,"",(N66/H66))</f>
        <v>1.1982926374606124E-2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22.306944400000006</v>
      </c>
      <c r="I67" s="143"/>
      <c r="J67" s="144">
        <v>0.13</v>
      </c>
      <c r="K67" s="145"/>
      <c r="L67" s="146">
        <f>L66*J67</f>
        <v>22.574246872387636</v>
      </c>
      <c r="M67" s="147"/>
      <c r="N67" s="148">
        <f>L67-H67</f>
        <v>0.26730247238763027</v>
      </c>
      <c r="O67" s="109">
        <f>IF((H67)=0,"",(N67/H67))</f>
        <v>1.1982926374606026E-2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193.89882440000002</v>
      </c>
      <c r="I68" s="143"/>
      <c r="J68" s="143"/>
      <c r="K68" s="143"/>
      <c r="L68" s="146">
        <f>L66+L67</f>
        <v>196.22229973690793</v>
      </c>
      <c r="M68" s="147"/>
      <c r="N68" s="148">
        <f>L68-H68</f>
        <v>2.3234753369079044</v>
      </c>
      <c r="O68" s="109">
        <f>IF((H68)=0,"",(N68/H68))</f>
        <v>1.1982926374606242E-2</v>
      </c>
    </row>
    <row r="69" spans="1:15" s="73" customFormat="1" ht="15.75" customHeight="1" x14ac:dyDescent="0.2">
      <c r="B69" s="361" t="s">
        <v>43</v>
      </c>
      <c r="C69" s="361"/>
      <c r="D69" s="361"/>
      <c r="E69" s="75"/>
      <c r="F69" s="150"/>
      <c r="G69" s="151"/>
      <c r="H69" s="152">
        <f>ROUND(-H68*10%,2)</f>
        <v>-19.39</v>
      </c>
      <c r="I69" s="143"/>
      <c r="J69" s="143"/>
      <c r="K69" s="143"/>
      <c r="L69" s="153">
        <f>ROUND(-L68*10%,2)</f>
        <v>-19.62</v>
      </c>
      <c r="M69" s="147"/>
      <c r="N69" s="154">
        <f>L69-H69</f>
        <v>-0.23000000000000043</v>
      </c>
      <c r="O69" s="115">
        <f>IF((H69)=0,"",(N69/H69))</f>
        <v>1.1861784424961342E-2</v>
      </c>
    </row>
    <row r="70" spans="1:15" s="73" customFormat="1" ht="13.5" thickBot="1" x14ac:dyDescent="0.25">
      <c r="B70" s="352" t="s">
        <v>46</v>
      </c>
      <c r="C70" s="352"/>
      <c r="D70" s="352"/>
      <c r="E70" s="155"/>
      <c r="F70" s="156"/>
      <c r="G70" s="157"/>
      <c r="H70" s="158">
        <f>SUM(H68:H69)</f>
        <v>174.50882440000004</v>
      </c>
      <c r="I70" s="159"/>
      <c r="J70" s="159"/>
      <c r="K70" s="159"/>
      <c r="L70" s="160">
        <f>SUM(L68:L69)</f>
        <v>176.60229973690792</v>
      </c>
      <c r="M70" s="161"/>
      <c r="N70" s="162">
        <f>L70-H70</f>
        <v>2.0934753369078862</v>
      </c>
      <c r="O70" s="163">
        <f>IF((H70)=0,"",(N70/H70))</f>
        <v>1.1996386681909742E-2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v>4.0399999999999998E-2</v>
      </c>
      <c r="J73" s="292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CCFF"/>
    <pageSetUpPr fitToPage="1"/>
  </sheetPr>
  <dimension ref="A1:T89"/>
  <sheetViews>
    <sheetView showGridLines="0" topLeftCell="B18" workbookViewId="0">
      <selection activeCell="F37" sqref="F3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5703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3" t="s">
        <v>94</v>
      </c>
      <c r="O1" s="363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4">
        <v>8</v>
      </c>
      <c r="O2" s="364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65" t="s">
        <v>97</v>
      </c>
      <c r="O3" s="365"/>
      <c r="P3" s="192"/>
    </row>
    <row r="4" spans="1:20" s="2" customFormat="1" ht="9" customHeight="1" x14ac:dyDescent="0.3">
      <c r="L4" s="3"/>
      <c r="N4" s="311"/>
      <c r="O4"/>
      <c r="P4" s="194"/>
    </row>
    <row r="5" spans="1:20" s="2" customFormat="1" ht="14.45" x14ac:dyDescent="0.3">
      <c r="L5" s="3" t="s">
        <v>76</v>
      </c>
      <c r="N5" s="368">
        <v>42124</v>
      </c>
      <c r="O5" s="368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2" t="s">
        <v>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/>
    </row>
    <row r="9" spans="1:20" ht="18.75" customHeight="1" x14ac:dyDescent="0.3">
      <c r="B9" s="362" t="s">
        <v>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7" t="s">
        <v>67</v>
      </c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2000</v>
      </c>
      <c r="G16" s="13" t="s">
        <v>7</v>
      </c>
      <c r="J16" s="280"/>
      <c r="K16" s="34"/>
      <c r="L16" s="34"/>
    </row>
    <row r="17" spans="2:15" ht="14.45" x14ac:dyDescent="0.3">
      <c r="B17" s="12"/>
      <c r="F17" s="281"/>
      <c r="G17" s="34"/>
      <c r="H17" s="34"/>
      <c r="J17" s="281"/>
      <c r="K17" s="34"/>
      <c r="L17" s="34"/>
    </row>
    <row r="18" spans="2:15" ht="14.45" x14ac:dyDescent="0.3">
      <c r="B18" s="12"/>
      <c r="D18" s="15"/>
      <c r="E18" s="15"/>
      <c r="F18" s="349" t="s">
        <v>8</v>
      </c>
      <c r="G18" s="350"/>
      <c r="H18" s="351"/>
      <c r="J18" s="349" t="s">
        <v>9</v>
      </c>
      <c r="K18" s="350"/>
      <c r="L18" s="351"/>
      <c r="N18" s="349" t="s">
        <v>10</v>
      </c>
      <c r="O18" s="351"/>
    </row>
    <row r="19" spans="2:15" x14ac:dyDescent="0.25">
      <c r="B19" s="12"/>
      <c r="D19" s="353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5" t="s">
        <v>15</v>
      </c>
      <c r="O19" s="357" t="s">
        <v>16</v>
      </c>
    </row>
    <row r="20" spans="2:15" x14ac:dyDescent="0.25">
      <c r="B20" s="12"/>
      <c r="D20" s="354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6"/>
      <c r="O20" s="358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342">
        <f>+'GS&lt;50 (1,000kWh)'!$J$21</f>
        <v>35.51</v>
      </c>
      <c r="K21" s="30">
        <v>1</v>
      </c>
      <c r="L21" s="27">
        <f>K21*J21</f>
        <v>35.51</v>
      </c>
      <c r="M21" s="28"/>
      <c r="N21" s="31">
        <f>L21-H21</f>
        <v>3.5499999999999972</v>
      </c>
      <c r="O21" s="32">
        <f>IF((H21)=0,"",(N21/H21))</f>
        <v>0.11107634543178964</v>
      </c>
    </row>
    <row r="22" spans="2:15" ht="36.75" customHeight="1" x14ac:dyDescent="0.3">
      <c r="B22" s="296" t="s">
        <v>88</v>
      </c>
      <c r="C22" s="22"/>
      <c r="D22" s="56" t="s">
        <v>61</v>
      </c>
      <c r="E22" s="24"/>
      <c r="F22" s="173"/>
      <c r="G22" s="26">
        <f>$F$16</f>
        <v>2000</v>
      </c>
      <c r="H22" s="27">
        <f t="shared" ref="H22:H36" si="0">G22*F22</f>
        <v>0</v>
      </c>
      <c r="I22" s="28"/>
      <c r="J22" s="29">
        <f>+'GS&lt;50 (1,000kWh)'!$J$22</f>
        <v>5.0000000000000001E-4</v>
      </c>
      <c r="K22" s="26">
        <f>$F$16</f>
        <v>2000</v>
      </c>
      <c r="L22" s="27">
        <f>K22*J22</f>
        <v>1</v>
      </c>
      <c r="M22" s="28"/>
      <c r="N22" s="31">
        <f>L22-H22</f>
        <v>1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4.45" x14ac:dyDescent="0.3">
      <c r="B24" s="297" t="s">
        <v>90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2000</v>
      </c>
      <c r="H25" s="27">
        <f t="shared" si="0"/>
        <v>-0.1</v>
      </c>
      <c r="I25" s="28"/>
      <c r="J25" s="29">
        <f>+'GS&lt;50 (1,000kWh)'!$J$25</f>
        <v>-5.0000000000000002E-5</v>
      </c>
      <c r="K25" s="26">
        <f>$F$16</f>
        <v>2000</v>
      </c>
      <c r="L25" s="27">
        <f t="shared" si="1"/>
        <v>-0.1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2000</v>
      </c>
      <c r="H26" s="27">
        <f t="shared" si="0"/>
        <v>0</v>
      </c>
      <c r="I26" s="28"/>
      <c r="J26" s="263">
        <f>+'GS&lt;50 (1,000kWh)'!$J$26</f>
        <v>-5.9999999999999995E-4</v>
      </c>
      <c r="K26" s="26">
        <f>$F$16</f>
        <v>2000</v>
      </c>
      <c r="L26" s="27">
        <f t="shared" si="1"/>
        <v>-1.2</v>
      </c>
      <c r="M26" s="28"/>
      <c r="N26" s="31">
        <f t="shared" si="2"/>
        <v>-1.2</v>
      </c>
      <c r="O26" s="32" t="str">
        <f t="shared" si="3"/>
        <v/>
      </c>
    </row>
    <row r="27" spans="2:15" ht="14.45" x14ac:dyDescent="0.3">
      <c r="B27" s="24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2000</v>
      </c>
      <c r="H27" s="27">
        <f t="shared" si="0"/>
        <v>28.6</v>
      </c>
      <c r="I27" s="28"/>
      <c r="J27" s="29">
        <f>+'GS&lt;50 (1,000kWh)'!$J$27</f>
        <v>1.5800000000000002E-2</v>
      </c>
      <c r="K27" s="26">
        <f>$F$16</f>
        <v>2000</v>
      </c>
      <c r="L27" s="27">
        <f t="shared" si="1"/>
        <v>31.6</v>
      </c>
      <c r="M27" s="28"/>
      <c r="N27" s="31">
        <f t="shared" si="2"/>
        <v>3</v>
      </c>
      <c r="O27" s="32">
        <f t="shared" si="3"/>
        <v>0.1048951048951049</v>
      </c>
    </row>
    <row r="28" spans="2:15" ht="14.45" hidden="1" x14ac:dyDescent="0.3">
      <c r="B28" s="24" t="s">
        <v>20</v>
      </c>
      <c r="C28" s="22"/>
      <c r="D28" s="23"/>
      <c r="E28" s="24"/>
      <c r="F28" s="25"/>
      <c r="G28" s="26">
        <f>$F$16</f>
        <v>2000</v>
      </c>
      <c r="H28" s="27">
        <f t="shared" si="0"/>
        <v>0</v>
      </c>
      <c r="I28" s="28"/>
      <c r="J28" s="29"/>
      <c r="K28" s="26">
        <f t="shared" ref="K28:K36" si="4">$F$16</f>
        <v>2000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4.45" hidden="1" x14ac:dyDescent="0.3">
      <c r="B29" s="24" t="s">
        <v>21</v>
      </c>
      <c r="C29" s="22"/>
      <c r="D29" s="23"/>
      <c r="E29" s="24"/>
      <c r="F29" s="25"/>
      <c r="G29" s="26">
        <f>$F$16</f>
        <v>2000</v>
      </c>
      <c r="H29" s="27">
        <f t="shared" si="0"/>
        <v>0</v>
      </c>
      <c r="I29" s="28"/>
      <c r="J29" s="29"/>
      <c r="K29" s="26">
        <f t="shared" si="4"/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4.45" hidden="1" x14ac:dyDescent="0.3">
      <c r="B30" s="182"/>
      <c r="C30" s="22"/>
      <c r="D30" s="23"/>
      <c r="E30" s="24"/>
      <c r="F30" s="25"/>
      <c r="G30" s="26">
        <f t="shared" ref="G30:G36" si="5">$F$16</f>
        <v>2000</v>
      </c>
      <c r="H30" s="27">
        <f t="shared" si="0"/>
        <v>0</v>
      </c>
      <c r="I30" s="28"/>
      <c r="J30" s="29"/>
      <c r="K30" s="26">
        <f t="shared" si="4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4.45" hidden="1" x14ac:dyDescent="0.3">
      <c r="B31" s="182"/>
      <c r="C31" s="22"/>
      <c r="D31" s="23"/>
      <c r="E31" s="24"/>
      <c r="F31" s="25"/>
      <c r="G31" s="26">
        <f t="shared" si="5"/>
        <v>2000</v>
      </c>
      <c r="H31" s="27">
        <f t="shared" si="0"/>
        <v>0</v>
      </c>
      <c r="I31" s="28"/>
      <c r="J31" s="29"/>
      <c r="K31" s="26">
        <f t="shared" si="4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4.45" hidden="1" x14ac:dyDescent="0.3">
      <c r="B32" s="182"/>
      <c r="C32" s="22"/>
      <c r="D32" s="23"/>
      <c r="E32" s="24"/>
      <c r="F32" s="25"/>
      <c r="G32" s="26">
        <f t="shared" si="5"/>
        <v>2000</v>
      </c>
      <c r="H32" s="27">
        <f t="shared" si="0"/>
        <v>0</v>
      </c>
      <c r="I32" s="28"/>
      <c r="J32" s="29"/>
      <c r="K32" s="26">
        <f t="shared" si="4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4.45" hidden="1" x14ac:dyDescent="0.3">
      <c r="B33" s="182"/>
      <c r="C33" s="22"/>
      <c r="D33" s="23"/>
      <c r="E33" s="24"/>
      <c r="F33" s="25"/>
      <c r="G33" s="26">
        <f t="shared" si="5"/>
        <v>2000</v>
      </c>
      <c r="H33" s="27">
        <f t="shared" si="0"/>
        <v>0</v>
      </c>
      <c r="I33" s="28"/>
      <c r="J33" s="29"/>
      <c r="K33" s="26">
        <f t="shared" si="4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4.45" hidden="1" x14ac:dyDescent="0.3">
      <c r="B34" s="182"/>
      <c r="C34" s="22"/>
      <c r="D34" s="23"/>
      <c r="E34" s="24"/>
      <c r="F34" s="25"/>
      <c r="G34" s="26">
        <f t="shared" si="5"/>
        <v>2000</v>
      </c>
      <c r="H34" s="27">
        <f t="shared" si="0"/>
        <v>0</v>
      </c>
      <c r="I34" s="28"/>
      <c r="J34" s="29"/>
      <c r="K34" s="26">
        <f t="shared" si="4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4.45" hidden="1" x14ac:dyDescent="0.3">
      <c r="B35" s="182"/>
      <c r="C35" s="22"/>
      <c r="D35" s="23"/>
      <c r="E35" s="24"/>
      <c r="F35" s="25"/>
      <c r="G35" s="26">
        <f t="shared" si="5"/>
        <v>2000</v>
      </c>
      <c r="H35" s="27">
        <f t="shared" si="0"/>
        <v>0</v>
      </c>
      <c r="I35" s="28"/>
      <c r="J35" s="29"/>
      <c r="K35" s="26">
        <f t="shared" si="4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4.45" hidden="1" x14ac:dyDescent="0.3">
      <c r="B36" s="182"/>
      <c r="C36" s="22"/>
      <c r="D36" s="23"/>
      <c r="E36" s="24"/>
      <c r="F36" s="25"/>
      <c r="G36" s="26">
        <f t="shared" si="5"/>
        <v>2000</v>
      </c>
      <c r="H36" s="27">
        <f t="shared" si="0"/>
        <v>0</v>
      </c>
      <c r="I36" s="28"/>
      <c r="J36" s="29"/>
      <c r="K36" s="26">
        <f t="shared" si="4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4.45" x14ac:dyDescent="0.3">
      <c r="B37" s="35" t="s">
        <v>22</v>
      </c>
      <c r="C37" s="36"/>
      <c r="D37" s="37"/>
      <c r="E37" s="36"/>
      <c r="F37" s="38"/>
      <c r="G37" s="39"/>
      <c r="H37" s="40">
        <f>SUM(H21:H36)</f>
        <v>65.97</v>
      </c>
      <c r="I37" s="41"/>
      <c r="J37" s="42"/>
      <c r="K37" s="43"/>
      <c r="L37" s="40">
        <f>SUM(L21:L36)</f>
        <v>68.194152864520277</v>
      </c>
      <c r="M37" s="41"/>
      <c r="N37" s="44">
        <f t="shared" si="2"/>
        <v>2.2241528645202777</v>
      </c>
      <c r="O37" s="45">
        <f t="shared" si="3"/>
        <v>3.3714610649087123E-2</v>
      </c>
    </row>
    <row r="38" spans="2:15" ht="14.45" hidden="1" x14ac:dyDescent="0.3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4.45" x14ac:dyDescent="0.3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2000</v>
      </c>
      <c r="H39" s="27">
        <f t="shared" ref="H39:H45" si="6">G39*F39</f>
        <v>-2.8</v>
      </c>
      <c r="I39" s="28"/>
      <c r="J39" s="263">
        <f>+'GS&lt;50 (1,000kWh)'!$J$39</f>
        <v>3.9999999999999996E-4</v>
      </c>
      <c r="K39" s="26">
        <f>$F$16</f>
        <v>2000</v>
      </c>
      <c r="L39" s="27">
        <f t="shared" ref="L39:L45" si="7">K39*J39</f>
        <v>0.79999999999999993</v>
      </c>
      <c r="M39" s="28"/>
      <c r="N39" s="31">
        <f t="shared" si="2"/>
        <v>3.5999999999999996</v>
      </c>
      <c r="O39" s="32">
        <f t="shared" si="3"/>
        <v>-1.2857142857142856</v>
      </c>
    </row>
    <row r="40" spans="2:15" ht="14.45" x14ac:dyDescent="0.3">
      <c r="B40" s="296"/>
      <c r="C40" s="22"/>
      <c r="D40" s="23" t="s">
        <v>61</v>
      </c>
      <c r="E40" s="24"/>
      <c r="F40" s="25"/>
      <c r="G40" s="26">
        <f>$F$16</f>
        <v>2000</v>
      </c>
      <c r="H40" s="27">
        <f t="shared" si="6"/>
        <v>0</v>
      </c>
      <c r="I40" s="47"/>
      <c r="J40" s="29"/>
      <c r="K40" s="26">
        <f>$F$16</f>
        <v>2000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4.45" hidden="1" x14ac:dyDescent="0.3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6"/>
        <v>0</v>
      </c>
      <c r="I41" s="47"/>
      <c r="J41" s="29"/>
      <c r="K41" s="26">
        <f>$F$16</f>
        <v>2000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4.45" hidden="1" x14ac:dyDescent="0.3">
      <c r="B42" s="46"/>
      <c r="C42" s="22"/>
      <c r="D42" s="23"/>
      <c r="E42" s="24"/>
      <c r="F42" s="25"/>
      <c r="G42" s="26">
        <f>$F$16</f>
        <v>2000</v>
      </c>
      <c r="H42" s="27">
        <f t="shared" si="6"/>
        <v>0</v>
      </c>
      <c r="I42" s="47"/>
      <c r="J42" s="29"/>
      <c r="K42" s="26">
        <f>$F$16</f>
        <v>2000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4.45" x14ac:dyDescent="0.3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2000</v>
      </c>
      <c r="H43" s="27">
        <f t="shared" si="6"/>
        <v>0.2</v>
      </c>
      <c r="I43" s="28"/>
      <c r="J43" s="29">
        <f>+'GS&lt;50 (1,000kWh)'!$J$43</f>
        <v>2.0000000000000001E-4</v>
      </c>
      <c r="K43" s="26">
        <f>$F$16</f>
        <v>2000</v>
      </c>
      <c r="L43" s="27">
        <f t="shared" si="7"/>
        <v>0.4</v>
      </c>
      <c r="M43" s="28"/>
      <c r="N43" s="31">
        <f t="shared" si="2"/>
        <v>0.2</v>
      </c>
      <c r="O43" s="32">
        <f t="shared" si="3"/>
        <v>1</v>
      </c>
    </row>
    <row r="44" spans="2:15" s="34" customFormat="1" ht="14.45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80.800000000000182</v>
      </c>
      <c r="H44" s="184">
        <f t="shared" si="6"/>
        <v>7.676000000000017</v>
      </c>
      <c r="I44" s="57"/>
      <c r="J44" s="185">
        <f>0.64*$F$54+0.18*$F$55+0.18*$F$56</f>
        <v>9.5000000000000001E-2</v>
      </c>
      <c r="K44" s="26">
        <f>$F$16*(1+$J$73)-$F$16</f>
        <v>72.400000000000091</v>
      </c>
      <c r="L44" s="184">
        <f t="shared" si="7"/>
        <v>6.878000000000009</v>
      </c>
      <c r="M44" s="57"/>
      <c r="N44" s="186">
        <f t="shared" si="2"/>
        <v>-0.79800000000000804</v>
      </c>
      <c r="O44" s="187">
        <f t="shared" si="3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8">
        <f>+'GS&lt;50 (1,000kWh)'!$F$45</f>
        <v>0.79</v>
      </c>
      <c r="G45" s="26">
        <v>1</v>
      </c>
      <c r="H45" s="27">
        <f t="shared" si="6"/>
        <v>0.79</v>
      </c>
      <c r="I45" s="28"/>
      <c r="J45" s="178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71.836000000000013</v>
      </c>
      <c r="I46" s="41"/>
      <c r="J46" s="53"/>
      <c r="K46" s="55"/>
      <c r="L46" s="54">
        <f>SUM(L38:L45)+L37</f>
        <v>77.062152864520286</v>
      </c>
      <c r="M46" s="41"/>
      <c r="N46" s="44">
        <f t="shared" si="2"/>
        <v>5.2261528645202731</v>
      </c>
      <c r="O46" s="45">
        <f t="shared" ref="O46:O64" si="8">IF((H46)=0,"",(N46/H46))</f>
        <v>7.2751167444182196E-2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63">
        <f>+'GS&lt;50 (1,000kWh)'!$F$47</f>
        <v>6.8999999999999999E-3</v>
      </c>
      <c r="G47" s="69">
        <f>F16*(1+F73)</f>
        <v>2080.8000000000002</v>
      </c>
      <c r="H47" s="27">
        <f>G47*F47</f>
        <v>14.357520000000001</v>
      </c>
      <c r="I47" s="28"/>
      <c r="J47" s="263">
        <f>+'GS&lt;50 (1,000kWh)'!$J$47</f>
        <v>6.7000000000000002E-3</v>
      </c>
      <c r="K47" s="70">
        <f>F16*(1+J73)</f>
        <v>2072.4</v>
      </c>
      <c r="L47" s="27">
        <f>K47*J47</f>
        <v>13.88508</v>
      </c>
      <c r="M47" s="28"/>
      <c r="N47" s="31">
        <f t="shared" si="2"/>
        <v>-0.47244000000000064</v>
      </c>
      <c r="O47" s="32">
        <f t="shared" si="8"/>
        <v>-3.2905404275947417E-2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63">
        <f>+'GS&lt;50 (1,000kWh)'!$F$48</f>
        <v>2.0999999999999999E-3</v>
      </c>
      <c r="G48" s="69">
        <f>G47</f>
        <v>2080.8000000000002</v>
      </c>
      <c r="H48" s="27">
        <f>G48*F48</f>
        <v>4.3696799999999998</v>
      </c>
      <c r="I48" s="28"/>
      <c r="J48" s="263">
        <f>+'GS&lt;50 (1,000kWh)'!$J$48</f>
        <v>2.0999999999999999E-3</v>
      </c>
      <c r="K48" s="70">
        <f>K47</f>
        <v>2072.4</v>
      </c>
      <c r="L48" s="27">
        <f>K48*J48</f>
        <v>4.3520399999999997</v>
      </c>
      <c r="M48" s="28"/>
      <c r="N48" s="31">
        <f t="shared" si="2"/>
        <v>-1.76400000000001E-2</v>
      </c>
      <c r="O48" s="32">
        <f t="shared" si="8"/>
        <v>-4.0369088811995617E-3</v>
      </c>
    </row>
    <row r="49" spans="2:19" ht="14.45" x14ac:dyDescent="0.3">
      <c r="B49" s="50" t="s">
        <v>30</v>
      </c>
      <c r="C49" s="36"/>
      <c r="D49" s="36"/>
      <c r="E49" s="36"/>
      <c r="F49" s="60"/>
      <c r="G49" s="53"/>
      <c r="H49" s="54">
        <f>SUM(H46:H48)</f>
        <v>90.563200000000009</v>
      </c>
      <c r="I49" s="61"/>
      <c r="J49" s="62"/>
      <c r="K49" s="63"/>
      <c r="L49" s="54">
        <f>SUM(L46:L48)</f>
        <v>95.29927286452029</v>
      </c>
      <c r="M49" s="61"/>
      <c r="N49" s="44">
        <f t="shared" si="2"/>
        <v>4.7360728645202812</v>
      </c>
      <c r="O49" s="45">
        <f t="shared" si="8"/>
        <v>5.2295776480074475E-2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2080.8000000000002</v>
      </c>
      <c r="H50" s="66">
        <f t="shared" ref="H50:H56" si="9">G50*F50</f>
        <v>9.155520000000001</v>
      </c>
      <c r="I50" s="28"/>
      <c r="J50" s="67">
        <f>+'GS&lt;50 (1,000kWh)'!$J$50</f>
        <v>4.4000000000000003E-3</v>
      </c>
      <c r="K50" s="70">
        <f>K48</f>
        <v>2072.4</v>
      </c>
      <c r="L50" s="66">
        <f t="shared" ref="L50:L56" si="10">K50*J50</f>
        <v>9.1185600000000004</v>
      </c>
      <c r="M50" s="28"/>
      <c r="N50" s="31">
        <f t="shared" si="2"/>
        <v>-3.6960000000000548E-2</v>
      </c>
      <c r="O50" s="68">
        <f t="shared" si="8"/>
        <v>-4.0369088811995982E-3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2080.8000000000002</v>
      </c>
      <c r="H51" s="66">
        <f t="shared" si="9"/>
        <v>2.7050400000000003</v>
      </c>
      <c r="I51" s="28"/>
      <c r="J51" s="67">
        <f>+'GS&lt;50 (1,000kWh)'!$J$51</f>
        <v>1.2999999999999999E-3</v>
      </c>
      <c r="K51" s="70">
        <f>K48</f>
        <v>2072.4</v>
      </c>
      <c r="L51" s="66">
        <f t="shared" si="10"/>
        <v>2.6941199999999998</v>
      </c>
      <c r="M51" s="28"/>
      <c r="N51" s="31">
        <f t="shared" si="2"/>
        <v>-1.0920000000000485E-2</v>
      </c>
      <c r="O51" s="68">
        <f t="shared" si="8"/>
        <v>-4.036908881199717E-3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177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4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2000</v>
      </c>
      <c r="H53" s="66">
        <f t="shared" si="9"/>
        <v>14</v>
      </c>
      <c r="I53" s="28"/>
      <c r="J53" s="67">
        <f>+'GS&lt;50 (1,000kWh)'!$J$53</f>
        <v>7.0000000000000001E-3</v>
      </c>
      <c r="K53" s="70">
        <f>F16</f>
        <v>2000</v>
      </c>
      <c r="L53" s="66">
        <f t="shared" si="10"/>
        <v>14</v>
      </c>
      <c r="M53" s="28"/>
      <c r="N53" s="31">
        <f t="shared" si="2"/>
        <v>0</v>
      </c>
      <c r="O53" s="68">
        <f t="shared" si="8"/>
        <v>0</v>
      </c>
    </row>
    <row r="54" spans="2:19" ht="14.45" x14ac:dyDescent="0.3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1280</v>
      </c>
      <c r="H54" s="66">
        <f t="shared" si="9"/>
        <v>98.56</v>
      </c>
      <c r="I54" s="28"/>
      <c r="J54" s="263">
        <f>+'GS&lt;50 (1,000kWh)'!$J$54</f>
        <v>7.6999999999999999E-2</v>
      </c>
      <c r="K54" s="69">
        <f>G54</f>
        <v>1280</v>
      </c>
      <c r="L54" s="66">
        <f t="shared" si="10"/>
        <v>98.56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4.45" x14ac:dyDescent="0.3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360</v>
      </c>
      <c r="H55" s="66">
        <f t="shared" si="9"/>
        <v>41.04</v>
      </c>
      <c r="I55" s="28"/>
      <c r="J55" s="263">
        <f>+'GS&lt;50 (1,000kWh)'!$J$55</f>
        <v>0.114</v>
      </c>
      <c r="K55" s="69">
        <f>G55</f>
        <v>360</v>
      </c>
      <c r="L55" s="66">
        <f t="shared" si="10"/>
        <v>41.04</v>
      </c>
      <c r="M55" s="28"/>
      <c r="N55" s="31">
        <f t="shared" si="2"/>
        <v>0</v>
      </c>
      <c r="O55" s="68">
        <f t="shared" si="8"/>
        <v>0</v>
      </c>
      <c r="S55" s="72"/>
    </row>
    <row r="56" spans="2:19" ht="14.45" x14ac:dyDescent="0.3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360</v>
      </c>
      <c r="H56" s="66">
        <f t="shared" si="9"/>
        <v>50.400000000000006</v>
      </c>
      <c r="I56" s="28"/>
      <c r="J56" s="263">
        <f>+'GS&lt;50 (1,000kWh)'!$J$56</f>
        <v>0.14000000000000001</v>
      </c>
      <c r="K56" s="69">
        <f>G56</f>
        <v>360</v>
      </c>
      <c r="L56" s="66">
        <f t="shared" si="10"/>
        <v>50.400000000000006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ht="14.45" x14ac:dyDescent="0.25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thickBot="1" x14ac:dyDescent="0.3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1400</v>
      </c>
      <c r="H58" s="66">
        <f>G58*F58</f>
        <v>144.19999999999999</v>
      </c>
      <c r="I58" s="79"/>
      <c r="J58" s="263">
        <f>+'GS&lt;50 (1,000kWh)'!$J$58</f>
        <v>0.10299999999999999</v>
      </c>
      <c r="K58" s="78">
        <f>G58</f>
        <v>1400</v>
      </c>
      <c r="L58" s="66">
        <f>K58*J58</f>
        <v>144.19999999999999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4.45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306.67376000000002</v>
      </c>
      <c r="I60" s="95"/>
      <c r="J60" s="96"/>
      <c r="K60" s="96"/>
      <c r="L60" s="190">
        <f>SUM(L50:L56,L49)</f>
        <v>311.36195286452028</v>
      </c>
      <c r="M60" s="97"/>
      <c r="N60" s="98">
        <f>L60-H60</f>
        <v>4.6881928645202606</v>
      </c>
      <c r="O60" s="99">
        <f>IF((H60)=0,"",(N60/H60))</f>
        <v>1.5287231827464666E-2</v>
      </c>
      <c r="S60" s="72"/>
    </row>
    <row r="61" spans="2:19" ht="14.45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39.8675888</v>
      </c>
      <c r="I61" s="104"/>
      <c r="J61" s="105">
        <v>0.13</v>
      </c>
      <c r="K61" s="104"/>
      <c r="L61" s="106">
        <f>L60*J61</f>
        <v>40.477053872387636</v>
      </c>
      <c r="M61" s="107"/>
      <c r="N61" s="108">
        <f t="shared" si="2"/>
        <v>0.60946507238763559</v>
      </c>
      <c r="O61" s="109">
        <f t="shared" si="8"/>
        <v>1.528723182746471E-2</v>
      </c>
      <c r="S61" s="72"/>
    </row>
    <row r="62" spans="2:19" ht="14.45" x14ac:dyDescent="0.3">
      <c r="B62" s="110" t="s">
        <v>42</v>
      </c>
      <c r="C62" s="22"/>
      <c r="D62" s="22"/>
      <c r="E62" s="22"/>
      <c r="F62" s="111"/>
      <c r="G62" s="102"/>
      <c r="H62" s="103">
        <f>H60+H61</f>
        <v>346.54134880000004</v>
      </c>
      <c r="I62" s="104"/>
      <c r="J62" s="104"/>
      <c r="K62" s="104"/>
      <c r="L62" s="106">
        <f>L60+L61</f>
        <v>351.83900673690789</v>
      </c>
      <c r="M62" s="107"/>
      <c r="N62" s="108">
        <f t="shared" si="2"/>
        <v>5.2976579369078536</v>
      </c>
      <c r="O62" s="109">
        <f t="shared" si="8"/>
        <v>1.5287231827464547E-2</v>
      </c>
      <c r="S62" s="72"/>
    </row>
    <row r="63" spans="2:19" ht="15.75" customHeight="1" x14ac:dyDescent="0.3">
      <c r="B63" s="359" t="s">
        <v>43</v>
      </c>
      <c r="C63" s="359"/>
      <c r="D63" s="359"/>
      <c r="E63" s="22"/>
      <c r="F63" s="111"/>
      <c r="G63" s="102"/>
      <c r="H63" s="112">
        <f>ROUND(-H62*10%,2)</f>
        <v>-34.65</v>
      </c>
      <c r="I63" s="104"/>
      <c r="J63" s="104"/>
      <c r="K63" s="104"/>
      <c r="L63" s="113">
        <f>ROUND(-L62*10%,2)</f>
        <v>-35.18</v>
      </c>
      <c r="M63" s="107"/>
      <c r="N63" s="114">
        <f t="shared" si="2"/>
        <v>-0.53000000000000114</v>
      </c>
      <c r="O63" s="115">
        <f t="shared" si="8"/>
        <v>1.529581529581533E-2</v>
      </c>
    </row>
    <row r="64" spans="2:19" thickBot="1" x14ac:dyDescent="0.35">
      <c r="B64" s="360" t="s">
        <v>44</v>
      </c>
      <c r="C64" s="360"/>
      <c r="D64" s="360"/>
      <c r="E64" s="116"/>
      <c r="F64" s="117"/>
      <c r="G64" s="118"/>
      <c r="H64" s="119">
        <f>H62+H63</f>
        <v>311.89134880000006</v>
      </c>
      <c r="I64" s="120"/>
      <c r="J64" s="120"/>
      <c r="K64" s="120"/>
      <c r="L64" s="121">
        <f>L62+L63</f>
        <v>316.65900673690788</v>
      </c>
      <c r="M64" s="122"/>
      <c r="N64" s="123">
        <f t="shared" si="2"/>
        <v>4.767657936907824</v>
      </c>
      <c r="O64" s="124">
        <f t="shared" si="8"/>
        <v>1.5286278235197471E-2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15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313.67376000000002</v>
      </c>
      <c r="I66" s="136"/>
      <c r="J66" s="137"/>
      <c r="K66" s="137"/>
      <c r="L66" s="189">
        <f>SUM(L57:L58,L49,L50:L53)</f>
        <v>318.36195286452028</v>
      </c>
      <c r="M66" s="138"/>
      <c r="N66" s="139">
        <f>L66-H66</f>
        <v>4.6881928645202606</v>
      </c>
      <c r="O66" s="99">
        <f>IF((H66)=0,"",(N66/H66))</f>
        <v>1.4946079214660036E-2</v>
      </c>
    </row>
    <row r="67" spans="1:15" s="73" customFormat="1" ht="13.15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40.777588800000004</v>
      </c>
      <c r="I67" s="143"/>
      <c r="J67" s="144">
        <v>0.13</v>
      </c>
      <c r="K67" s="145"/>
      <c r="L67" s="146">
        <f>L66*J67</f>
        <v>41.387053872387639</v>
      </c>
      <c r="M67" s="147"/>
      <c r="N67" s="148">
        <f>L67-H67</f>
        <v>0.60946507238763559</v>
      </c>
      <c r="O67" s="109">
        <f>IF((H67)=0,"",(N67/H67))</f>
        <v>1.4946079214660077E-2</v>
      </c>
    </row>
    <row r="68" spans="1:15" s="73" customFormat="1" ht="13.15" x14ac:dyDescent="0.25">
      <c r="B68" s="149" t="s">
        <v>42</v>
      </c>
      <c r="C68" s="75"/>
      <c r="D68" s="75"/>
      <c r="E68" s="75"/>
      <c r="F68" s="150"/>
      <c r="G68" s="151"/>
      <c r="H68" s="142">
        <f>H66+H67</f>
        <v>354.45134880000001</v>
      </c>
      <c r="I68" s="143"/>
      <c r="J68" s="143"/>
      <c r="K68" s="143"/>
      <c r="L68" s="146">
        <f>L66+L67</f>
        <v>359.74900673690792</v>
      </c>
      <c r="M68" s="147"/>
      <c r="N68" s="148">
        <f>L68-H68</f>
        <v>5.2976579369079104</v>
      </c>
      <c r="O68" s="109">
        <f>IF((H68)=0,"",(N68/H68))</f>
        <v>1.4946079214660081E-2</v>
      </c>
    </row>
    <row r="69" spans="1:15" s="73" customFormat="1" ht="15.75" customHeight="1" x14ac:dyDescent="0.25">
      <c r="B69" s="361" t="s">
        <v>43</v>
      </c>
      <c r="C69" s="361"/>
      <c r="D69" s="361"/>
      <c r="E69" s="75"/>
      <c r="F69" s="150"/>
      <c r="G69" s="151"/>
      <c r="H69" s="152">
        <f>ROUND(-H68*10%,2)</f>
        <v>-35.450000000000003</v>
      </c>
      <c r="I69" s="143"/>
      <c r="J69" s="143"/>
      <c r="K69" s="143"/>
      <c r="L69" s="153">
        <f>ROUND(-L68*10%,2)</f>
        <v>-35.97</v>
      </c>
      <c r="M69" s="147"/>
      <c r="N69" s="154">
        <f>L69-H69</f>
        <v>-0.51999999999999602</v>
      </c>
      <c r="O69" s="115">
        <f>IF((H69)=0,"",(N69/H69))</f>
        <v>1.4668547249647277E-2</v>
      </c>
    </row>
    <row r="70" spans="1:15" s="73" customFormat="1" ht="13.9" thickBot="1" x14ac:dyDescent="0.3">
      <c r="B70" s="352" t="s">
        <v>46</v>
      </c>
      <c r="C70" s="352"/>
      <c r="D70" s="352"/>
      <c r="E70" s="155"/>
      <c r="F70" s="156"/>
      <c r="G70" s="157"/>
      <c r="H70" s="158">
        <f>SUM(H68:H69)</f>
        <v>319.00134880000002</v>
      </c>
      <c r="I70" s="159"/>
      <c r="J70" s="159"/>
      <c r="K70" s="159"/>
      <c r="L70" s="160">
        <f>SUM(L68:L69)</f>
        <v>323.77900673690795</v>
      </c>
      <c r="M70" s="161"/>
      <c r="N70" s="162">
        <f>L70-H70</f>
        <v>4.7776579369079286</v>
      </c>
      <c r="O70" s="163">
        <f>IF((H70)=0,"",(N70/H70))</f>
        <v>1.4976920802624295E-2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5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Res (100kWh)</vt:lpstr>
      <vt:lpstr>Res (250kWh)</vt:lpstr>
      <vt:lpstr>Res (500kWh)</vt:lpstr>
      <vt:lpstr>Res (800kWh)</vt:lpstr>
      <vt:lpstr>Res (1,000kWh)</vt:lpstr>
      <vt:lpstr>Res (1,500kWh)</vt:lpstr>
      <vt:lpstr>Res (2,000kWh)</vt:lpstr>
      <vt:lpstr>GS&lt;50 (1,000kWh)</vt:lpstr>
      <vt:lpstr>GS&lt;50 (2,000kWh)</vt:lpstr>
      <vt:lpstr>GS&lt;50 (5,000kWh)</vt:lpstr>
      <vt:lpstr>GS&lt;50 (10,000kWh)</vt:lpstr>
      <vt:lpstr>GS&lt;50 (15,000kWh)</vt:lpstr>
      <vt:lpstr>GS 50-4999 (60kW)</vt:lpstr>
      <vt:lpstr>GS 50-4999 (100kW)</vt:lpstr>
      <vt:lpstr>GS 50-4999 (250kW)</vt:lpstr>
      <vt:lpstr>GS 50-4999 (500kW)</vt:lpstr>
      <vt:lpstr>GS 50-4999 (1,000kW)</vt:lpstr>
      <vt:lpstr>LU (14,500kW)</vt:lpstr>
      <vt:lpstr>SL (1kW)</vt:lpstr>
      <vt:lpstr>SL (.14 kW)</vt:lpstr>
      <vt:lpstr>USL (150kWh)</vt:lpstr>
      <vt:lpstr>ED (6,000kW)</vt:lpstr>
      <vt:lpstr>Summary</vt:lpstr>
      <vt:lpstr>Sum Typical</vt:lpstr>
      <vt:lpstr>'ED (6,000kW)'!Print_Area</vt:lpstr>
      <vt:lpstr>'GS 50-4999 (1,000kW)'!Print_Area</vt:lpstr>
      <vt:lpstr>'GS 50-4999 (100kW)'!Print_Area</vt:lpstr>
      <vt:lpstr>'GS 50-4999 (250kW)'!Print_Area</vt:lpstr>
      <vt:lpstr>'GS 50-4999 (500kW)'!Print_Area</vt:lpstr>
      <vt:lpstr>'GS 50-4999 (60kW)'!Print_Area</vt:lpstr>
      <vt:lpstr>'GS&lt;50 (1,000kWh)'!Print_Area</vt:lpstr>
      <vt:lpstr>'GS&lt;50 (10,000kWh)'!Print_Area</vt:lpstr>
      <vt:lpstr>'GS&lt;50 (15,000kWh)'!Print_Area</vt:lpstr>
      <vt:lpstr>'GS&lt;50 (2,000kWh)'!Print_Area</vt:lpstr>
      <vt:lpstr>'GS&lt;50 (5,000kWh)'!Print_Area</vt:lpstr>
      <vt:lpstr>'LU (14,500kW)'!Print_Area</vt:lpstr>
      <vt:lpstr>'Res (1,000kWh)'!Print_Area</vt:lpstr>
      <vt:lpstr>'Res (1,500kWh)'!Print_Area</vt:lpstr>
      <vt:lpstr>'Res (100kWh)'!Print_Area</vt:lpstr>
      <vt:lpstr>'Res (2,000kWh)'!Print_Area</vt:lpstr>
      <vt:lpstr>'Res (250kWh)'!Print_Area</vt:lpstr>
      <vt:lpstr>'Res (500kWh)'!Print_Area</vt:lpstr>
      <vt:lpstr>'Res (800kWh)'!Print_Area</vt:lpstr>
      <vt:lpstr>'SL (.14 kW)'!Print_Area</vt:lpstr>
      <vt:lpstr>'SL (1kW)'!Print_Area</vt:lpstr>
      <vt:lpstr>'USL (150kWh)'!Print_Area</vt:lpstr>
    </vt:vector>
  </TitlesOfParts>
  <Company>Cambridge and North Dumfries Hydro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Calhoun</dc:creator>
  <cp:lastModifiedBy>Chris Amos</cp:lastModifiedBy>
  <cp:lastPrinted>2015-08-07T16:18:17Z</cp:lastPrinted>
  <dcterms:created xsi:type="dcterms:W3CDTF">2013-08-28T15:11:04Z</dcterms:created>
  <dcterms:modified xsi:type="dcterms:W3CDTF">2015-08-27T10:30:27Z</dcterms:modified>
</cp:coreProperties>
</file>