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comments3.xml" ContentType="application/vnd.openxmlformats-officedocument.spreadsheetml.comments+xml"/>
  <Override PartName="/xl/comments4.xml" ContentType="application/vnd.openxmlformats-officedocument.spreadsheetml.comments+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30" windowWidth="14595" windowHeight="12105" tabRatio="832" firstSheet="4" activeTab="8"/>
  </bookViews>
  <sheets>
    <sheet name="Ch. 2 App 2-I 2016 COS" sheetId="57" r:id="rId1"/>
    <sheet name="KH MW Persistence Table" sheetId="77" r:id="rId2"/>
    <sheet name="KH MW Savings Pivot" sheetId="78" r:id="rId3"/>
    <sheet name="KH MWh Persistence Table" sheetId="76" r:id="rId4"/>
    <sheet name="Allocation to Rate Classes" sheetId="59" r:id="rId5"/>
    <sheet name="KH MWh Savings Pivot" sheetId="79" r:id="rId6"/>
    <sheet name="CDM kWh by Rate Class 2009-20" sheetId="72" r:id="rId7"/>
    <sheet name="KH 2011-2014 Rates" sheetId="81" r:id="rId8"/>
    <sheet name="2011-14 LRAMVA Summary" sheetId="5" r:id="rId9"/>
    <sheet name="KH LRAMVA Account" sheetId="86" r:id="rId10"/>
    <sheet name="Carrying Charges 2011" sheetId="82" r:id="rId11"/>
    <sheet name="Carrying Charges 2012" sheetId="83" r:id="rId12"/>
    <sheet name="Carrying Charges 2013" sheetId="84" r:id="rId13"/>
    <sheet name="Carrying Charges 2014" sheetId="85" r:id="rId14"/>
    <sheet name="2015-2020 LRAMVA Projections" sheetId="80" r:id="rId15"/>
    <sheet name="Kingston Hydro - Summary" sheetId="62" r:id="rId16"/>
    <sheet name="Kingston Hydro - Results (Net)" sheetId="60" r:id="rId17"/>
    <sheet name="Kingston Hydro - NTGs" sheetId="61" r:id="rId18"/>
    <sheet name="2006-10 KH Net MW MWh" sheetId="73" r:id="rId19"/>
    <sheet name="KH 2015-2020 CDM Plan Milestone" sheetId="58" r:id="rId20"/>
    <sheet name="2015-20 Measure Savings Results" sheetId="68" r:id="rId21"/>
    <sheet name="2015-20 Measures-CE Results" sheetId="71" r:id="rId22"/>
  </sheets>
  <externalReferences>
    <externalReference r:id="rId23"/>
    <externalReference r:id="rId24"/>
    <externalReference r:id="rId25"/>
    <externalReference r:id="rId26"/>
    <externalReference r:id="rId27"/>
    <externalReference r:id="rId28"/>
    <externalReference r:id="rId29"/>
    <externalReference r:id="rId30"/>
  </externalReferences>
  <definedNames>
    <definedName name="_xlnm._FilterDatabase" localSheetId="1" hidden="1">'KH MW Persistence Table'!$A$1:$AP$138</definedName>
    <definedName name="_xlnm._FilterDatabase" localSheetId="3" hidden="1">'KH MWh Persistence Table'!$A$1:$AS$143</definedName>
    <definedName name="_xlnm._FilterDatabase" localSheetId="17" hidden="1">'Kingston Hydro - NTGs'!$C$1:$S$50</definedName>
    <definedName name="Demand_Definition" localSheetId="10">'[1]Formatted Load Profiles'!$O$5:$P$5</definedName>
    <definedName name="Demand_Definition" localSheetId="11">'[1]Formatted Load Profiles'!$O$5:$P$5</definedName>
    <definedName name="Demand_Definition" localSheetId="12">'[1]Formatted Load Profiles'!$O$5:$P$5</definedName>
    <definedName name="Demand_Definition" localSheetId="13">'[1]Formatted Load Profiles'!$O$5:$P$5</definedName>
    <definedName name="Demand_Definition">'[1]Formatted Load Profiles'!$O$5:$P$5</definedName>
    <definedName name="discountRate" localSheetId="10">'[1]CE Parameters'!$F$7</definedName>
    <definedName name="discountRate" localSheetId="11">'[1]CE Parameters'!$F$7</definedName>
    <definedName name="discountRate" localSheetId="12">'[1]CE Parameters'!$F$7</definedName>
    <definedName name="discountRate" localSheetId="13">'[1]CE Parameters'!$F$7</definedName>
    <definedName name="discountRate">'[1]CE Parameters'!$F$7</definedName>
    <definedName name="EBNUMBER" localSheetId="0">'[2]LDC Info'!$E$16</definedName>
    <definedName name="EV__EXPOPTIONS__" hidden="1">0</definedName>
    <definedName name="EV__LASTREFTIME__" hidden="1">41030.5812615741</definedName>
    <definedName name="EV__MAXEXPCOLS__" hidden="1">100</definedName>
    <definedName name="EV__MAXEXPROWS__" hidden="1">1000</definedName>
    <definedName name="EV__MEMORYCVW__" hidden="1">0</definedName>
    <definedName name="EV__WBEVMODE__" hidden="1">0</definedName>
    <definedName name="EV__WBREFOPTIONS__" hidden="1">134217799</definedName>
    <definedName name="EV__WBVERSION__" hidden="1">0</definedName>
    <definedName name="firstYear" localSheetId="10">'[1]CE Parameters'!$F$6</definedName>
    <definedName name="firstYear" localSheetId="11">'[1]CE Parameters'!$F$6</definedName>
    <definedName name="firstYear" localSheetId="12">'[1]CE Parameters'!$F$6</definedName>
    <definedName name="firstYear" localSheetId="13">'[1]CE Parameters'!$F$6</definedName>
    <definedName name="firstYear">'[1]CE Parameters'!$F$6</definedName>
    <definedName name="inflationRate" localSheetId="10">'[1]CE Parameters'!$F$9</definedName>
    <definedName name="inflationRate" localSheetId="11">'[1]CE Parameters'!$F$9</definedName>
    <definedName name="inflationRate" localSheetId="12">'[1]CE Parameters'!$F$9</definedName>
    <definedName name="inflationRate" localSheetId="13">'[1]CE Parameters'!$F$9</definedName>
    <definedName name="inflationRate">'[1]CE Parameters'!$F$9</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41780.6770717593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LDCNAME">[3]LDCNAME!$B$2:$B$76</definedName>
    <definedName name="Local_Distribution_Company_List" localSheetId="10">'[4]Local Distribution Companies'!$B$9:$B$88</definedName>
    <definedName name="Local_Distribution_Company_List" localSheetId="11">'[4]Local Distribution Companies'!$B$9:$B$88</definedName>
    <definedName name="Local_Distribution_Company_List" localSheetId="12">'[4]Local Distribution Companies'!$B$9:$B$88</definedName>
    <definedName name="Local_Distribution_Company_List" localSheetId="13">'[4]Local Distribution Companies'!$B$9:$B$88</definedName>
    <definedName name="Local_Distribution_Company_List">'[4]Local Distribution Companies'!$B$9:$B$88</definedName>
    <definedName name="_xlnm.Print_Area" localSheetId="18">'2006-10 KH Net MW MWh'!$A$1:$BH$331</definedName>
    <definedName name="_xlnm.Print_Area" localSheetId="8">'2011-14 LRAMVA Summary'!$A$1:$R$59</definedName>
    <definedName name="_xlnm.Print_Area" localSheetId="20">'2015-20 Measure Savings Results'!$A$1:$CW$130</definedName>
    <definedName name="_xlnm.Print_Area" localSheetId="10">'Carrying Charges 2011'!$A$1:$N$28</definedName>
    <definedName name="_xlnm.Print_Area" localSheetId="0">'Ch. 2 App 2-I 2016 COS'!$A$1:$H$117</definedName>
    <definedName name="_xlnm.Print_Area" localSheetId="19">'KH 2015-2020 CDM Plan Milestone'!$A$1:$AA$83</definedName>
    <definedName name="_xlnm.Print_Area" localSheetId="2">'KH MW Savings Pivot'!$A$1:$G$88</definedName>
    <definedName name="_xlnm.Print_Area" localSheetId="17">'Kingston Hydro - NTGs'!$A$1:$S$51</definedName>
    <definedName name="_xlnm.Print_Area" localSheetId="16">'Kingston Hydro - Results (Net)'!$A$1:$T$70</definedName>
    <definedName name="_xlnm.Print_Titles" localSheetId="18">'2006-10 KH Net MW MWh'!$1:$5</definedName>
    <definedName name="_xlnm.Print_Titles" localSheetId="17">'Kingston Hydro - NTGs'!$A:$B</definedName>
    <definedName name="_xlnm.Print_Titles" localSheetId="16">'Kingston Hydro - Results (Net)'!$A:$C</definedName>
    <definedName name="societalDiscountRate" localSheetId="10">'[1]CE Parameters'!$F$8</definedName>
    <definedName name="societalDiscountRate" localSheetId="11">'[1]CE Parameters'!$F$8</definedName>
    <definedName name="societalDiscountRate" localSheetId="12">'[1]CE Parameters'!$F$8</definedName>
    <definedName name="societalDiscountRate" localSheetId="13">'[1]CE Parameters'!$F$8</definedName>
    <definedName name="societalDiscountRate">'[1]CE Parameters'!$F$8</definedName>
    <definedName name="Targets">'[5]LDC Targets'!$A$3:$D$83</definedName>
  </definedNames>
  <calcPr calcId="145621"/>
  <pivotCaches>
    <pivotCache cacheId="0" r:id="rId31"/>
    <pivotCache cacheId="1" r:id="rId32"/>
  </pivotCaches>
</workbook>
</file>

<file path=xl/calcChain.xml><?xml version="1.0" encoding="utf-8"?>
<calcChain xmlns="http://schemas.openxmlformats.org/spreadsheetml/2006/main">
  <c r="D59" i="5" l="1"/>
  <c r="I9" i="86" l="1"/>
  <c r="I5" i="86"/>
  <c r="I6" i="86"/>
  <c r="I7" i="86"/>
  <c r="I8" i="86"/>
  <c r="I4" i="86"/>
  <c r="G8" i="86" l="1"/>
  <c r="G7" i="86"/>
  <c r="G6" i="86"/>
  <c r="G5" i="86"/>
  <c r="G4" i="86"/>
  <c r="E8" i="86"/>
  <c r="E7" i="86"/>
  <c r="E6" i="86"/>
  <c r="E5" i="86"/>
  <c r="E4" i="86"/>
  <c r="D5" i="86"/>
  <c r="D6" i="86"/>
  <c r="D7" i="86"/>
  <c r="D8" i="86"/>
  <c r="D4" i="86"/>
  <c r="D9" i="86" s="1"/>
  <c r="C8" i="86"/>
  <c r="F8" i="86" s="1"/>
  <c r="H8" i="86" s="1"/>
  <c r="C5" i="86"/>
  <c r="C6" i="86"/>
  <c r="C7" i="86"/>
  <c r="C4" i="86"/>
  <c r="B5" i="86"/>
  <c r="B6" i="86"/>
  <c r="F6" i="86" s="1"/>
  <c r="H6" i="86" s="1"/>
  <c r="B7" i="86"/>
  <c r="B8" i="86"/>
  <c r="B4" i="86"/>
  <c r="F7" i="86"/>
  <c r="H7" i="86" s="1"/>
  <c r="F5" i="86"/>
  <c r="H5" i="86" s="1"/>
  <c r="B33" i="85"/>
  <c r="B34" i="85" s="1"/>
  <c r="C34" i="85" s="1"/>
  <c r="B32" i="85"/>
  <c r="C33" i="85" s="1"/>
  <c r="B30" i="85"/>
  <c r="B31" i="85" s="1"/>
  <c r="C31" i="85" s="1"/>
  <c r="B29" i="85"/>
  <c r="C30" i="85" s="1"/>
  <c r="B27" i="85"/>
  <c r="B28" i="85" s="1"/>
  <c r="C28" i="85" s="1"/>
  <c r="B26" i="85"/>
  <c r="C27" i="85" s="1"/>
  <c r="B24" i="85"/>
  <c r="B25" i="85" s="1"/>
  <c r="C25" i="85" s="1"/>
  <c r="B23" i="85"/>
  <c r="C24" i="85" s="1"/>
  <c r="B21" i="85"/>
  <c r="B22" i="85" s="1"/>
  <c r="B20" i="85"/>
  <c r="C21" i="85" s="1"/>
  <c r="B14" i="85"/>
  <c r="B15" i="85" s="1"/>
  <c r="G9" i="85"/>
  <c r="H9" i="85" s="1"/>
  <c r="I9" i="85" s="1"/>
  <c r="J9" i="85" s="1"/>
  <c r="K9" i="85" s="1"/>
  <c r="L9" i="85" s="1"/>
  <c r="M9" i="85" s="1"/>
  <c r="B8" i="85"/>
  <c r="C8" i="85" s="1"/>
  <c r="D8" i="85" s="1"/>
  <c r="E8" i="85" s="1"/>
  <c r="F8" i="85" s="1"/>
  <c r="G8" i="85" s="1"/>
  <c r="H8" i="85" s="1"/>
  <c r="I8" i="85" s="1"/>
  <c r="J8" i="85" s="1"/>
  <c r="K8" i="85" s="1"/>
  <c r="L8" i="85" s="1"/>
  <c r="M8" i="85" s="1"/>
  <c r="B7" i="85"/>
  <c r="C7" i="85" s="1"/>
  <c r="D7" i="85" s="1"/>
  <c r="E7" i="85" s="1"/>
  <c r="F7" i="85" s="1"/>
  <c r="G7" i="85" s="1"/>
  <c r="H7" i="85" s="1"/>
  <c r="I7" i="85" s="1"/>
  <c r="J7" i="85" s="1"/>
  <c r="K7" i="85" s="1"/>
  <c r="L7" i="85" s="1"/>
  <c r="M7" i="85" s="1"/>
  <c r="B6" i="85"/>
  <c r="C6" i="85" s="1"/>
  <c r="G24" i="82"/>
  <c r="H25" i="82" s="1"/>
  <c r="H26" i="82" s="1"/>
  <c r="G21" i="82"/>
  <c r="H21" i="82" s="1"/>
  <c r="H19" i="82"/>
  <c r="H20" i="82" s="1"/>
  <c r="I20" i="82" s="1"/>
  <c r="J20" i="82" s="1"/>
  <c r="J18" i="82"/>
  <c r="K18" i="82" s="1"/>
  <c r="I18" i="82"/>
  <c r="J19" i="82" s="1"/>
  <c r="H18" i="82"/>
  <c r="I19" i="82" s="1"/>
  <c r="G18" i="82"/>
  <c r="G17" i="82"/>
  <c r="H17" i="82" s="1"/>
  <c r="H16" i="82"/>
  <c r="H15" i="82"/>
  <c r="I16" i="82" s="1"/>
  <c r="G15" i="82"/>
  <c r="F11" i="82"/>
  <c r="E11" i="82"/>
  <c r="D11" i="82"/>
  <c r="C11" i="82"/>
  <c r="C12" i="82" s="1"/>
  <c r="D12" i="82" s="1"/>
  <c r="E12" i="82" s="1"/>
  <c r="F12" i="82" s="1"/>
  <c r="G12" i="82" s="1"/>
  <c r="B11" i="82"/>
  <c r="F8" i="82"/>
  <c r="G11" i="82" s="1"/>
  <c r="E8" i="82"/>
  <c r="D8" i="82"/>
  <c r="C8" i="82"/>
  <c r="B8" i="82"/>
  <c r="G6" i="82"/>
  <c r="G8" i="82" s="1"/>
  <c r="G31" i="83"/>
  <c r="G30" i="83"/>
  <c r="H31" i="83" s="1"/>
  <c r="H32" i="83" s="1"/>
  <c r="B28" i="83"/>
  <c r="B29" i="83" s="1"/>
  <c r="C29" i="83" s="1"/>
  <c r="B27" i="83"/>
  <c r="C28" i="83" s="1"/>
  <c r="B26" i="83"/>
  <c r="B25" i="83"/>
  <c r="B24" i="83"/>
  <c r="C25" i="83" s="1"/>
  <c r="B23" i="83"/>
  <c r="B22" i="83"/>
  <c r="B21" i="83"/>
  <c r="C22" i="83" s="1"/>
  <c r="B19" i="83"/>
  <c r="B20" i="83" s="1"/>
  <c r="C20" i="83" s="1"/>
  <c r="B18" i="83"/>
  <c r="C19" i="83" s="1"/>
  <c r="B12" i="83"/>
  <c r="B13" i="83" s="1"/>
  <c r="B9" i="83"/>
  <c r="C6" i="83" s="1"/>
  <c r="C9" i="83" s="1"/>
  <c r="G7" i="83"/>
  <c r="H7" i="83" s="1"/>
  <c r="I7" i="83" s="1"/>
  <c r="J7" i="83" s="1"/>
  <c r="K7" i="83" s="1"/>
  <c r="L7" i="83" s="1"/>
  <c r="M7" i="83" s="1"/>
  <c r="B6" i="83"/>
  <c r="B31" i="84"/>
  <c r="B32" i="84" s="1"/>
  <c r="C32" i="84" s="1"/>
  <c r="B30" i="84"/>
  <c r="C31" i="84" s="1"/>
  <c r="B28" i="84"/>
  <c r="B29" i="84" s="1"/>
  <c r="C29" i="84" s="1"/>
  <c r="B27" i="84"/>
  <c r="C28" i="84" s="1"/>
  <c r="B25" i="84"/>
  <c r="B26" i="84" s="1"/>
  <c r="C26" i="84" s="1"/>
  <c r="B24" i="84"/>
  <c r="C25" i="84" s="1"/>
  <c r="B22" i="84"/>
  <c r="B23" i="84" s="1"/>
  <c r="C23" i="84" s="1"/>
  <c r="B21" i="84"/>
  <c r="C22" i="84" s="1"/>
  <c r="B19" i="84"/>
  <c r="B20" i="84" s="1"/>
  <c r="C20" i="84" s="1"/>
  <c r="B18" i="84"/>
  <c r="C19" i="84" s="1"/>
  <c r="B13" i="84"/>
  <c r="B14" i="84" s="1"/>
  <c r="G8" i="84"/>
  <c r="H8" i="84" s="1"/>
  <c r="I8" i="84" s="1"/>
  <c r="J8" i="84" s="1"/>
  <c r="K8" i="84" s="1"/>
  <c r="L8" i="84" s="1"/>
  <c r="M8" i="84" s="1"/>
  <c r="B7" i="84"/>
  <c r="C7" i="84" s="1"/>
  <c r="D7" i="84" s="1"/>
  <c r="E7" i="84" s="1"/>
  <c r="F7" i="84" s="1"/>
  <c r="G7" i="84" s="1"/>
  <c r="H7" i="84" s="1"/>
  <c r="I7" i="84" s="1"/>
  <c r="J7" i="84" s="1"/>
  <c r="K7" i="84" s="1"/>
  <c r="L7" i="84" s="1"/>
  <c r="M7" i="84" s="1"/>
  <c r="B6" i="84"/>
  <c r="C6" i="84" s="1"/>
  <c r="B11" i="85" l="1"/>
  <c r="C14" i="85" s="1"/>
  <c r="C15" i="85" s="1"/>
  <c r="B10" i="84"/>
  <c r="C13" i="84" s="1"/>
  <c r="C14" i="84" s="1"/>
  <c r="G9" i="86"/>
  <c r="E9" i="86"/>
  <c r="F4" i="86"/>
  <c r="F9" i="86" s="1"/>
  <c r="C9" i="86"/>
  <c r="B9" i="86"/>
  <c r="C22" i="85"/>
  <c r="B36" i="85"/>
  <c r="C11" i="85"/>
  <c r="D14" i="85" s="1"/>
  <c r="D6" i="85"/>
  <c r="C20" i="85"/>
  <c r="C23" i="85"/>
  <c r="C26" i="85"/>
  <c r="C29" i="85"/>
  <c r="C32" i="85"/>
  <c r="I17" i="82"/>
  <c r="L18" i="82"/>
  <c r="L19" i="82"/>
  <c r="H11" i="82"/>
  <c r="H12" i="82" s="1"/>
  <c r="H6" i="82"/>
  <c r="H8" i="82" s="1"/>
  <c r="I21" i="82"/>
  <c r="I22" i="82"/>
  <c r="I15" i="82"/>
  <c r="K19" i="82"/>
  <c r="K20" i="82" s="1"/>
  <c r="L20" i="82" s="1"/>
  <c r="H22" i="82"/>
  <c r="H23" i="82" s="1"/>
  <c r="I23" i="82" s="1"/>
  <c r="H24" i="82"/>
  <c r="C26" i="83"/>
  <c r="C23" i="83"/>
  <c r="D6" i="83"/>
  <c r="D9" i="83" s="1"/>
  <c r="D12" i="83"/>
  <c r="C12" i="83"/>
  <c r="C13" i="83" s="1"/>
  <c r="D13" i="83" s="1"/>
  <c r="C18" i="83"/>
  <c r="C21" i="83"/>
  <c r="C24" i="83"/>
  <c r="C27" i="83"/>
  <c r="H30" i="83"/>
  <c r="D6" i="84"/>
  <c r="C10" i="84"/>
  <c r="D13" i="84" s="1"/>
  <c r="C18" i="84"/>
  <c r="C21" i="84"/>
  <c r="C24" i="84"/>
  <c r="C27" i="84"/>
  <c r="C30" i="84"/>
  <c r="D15" i="85" l="1"/>
  <c r="D14" i="84"/>
  <c r="H4" i="86"/>
  <c r="H9" i="86" s="1"/>
  <c r="D30" i="85"/>
  <c r="D31" i="85" s="1"/>
  <c r="D29" i="85"/>
  <c r="D27" i="85"/>
  <c r="D28" i="85" s="1"/>
  <c r="D26" i="85"/>
  <c r="D24" i="85"/>
  <c r="D25" i="85" s="1"/>
  <c r="D23" i="85"/>
  <c r="D33" i="85"/>
  <c r="D34" i="85" s="1"/>
  <c r="D32" i="85"/>
  <c r="D21" i="85"/>
  <c r="D20" i="85"/>
  <c r="D11" i="85"/>
  <c r="E14" i="85" s="1"/>
  <c r="E15" i="85" s="1"/>
  <c r="E6" i="85"/>
  <c r="D22" i="85"/>
  <c r="C36" i="85"/>
  <c r="I11" i="82"/>
  <c r="I12" i="82" s="1"/>
  <c r="I6" i="82"/>
  <c r="I8" i="82" s="1"/>
  <c r="J16" i="82"/>
  <c r="J15" i="82"/>
  <c r="M19" i="82"/>
  <c r="M20" i="82" s="1"/>
  <c r="M18" i="82"/>
  <c r="I24" i="82"/>
  <c r="I25" i="82"/>
  <c r="I26" i="82" s="1"/>
  <c r="J17" i="82"/>
  <c r="J22" i="82"/>
  <c r="J23" i="82" s="1"/>
  <c r="J21" i="82"/>
  <c r="D25" i="83"/>
  <c r="D24" i="83"/>
  <c r="D22" i="83"/>
  <c r="D23" i="83" s="1"/>
  <c r="D21" i="83"/>
  <c r="D26" i="83"/>
  <c r="I30" i="83"/>
  <c r="I31" i="83"/>
  <c r="I32" i="83" s="1"/>
  <c r="D19" i="83"/>
  <c r="D20" i="83" s="1"/>
  <c r="D18" i="83"/>
  <c r="E6" i="83"/>
  <c r="E9" i="83" s="1"/>
  <c r="E12" i="83"/>
  <c r="E13" i="83" s="1"/>
  <c r="D28" i="83"/>
  <c r="D29" i="83" s="1"/>
  <c r="D27" i="83"/>
  <c r="D31" i="84"/>
  <c r="D32" i="84" s="1"/>
  <c r="D30" i="84"/>
  <c r="D19" i="84"/>
  <c r="D20" i="84" s="1"/>
  <c r="D18" i="84"/>
  <c r="D28" i="84"/>
  <c r="D29" i="84" s="1"/>
  <c r="D27" i="84"/>
  <c r="E6" i="84"/>
  <c r="D10" i="84"/>
  <c r="E13" i="84" s="1"/>
  <c r="E14" i="84" s="1"/>
  <c r="D25" i="84"/>
  <c r="D26" i="84" s="1"/>
  <c r="D24" i="84"/>
  <c r="D22" i="84"/>
  <c r="D23" i="84" s="1"/>
  <c r="D21" i="84"/>
  <c r="F6" i="85" l="1"/>
  <c r="E11" i="85"/>
  <c r="F14" i="85" s="1"/>
  <c r="F15" i="85" s="1"/>
  <c r="E33" i="85"/>
  <c r="E34" i="85" s="1"/>
  <c r="E32" i="85"/>
  <c r="E27" i="85"/>
  <c r="E26" i="85"/>
  <c r="E28" i="85"/>
  <c r="E21" i="85"/>
  <c r="E20" i="85"/>
  <c r="E24" i="85"/>
  <c r="E23" i="85"/>
  <c r="E30" i="85"/>
  <c r="E29" i="85"/>
  <c r="D36" i="85"/>
  <c r="E22" i="85"/>
  <c r="E25" i="85"/>
  <c r="E31" i="85"/>
  <c r="J24" i="82"/>
  <c r="J25" i="82"/>
  <c r="J11" i="82"/>
  <c r="J12" i="82" s="1"/>
  <c r="J6" i="82"/>
  <c r="J8" i="82" s="1"/>
  <c r="K17" i="82"/>
  <c r="K22" i="82"/>
  <c r="K23" i="82" s="1"/>
  <c r="K21" i="82"/>
  <c r="J26" i="82"/>
  <c r="K15" i="82"/>
  <c r="K16" i="82"/>
  <c r="E19" i="83"/>
  <c r="E20" i="83" s="1"/>
  <c r="E18" i="83"/>
  <c r="F6" i="83"/>
  <c r="F9" i="83" s="1"/>
  <c r="F12" i="83"/>
  <c r="F13" i="83" s="1"/>
  <c r="J30" i="83"/>
  <c r="J31" i="83"/>
  <c r="J32" i="83" s="1"/>
  <c r="E28" i="83"/>
  <c r="E27" i="83"/>
  <c r="E25" i="83"/>
  <c r="E26" i="83" s="1"/>
  <c r="E24" i="83"/>
  <c r="E29" i="83"/>
  <c r="E22" i="83"/>
  <c r="E23" i="83" s="1"/>
  <c r="E21" i="83"/>
  <c r="E19" i="84"/>
  <c r="E18" i="84"/>
  <c r="E10" i="84"/>
  <c r="F13" i="84" s="1"/>
  <c r="F14" i="84" s="1"/>
  <c r="F6" i="84"/>
  <c r="E20" i="84"/>
  <c r="E22" i="84"/>
  <c r="E23" i="84" s="1"/>
  <c r="E21" i="84"/>
  <c r="E25" i="84"/>
  <c r="E24" i="84"/>
  <c r="E28" i="84"/>
  <c r="E29" i="84" s="1"/>
  <c r="E27" i="84"/>
  <c r="E31" i="84"/>
  <c r="E30" i="84"/>
  <c r="E26" i="84"/>
  <c r="E32" i="84"/>
  <c r="E36" i="85" l="1"/>
  <c r="F24" i="85"/>
  <c r="F23" i="85"/>
  <c r="G6" i="85"/>
  <c r="F11" i="85"/>
  <c r="G14" i="85" s="1"/>
  <c r="G15" i="85" s="1"/>
  <c r="F33" i="85"/>
  <c r="F34" i="85" s="1"/>
  <c r="F32" i="85"/>
  <c r="F30" i="85"/>
  <c r="F31" i="85" s="1"/>
  <c r="F29" i="85"/>
  <c r="F21" i="85"/>
  <c r="F22" i="85" s="1"/>
  <c r="F20" i="85"/>
  <c r="F25" i="85"/>
  <c r="F27" i="85"/>
  <c r="F28" i="85" s="1"/>
  <c r="F26" i="85"/>
  <c r="L21" i="82"/>
  <c r="L22" i="82"/>
  <c r="L23" i="82" s="1"/>
  <c r="L15" i="82"/>
  <c r="L16" i="82"/>
  <c r="L17" i="82"/>
  <c r="K25" i="82"/>
  <c r="K24" i="82"/>
  <c r="K26" i="82"/>
  <c r="K11" i="82"/>
  <c r="K12" i="82" s="1"/>
  <c r="K6" i="82"/>
  <c r="K8" i="82" s="1"/>
  <c r="K30" i="83"/>
  <c r="K31" i="83"/>
  <c r="K32" i="83" s="1"/>
  <c r="F19" i="83"/>
  <c r="F20" i="83" s="1"/>
  <c r="F18" i="83"/>
  <c r="F28" i="83"/>
  <c r="F29" i="83" s="1"/>
  <c r="F27" i="83"/>
  <c r="F22" i="83"/>
  <c r="F23" i="83" s="1"/>
  <c r="F21" i="83"/>
  <c r="F25" i="83"/>
  <c r="F26" i="83" s="1"/>
  <c r="F24" i="83"/>
  <c r="G6" i="83"/>
  <c r="G12" i="83"/>
  <c r="G13" i="83" s="1"/>
  <c r="F31" i="84"/>
  <c r="F30" i="84"/>
  <c r="F25" i="84"/>
  <c r="F24" i="84"/>
  <c r="F19" i="84"/>
  <c r="F18" i="84"/>
  <c r="F32" i="84"/>
  <c r="F10" i="84"/>
  <c r="G13" i="84" s="1"/>
  <c r="G14" i="84" s="1"/>
  <c r="G6" i="84"/>
  <c r="F26" i="84"/>
  <c r="F20" i="84"/>
  <c r="F28" i="84"/>
  <c r="F29" i="84" s="1"/>
  <c r="F27" i="84"/>
  <c r="F22" i="84"/>
  <c r="F23" i="84" s="1"/>
  <c r="F21" i="84"/>
  <c r="G31" i="85" l="1"/>
  <c r="G28" i="85"/>
  <c r="F36" i="85"/>
  <c r="G27" i="85"/>
  <c r="G26" i="85"/>
  <c r="G21" i="85"/>
  <c r="G22" i="85" s="1"/>
  <c r="G20" i="85"/>
  <c r="G11" i="85"/>
  <c r="H14" i="85" s="1"/>
  <c r="H15" i="85" s="1"/>
  <c r="H6" i="85"/>
  <c r="G33" i="85"/>
  <c r="G34" i="85" s="1"/>
  <c r="G32" i="85"/>
  <c r="G30" i="85"/>
  <c r="G29" i="85"/>
  <c r="G24" i="85"/>
  <c r="G25" i="85" s="1"/>
  <c r="G23" i="85"/>
  <c r="L11" i="82"/>
  <c r="L12" i="82" s="1"/>
  <c r="L6" i="82"/>
  <c r="L8" i="82" s="1"/>
  <c r="M21" i="82"/>
  <c r="M22" i="82"/>
  <c r="M23" i="82" s="1"/>
  <c r="L25" i="82"/>
  <c r="L26" i="82" s="1"/>
  <c r="L24" i="82"/>
  <c r="M16" i="82"/>
  <c r="M17" i="82" s="1"/>
  <c r="M15" i="82"/>
  <c r="G25" i="83"/>
  <c r="G26" i="83" s="1"/>
  <c r="G24" i="83"/>
  <c r="G28" i="83"/>
  <c r="G29" i="83" s="1"/>
  <c r="G27" i="83"/>
  <c r="G22" i="83"/>
  <c r="G23" i="83" s="1"/>
  <c r="G21" i="83"/>
  <c r="L31" i="83"/>
  <c r="L32" i="83" s="1"/>
  <c r="L30" i="83"/>
  <c r="H6" i="83"/>
  <c r="G9" i="83"/>
  <c r="H12" i="83" s="1"/>
  <c r="H13" i="83" s="1"/>
  <c r="G19" i="83"/>
  <c r="G20" i="83" s="1"/>
  <c r="G18" i="83"/>
  <c r="G29" i="84"/>
  <c r="G23" i="84"/>
  <c r="G28" i="84"/>
  <c r="G27" i="84"/>
  <c r="H6" i="84"/>
  <c r="G10" i="84"/>
  <c r="H13" i="84" s="1"/>
  <c r="H14" i="84" s="1"/>
  <c r="G25" i="84"/>
  <c r="G24" i="84"/>
  <c r="G22" i="84"/>
  <c r="G21" i="84"/>
  <c r="G26" i="84"/>
  <c r="G19" i="84"/>
  <c r="G20" i="84" s="1"/>
  <c r="G18" i="84"/>
  <c r="G31" i="84"/>
  <c r="G32" i="84" s="1"/>
  <c r="G30" i="84"/>
  <c r="H34" i="85" l="1"/>
  <c r="G36" i="85"/>
  <c r="H11" i="85"/>
  <c r="I14" i="85" s="1"/>
  <c r="I15" i="85" s="1"/>
  <c r="I6" i="85"/>
  <c r="H27" i="85"/>
  <c r="H28" i="85" s="1"/>
  <c r="H26" i="85"/>
  <c r="H24" i="85"/>
  <c r="H25" i="85" s="1"/>
  <c r="H23" i="85"/>
  <c r="H33" i="85"/>
  <c r="H32" i="85"/>
  <c r="H21" i="85"/>
  <c r="H22" i="85" s="1"/>
  <c r="H20" i="85"/>
  <c r="H30" i="85"/>
  <c r="H31" i="85" s="1"/>
  <c r="H29" i="85"/>
  <c r="M11" i="82"/>
  <c r="M12" i="82" s="1"/>
  <c r="M6" i="82"/>
  <c r="M8" i="82" s="1"/>
  <c r="M24" i="82"/>
  <c r="M25" i="82"/>
  <c r="M26" i="82" s="1"/>
  <c r="H26" i="83"/>
  <c r="H22" i="83"/>
  <c r="H23" i="83" s="1"/>
  <c r="H21" i="83"/>
  <c r="H25" i="83"/>
  <c r="H24" i="83"/>
  <c r="H9" i="83"/>
  <c r="I12" i="83" s="1"/>
  <c r="I13" i="83" s="1"/>
  <c r="I6" i="83"/>
  <c r="H19" i="83"/>
  <c r="H20" i="83" s="1"/>
  <c r="H18" i="83"/>
  <c r="M30" i="83"/>
  <c r="M31" i="83"/>
  <c r="M32" i="83" s="1"/>
  <c r="H28" i="83"/>
  <c r="H29" i="83" s="1"/>
  <c r="H27" i="83"/>
  <c r="H20" i="84"/>
  <c r="H25" i="84"/>
  <c r="H24" i="84"/>
  <c r="H19" i="84"/>
  <c r="H18" i="84"/>
  <c r="H22" i="84"/>
  <c r="H23" i="84" s="1"/>
  <c r="H21" i="84"/>
  <c r="H31" i="84"/>
  <c r="H32" i="84" s="1"/>
  <c r="H30" i="84"/>
  <c r="H26" i="84"/>
  <c r="I6" i="84"/>
  <c r="H10" i="84"/>
  <c r="I13" i="84" s="1"/>
  <c r="I14" i="84" s="1"/>
  <c r="H28" i="84"/>
  <c r="H27" i="84"/>
  <c r="H29" i="84"/>
  <c r="H36" i="85" l="1"/>
  <c r="I22" i="85"/>
  <c r="I30" i="85"/>
  <c r="I31" i="85" s="1"/>
  <c r="I29" i="85"/>
  <c r="I24" i="85"/>
  <c r="I25" i="85" s="1"/>
  <c r="I23" i="85"/>
  <c r="I33" i="85"/>
  <c r="I32" i="85"/>
  <c r="I27" i="85"/>
  <c r="I28" i="85" s="1"/>
  <c r="I26" i="85"/>
  <c r="I21" i="85"/>
  <c r="I20" i="85"/>
  <c r="J6" i="85"/>
  <c r="I11" i="85"/>
  <c r="J14" i="85" s="1"/>
  <c r="J15" i="85" s="1"/>
  <c r="I34" i="85"/>
  <c r="M29" i="82"/>
  <c r="I23" i="83"/>
  <c r="I20" i="83"/>
  <c r="I25" i="83"/>
  <c r="I24" i="83"/>
  <c r="I26" i="83"/>
  <c r="I9" i="83"/>
  <c r="J12" i="83" s="1"/>
  <c r="J13" i="83" s="1"/>
  <c r="J6" i="83"/>
  <c r="I22" i="83"/>
  <c r="I21" i="83"/>
  <c r="I28" i="83"/>
  <c r="I29" i="83" s="1"/>
  <c r="I27" i="83"/>
  <c r="I19" i="83"/>
  <c r="I18" i="83"/>
  <c r="I28" i="84"/>
  <c r="I27" i="84"/>
  <c r="I25" i="84"/>
  <c r="I26" i="84" s="1"/>
  <c r="I24" i="84"/>
  <c r="I20" i="84"/>
  <c r="I31" i="84"/>
  <c r="I32" i="84" s="1"/>
  <c r="I30" i="84"/>
  <c r="I19" i="84"/>
  <c r="I18" i="84"/>
  <c r="I29" i="84"/>
  <c r="I10" i="84"/>
  <c r="J13" i="84" s="1"/>
  <c r="J14" i="84" s="1"/>
  <c r="J6" i="84"/>
  <c r="I22" i="84"/>
  <c r="I23" i="84" s="1"/>
  <c r="I21" i="84"/>
  <c r="J31" i="85" l="1"/>
  <c r="J21" i="85"/>
  <c r="J22" i="85" s="1"/>
  <c r="J20" i="85"/>
  <c r="I36" i="85"/>
  <c r="J34" i="85"/>
  <c r="J27" i="85"/>
  <c r="J28" i="85" s="1"/>
  <c r="J26" i="85"/>
  <c r="J24" i="85"/>
  <c r="J25" i="85" s="1"/>
  <c r="J23" i="85"/>
  <c r="J33" i="85"/>
  <c r="J32" i="85"/>
  <c r="J30" i="85"/>
  <c r="J29" i="85"/>
  <c r="K6" i="85"/>
  <c r="J11" i="85"/>
  <c r="K14" i="85" s="1"/>
  <c r="K15" i="85" s="1"/>
  <c r="J29" i="83"/>
  <c r="J22" i="83"/>
  <c r="J23" i="83" s="1"/>
  <c r="J21" i="83"/>
  <c r="J25" i="83"/>
  <c r="J24" i="83"/>
  <c r="J19" i="83"/>
  <c r="J20" i="83" s="1"/>
  <c r="J18" i="83"/>
  <c r="J26" i="83"/>
  <c r="J28" i="83"/>
  <c r="J27" i="83"/>
  <c r="K6" i="83"/>
  <c r="J9" i="83"/>
  <c r="K12" i="83" s="1"/>
  <c r="K13" i="83" s="1"/>
  <c r="J26" i="84"/>
  <c r="J18" i="84"/>
  <c r="J19" i="84"/>
  <c r="J20" i="84" s="1"/>
  <c r="J28" i="84"/>
  <c r="J27" i="84"/>
  <c r="K6" i="84"/>
  <c r="J10" i="84"/>
  <c r="K13" i="84" s="1"/>
  <c r="K14" i="84" s="1"/>
  <c r="J25" i="84"/>
  <c r="J24" i="84"/>
  <c r="J31" i="84"/>
  <c r="J32" i="84" s="1"/>
  <c r="J30" i="84"/>
  <c r="J22" i="84"/>
  <c r="J23" i="84" s="1"/>
  <c r="J21" i="84"/>
  <c r="J29" i="84"/>
  <c r="K25" i="85" l="1"/>
  <c r="J36" i="85"/>
  <c r="K30" i="85"/>
  <c r="K29" i="85"/>
  <c r="K24" i="85"/>
  <c r="K23" i="85"/>
  <c r="K33" i="85"/>
  <c r="K34" i="85" s="1"/>
  <c r="K32" i="85"/>
  <c r="K27" i="85"/>
  <c r="K28" i="85" s="1"/>
  <c r="K26" i="85"/>
  <c r="K31" i="85"/>
  <c r="K11" i="85"/>
  <c r="L14" i="85" s="1"/>
  <c r="L15" i="85" s="1"/>
  <c r="L6" i="85"/>
  <c r="K21" i="85"/>
  <c r="K22" i="85" s="1"/>
  <c r="K20" i="85"/>
  <c r="K23" i="83"/>
  <c r="K28" i="83"/>
  <c r="K27" i="83"/>
  <c r="K22" i="83"/>
  <c r="K21" i="83"/>
  <c r="K29" i="83"/>
  <c r="K25" i="83"/>
  <c r="K26" i="83" s="1"/>
  <c r="K24" i="83"/>
  <c r="L6" i="83"/>
  <c r="K9" i="83"/>
  <c r="L12" i="83" s="1"/>
  <c r="L13" i="83" s="1"/>
  <c r="K19" i="83"/>
  <c r="K20" i="83" s="1"/>
  <c r="K18" i="83"/>
  <c r="K23" i="84"/>
  <c r="K20" i="84"/>
  <c r="L6" i="84"/>
  <c r="K10" i="84"/>
  <c r="L13" i="84" s="1"/>
  <c r="L14" i="84" s="1"/>
  <c r="K22" i="84"/>
  <c r="K21" i="84"/>
  <c r="K25" i="84"/>
  <c r="K26" i="84" s="1"/>
  <c r="K24" i="84"/>
  <c r="K28" i="84"/>
  <c r="K29" i="84" s="1"/>
  <c r="K27" i="84"/>
  <c r="K19" i="84"/>
  <c r="K18" i="84"/>
  <c r="K31" i="84"/>
  <c r="K32" i="84" s="1"/>
  <c r="K30" i="84"/>
  <c r="L28" i="85" l="1"/>
  <c r="K36" i="85"/>
  <c r="L11" i="85"/>
  <c r="M14" i="85" s="1"/>
  <c r="M15" i="85" s="1"/>
  <c r="M6" i="85"/>
  <c r="M11" i="85" s="1"/>
  <c r="L24" i="85"/>
  <c r="L23" i="85"/>
  <c r="L25" i="85"/>
  <c r="L33" i="85"/>
  <c r="L34" i="85" s="1"/>
  <c r="L32" i="85"/>
  <c r="L21" i="85"/>
  <c r="L22" i="85" s="1"/>
  <c r="L20" i="85"/>
  <c r="L31" i="85"/>
  <c r="L30" i="85"/>
  <c r="L29" i="85"/>
  <c r="L27" i="85"/>
  <c r="L26" i="85"/>
  <c r="L28" i="83"/>
  <c r="L27" i="83"/>
  <c r="L9" i="83"/>
  <c r="M12" i="83" s="1"/>
  <c r="M13" i="83" s="1"/>
  <c r="M6" i="83"/>
  <c r="M9" i="83" s="1"/>
  <c r="L29" i="83"/>
  <c r="L19" i="83"/>
  <c r="L20" i="83" s="1"/>
  <c r="L18" i="83"/>
  <c r="L22" i="83"/>
  <c r="L21" i="83"/>
  <c r="L23" i="83"/>
  <c r="L25" i="83"/>
  <c r="L26" i="83" s="1"/>
  <c r="L24" i="83"/>
  <c r="L29" i="84"/>
  <c r="L28" i="84"/>
  <c r="L27" i="84"/>
  <c r="L19" i="84"/>
  <c r="L20" i="84" s="1"/>
  <c r="L18" i="84"/>
  <c r="L25" i="84"/>
  <c r="L26" i="84" s="1"/>
  <c r="L24" i="84"/>
  <c r="L22" i="84"/>
  <c r="L23" i="84" s="1"/>
  <c r="L21" i="84"/>
  <c r="L10" i="84"/>
  <c r="M13" i="84" s="1"/>
  <c r="M14" i="84" s="1"/>
  <c r="M6" i="84"/>
  <c r="M10" i="84" s="1"/>
  <c r="L31" i="84"/>
  <c r="L32" i="84" s="1"/>
  <c r="L30" i="84"/>
  <c r="M34" i="85" l="1"/>
  <c r="M30" i="85"/>
  <c r="M31" i="85" s="1"/>
  <c r="M29" i="85"/>
  <c r="M24" i="85"/>
  <c r="M23" i="85"/>
  <c r="M28" i="85"/>
  <c r="M33" i="85"/>
  <c r="M32" i="85"/>
  <c r="M27" i="85"/>
  <c r="M26" i="85"/>
  <c r="M21" i="85"/>
  <c r="M22" i="85" s="1"/>
  <c r="M36" i="85" s="1"/>
  <c r="M20" i="85"/>
  <c r="M25" i="85"/>
  <c r="M26" i="83"/>
  <c r="M28" i="83"/>
  <c r="M27" i="83"/>
  <c r="M22" i="83"/>
  <c r="M21" i="83"/>
  <c r="M29" i="83"/>
  <c r="M25" i="83"/>
  <c r="M24" i="83"/>
  <c r="M19" i="83"/>
  <c r="M20" i="83" s="1"/>
  <c r="M35" i="83" s="1"/>
  <c r="M18" i="83"/>
  <c r="M23" i="83"/>
  <c r="M31" i="84"/>
  <c r="M32" i="84" s="1"/>
  <c r="M30" i="84"/>
  <c r="M25" i="84"/>
  <c r="M26" i="84" s="1"/>
  <c r="M24" i="84"/>
  <c r="M22" i="84"/>
  <c r="M23" i="84" s="1"/>
  <c r="M21" i="84"/>
  <c r="M19" i="84"/>
  <c r="M20" i="84" s="1"/>
  <c r="M36" i="84" s="1"/>
  <c r="M18" i="84"/>
  <c r="M28" i="84"/>
  <c r="M29" i="84" s="1"/>
  <c r="M27" i="84"/>
  <c r="O25" i="5" l="1"/>
  <c r="N25" i="5"/>
  <c r="K54" i="5"/>
  <c r="K55" i="5"/>
  <c r="K53" i="5"/>
  <c r="J54" i="5"/>
  <c r="J55" i="5"/>
  <c r="J53" i="5"/>
  <c r="I52" i="5"/>
  <c r="I51" i="5"/>
  <c r="H52" i="5"/>
  <c r="H51" i="5"/>
  <c r="K45" i="5"/>
  <c r="K44" i="5"/>
  <c r="K43" i="5"/>
  <c r="J44" i="5"/>
  <c r="J45" i="5"/>
  <c r="J43" i="5"/>
  <c r="I42" i="5"/>
  <c r="I41" i="5"/>
  <c r="H42" i="5"/>
  <c r="H41" i="5"/>
  <c r="K35" i="5"/>
  <c r="K34" i="5"/>
  <c r="K33" i="5"/>
  <c r="I32" i="5"/>
  <c r="I31" i="5"/>
  <c r="J34" i="5"/>
  <c r="J35" i="5"/>
  <c r="J33" i="5"/>
  <c r="H32" i="5"/>
  <c r="H31" i="5"/>
  <c r="K25" i="5"/>
  <c r="K24" i="5"/>
  <c r="K23" i="5"/>
  <c r="J25" i="5"/>
  <c r="J24" i="5"/>
  <c r="J23" i="5"/>
  <c r="I22" i="5"/>
  <c r="I21" i="5"/>
  <c r="H22" i="5"/>
  <c r="H21" i="5"/>
  <c r="G88" i="78"/>
  <c r="C88" i="78"/>
  <c r="E87" i="78"/>
  <c r="F88" i="78"/>
  <c r="B88" i="78"/>
  <c r="D87" i="78"/>
  <c r="E88" i="78"/>
  <c r="G87" i="78"/>
  <c r="C87" i="78"/>
  <c r="D88" i="78"/>
  <c r="F87" i="78"/>
  <c r="B87" i="78"/>
  <c r="B8" i="80" l="1"/>
  <c r="F8" i="80"/>
  <c r="D9" i="80"/>
  <c r="C8" i="80"/>
  <c r="G8" i="80"/>
  <c r="E9" i="80"/>
  <c r="D8" i="80"/>
  <c r="B9" i="80"/>
  <c r="F9" i="80"/>
  <c r="E8" i="80"/>
  <c r="C9" i="80"/>
  <c r="G9" i="80"/>
  <c r="E40" i="57"/>
  <c r="E39" i="57"/>
  <c r="D39" i="57"/>
  <c r="D38" i="57"/>
  <c r="D32" i="57" s="1"/>
  <c r="E38" i="57"/>
  <c r="C38" i="57"/>
  <c r="C37" i="57"/>
  <c r="C31" i="57" s="1"/>
  <c r="D37" i="57"/>
  <c r="D31" i="57" s="1"/>
  <c r="E37" i="57"/>
  <c r="E31" i="57" s="1"/>
  <c r="B37" i="57"/>
  <c r="C50" i="72"/>
  <c r="D50" i="72"/>
  <c r="B50" i="72"/>
  <c r="C40" i="72"/>
  <c r="B40" i="72"/>
  <c r="G40" i="57"/>
  <c r="H40" i="57"/>
  <c r="E32" i="57" l="1"/>
  <c r="E33" i="57"/>
  <c r="C44" i="59"/>
  <c r="C45" i="59"/>
  <c r="C46" i="59"/>
  <c r="C43" i="59"/>
  <c r="D44" i="59"/>
  <c r="B45" i="59"/>
  <c r="M21" i="59"/>
  <c r="D54" i="78" s="1"/>
  <c r="M20" i="59"/>
  <c r="D36" i="78" s="1"/>
  <c r="C45" i="5" s="1"/>
  <c r="K126" i="79"/>
  <c r="M123" i="79"/>
  <c r="J106" i="79"/>
  <c r="H104" i="79"/>
  <c r="G88" i="79"/>
  <c r="G86" i="79"/>
  <c r="G69" i="79"/>
  <c r="H49" i="79"/>
  <c r="B28" i="79"/>
  <c r="B14" i="79"/>
  <c r="H125" i="79"/>
  <c r="J107" i="79"/>
  <c r="H105" i="79"/>
  <c r="F89" i="79"/>
  <c r="F87" i="79"/>
  <c r="F85" i="79"/>
  <c r="F65" i="79"/>
  <c r="K29" i="79"/>
  <c r="F28" i="79"/>
  <c r="M12" i="79"/>
  <c r="I14" i="79"/>
  <c r="E13" i="79"/>
  <c r="J27" i="79"/>
  <c r="L13" i="79"/>
  <c r="K125" i="79"/>
  <c r="M107" i="79"/>
  <c r="K105" i="79"/>
  <c r="I89" i="79"/>
  <c r="I87" i="79"/>
  <c r="I85" i="79"/>
  <c r="I65" i="79"/>
  <c r="J29" i="79"/>
  <c r="E27" i="79"/>
  <c r="H13" i="79"/>
  <c r="L124" i="79"/>
  <c r="H107" i="79"/>
  <c r="M104" i="79"/>
  <c r="L88" i="79"/>
  <c r="L86" i="79"/>
  <c r="L69" i="79"/>
  <c r="M49" i="79"/>
  <c r="I29" i="79"/>
  <c r="D28" i="79"/>
  <c r="I12" i="79"/>
  <c r="G14" i="79"/>
  <c r="C13" i="79"/>
  <c r="L27" i="79"/>
  <c r="F14" i="79"/>
  <c r="J69" i="79"/>
  <c r="G29" i="79"/>
  <c r="C27" i="79"/>
  <c r="E14" i="79"/>
  <c r="C28" i="79"/>
  <c r="J12" i="79"/>
  <c r="M124" i="79"/>
  <c r="G105" i="79"/>
  <c r="M86" i="79"/>
  <c r="E65" i="79"/>
  <c r="H12" i="79"/>
  <c r="H124" i="79"/>
  <c r="I104" i="79"/>
  <c r="H88" i="79"/>
  <c r="H69" i="79"/>
  <c r="I49" i="79"/>
  <c r="M27" i="79"/>
  <c r="C14" i="79"/>
  <c r="B27" i="79"/>
  <c r="J13" i="79"/>
  <c r="I125" i="79"/>
  <c r="I105" i="79"/>
  <c r="G87" i="79"/>
  <c r="G65" i="79"/>
  <c r="L12" i="79"/>
  <c r="L123" i="79"/>
  <c r="I106" i="79"/>
  <c r="F86" i="79"/>
  <c r="G49" i="79"/>
  <c r="K27" i="79"/>
  <c r="E12" i="79"/>
  <c r="M28" i="79"/>
  <c r="M126" i="79"/>
  <c r="L106" i="79"/>
  <c r="I88" i="79"/>
  <c r="I86" i="79"/>
  <c r="J49" i="79"/>
  <c r="L14" i="79"/>
  <c r="J123" i="79"/>
  <c r="G106" i="79"/>
  <c r="L87" i="79"/>
  <c r="E49" i="79"/>
  <c r="H27" i="79"/>
  <c r="K13" i="79"/>
  <c r="F12" i="79"/>
  <c r="K124" i="79"/>
  <c r="G107" i="79"/>
  <c r="L104" i="79"/>
  <c r="K88" i="79"/>
  <c r="K69" i="79"/>
  <c r="L49" i="79"/>
  <c r="J14" i="79"/>
  <c r="H123" i="79"/>
  <c r="L105" i="79"/>
  <c r="J85" i="79"/>
  <c r="J65" i="79"/>
  <c r="C29" i="79"/>
  <c r="F27" i="79"/>
  <c r="I13" i="79"/>
  <c r="H14" i="79"/>
  <c r="I126" i="79"/>
  <c r="H106" i="79"/>
  <c r="M85" i="79"/>
  <c r="F49" i="79"/>
  <c r="D14" i="79"/>
  <c r="L107" i="79"/>
  <c r="J105" i="79"/>
  <c r="H87" i="79"/>
  <c r="M29" i="79"/>
  <c r="D27" i="79"/>
  <c r="G13" i="79"/>
  <c r="B12" i="79"/>
  <c r="M125" i="79"/>
  <c r="I123" i="79"/>
  <c r="M105" i="79"/>
  <c r="K89" i="79"/>
  <c r="K87" i="79"/>
  <c r="K85" i="79"/>
  <c r="K65" i="79"/>
  <c r="L29" i="79"/>
  <c r="G27" i="79"/>
  <c r="B13" i="79"/>
  <c r="J124" i="79"/>
  <c r="M106" i="79"/>
  <c r="K104" i="79"/>
  <c r="J88" i="79"/>
  <c r="J86" i="79"/>
  <c r="K49" i="79"/>
  <c r="K12" i="79"/>
  <c r="D13" i="79"/>
  <c r="I107" i="79"/>
  <c r="M88" i="79"/>
  <c r="M69" i="79"/>
  <c r="F29" i="79"/>
  <c r="L126" i="79"/>
  <c r="K106" i="79"/>
  <c r="H86" i="79"/>
  <c r="E29" i="79"/>
  <c r="G12" i="79"/>
  <c r="D49" i="79"/>
  <c r="K107" i="79"/>
  <c r="G89" i="79"/>
  <c r="G85" i="79"/>
  <c r="H29" i="79"/>
  <c r="J126" i="79"/>
  <c r="G104" i="79"/>
  <c r="F88" i="79"/>
  <c r="F69" i="79"/>
  <c r="B29" i="79"/>
  <c r="M13" i="79"/>
  <c r="D12" i="79"/>
  <c r="I124" i="79"/>
  <c r="J104" i="79"/>
  <c r="I69" i="79"/>
  <c r="I28" i="79"/>
  <c r="H126" i="79"/>
  <c r="L89" i="79"/>
  <c r="L85" i="79"/>
  <c r="L65" i="79"/>
  <c r="L28" i="79"/>
  <c r="C12" i="79"/>
  <c r="D29" i="79"/>
  <c r="F13" i="79"/>
  <c r="K86" i="79"/>
  <c r="K28" i="79"/>
  <c r="L125" i="79"/>
  <c r="J89" i="79"/>
  <c r="J87" i="79"/>
  <c r="J28" i="79"/>
  <c r="M14" i="79"/>
  <c r="E28" i="79"/>
  <c r="K123" i="79"/>
  <c r="M89" i="79"/>
  <c r="M87" i="79"/>
  <c r="M65" i="79"/>
  <c r="I27" i="79"/>
  <c r="J125" i="79"/>
  <c r="H89" i="79"/>
  <c r="H85" i="79"/>
  <c r="H65" i="79"/>
  <c r="H28" i="79"/>
  <c r="K14" i="79"/>
  <c r="G28" i="79"/>
  <c r="K127" i="79" l="1"/>
  <c r="I127" i="79"/>
  <c r="H127" i="79"/>
  <c r="J127" i="79"/>
  <c r="L127" i="79"/>
  <c r="M127" i="79"/>
  <c r="F13" i="72"/>
  <c r="J13" i="72"/>
  <c r="F23" i="72"/>
  <c r="B3" i="72"/>
  <c r="B10" i="72" s="1"/>
  <c r="F3" i="72"/>
  <c r="L4" i="72"/>
  <c r="G14" i="72"/>
  <c r="D24" i="72"/>
  <c r="D35" i="72"/>
  <c r="D40" i="72" s="1"/>
  <c r="C13" i="72"/>
  <c r="G13" i="72"/>
  <c r="K13" i="72"/>
  <c r="C23" i="72"/>
  <c r="G23" i="72"/>
  <c r="K23" i="72"/>
  <c r="C3" i="72"/>
  <c r="G3" i="72"/>
  <c r="I3" i="72"/>
  <c r="D4" i="72"/>
  <c r="H4" i="72"/>
  <c r="M4" i="72"/>
  <c r="D14" i="72"/>
  <c r="H14" i="72"/>
  <c r="L14" i="72"/>
  <c r="E24" i="72"/>
  <c r="I24" i="72"/>
  <c r="M24" i="72"/>
  <c r="E35" i="72"/>
  <c r="I35" i="72"/>
  <c r="M35" i="72"/>
  <c r="H6" i="72"/>
  <c r="L6" i="72"/>
  <c r="H46" i="72"/>
  <c r="H50" i="72" s="1"/>
  <c r="L46" i="72"/>
  <c r="H7" i="72"/>
  <c r="L7" i="72"/>
  <c r="H17" i="72"/>
  <c r="L17" i="72"/>
  <c r="H27" i="72"/>
  <c r="L27" i="72"/>
  <c r="H37" i="72"/>
  <c r="L37" i="72"/>
  <c r="H47" i="72"/>
  <c r="L47" i="72"/>
  <c r="I8" i="72"/>
  <c r="M8" i="72"/>
  <c r="J18" i="72"/>
  <c r="G28" i="72"/>
  <c r="K28" i="72"/>
  <c r="H38" i="72"/>
  <c r="L38" i="72"/>
  <c r="D5" i="80"/>
  <c r="J9" i="72"/>
  <c r="B6" i="80"/>
  <c r="H19" i="72"/>
  <c r="F6" i="80"/>
  <c r="L19" i="72"/>
  <c r="J29" i="72"/>
  <c r="H39" i="72"/>
  <c r="L39" i="72"/>
  <c r="H13" i="72"/>
  <c r="D23" i="72"/>
  <c r="L23" i="72"/>
  <c r="H3" i="72"/>
  <c r="E4" i="72"/>
  <c r="I4" i="72"/>
  <c r="I14" i="72"/>
  <c r="F24" i="72"/>
  <c r="J24" i="72"/>
  <c r="F35" i="72"/>
  <c r="J35" i="72"/>
  <c r="E6" i="72"/>
  <c r="I6" i="72"/>
  <c r="M6" i="72"/>
  <c r="I46" i="72"/>
  <c r="M46" i="72"/>
  <c r="I7" i="72"/>
  <c r="M7" i="72"/>
  <c r="I17" i="72"/>
  <c r="M17" i="72"/>
  <c r="I27" i="72"/>
  <c r="M27" i="72"/>
  <c r="I37" i="72"/>
  <c r="M37" i="72"/>
  <c r="I47" i="72"/>
  <c r="I50" i="72" s="1"/>
  <c r="M47" i="72"/>
  <c r="M50" i="72" s="1"/>
  <c r="J8" i="72"/>
  <c r="G18" i="72"/>
  <c r="K18" i="72"/>
  <c r="H28" i="72"/>
  <c r="L28" i="72"/>
  <c r="I38" i="72"/>
  <c r="M38" i="72"/>
  <c r="E5" i="80"/>
  <c r="K9" i="72"/>
  <c r="C6" i="80"/>
  <c r="I19" i="72"/>
  <c r="G6" i="80"/>
  <c r="M19" i="72"/>
  <c r="K29" i="72"/>
  <c r="I39" i="72"/>
  <c r="M39" i="72"/>
  <c r="D13" i="72"/>
  <c r="L13" i="72"/>
  <c r="H23" i="72"/>
  <c r="D3" i="72"/>
  <c r="J3" i="72"/>
  <c r="J4" i="72"/>
  <c r="E14" i="72"/>
  <c r="M14" i="72"/>
  <c r="C14" i="72"/>
  <c r="E13" i="72"/>
  <c r="I13" i="72"/>
  <c r="M13" i="72"/>
  <c r="E23" i="72"/>
  <c r="I23" i="72"/>
  <c r="M23" i="72"/>
  <c r="E3" i="72"/>
  <c r="K3" i="72"/>
  <c r="M3" i="72"/>
  <c r="F4" i="72"/>
  <c r="K4" i="72"/>
  <c r="C4" i="72"/>
  <c r="F14" i="72"/>
  <c r="J14" i="72"/>
  <c r="G24" i="72"/>
  <c r="K24" i="72"/>
  <c r="C24" i="72"/>
  <c r="G35" i="72"/>
  <c r="K35" i="72"/>
  <c r="F6" i="72"/>
  <c r="J6" i="72"/>
  <c r="F46" i="72"/>
  <c r="F50" i="72" s="1"/>
  <c r="J46" i="72"/>
  <c r="F7" i="72"/>
  <c r="J7" i="72"/>
  <c r="F17" i="72"/>
  <c r="J17" i="72"/>
  <c r="F27" i="72"/>
  <c r="J27" i="72"/>
  <c r="F37" i="72"/>
  <c r="J37" i="72"/>
  <c r="F47" i="72"/>
  <c r="J47" i="72"/>
  <c r="G8" i="72"/>
  <c r="K8" i="72"/>
  <c r="H18" i="72"/>
  <c r="L18" i="72"/>
  <c r="I28" i="72"/>
  <c r="M28" i="72"/>
  <c r="J38" i="72"/>
  <c r="B5" i="80"/>
  <c r="H9" i="72"/>
  <c r="F5" i="80"/>
  <c r="L9" i="72"/>
  <c r="D6" i="80"/>
  <c r="J19" i="72"/>
  <c r="H29" i="72"/>
  <c r="L29" i="72"/>
  <c r="J39" i="72"/>
  <c r="B13" i="72"/>
  <c r="B20" i="72" s="1"/>
  <c r="B23" i="72"/>
  <c r="B30" i="72" s="1"/>
  <c r="J23" i="72"/>
  <c r="L3" i="72"/>
  <c r="G4" i="72"/>
  <c r="K14" i="72"/>
  <c r="H24" i="72"/>
  <c r="L24" i="72"/>
  <c r="H35" i="72"/>
  <c r="L35" i="72"/>
  <c r="G6" i="72"/>
  <c r="K6" i="72"/>
  <c r="G46" i="72"/>
  <c r="G50" i="72" s="1"/>
  <c r="K46" i="72"/>
  <c r="G7" i="72"/>
  <c r="K7" i="72"/>
  <c r="G17" i="72"/>
  <c r="K17" i="72"/>
  <c r="G27" i="72"/>
  <c r="K27" i="72"/>
  <c r="G37" i="72"/>
  <c r="K37" i="72"/>
  <c r="G47" i="72"/>
  <c r="K47" i="72"/>
  <c r="H8" i="72"/>
  <c r="L8" i="72"/>
  <c r="I18" i="72"/>
  <c r="M18" i="72"/>
  <c r="J28" i="72"/>
  <c r="G38" i="72"/>
  <c r="K38" i="72"/>
  <c r="C5" i="80"/>
  <c r="I9" i="72"/>
  <c r="G5" i="80"/>
  <c r="M9" i="72"/>
  <c r="E6" i="80"/>
  <c r="K19" i="72"/>
  <c r="I29" i="72"/>
  <c r="M29" i="72"/>
  <c r="K39" i="72"/>
  <c r="O45" i="5"/>
  <c r="N45" i="5"/>
  <c r="E36" i="78"/>
  <c r="C36" i="78"/>
  <c r="C35" i="5" s="1"/>
  <c r="E54" i="78"/>
  <c r="K50" i="72" l="1"/>
  <c r="C30" i="72"/>
  <c r="C10" i="72"/>
  <c r="B53" i="72"/>
  <c r="J50" i="72"/>
  <c r="L50" i="72"/>
  <c r="C20" i="72"/>
  <c r="C55" i="5"/>
  <c r="F35" i="5"/>
  <c r="O35" i="5"/>
  <c r="N35" i="5"/>
  <c r="I332" i="73"/>
  <c r="J332" i="73" s="1"/>
  <c r="K332" i="73" s="1"/>
  <c r="L332" i="73" s="1"/>
  <c r="M332" i="73" s="1"/>
  <c r="N332" i="73" s="1"/>
  <c r="O332" i="73" s="1"/>
  <c r="P332" i="73" s="1"/>
  <c r="Q332" i="73" s="1"/>
  <c r="R332" i="73" s="1"/>
  <c r="S332" i="73" s="1"/>
  <c r="T332" i="73" s="1"/>
  <c r="U332" i="73" s="1"/>
  <c r="V332" i="73" s="1"/>
  <c r="W332" i="73" s="1"/>
  <c r="X332" i="73" s="1"/>
  <c r="Y332" i="73" s="1"/>
  <c r="Z332" i="73" s="1"/>
  <c r="AA332" i="73" s="1"/>
  <c r="AB332" i="73" s="1"/>
  <c r="AC332" i="73" s="1"/>
  <c r="AD332" i="73" s="1"/>
  <c r="AE332" i="73" s="1"/>
  <c r="AF332" i="73" s="1"/>
  <c r="AG332" i="73" s="1"/>
  <c r="AH332" i="73" s="1"/>
  <c r="AI332" i="73" s="1"/>
  <c r="AJ332" i="73" s="1"/>
  <c r="AK332" i="73" s="1"/>
  <c r="AL332" i="73" s="1"/>
  <c r="AM332" i="73" s="1"/>
  <c r="AN332" i="73" s="1"/>
  <c r="AO332" i="73" s="1"/>
  <c r="AP332" i="73" s="1"/>
  <c r="AQ332" i="73" s="1"/>
  <c r="AR332" i="73" s="1"/>
  <c r="AS332" i="73" s="1"/>
  <c r="AT332" i="73" s="1"/>
  <c r="AU332" i="73" s="1"/>
  <c r="AV332" i="73" s="1"/>
  <c r="AW332" i="73" s="1"/>
  <c r="AX332" i="73" s="1"/>
  <c r="AY332" i="73" s="1"/>
  <c r="AZ332" i="73" s="1"/>
  <c r="AZ331" i="73"/>
  <c r="AY331" i="73"/>
  <c r="AX331" i="73"/>
  <c r="AW331" i="73"/>
  <c r="AV331" i="73"/>
  <c r="AU331" i="73"/>
  <c r="AT331" i="73"/>
  <c r="AS331" i="73"/>
  <c r="AR331" i="73"/>
  <c r="AQ331" i="73"/>
  <c r="AP331" i="73"/>
  <c r="AO331" i="73"/>
  <c r="AN331" i="73"/>
  <c r="AM331" i="73"/>
  <c r="AL331" i="73"/>
  <c r="AK331" i="73"/>
  <c r="AJ331" i="73"/>
  <c r="AI331" i="73"/>
  <c r="AH331" i="73"/>
  <c r="AG331" i="73"/>
  <c r="AF331" i="73"/>
  <c r="AE331" i="73"/>
  <c r="AD331" i="73"/>
  <c r="AC331" i="73"/>
  <c r="AB331" i="73"/>
  <c r="AA331" i="73"/>
  <c r="Z331" i="73"/>
  <c r="Y331" i="73"/>
  <c r="X331" i="73"/>
  <c r="W331" i="73"/>
  <c r="V331" i="73"/>
  <c r="U331" i="73"/>
  <c r="T331" i="73"/>
  <c r="S331" i="73"/>
  <c r="R331" i="73"/>
  <c r="Q331" i="73"/>
  <c r="P331" i="73"/>
  <c r="O331" i="73"/>
  <c r="N331" i="73"/>
  <c r="M331" i="73"/>
  <c r="L331" i="73"/>
  <c r="K331" i="73"/>
  <c r="J331" i="73"/>
  <c r="I331" i="73"/>
  <c r="H331" i="73"/>
  <c r="AZ329" i="73"/>
  <c r="AY329" i="73"/>
  <c r="AX329" i="73"/>
  <c r="AW329" i="73"/>
  <c r="AV329" i="73"/>
  <c r="AU329" i="73"/>
  <c r="AT329" i="73"/>
  <c r="AS329" i="73"/>
  <c r="AR329" i="73"/>
  <c r="AQ329" i="73"/>
  <c r="AP329" i="73"/>
  <c r="AO329" i="73"/>
  <c r="AN329" i="73"/>
  <c r="AM329" i="73"/>
  <c r="AL329" i="73"/>
  <c r="AK329" i="73"/>
  <c r="AJ329" i="73"/>
  <c r="AI329" i="73"/>
  <c r="AH329" i="73"/>
  <c r="AG329" i="73"/>
  <c r="AF329" i="73"/>
  <c r="AE329" i="73"/>
  <c r="AD329" i="73"/>
  <c r="AC329" i="73"/>
  <c r="AB329" i="73"/>
  <c r="AA329" i="73"/>
  <c r="Z329" i="73"/>
  <c r="Y329" i="73"/>
  <c r="X329" i="73"/>
  <c r="W329" i="73"/>
  <c r="V329" i="73"/>
  <c r="U329" i="73"/>
  <c r="T329" i="73"/>
  <c r="S329" i="73"/>
  <c r="R329" i="73"/>
  <c r="Q329" i="73"/>
  <c r="P329" i="73"/>
  <c r="O329" i="73"/>
  <c r="N329" i="73"/>
  <c r="M329" i="73"/>
  <c r="L329" i="73"/>
  <c r="K329" i="73"/>
  <c r="J329" i="73"/>
  <c r="I329" i="73"/>
  <c r="H329" i="73"/>
  <c r="AZ327" i="73"/>
  <c r="AY327" i="73"/>
  <c r="AX327" i="73"/>
  <c r="AW327" i="73"/>
  <c r="AV327" i="73"/>
  <c r="AU327" i="73"/>
  <c r="AT327" i="73"/>
  <c r="AS327" i="73"/>
  <c r="AR327" i="73"/>
  <c r="AQ327" i="73"/>
  <c r="AP327" i="73"/>
  <c r="AO327" i="73"/>
  <c r="AN327" i="73"/>
  <c r="AM327" i="73"/>
  <c r="AL327" i="73"/>
  <c r="AK327" i="73"/>
  <c r="AJ327" i="73"/>
  <c r="AI327" i="73"/>
  <c r="AH327" i="73"/>
  <c r="AG327" i="73"/>
  <c r="AF327" i="73"/>
  <c r="AE327" i="73"/>
  <c r="AD327" i="73"/>
  <c r="AC327" i="73"/>
  <c r="AB327" i="73"/>
  <c r="AA327" i="73"/>
  <c r="Z327" i="73"/>
  <c r="Y327" i="73"/>
  <c r="X327" i="73"/>
  <c r="W327" i="73"/>
  <c r="V327" i="73"/>
  <c r="U327" i="73"/>
  <c r="T327" i="73"/>
  <c r="S327" i="73"/>
  <c r="R327" i="73"/>
  <c r="Q327" i="73"/>
  <c r="P327" i="73"/>
  <c r="O327" i="73"/>
  <c r="N327" i="73"/>
  <c r="M327" i="73"/>
  <c r="L327" i="73"/>
  <c r="K327" i="73"/>
  <c r="J327" i="73"/>
  <c r="I327" i="73"/>
  <c r="H327" i="73"/>
  <c r="AZ325" i="73"/>
  <c r="AY325" i="73"/>
  <c r="AX325" i="73"/>
  <c r="AW325" i="73"/>
  <c r="AV325" i="73"/>
  <c r="AU325" i="73"/>
  <c r="AT325" i="73"/>
  <c r="AS325" i="73"/>
  <c r="AR325" i="73"/>
  <c r="AQ325" i="73"/>
  <c r="AP325" i="73"/>
  <c r="AO325" i="73"/>
  <c r="AN325" i="73"/>
  <c r="AM325" i="73"/>
  <c r="AL325" i="73"/>
  <c r="AK325" i="73"/>
  <c r="AJ325" i="73"/>
  <c r="AI325" i="73"/>
  <c r="AH325" i="73"/>
  <c r="AG325" i="73"/>
  <c r="AF325" i="73"/>
  <c r="AE325" i="73"/>
  <c r="AD325" i="73"/>
  <c r="AC325" i="73"/>
  <c r="AB325" i="73"/>
  <c r="AA325" i="73"/>
  <c r="Z325" i="73"/>
  <c r="Y325" i="73"/>
  <c r="X325" i="73"/>
  <c r="W325" i="73"/>
  <c r="V325" i="73"/>
  <c r="U325" i="73"/>
  <c r="T325" i="73"/>
  <c r="S325" i="73"/>
  <c r="R325" i="73"/>
  <c r="Q325" i="73"/>
  <c r="P325" i="73"/>
  <c r="O325" i="73"/>
  <c r="N325" i="73"/>
  <c r="M325" i="73"/>
  <c r="L325" i="73"/>
  <c r="K325" i="73"/>
  <c r="J325" i="73"/>
  <c r="I325" i="73"/>
  <c r="H325" i="73"/>
  <c r="AZ323" i="73"/>
  <c r="AY323" i="73"/>
  <c r="AX323" i="73"/>
  <c r="AW323" i="73"/>
  <c r="AV323" i="73"/>
  <c r="AU323" i="73"/>
  <c r="AT323" i="73"/>
  <c r="AS323" i="73"/>
  <c r="AR323" i="73"/>
  <c r="AQ323" i="73"/>
  <c r="AP323" i="73"/>
  <c r="AO323" i="73"/>
  <c r="AN323" i="73"/>
  <c r="AM323" i="73"/>
  <c r="AL323" i="73"/>
  <c r="AK323" i="73"/>
  <c r="AJ323" i="73"/>
  <c r="AI323" i="73"/>
  <c r="AH323" i="73"/>
  <c r="AG323" i="73"/>
  <c r="AF323" i="73"/>
  <c r="AE323" i="73"/>
  <c r="AD323" i="73"/>
  <c r="AC323" i="73"/>
  <c r="AB323" i="73"/>
  <c r="AA323" i="73"/>
  <c r="Z323" i="73"/>
  <c r="Y323" i="73"/>
  <c r="X323" i="73"/>
  <c r="W323" i="73"/>
  <c r="V323" i="73"/>
  <c r="U323" i="73"/>
  <c r="T323" i="73"/>
  <c r="S323" i="73"/>
  <c r="R323" i="73"/>
  <c r="Q323" i="73"/>
  <c r="P323" i="73"/>
  <c r="O323" i="73"/>
  <c r="N323" i="73"/>
  <c r="M323" i="73"/>
  <c r="L323" i="73"/>
  <c r="K323" i="73"/>
  <c r="J323" i="73"/>
  <c r="I323" i="73"/>
  <c r="H323" i="73"/>
  <c r="AZ321" i="73"/>
  <c r="AY321" i="73"/>
  <c r="AX321" i="73"/>
  <c r="AW321" i="73"/>
  <c r="AV321" i="73"/>
  <c r="AU321" i="73"/>
  <c r="AT321" i="73"/>
  <c r="AS321" i="73"/>
  <c r="AR321" i="73"/>
  <c r="AQ321" i="73"/>
  <c r="AP321" i="73"/>
  <c r="AO321" i="73"/>
  <c r="AN321" i="73"/>
  <c r="AM321" i="73"/>
  <c r="AL321" i="73"/>
  <c r="AK321" i="73"/>
  <c r="AJ321" i="73"/>
  <c r="AI321" i="73"/>
  <c r="AH321" i="73"/>
  <c r="AG321" i="73"/>
  <c r="AF321" i="73"/>
  <c r="AE321" i="73"/>
  <c r="AD321" i="73"/>
  <c r="AC321" i="73"/>
  <c r="AB321" i="73"/>
  <c r="AA321" i="73"/>
  <c r="Z321" i="73"/>
  <c r="Y321" i="73"/>
  <c r="X321" i="73"/>
  <c r="W321" i="73"/>
  <c r="V321" i="73"/>
  <c r="U321" i="73"/>
  <c r="T321" i="73"/>
  <c r="S321" i="73"/>
  <c r="R321" i="73"/>
  <c r="Q321" i="73"/>
  <c r="P321" i="73"/>
  <c r="O321" i="73"/>
  <c r="N321" i="73"/>
  <c r="M321" i="73"/>
  <c r="L321" i="73"/>
  <c r="K321" i="73"/>
  <c r="J321" i="73"/>
  <c r="I321" i="73"/>
  <c r="H321" i="73"/>
  <c r="F319" i="73"/>
  <c r="E319" i="73"/>
  <c r="C319" i="73"/>
  <c r="B319" i="73"/>
  <c r="A319" i="73"/>
  <c r="F318" i="73"/>
  <c r="E318" i="73"/>
  <c r="C318" i="73"/>
  <c r="B318" i="73"/>
  <c r="A318" i="73"/>
  <c r="F317" i="73"/>
  <c r="E317" i="73"/>
  <c r="C317" i="73"/>
  <c r="B317" i="73"/>
  <c r="A317" i="73"/>
  <c r="F316" i="73"/>
  <c r="E316" i="73"/>
  <c r="C316" i="73"/>
  <c r="B316" i="73"/>
  <c r="A316" i="73"/>
  <c r="F315" i="73"/>
  <c r="E315" i="73"/>
  <c r="C315" i="73"/>
  <c r="B315" i="73"/>
  <c r="A315" i="73"/>
  <c r="F314" i="73"/>
  <c r="E314" i="73"/>
  <c r="C314" i="73"/>
  <c r="B314" i="73"/>
  <c r="A314" i="73"/>
  <c r="F313" i="73"/>
  <c r="E313" i="73"/>
  <c r="C313" i="73"/>
  <c r="B313" i="73"/>
  <c r="A313" i="73"/>
  <c r="F312" i="73"/>
  <c r="E312" i="73"/>
  <c r="C312" i="73"/>
  <c r="B312" i="73"/>
  <c r="A312" i="73"/>
  <c r="F311" i="73"/>
  <c r="E311" i="73"/>
  <c r="C311" i="73"/>
  <c r="B311" i="73"/>
  <c r="A311" i="73"/>
  <c r="F310" i="73"/>
  <c r="E310" i="73"/>
  <c r="C310" i="73"/>
  <c r="B310" i="73"/>
  <c r="A310" i="73"/>
  <c r="F309" i="73"/>
  <c r="E309" i="73"/>
  <c r="C309" i="73"/>
  <c r="B309" i="73"/>
  <c r="A309" i="73"/>
  <c r="F308" i="73"/>
  <c r="E308" i="73"/>
  <c r="C308" i="73"/>
  <c r="B308" i="73"/>
  <c r="A308" i="73"/>
  <c r="F307" i="73"/>
  <c r="E307" i="73"/>
  <c r="C307" i="73"/>
  <c r="B307" i="73"/>
  <c r="A307" i="73"/>
  <c r="F306" i="73"/>
  <c r="E306" i="73"/>
  <c r="C306" i="73"/>
  <c r="B306" i="73"/>
  <c r="A306" i="73"/>
  <c r="F305" i="73"/>
  <c r="E305" i="73"/>
  <c r="C305" i="73"/>
  <c r="B305" i="73"/>
  <c r="A305" i="73"/>
  <c r="F304" i="73"/>
  <c r="E304" i="73"/>
  <c r="C304" i="73"/>
  <c r="B304" i="73"/>
  <c r="A304" i="73"/>
  <c r="F303" i="73"/>
  <c r="E303" i="73"/>
  <c r="C303" i="73"/>
  <c r="B303" i="73"/>
  <c r="A303" i="73"/>
  <c r="F302" i="73"/>
  <c r="E302" i="73"/>
  <c r="C302" i="73"/>
  <c r="B302" i="73"/>
  <c r="A302" i="73"/>
  <c r="F301" i="73"/>
  <c r="E301" i="73"/>
  <c r="C301" i="73"/>
  <c r="B301" i="73"/>
  <c r="A301" i="73"/>
  <c r="F300" i="73"/>
  <c r="E300" i="73"/>
  <c r="C300" i="73"/>
  <c r="B300" i="73"/>
  <c r="A300" i="73"/>
  <c r="F299" i="73"/>
  <c r="E299" i="73"/>
  <c r="C299" i="73"/>
  <c r="B299" i="73"/>
  <c r="A299" i="73"/>
  <c r="F298" i="73"/>
  <c r="E298" i="73"/>
  <c r="C298" i="73"/>
  <c r="B298" i="73"/>
  <c r="A298" i="73"/>
  <c r="F297" i="73"/>
  <c r="E297" i="73"/>
  <c r="C297" i="73"/>
  <c r="B297" i="73"/>
  <c r="A297" i="73"/>
  <c r="F296" i="73"/>
  <c r="E296" i="73"/>
  <c r="C296" i="73"/>
  <c r="B296" i="73"/>
  <c r="A296" i="73"/>
  <c r="F295" i="73"/>
  <c r="E295" i="73"/>
  <c r="C295" i="73"/>
  <c r="B295" i="73"/>
  <c r="A295" i="73"/>
  <c r="F294" i="73"/>
  <c r="E294" i="73"/>
  <c r="C294" i="73"/>
  <c r="B294" i="73"/>
  <c r="A294" i="73"/>
  <c r="F293" i="73"/>
  <c r="E293" i="73"/>
  <c r="C293" i="73"/>
  <c r="B293" i="73"/>
  <c r="A293" i="73"/>
  <c r="F292" i="73"/>
  <c r="E292" i="73"/>
  <c r="C292" i="73"/>
  <c r="B292" i="73"/>
  <c r="A292" i="73"/>
  <c r="F291" i="73"/>
  <c r="E291" i="73"/>
  <c r="C291" i="73"/>
  <c r="B291" i="73"/>
  <c r="A291" i="73"/>
  <c r="F290" i="73"/>
  <c r="E290" i="73"/>
  <c r="C290" i="73"/>
  <c r="B290" i="73"/>
  <c r="A290" i="73"/>
  <c r="F289" i="73"/>
  <c r="E289" i="73"/>
  <c r="C289" i="73"/>
  <c r="B289" i="73"/>
  <c r="A289" i="73"/>
  <c r="F288" i="73"/>
  <c r="E288" i="73"/>
  <c r="C288" i="73"/>
  <c r="B288" i="73"/>
  <c r="A288" i="73"/>
  <c r="F287" i="73"/>
  <c r="E287" i="73"/>
  <c r="C287" i="73"/>
  <c r="B287" i="73"/>
  <c r="A287" i="73"/>
  <c r="F286" i="73"/>
  <c r="E286" i="73"/>
  <c r="C286" i="73"/>
  <c r="B286" i="73"/>
  <c r="A286" i="73"/>
  <c r="F285" i="73"/>
  <c r="E285" i="73"/>
  <c r="C285" i="73"/>
  <c r="B285" i="73"/>
  <c r="A285" i="73"/>
  <c r="F284" i="73"/>
  <c r="E284" i="73"/>
  <c r="C284" i="73"/>
  <c r="B284" i="73"/>
  <c r="A284" i="73"/>
  <c r="F283" i="73"/>
  <c r="E283" i="73"/>
  <c r="C283" i="73"/>
  <c r="B283" i="73"/>
  <c r="A283" i="73"/>
  <c r="F282" i="73"/>
  <c r="E282" i="73"/>
  <c r="C282" i="73"/>
  <c r="B282" i="73"/>
  <c r="A282" i="73"/>
  <c r="F281" i="73"/>
  <c r="E281" i="73"/>
  <c r="C281" i="73"/>
  <c r="B281" i="73"/>
  <c r="A281" i="73"/>
  <c r="F280" i="73"/>
  <c r="E280" i="73"/>
  <c r="C280" i="73"/>
  <c r="B280" i="73"/>
  <c r="A280" i="73"/>
  <c r="F279" i="73"/>
  <c r="E279" i="73"/>
  <c r="C279" i="73"/>
  <c r="B279" i="73"/>
  <c r="A279" i="73"/>
  <c r="F278" i="73"/>
  <c r="E278" i="73"/>
  <c r="C278" i="73"/>
  <c r="B278" i="73"/>
  <c r="A278" i="73"/>
  <c r="F277" i="73"/>
  <c r="E277" i="73"/>
  <c r="C277" i="73"/>
  <c r="B277" i="73"/>
  <c r="A277" i="73"/>
  <c r="F276" i="73"/>
  <c r="E276" i="73"/>
  <c r="C276" i="73"/>
  <c r="B276" i="73"/>
  <c r="A276" i="73"/>
  <c r="F275" i="73"/>
  <c r="E275" i="73"/>
  <c r="C275" i="73"/>
  <c r="B275" i="73"/>
  <c r="A275" i="73"/>
  <c r="F274" i="73"/>
  <c r="E274" i="73"/>
  <c r="C274" i="73"/>
  <c r="B274" i="73"/>
  <c r="A274" i="73"/>
  <c r="F273" i="73"/>
  <c r="E273" i="73"/>
  <c r="C273" i="73"/>
  <c r="B273" i="73"/>
  <c r="A273" i="73"/>
  <c r="F272" i="73"/>
  <c r="E272" i="73"/>
  <c r="C272" i="73"/>
  <c r="B272" i="73"/>
  <c r="A272" i="73"/>
  <c r="F271" i="73"/>
  <c r="E271" i="73"/>
  <c r="C271" i="73"/>
  <c r="B271" i="73"/>
  <c r="A271" i="73"/>
  <c r="F270" i="73"/>
  <c r="E270" i="73"/>
  <c r="C270" i="73"/>
  <c r="B270" i="73"/>
  <c r="A270" i="73"/>
  <c r="F269" i="73"/>
  <c r="E269" i="73"/>
  <c r="C269" i="73"/>
  <c r="B269" i="73"/>
  <c r="A269" i="73"/>
  <c r="F268" i="73"/>
  <c r="E268" i="73"/>
  <c r="C268" i="73"/>
  <c r="B268" i="73"/>
  <c r="A268" i="73"/>
  <c r="F267" i="73"/>
  <c r="E267" i="73"/>
  <c r="C267" i="73"/>
  <c r="B267" i="73"/>
  <c r="A267" i="73"/>
  <c r="F266" i="73"/>
  <c r="E266" i="73"/>
  <c r="C266" i="73"/>
  <c r="B266" i="73"/>
  <c r="A266" i="73"/>
  <c r="F265" i="73"/>
  <c r="E265" i="73"/>
  <c r="C265" i="73"/>
  <c r="B265" i="73"/>
  <c r="A265" i="73"/>
  <c r="F264" i="73"/>
  <c r="E264" i="73"/>
  <c r="C264" i="73"/>
  <c r="B264" i="73"/>
  <c r="A264" i="73"/>
  <c r="F263" i="73"/>
  <c r="E263" i="73"/>
  <c r="C263" i="73"/>
  <c r="B263" i="73"/>
  <c r="A263" i="73"/>
  <c r="F262" i="73"/>
  <c r="E262" i="73"/>
  <c r="C262" i="73"/>
  <c r="B262" i="73"/>
  <c r="A262" i="73"/>
  <c r="F261" i="73"/>
  <c r="E261" i="73"/>
  <c r="C261" i="73"/>
  <c r="B261" i="73"/>
  <c r="A261" i="73"/>
  <c r="F260" i="73"/>
  <c r="E260" i="73"/>
  <c r="C260" i="73"/>
  <c r="B260" i="73"/>
  <c r="A260" i="73"/>
  <c r="F259" i="73"/>
  <c r="E259" i="73"/>
  <c r="C259" i="73"/>
  <c r="B259" i="73"/>
  <c r="A259" i="73"/>
  <c r="F258" i="73"/>
  <c r="E258" i="73"/>
  <c r="C258" i="73"/>
  <c r="B258" i="73"/>
  <c r="A258" i="73"/>
  <c r="F257" i="73"/>
  <c r="E257" i="73"/>
  <c r="C257" i="73"/>
  <c r="B257" i="73"/>
  <c r="A257" i="73"/>
  <c r="F256" i="73"/>
  <c r="E256" i="73"/>
  <c r="C256" i="73"/>
  <c r="B256" i="73"/>
  <c r="A256" i="73"/>
  <c r="F255" i="73"/>
  <c r="E255" i="73"/>
  <c r="C255" i="73"/>
  <c r="B255" i="73"/>
  <c r="A255" i="73"/>
  <c r="K253" i="73"/>
  <c r="L253" i="73" s="1"/>
  <c r="M253" i="73" s="1"/>
  <c r="N253" i="73" s="1"/>
  <c r="O253" i="73" s="1"/>
  <c r="P253" i="73" s="1"/>
  <c r="Q253" i="73" s="1"/>
  <c r="R253" i="73" s="1"/>
  <c r="S253" i="73" s="1"/>
  <c r="T253" i="73" s="1"/>
  <c r="U253" i="73" s="1"/>
  <c r="V253" i="73" s="1"/>
  <c r="W253" i="73" s="1"/>
  <c r="X253" i="73" s="1"/>
  <c r="Y253" i="73" s="1"/>
  <c r="Z253" i="73" s="1"/>
  <c r="AA253" i="73" s="1"/>
  <c r="AB253" i="73" s="1"/>
  <c r="AC253" i="73" s="1"/>
  <c r="AD253" i="73" s="1"/>
  <c r="AE253" i="73" s="1"/>
  <c r="AF253" i="73" s="1"/>
  <c r="AG253" i="73" s="1"/>
  <c r="AH253" i="73" s="1"/>
  <c r="AI253" i="73" s="1"/>
  <c r="AJ253" i="73" s="1"/>
  <c r="AK253" i="73" s="1"/>
  <c r="AL253" i="73" s="1"/>
  <c r="AM253" i="73" s="1"/>
  <c r="AN253" i="73" s="1"/>
  <c r="AO253" i="73" s="1"/>
  <c r="AP253" i="73" s="1"/>
  <c r="AQ253" i="73" s="1"/>
  <c r="AR253" i="73" s="1"/>
  <c r="AS253" i="73" s="1"/>
  <c r="AT253" i="73" s="1"/>
  <c r="AU253" i="73" s="1"/>
  <c r="AV253" i="73" s="1"/>
  <c r="AW253" i="73" s="1"/>
  <c r="AX253" i="73" s="1"/>
  <c r="AY253" i="73" s="1"/>
  <c r="AZ253" i="73" s="1"/>
  <c r="J253" i="73"/>
  <c r="I253" i="73"/>
  <c r="K250" i="73"/>
  <c r="L250" i="73" s="1"/>
  <c r="M250" i="73" s="1"/>
  <c r="N250" i="73" s="1"/>
  <c r="O250" i="73" s="1"/>
  <c r="P250" i="73" s="1"/>
  <c r="Q250" i="73" s="1"/>
  <c r="R250" i="73" s="1"/>
  <c r="S250" i="73" s="1"/>
  <c r="T250" i="73" s="1"/>
  <c r="U250" i="73" s="1"/>
  <c r="V250" i="73" s="1"/>
  <c r="W250" i="73" s="1"/>
  <c r="X250" i="73" s="1"/>
  <c r="Y250" i="73" s="1"/>
  <c r="Z250" i="73" s="1"/>
  <c r="AA250" i="73" s="1"/>
  <c r="AB250" i="73" s="1"/>
  <c r="AC250" i="73" s="1"/>
  <c r="AD250" i="73" s="1"/>
  <c r="AE250" i="73" s="1"/>
  <c r="AF250" i="73" s="1"/>
  <c r="AG250" i="73" s="1"/>
  <c r="AH250" i="73" s="1"/>
  <c r="AI250" i="73" s="1"/>
  <c r="AJ250" i="73" s="1"/>
  <c r="AK250" i="73" s="1"/>
  <c r="AL250" i="73" s="1"/>
  <c r="AM250" i="73" s="1"/>
  <c r="AN250" i="73" s="1"/>
  <c r="AO250" i="73" s="1"/>
  <c r="AP250" i="73" s="1"/>
  <c r="AQ250" i="73" s="1"/>
  <c r="AR250" i="73" s="1"/>
  <c r="AS250" i="73" s="1"/>
  <c r="AT250" i="73" s="1"/>
  <c r="AU250" i="73" s="1"/>
  <c r="AV250" i="73" s="1"/>
  <c r="AW250" i="73" s="1"/>
  <c r="AX250" i="73" s="1"/>
  <c r="AY250" i="73" s="1"/>
  <c r="AZ250" i="73" s="1"/>
  <c r="J250" i="73"/>
  <c r="I250" i="73"/>
  <c r="AZ249" i="73"/>
  <c r="AY249" i="73"/>
  <c r="AX249" i="73"/>
  <c r="AW249" i="73"/>
  <c r="AV249" i="73"/>
  <c r="AU249" i="73"/>
  <c r="AT249" i="73"/>
  <c r="AS249" i="73"/>
  <c r="AR249" i="73"/>
  <c r="AQ249" i="73"/>
  <c r="AP249" i="73"/>
  <c r="AO249" i="73"/>
  <c r="AN249" i="73"/>
  <c r="AM249" i="73"/>
  <c r="AL249" i="73"/>
  <c r="AK249" i="73"/>
  <c r="AJ249" i="73"/>
  <c r="AI249" i="73"/>
  <c r="AH249" i="73"/>
  <c r="AG249" i="73"/>
  <c r="AF249" i="73"/>
  <c r="AE249" i="73"/>
  <c r="AD249" i="73"/>
  <c r="AC249" i="73"/>
  <c r="AB249" i="73"/>
  <c r="AA249" i="73"/>
  <c r="Z249" i="73"/>
  <c r="Y249" i="73"/>
  <c r="X249" i="73"/>
  <c r="W249" i="73"/>
  <c r="V249" i="73"/>
  <c r="U249" i="73"/>
  <c r="T249" i="73"/>
  <c r="S249" i="73"/>
  <c r="R249" i="73"/>
  <c r="Q249" i="73"/>
  <c r="P249" i="73"/>
  <c r="O249" i="73"/>
  <c r="N249" i="73"/>
  <c r="M249" i="73"/>
  <c r="L249" i="73"/>
  <c r="K249" i="73"/>
  <c r="J249" i="73"/>
  <c r="I249" i="73"/>
  <c r="H249" i="73"/>
  <c r="AZ247" i="73"/>
  <c r="AY247" i="73"/>
  <c r="AX247" i="73"/>
  <c r="AW247" i="73"/>
  <c r="AV247" i="73"/>
  <c r="AU247" i="73"/>
  <c r="AT247" i="73"/>
  <c r="AS247" i="73"/>
  <c r="AR247" i="73"/>
  <c r="AQ247" i="73"/>
  <c r="AP247" i="73"/>
  <c r="AO247" i="73"/>
  <c r="AN247" i="73"/>
  <c r="AM247" i="73"/>
  <c r="AL247" i="73"/>
  <c r="AK247" i="73"/>
  <c r="AJ247" i="73"/>
  <c r="AI247" i="73"/>
  <c r="AH247" i="73"/>
  <c r="AG247" i="73"/>
  <c r="AF247" i="73"/>
  <c r="AE247" i="73"/>
  <c r="AD247" i="73"/>
  <c r="AC247" i="73"/>
  <c r="AB247" i="73"/>
  <c r="AA247" i="73"/>
  <c r="Z247" i="73"/>
  <c r="Y247" i="73"/>
  <c r="X247" i="73"/>
  <c r="W247" i="73"/>
  <c r="V247" i="73"/>
  <c r="U247" i="73"/>
  <c r="T247" i="73"/>
  <c r="S247" i="73"/>
  <c r="R247" i="73"/>
  <c r="Q247" i="73"/>
  <c r="P247" i="73"/>
  <c r="O247" i="73"/>
  <c r="N247" i="73"/>
  <c r="M247" i="73"/>
  <c r="L247" i="73"/>
  <c r="K247" i="73"/>
  <c r="J247" i="73"/>
  <c r="I247" i="73"/>
  <c r="H247" i="73"/>
  <c r="AZ245" i="73"/>
  <c r="AY245" i="73"/>
  <c r="AX245" i="73"/>
  <c r="AW245" i="73"/>
  <c r="AV245" i="73"/>
  <c r="AU245" i="73"/>
  <c r="AT245" i="73"/>
  <c r="AS245" i="73"/>
  <c r="AR245" i="73"/>
  <c r="AQ245" i="73"/>
  <c r="AP245" i="73"/>
  <c r="AO245" i="73"/>
  <c r="AN245" i="73"/>
  <c r="AM245" i="73"/>
  <c r="AL245" i="73"/>
  <c r="AK245" i="73"/>
  <c r="AJ245" i="73"/>
  <c r="AI245" i="73"/>
  <c r="AH245" i="73"/>
  <c r="AG245" i="73"/>
  <c r="AF245" i="73"/>
  <c r="AE245" i="73"/>
  <c r="AD245" i="73"/>
  <c r="AC245" i="73"/>
  <c r="AB245" i="73"/>
  <c r="AA245" i="73"/>
  <c r="Z245" i="73"/>
  <c r="Y245" i="73"/>
  <c r="X245" i="73"/>
  <c r="W245" i="73"/>
  <c r="V245" i="73"/>
  <c r="U245" i="73"/>
  <c r="T245" i="73"/>
  <c r="S245" i="73"/>
  <c r="R245" i="73"/>
  <c r="Q245" i="73"/>
  <c r="P245" i="73"/>
  <c r="O245" i="73"/>
  <c r="N245" i="73"/>
  <c r="M245" i="73"/>
  <c r="L245" i="73"/>
  <c r="K245" i="73"/>
  <c r="J245" i="73"/>
  <c r="I245" i="73"/>
  <c r="H245" i="73"/>
  <c r="AZ243" i="73"/>
  <c r="AY243" i="73"/>
  <c r="AX243" i="73"/>
  <c r="AW243" i="73"/>
  <c r="AV243" i="73"/>
  <c r="AU243" i="73"/>
  <c r="AT243" i="73"/>
  <c r="AS243" i="73"/>
  <c r="AR243" i="73"/>
  <c r="AQ243" i="73"/>
  <c r="AP243" i="73"/>
  <c r="AO243" i="73"/>
  <c r="AN243" i="73"/>
  <c r="AM243" i="73"/>
  <c r="AL243" i="73"/>
  <c r="AK243" i="73"/>
  <c r="AJ243" i="73"/>
  <c r="AI243" i="73"/>
  <c r="AH243" i="73"/>
  <c r="AG243" i="73"/>
  <c r="AF243" i="73"/>
  <c r="AE243" i="73"/>
  <c r="AD243" i="73"/>
  <c r="AC243" i="73"/>
  <c r="AB243" i="73"/>
  <c r="AA243" i="73"/>
  <c r="Z243" i="73"/>
  <c r="Y243" i="73"/>
  <c r="X243" i="73"/>
  <c r="W243" i="73"/>
  <c r="V243" i="73"/>
  <c r="U243" i="73"/>
  <c r="T243" i="73"/>
  <c r="S243" i="73"/>
  <c r="R243" i="73"/>
  <c r="Q243" i="73"/>
  <c r="P243" i="73"/>
  <c r="O243" i="73"/>
  <c r="N243" i="73"/>
  <c r="M243" i="73"/>
  <c r="L243" i="73"/>
  <c r="K243" i="73"/>
  <c r="J243" i="73"/>
  <c r="I243" i="73"/>
  <c r="H243" i="73"/>
  <c r="AZ241" i="73"/>
  <c r="AY241" i="73"/>
  <c r="AX241" i="73"/>
  <c r="AW241" i="73"/>
  <c r="AV241" i="73"/>
  <c r="AU241" i="73"/>
  <c r="AT241" i="73"/>
  <c r="AS241" i="73"/>
  <c r="AR241" i="73"/>
  <c r="AQ241" i="73"/>
  <c r="AP241" i="73"/>
  <c r="AO241" i="73"/>
  <c r="AN241" i="73"/>
  <c r="AM241" i="73"/>
  <c r="AL241" i="73"/>
  <c r="AK241" i="73"/>
  <c r="AJ241" i="73"/>
  <c r="AI241" i="73"/>
  <c r="AH241" i="73"/>
  <c r="AG241" i="73"/>
  <c r="AF241" i="73"/>
  <c r="AE241" i="73"/>
  <c r="AD241" i="73"/>
  <c r="AC241" i="73"/>
  <c r="AB241" i="73"/>
  <c r="AA241" i="73"/>
  <c r="Z241" i="73"/>
  <c r="Y241" i="73"/>
  <c r="X241" i="73"/>
  <c r="W241" i="73"/>
  <c r="V241" i="73"/>
  <c r="U241" i="73"/>
  <c r="T241" i="73"/>
  <c r="S241" i="73"/>
  <c r="R241" i="73"/>
  <c r="Q241" i="73"/>
  <c r="P241" i="73"/>
  <c r="O241" i="73"/>
  <c r="N241" i="73"/>
  <c r="M241" i="73"/>
  <c r="L241" i="73"/>
  <c r="K241" i="73"/>
  <c r="J241" i="73"/>
  <c r="I241" i="73"/>
  <c r="H241" i="73"/>
  <c r="AZ239" i="73"/>
  <c r="AY239" i="73"/>
  <c r="AX239" i="73"/>
  <c r="AW239" i="73"/>
  <c r="AV239" i="73"/>
  <c r="AU239" i="73"/>
  <c r="AT239" i="73"/>
  <c r="AS239" i="73"/>
  <c r="AR239" i="73"/>
  <c r="AQ239" i="73"/>
  <c r="AP239" i="73"/>
  <c r="AO239" i="73"/>
  <c r="AN239" i="73"/>
  <c r="AM239" i="73"/>
  <c r="AL239" i="73"/>
  <c r="AK239" i="73"/>
  <c r="AJ239" i="73"/>
  <c r="AI239" i="73"/>
  <c r="AH239" i="73"/>
  <c r="AG239" i="73"/>
  <c r="AF239" i="73"/>
  <c r="AE239" i="73"/>
  <c r="AD239" i="73"/>
  <c r="AC239" i="73"/>
  <c r="AB239" i="73"/>
  <c r="AA239" i="73"/>
  <c r="Z239" i="73"/>
  <c r="Y239" i="73"/>
  <c r="X239" i="73"/>
  <c r="W239" i="73"/>
  <c r="V239" i="73"/>
  <c r="U239" i="73"/>
  <c r="T239" i="73"/>
  <c r="S239" i="73"/>
  <c r="R239" i="73"/>
  <c r="Q239" i="73"/>
  <c r="P239" i="73"/>
  <c r="O239" i="73"/>
  <c r="N239" i="73"/>
  <c r="M239" i="73"/>
  <c r="L239" i="73"/>
  <c r="K239" i="73"/>
  <c r="J239" i="73"/>
  <c r="I239" i="73"/>
  <c r="H239" i="73"/>
  <c r="F237" i="73"/>
  <c r="E237" i="73"/>
  <c r="C237" i="73"/>
  <c r="B237" i="73"/>
  <c r="A237" i="73"/>
  <c r="F236" i="73"/>
  <c r="E236" i="73"/>
  <c r="C236" i="73"/>
  <c r="B236" i="73"/>
  <c r="A236" i="73"/>
  <c r="F235" i="73"/>
  <c r="E235" i="73"/>
  <c r="C235" i="73"/>
  <c r="B235" i="73"/>
  <c r="A235" i="73"/>
  <c r="F234" i="73"/>
  <c r="E234" i="73"/>
  <c r="C234" i="73"/>
  <c r="B234" i="73"/>
  <c r="A234" i="73"/>
  <c r="F233" i="73"/>
  <c r="E233" i="73"/>
  <c r="C233" i="73"/>
  <c r="B233" i="73"/>
  <c r="A233" i="73"/>
  <c r="F232" i="73"/>
  <c r="E232" i="73"/>
  <c r="C232" i="73"/>
  <c r="B232" i="73"/>
  <c r="A232" i="73"/>
  <c r="F231" i="73"/>
  <c r="E231" i="73"/>
  <c r="C231" i="73"/>
  <c r="B231" i="73"/>
  <c r="A231" i="73"/>
  <c r="F230" i="73"/>
  <c r="E230" i="73"/>
  <c r="C230" i="73"/>
  <c r="B230" i="73"/>
  <c r="A230" i="73"/>
  <c r="F229" i="73"/>
  <c r="E229" i="73"/>
  <c r="C229" i="73"/>
  <c r="B229" i="73"/>
  <c r="A229" i="73"/>
  <c r="F228" i="73"/>
  <c r="E228" i="73"/>
  <c r="C228" i="73"/>
  <c r="B228" i="73"/>
  <c r="A228" i="73"/>
  <c r="F227" i="73"/>
  <c r="E227" i="73"/>
  <c r="C227" i="73"/>
  <c r="B227" i="73"/>
  <c r="A227" i="73"/>
  <c r="F226" i="73"/>
  <c r="E226" i="73"/>
  <c r="C226" i="73"/>
  <c r="B226" i="73"/>
  <c r="A226" i="73"/>
  <c r="F225" i="73"/>
  <c r="E225" i="73"/>
  <c r="C225" i="73"/>
  <c r="B225" i="73"/>
  <c r="A225" i="73"/>
  <c r="F224" i="73"/>
  <c r="E224" i="73"/>
  <c r="C224" i="73"/>
  <c r="B224" i="73"/>
  <c r="A224" i="73"/>
  <c r="F223" i="73"/>
  <c r="E223" i="73"/>
  <c r="C223" i="73"/>
  <c r="B223" i="73"/>
  <c r="A223" i="73"/>
  <c r="F222" i="73"/>
  <c r="E222" i="73"/>
  <c r="C222" i="73"/>
  <c r="B222" i="73"/>
  <c r="A222" i="73"/>
  <c r="F221" i="73"/>
  <c r="E221" i="73"/>
  <c r="C221" i="73"/>
  <c r="B221" i="73"/>
  <c r="A221" i="73"/>
  <c r="F220" i="73"/>
  <c r="E220" i="73"/>
  <c r="C220" i="73"/>
  <c r="B220" i="73"/>
  <c r="A220" i="73"/>
  <c r="F219" i="73"/>
  <c r="E219" i="73"/>
  <c r="C219" i="73"/>
  <c r="B219" i="73"/>
  <c r="A219" i="73"/>
  <c r="F218" i="73"/>
  <c r="E218" i="73"/>
  <c r="C218" i="73"/>
  <c r="B218" i="73"/>
  <c r="A218" i="73"/>
  <c r="F217" i="73"/>
  <c r="E217" i="73"/>
  <c r="C217" i="73"/>
  <c r="B217" i="73"/>
  <c r="A217" i="73"/>
  <c r="F216" i="73"/>
  <c r="E216" i="73"/>
  <c r="C216" i="73"/>
  <c r="B216" i="73"/>
  <c r="A216" i="73"/>
  <c r="F215" i="73"/>
  <c r="E215" i="73"/>
  <c r="C215" i="73"/>
  <c r="B215" i="73"/>
  <c r="A215" i="73"/>
  <c r="F214" i="73"/>
  <c r="E214" i="73"/>
  <c r="C214" i="73"/>
  <c r="B214" i="73"/>
  <c r="A214" i="73"/>
  <c r="F213" i="73"/>
  <c r="E213" i="73"/>
  <c r="C213" i="73"/>
  <c r="B213" i="73"/>
  <c r="A213" i="73"/>
  <c r="F212" i="73"/>
  <c r="E212" i="73"/>
  <c r="C212" i="73"/>
  <c r="B212" i="73"/>
  <c r="A212" i="73"/>
  <c r="F211" i="73"/>
  <c r="E211" i="73"/>
  <c r="C211" i="73"/>
  <c r="B211" i="73"/>
  <c r="A211" i="73"/>
  <c r="F210" i="73"/>
  <c r="E210" i="73"/>
  <c r="C210" i="73"/>
  <c r="B210" i="73"/>
  <c r="A210" i="73"/>
  <c r="F209" i="73"/>
  <c r="E209" i="73"/>
  <c r="C209" i="73"/>
  <c r="B209" i="73"/>
  <c r="A209" i="73"/>
  <c r="F208" i="73"/>
  <c r="E208" i="73"/>
  <c r="C208" i="73"/>
  <c r="B208" i="73"/>
  <c r="A208" i="73"/>
  <c r="F207" i="73"/>
  <c r="E207" i="73"/>
  <c r="C207" i="73"/>
  <c r="B207" i="73"/>
  <c r="A207" i="73"/>
  <c r="F206" i="73"/>
  <c r="E206" i="73"/>
  <c r="C206" i="73"/>
  <c r="B206" i="73"/>
  <c r="A206" i="73"/>
  <c r="F205" i="73"/>
  <c r="E205" i="73"/>
  <c r="C205" i="73"/>
  <c r="B205" i="73"/>
  <c r="A205" i="73"/>
  <c r="F204" i="73"/>
  <c r="E204" i="73"/>
  <c r="C204" i="73"/>
  <c r="B204" i="73"/>
  <c r="A204" i="73"/>
  <c r="F203" i="73"/>
  <c r="E203" i="73"/>
  <c r="C203" i="73"/>
  <c r="B203" i="73"/>
  <c r="A203" i="73"/>
  <c r="F202" i="73"/>
  <c r="E202" i="73"/>
  <c r="C202" i="73"/>
  <c r="B202" i="73"/>
  <c r="A202" i="73"/>
  <c r="F201" i="73"/>
  <c r="E201" i="73"/>
  <c r="C201" i="73"/>
  <c r="B201" i="73"/>
  <c r="A201" i="73"/>
  <c r="F200" i="73"/>
  <c r="E200" i="73"/>
  <c r="C200" i="73"/>
  <c r="B200" i="73"/>
  <c r="A200" i="73"/>
  <c r="F199" i="73"/>
  <c r="E199" i="73"/>
  <c r="C199" i="73"/>
  <c r="B199" i="73"/>
  <c r="A199" i="73"/>
  <c r="F198" i="73"/>
  <c r="E198" i="73"/>
  <c r="C198" i="73"/>
  <c r="B198" i="73"/>
  <c r="A198" i="73"/>
  <c r="F197" i="73"/>
  <c r="E197" i="73"/>
  <c r="C197" i="73"/>
  <c r="B197" i="73"/>
  <c r="A197" i="73"/>
  <c r="F196" i="73"/>
  <c r="E196" i="73"/>
  <c r="C196" i="73"/>
  <c r="B196" i="73"/>
  <c r="A196" i="73"/>
  <c r="F195" i="73"/>
  <c r="E195" i="73"/>
  <c r="C195" i="73"/>
  <c r="B195" i="73"/>
  <c r="A195" i="73"/>
  <c r="F194" i="73"/>
  <c r="E194" i="73"/>
  <c r="C194" i="73"/>
  <c r="B194" i="73"/>
  <c r="A194" i="73"/>
  <c r="F193" i="73"/>
  <c r="E193" i="73"/>
  <c r="C193" i="73"/>
  <c r="B193" i="73"/>
  <c r="A193" i="73"/>
  <c r="F192" i="73"/>
  <c r="E192" i="73"/>
  <c r="C192" i="73"/>
  <c r="B192" i="73"/>
  <c r="A192" i="73"/>
  <c r="F191" i="73"/>
  <c r="E191" i="73"/>
  <c r="C191" i="73"/>
  <c r="B191" i="73"/>
  <c r="A191" i="73"/>
  <c r="F190" i="73"/>
  <c r="E190" i="73"/>
  <c r="C190" i="73"/>
  <c r="B190" i="73"/>
  <c r="A190" i="73"/>
  <c r="F189" i="73"/>
  <c r="E189" i="73"/>
  <c r="C189" i="73"/>
  <c r="B189" i="73"/>
  <c r="A189" i="73"/>
  <c r="F188" i="73"/>
  <c r="E188" i="73"/>
  <c r="C188" i="73"/>
  <c r="B188" i="73"/>
  <c r="A188" i="73"/>
  <c r="F187" i="73"/>
  <c r="E187" i="73"/>
  <c r="C187" i="73"/>
  <c r="B187" i="73"/>
  <c r="A187" i="73"/>
  <c r="F186" i="73"/>
  <c r="E186" i="73"/>
  <c r="C186" i="73"/>
  <c r="B186" i="73"/>
  <c r="A186" i="73"/>
  <c r="F185" i="73"/>
  <c r="E185" i="73"/>
  <c r="C185" i="73"/>
  <c r="B185" i="73"/>
  <c r="A185" i="73"/>
  <c r="F184" i="73"/>
  <c r="E184" i="73"/>
  <c r="C184" i="73"/>
  <c r="B184" i="73"/>
  <c r="A184" i="73"/>
  <c r="F183" i="73"/>
  <c r="E183" i="73"/>
  <c r="C183" i="73"/>
  <c r="B183" i="73"/>
  <c r="A183" i="73"/>
  <c r="F182" i="73"/>
  <c r="E182" i="73"/>
  <c r="C182" i="73"/>
  <c r="B182" i="73"/>
  <c r="A182" i="73"/>
  <c r="F181" i="73"/>
  <c r="E181" i="73"/>
  <c r="C181" i="73"/>
  <c r="B181" i="73"/>
  <c r="A181" i="73"/>
  <c r="F180" i="73"/>
  <c r="E180" i="73"/>
  <c r="C180" i="73"/>
  <c r="B180" i="73"/>
  <c r="A180" i="73"/>
  <c r="F179" i="73"/>
  <c r="E179" i="73"/>
  <c r="C179" i="73"/>
  <c r="B179" i="73"/>
  <c r="A179" i="73"/>
  <c r="F178" i="73"/>
  <c r="E178" i="73"/>
  <c r="C178" i="73"/>
  <c r="B178" i="73"/>
  <c r="A178" i="73"/>
  <c r="F177" i="73"/>
  <c r="E177" i="73"/>
  <c r="C177" i="73"/>
  <c r="B177" i="73"/>
  <c r="A177" i="73"/>
  <c r="F176" i="73"/>
  <c r="E176" i="73"/>
  <c r="C176" i="73"/>
  <c r="B176" i="73"/>
  <c r="A176" i="73"/>
  <c r="F175" i="73"/>
  <c r="E175" i="73"/>
  <c r="C175" i="73"/>
  <c r="B175" i="73"/>
  <c r="A175" i="73"/>
  <c r="F174" i="73"/>
  <c r="E174" i="73"/>
  <c r="C174" i="73"/>
  <c r="B174" i="73"/>
  <c r="A174" i="73"/>
  <c r="F173" i="73"/>
  <c r="E173" i="73"/>
  <c r="C173" i="73"/>
  <c r="B173" i="73"/>
  <c r="A173" i="73"/>
  <c r="I171" i="73"/>
  <c r="J171" i="73" s="1"/>
  <c r="K171" i="73" s="1"/>
  <c r="L171" i="73" s="1"/>
  <c r="M171" i="73" s="1"/>
  <c r="N171" i="73" s="1"/>
  <c r="O171" i="73" s="1"/>
  <c r="P171" i="73" s="1"/>
  <c r="Q171" i="73" s="1"/>
  <c r="R171" i="73" s="1"/>
  <c r="S171" i="73" s="1"/>
  <c r="T171" i="73" s="1"/>
  <c r="U171" i="73" s="1"/>
  <c r="V171" i="73" s="1"/>
  <c r="W171" i="73" s="1"/>
  <c r="X171" i="73" s="1"/>
  <c r="Y171" i="73" s="1"/>
  <c r="Z171" i="73" s="1"/>
  <c r="AA171" i="73" s="1"/>
  <c r="AB171" i="73" s="1"/>
  <c r="AC171" i="73" s="1"/>
  <c r="AD171" i="73" s="1"/>
  <c r="AE171" i="73" s="1"/>
  <c r="AF171" i="73" s="1"/>
  <c r="AG171" i="73" s="1"/>
  <c r="AH171" i="73" s="1"/>
  <c r="AI171" i="73" s="1"/>
  <c r="AJ171" i="73" s="1"/>
  <c r="AK171" i="73" s="1"/>
  <c r="AL171" i="73" s="1"/>
  <c r="AM171" i="73" s="1"/>
  <c r="AN171" i="73" s="1"/>
  <c r="AO171" i="73" s="1"/>
  <c r="AP171" i="73" s="1"/>
  <c r="AQ171" i="73" s="1"/>
  <c r="AR171" i="73" s="1"/>
  <c r="AS171" i="73" s="1"/>
  <c r="AT171" i="73" s="1"/>
  <c r="AU171" i="73" s="1"/>
  <c r="AV171" i="73" s="1"/>
  <c r="AW171" i="73" s="1"/>
  <c r="AX171" i="73" s="1"/>
  <c r="AY171" i="73" s="1"/>
  <c r="AZ171" i="73" s="1"/>
  <c r="I168" i="73"/>
  <c r="J168" i="73" s="1"/>
  <c r="K168" i="73" s="1"/>
  <c r="L168" i="73" s="1"/>
  <c r="M168" i="73" s="1"/>
  <c r="N168" i="73" s="1"/>
  <c r="O168" i="73" s="1"/>
  <c r="P168" i="73" s="1"/>
  <c r="Q168" i="73" s="1"/>
  <c r="R168" i="73" s="1"/>
  <c r="S168" i="73" s="1"/>
  <c r="T168" i="73" s="1"/>
  <c r="U168" i="73" s="1"/>
  <c r="V168" i="73" s="1"/>
  <c r="W168" i="73" s="1"/>
  <c r="X168" i="73" s="1"/>
  <c r="Y168" i="73" s="1"/>
  <c r="Z168" i="73" s="1"/>
  <c r="AA168" i="73" s="1"/>
  <c r="AB168" i="73" s="1"/>
  <c r="AC168" i="73" s="1"/>
  <c r="AD168" i="73" s="1"/>
  <c r="AE168" i="73" s="1"/>
  <c r="AF168" i="73" s="1"/>
  <c r="AG168" i="73" s="1"/>
  <c r="AH168" i="73" s="1"/>
  <c r="AI168" i="73" s="1"/>
  <c r="AJ168" i="73" s="1"/>
  <c r="AK168" i="73" s="1"/>
  <c r="AL168" i="73" s="1"/>
  <c r="AM168" i="73" s="1"/>
  <c r="AN168" i="73" s="1"/>
  <c r="AO168" i="73" s="1"/>
  <c r="AP168" i="73" s="1"/>
  <c r="AQ168" i="73" s="1"/>
  <c r="AR168" i="73" s="1"/>
  <c r="AS168" i="73" s="1"/>
  <c r="AT168" i="73" s="1"/>
  <c r="AU168" i="73" s="1"/>
  <c r="AV168" i="73" s="1"/>
  <c r="AW168" i="73" s="1"/>
  <c r="AX168" i="73" s="1"/>
  <c r="AY168" i="73" s="1"/>
  <c r="AZ168" i="73" s="1"/>
  <c r="AZ167" i="73"/>
  <c r="AY167" i="73"/>
  <c r="AX167" i="73"/>
  <c r="AW167" i="73"/>
  <c r="AV167" i="73"/>
  <c r="AU167" i="73"/>
  <c r="AT167" i="73"/>
  <c r="AS167" i="73"/>
  <c r="AR167" i="73"/>
  <c r="AQ167" i="73"/>
  <c r="AP167" i="73"/>
  <c r="AO167" i="73"/>
  <c r="AN167" i="73"/>
  <c r="AM167" i="73"/>
  <c r="AL167" i="73"/>
  <c r="AK167" i="73"/>
  <c r="AJ167" i="73"/>
  <c r="AI167" i="73"/>
  <c r="AH167" i="73"/>
  <c r="AG167" i="73"/>
  <c r="AF167" i="73"/>
  <c r="AE167" i="73"/>
  <c r="AD167" i="73"/>
  <c r="AC167" i="73"/>
  <c r="AB167" i="73"/>
  <c r="AA167" i="73"/>
  <c r="Z167" i="73"/>
  <c r="Y167" i="73"/>
  <c r="X167" i="73"/>
  <c r="W167" i="73"/>
  <c r="V167" i="73"/>
  <c r="U167" i="73"/>
  <c r="T167" i="73"/>
  <c r="S167" i="73"/>
  <c r="R167" i="73"/>
  <c r="Q167" i="73"/>
  <c r="P167" i="73"/>
  <c r="O167" i="73"/>
  <c r="N167" i="73"/>
  <c r="M167" i="73"/>
  <c r="L167" i="73"/>
  <c r="K167" i="73"/>
  <c r="J167" i="73"/>
  <c r="I167" i="73"/>
  <c r="H167" i="73"/>
  <c r="AZ165" i="73"/>
  <c r="AY165" i="73"/>
  <c r="AX165" i="73"/>
  <c r="AW165" i="73"/>
  <c r="AV165" i="73"/>
  <c r="AU165" i="73"/>
  <c r="AT165" i="73"/>
  <c r="AS165" i="73"/>
  <c r="AR165" i="73"/>
  <c r="AQ165" i="73"/>
  <c r="AP165" i="73"/>
  <c r="AO165" i="73"/>
  <c r="AN165" i="73"/>
  <c r="AM165" i="73"/>
  <c r="AL165" i="73"/>
  <c r="AK165" i="73"/>
  <c r="AJ165" i="73"/>
  <c r="AI165" i="73"/>
  <c r="AH165" i="73"/>
  <c r="AG165" i="73"/>
  <c r="AF165" i="73"/>
  <c r="AE165" i="73"/>
  <c r="AD165" i="73"/>
  <c r="AC165" i="73"/>
  <c r="AB165" i="73"/>
  <c r="AA165" i="73"/>
  <c r="Z165" i="73"/>
  <c r="Y165" i="73"/>
  <c r="X165" i="73"/>
  <c r="W165" i="73"/>
  <c r="V165" i="73"/>
  <c r="U165" i="73"/>
  <c r="T165" i="73"/>
  <c r="S165" i="73"/>
  <c r="R165" i="73"/>
  <c r="Q165" i="73"/>
  <c r="P165" i="73"/>
  <c r="O165" i="73"/>
  <c r="N165" i="73"/>
  <c r="M165" i="73"/>
  <c r="L165" i="73"/>
  <c r="K165" i="73"/>
  <c r="J165" i="73"/>
  <c r="I165" i="73"/>
  <c r="H165" i="73"/>
  <c r="AZ163" i="73"/>
  <c r="AY163" i="73"/>
  <c r="AX163" i="73"/>
  <c r="AW163" i="73"/>
  <c r="AV163" i="73"/>
  <c r="AU163" i="73"/>
  <c r="AT163" i="73"/>
  <c r="AS163" i="73"/>
  <c r="AR163" i="73"/>
  <c r="AQ163" i="73"/>
  <c r="AP163" i="73"/>
  <c r="AO163" i="73"/>
  <c r="AN163" i="73"/>
  <c r="AM163" i="73"/>
  <c r="AL163" i="73"/>
  <c r="AK163" i="73"/>
  <c r="AJ163" i="73"/>
  <c r="AI163" i="73"/>
  <c r="AH163" i="73"/>
  <c r="AG163" i="73"/>
  <c r="AF163" i="73"/>
  <c r="AE163" i="73"/>
  <c r="AD163" i="73"/>
  <c r="AC163" i="73"/>
  <c r="AB163" i="73"/>
  <c r="AA163" i="73"/>
  <c r="Z163" i="73"/>
  <c r="Y163" i="73"/>
  <c r="X163" i="73"/>
  <c r="W163" i="73"/>
  <c r="V163" i="73"/>
  <c r="U163" i="73"/>
  <c r="T163" i="73"/>
  <c r="S163" i="73"/>
  <c r="R163" i="73"/>
  <c r="Q163" i="73"/>
  <c r="P163" i="73"/>
  <c r="O163" i="73"/>
  <c r="N163" i="73"/>
  <c r="M163" i="73"/>
  <c r="L163" i="73"/>
  <c r="K163" i="73"/>
  <c r="J163" i="73"/>
  <c r="I163" i="73"/>
  <c r="H163" i="73"/>
  <c r="AZ161" i="73"/>
  <c r="AY161" i="73"/>
  <c r="AX161" i="73"/>
  <c r="AW161" i="73"/>
  <c r="AV161" i="73"/>
  <c r="AU161" i="73"/>
  <c r="AT161" i="73"/>
  <c r="AS161" i="73"/>
  <c r="AR161" i="73"/>
  <c r="AQ161" i="73"/>
  <c r="AP161" i="73"/>
  <c r="AO161" i="73"/>
  <c r="AN161" i="73"/>
  <c r="AM161" i="73"/>
  <c r="AL161" i="73"/>
  <c r="AK161" i="73"/>
  <c r="AJ161" i="73"/>
  <c r="AI161" i="73"/>
  <c r="AH161" i="73"/>
  <c r="AG161" i="73"/>
  <c r="AF161" i="73"/>
  <c r="AE161" i="73"/>
  <c r="AD161" i="73"/>
  <c r="AC161" i="73"/>
  <c r="AB161" i="73"/>
  <c r="AA161" i="73"/>
  <c r="Z161" i="73"/>
  <c r="Y161" i="73"/>
  <c r="X161" i="73"/>
  <c r="W161" i="73"/>
  <c r="V161" i="73"/>
  <c r="U161" i="73"/>
  <c r="T161" i="73"/>
  <c r="S161" i="73"/>
  <c r="R161" i="73"/>
  <c r="Q161" i="73"/>
  <c r="P161" i="73"/>
  <c r="O161" i="73"/>
  <c r="N161" i="73"/>
  <c r="M161" i="73"/>
  <c r="L161" i="73"/>
  <c r="K161" i="73"/>
  <c r="J161" i="73"/>
  <c r="I161" i="73"/>
  <c r="H161" i="73"/>
  <c r="AZ159" i="73"/>
  <c r="AY159" i="73"/>
  <c r="AX159" i="73"/>
  <c r="AW159" i="73"/>
  <c r="AV159" i="73"/>
  <c r="AU159" i="73"/>
  <c r="AT159" i="73"/>
  <c r="AS159" i="73"/>
  <c r="AR159" i="73"/>
  <c r="AQ159" i="73"/>
  <c r="AP159" i="73"/>
  <c r="AO159" i="73"/>
  <c r="AN159" i="73"/>
  <c r="AM159" i="73"/>
  <c r="AL159" i="73"/>
  <c r="AK159" i="73"/>
  <c r="AJ159" i="73"/>
  <c r="AI159" i="73"/>
  <c r="AH159" i="73"/>
  <c r="AG159" i="73"/>
  <c r="AF159" i="73"/>
  <c r="AE159" i="73"/>
  <c r="AD159" i="73"/>
  <c r="AC159" i="73"/>
  <c r="AB159" i="73"/>
  <c r="AA159" i="73"/>
  <c r="Z159" i="73"/>
  <c r="Y159" i="73"/>
  <c r="X159" i="73"/>
  <c r="W159" i="73"/>
  <c r="V159" i="73"/>
  <c r="U159" i="73"/>
  <c r="T159" i="73"/>
  <c r="S159" i="73"/>
  <c r="R159" i="73"/>
  <c r="Q159" i="73"/>
  <c r="P159" i="73"/>
  <c r="O159" i="73"/>
  <c r="N159" i="73"/>
  <c r="M159" i="73"/>
  <c r="L159" i="73"/>
  <c r="K159" i="73"/>
  <c r="J159" i="73"/>
  <c r="I159" i="73"/>
  <c r="H159" i="73"/>
  <c r="AZ157" i="73"/>
  <c r="AY157" i="73"/>
  <c r="AX157" i="73"/>
  <c r="AW157" i="73"/>
  <c r="AV157" i="73"/>
  <c r="AU157" i="73"/>
  <c r="AT157" i="73"/>
  <c r="AS157" i="73"/>
  <c r="AR157" i="73"/>
  <c r="AQ157" i="73"/>
  <c r="AP157" i="73"/>
  <c r="AO157" i="73"/>
  <c r="AN157" i="73"/>
  <c r="AM157" i="73"/>
  <c r="AL157" i="73"/>
  <c r="AK157" i="73"/>
  <c r="AJ157" i="73"/>
  <c r="AI157" i="73"/>
  <c r="AH157" i="73"/>
  <c r="AG157" i="73"/>
  <c r="AF157" i="73"/>
  <c r="AE157" i="73"/>
  <c r="AD157" i="73"/>
  <c r="AC157" i="73"/>
  <c r="AB157" i="73"/>
  <c r="AA157" i="73"/>
  <c r="Z157" i="73"/>
  <c r="Y157" i="73"/>
  <c r="X157" i="73"/>
  <c r="W157" i="73"/>
  <c r="V157" i="73"/>
  <c r="U157" i="73"/>
  <c r="T157" i="73"/>
  <c r="S157" i="73"/>
  <c r="R157" i="73"/>
  <c r="Q157" i="73"/>
  <c r="P157" i="73"/>
  <c r="O157" i="73"/>
  <c r="N157" i="73"/>
  <c r="M157" i="73"/>
  <c r="L157" i="73"/>
  <c r="K157" i="73"/>
  <c r="J157" i="73"/>
  <c r="I157" i="73"/>
  <c r="H157" i="73"/>
  <c r="F155" i="73"/>
  <c r="E155" i="73"/>
  <c r="C155" i="73"/>
  <c r="B155" i="73"/>
  <c r="A155" i="73"/>
  <c r="F154" i="73"/>
  <c r="E154" i="73"/>
  <c r="C154" i="73"/>
  <c r="B154" i="73"/>
  <c r="A154" i="73"/>
  <c r="F153" i="73"/>
  <c r="E153" i="73"/>
  <c r="C153" i="73"/>
  <c r="B153" i="73"/>
  <c r="A153" i="73"/>
  <c r="F152" i="73"/>
  <c r="E152" i="73"/>
  <c r="C152" i="73"/>
  <c r="B152" i="73"/>
  <c r="A152" i="73"/>
  <c r="F151" i="73"/>
  <c r="E151" i="73"/>
  <c r="C151" i="73"/>
  <c r="B151" i="73"/>
  <c r="A151" i="73"/>
  <c r="F150" i="73"/>
  <c r="E150" i="73"/>
  <c r="C150" i="73"/>
  <c r="B150" i="73"/>
  <c r="A150" i="73"/>
  <c r="F149" i="73"/>
  <c r="E149" i="73"/>
  <c r="C149" i="73"/>
  <c r="B149" i="73"/>
  <c r="A149" i="73"/>
  <c r="F148" i="73"/>
  <c r="E148" i="73"/>
  <c r="C148" i="73"/>
  <c r="B148" i="73"/>
  <c r="A148" i="73"/>
  <c r="F147" i="73"/>
  <c r="E147" i="73"/>
  <c r="C147" i="73"/>
  <c r="B147" i="73"/>
  <c r="A147" i="73"/>
  <c r="F146" i="73"/>
  <c r="E146" i="73"/>
  <c r="C146" i="73"/>
  <c r="B146" i="73"/>
  <c r="A146" i="73"/>
  <c r="F145" i="73"/>
  <c r="E145" i="73"/>
  <c r="C145" i="73"/>
  <c r="B145" i="73"/>
  <c r="A145" i="73"/>
  <c r="F144" i="73"/>
  <c r="E144" i="73"/>
  <c r="C144" i="73"/>
  <c r="B144" i="73"/>
  <c r="A144" i="73"/>
  <c r="F143" i="73"/>
  <c r="E143" i="73"/>
  <c r="C143" i="73"/>
  <c r="B143" i="73"/>
  <c r="A143" i="73"/>
  <c r="F142" i="73"/>
  <c r="E142" i="73"/>
  <c r="C142" i="73"/>
  <c r="B142" i="73"/>
  <c r="A142" i="73"/>
  <c r="F141" i="73"/>
  <c r="E141" i="73"/>
  <c r="C141" i="73"/>
  <c r="B141" i="73"/>
  <c r="A141" i="73"/>
  <c r="F140" i="73"/>
  <c r="E140" i="73"/>
  <c r="C140" i="73"/>
  <c r="B140" i="73"/>
  <c r="A140" i="73"/>
  <c r="F139" i="73"/>
  <c r="E139" i="73"/>
  <c r="C139" i="73"/>
  <c r="B139" i="73"/>
  <c r="A139" i="73"/>
  <c r="F138" i="73"/>
  <c r="E138" i="73"/>
  <c r="C138" i="73"/>
  <c r="B138" i="73"/>
  <c r="A138" i="73"/>
  <c r="F137" i="73"/>
  <c r="E137" i="73"/>
  <c r="C137" i="73"/>
  <c r="B137" i="73"/>
  <c r="A137" i="73"/>
  <c r="F136" i="73"/>
  <c r="E136" i="73"/>
  <c r="C136" i="73"/>
  <c r="B136" i="73"/>
  <c r="A136" i="73"/>
  <c r="F135" i="73"/>
  <c r="E135" i="73"/>
  <c r="C135" i="73"/>
  <c r="B135" i="73"/>
  <c r="A135" i="73"/>
  <c r="F134" i="73"/>
  <c r="E134" i="73"/>
  <c r="C134" i="73"/>
  <c r="B134" i="73"/>
  <c r="A134" i="73"/>
  <c r="F133" i="73"/>
  <c r="E133" i="73"/>
  <c r="C133" i="73"/>
  <c r="B133" i="73"/>
  <c r="A133" i="73"/>
  <c r="F132" i="73"/>
  <c r="E132" i="73"/>
  <c r="C132" i="73"/>
  <c r="B132" i="73"/>
  <c r="A132" i="73"/>
  <c r="F131" i="73"/>
  <c r="E131" i="73"/>
  <c r="C131" i="73"/>
  <c r="B131" i="73"/>
  <c r="A131" i="73"/>
  <c r="F130" i="73"/>
  <c r="E130" i="73"/>
  <c r="C130" i="73"/>
  <c r="B130" i="73"/>
  <c r="A130" i="73"/>
  <c r="F129" i="73"/>
  <c r="E129" i="73"/>
  <c r="C129" i="73"/>
  <c r="B129" i="73"/>
  <c r="A129" i="73"/>
  <c r="F128" i="73"/>
  <c r="E128" i="73"/>
  <c r="C128" i="73"/>
  <c r="B128" i="73"/>
  <c r="A128" i="73"/>
  <c r="F127" i="73"/>
  <c r="E127" i="73"/>
  <c r="C127" i="73"/>
  <c r="B127" i="73"/>
  <c r="A127" i="73"/>
  <c r="F126" i="73"/>
  <c r="E126" i="73"/>
  <c r="C126" i="73"/>
  <c r="B126" i="73"/>
  <c r="A126" i="73"/>
  <c r="F125" i="73"/>
  <c r="E125" i="73"/>
  <c r="C125" i="73"/>
  <c r="B125" i="73"/>
  <c r="A125" i="73"/>
  <c r="F124" i="73"/>
  <c r="E124" i="73"/>
  <c r="C124" i="73"/>
  <c r="B124" i="73"/>
  <c r="A124" i="73"/>
  <c r="F123" i="73"/>
  <c r="E123" i="73"/>
  <c r="C123" i="73"/>
  <c r="B123" i="73"/>
  <c r="A123" i="73"/>
  <c r="F122" i="73"/>
  <c r="E122" i="73"/>
  <c r="C122" i="73"/>
  <c r="B122" i="73"/>
  <c r="A122" i="73"/>
  <c r="F121" i="73"/>
  <c r="E121" i="73"/>
  <c r="C121" i="73"/>
  <c r="B121" i="73"/>
  <c r="A121" i="73"/>
  <c r="F120" i="73"/>
  <c r="E120" i="73"/>
  <c r="C120" i="73"/>
  <c r="B120" i="73"/>
  <c r="A120" i="73"/>
  <c r="F119" i="73"/>
  <c r="E119" i="73"/>
  <c r="C119" i="73"/>
  <c r="B119" i="73"/>
  <c r="A119" i="73"/>
  <c r="F118" i="73"/>
  <c r="E118" i="73"/>
  <c r="C118" i="73"/>
  <c r="B118" i="73"/>
  <c r="A118" i="73"/>
  <c r="F117" i="73"/>
  <c r="E117" i="73"/>
  <c r="C117" i="73"/>
  <c r="B117" i="73"/>
  <c r="A117" i="73"/>
  <c r="F116" i="73"/>
  <c r="E116" i="73"/>
  <c r="C116" i="73"/>
  <c r="B116" i="73"/>
  <c r="A116" i="73"/>
  <c r="F115" i="73"/>
  <c r="E115" i="73"/>
  <c r="C115" i="73"/>
  <c r="B115" i="73"/>
  <c r="A115" i="73"/>
  <c r="F114" i="73"/>
  <c r="E114" i="73"/>
  <c r="C114" i="73"/>
  <c r="B114" i="73"/>
  <c r="A114" i="73"/>
  <c r="F113" i="73"/>
  <c r="E113" i="73"/>
  <c r="C113" i="73"/>
  <c r="B113" i="73"/>
  <c r="A113" i="73"/>
  <c r="F112" i="73"/>
  <c r="E112" i="73"/>
  <c r="C112" i="73"/>
  <c r="B112" i="73"/>
  <c r="A112" i="73"/>
  <c r="F111" i="73"/>
  <c r="E111" i="73"/>
  <c r="C111" i="73"/>
  <c r="B111" i="73"/>
  <c r="A111" i="73"/>
  <c r="F110" i="73"/>
  <c r="E110" i="73"/>
  <c r="C110" i="73"/>
  <c r="B110" i="73"/>
  <c r="A110" i="73"/>
  <c r="F109" i="73"/>
  <c r="E109" i="73"/>
  <c r="C109" i="73"/>
  <c r="B109" i="73"/>
  <c r="A109" i="73"/>
  <c r="F108" i="73"/>
  <c r="E108" i="73"/>
  <c r="C108" i="73"/>
  <c r="B108" i="73"/>
  <c r="A108" i="73"/>
  <c r="F107" i="73"/>
  <c r="E107" i="73"/>
  <c r="C107" i="73"/>
  <c r="B107" i="73"/>
  <c r="A107" i="73"/>
  <c r="F106" i="73"/>
  <c r="E106" i="73"/>
  <c r="C106" i="73"/>
  <c r="B106" i="73"/>
  <c r="A106" i="73"/>
  <c r="F105" i="73"/>
  <c r="E105" i="73"/>
  <c r="C105" i="73"/>
  <c r="B105" i="73"/>
  <c r="A105" i="73"/>
  <c r="F104" i="73"/>
  <c r="E104" i="73"/>
  <c r="C104" i="73"/>
  <c r="B104" i="73"/>
  <c r="A104" i="73"/>
  <c r="F103" i="73"/>
  <c r="E103" i="73"/>
  <c r="C103" i="73"/>
  <c r="B103" i="73"/>
  <c r="A103" i="73"/>
  <c r="F102" i="73"/>
  <c r="E102" i="73"/>
  <c r="C102" i="73"/>
  <c r="B102" i="73"/>
  <c r="A102" i="73"/>
  <c r="F101" i="73"/>
  <c r="E101" i="73"/>
  <c r="C101" i="73"/>
  <c r="B101" i="73"/>
  <c r="A101" i="73"/>
  <c r="F100" i="73"/>
  <c r="E100" i="73"/>
  <c r="C100" i="73"/>
  <c r="B100" i="73"/>
  <c r="A100" i="73"/>
  <c r="F99" i="73"/>
  <c r="E99" i="73"/>
  <c r="C99" i="73"/>
  <c r="B99" i="73"/>
  <c r="A99" i="73"/>
  <c r="F98" i="73"/>
  <c r="E98" i="73"/>
  <c r="C98" i="73"/>
  <c r="B98" i="73"/>
  <c r="A98" i="73"/>
  <c r="F97" i="73"/>
  <c r="E97" i="73"/>
  <c r="C97" i="73"/>
  <c r="B97" i="73"/>
  <c r="A97" i="73"/>
  <c r="F96" i="73"/>
  <c r="E96" i="73"/>
  <c r="C96" i="73"/>
  <c r="B96" i="73"/>
  <c r="A96" i="73"/>
  <c r="F95" i="73"/>
  <c r="E95" i="73"/>
  <c r="C95" i="73"/>
  <c r="B95" i="73"/>
  <c r="A95" i="73"/>
  <c r="F94" i="73"/>
  <c r="E94" i="73"/>
  <c r="C94" i="73"/>
  <c r="B94" i="73"/>
  <c r="A94" i="73"/>
  <c r="F93" i="73"/>
  <c r="E93" i="73"/>
  <c r="C93" i="73"/>
  <c r="B93" i="73"/>
  <c r="A93" i="73"/>
  <c r="F92" i="73"/>
  <c r="E92" i="73"/>
  <c r="C92" i="73"/>
  <c r="B92" i="73"/>
  <c r="A92" i="73"/>
  <c r="F91" i="73"/>
  <c r="E91" i="73"/>
  <c r="C91" i="73"/>
  <c r="B91" i="73"/>
  <c r="A91" i="73"/>
  <c r="I89" i="73"/>
  <c r="J89" i="73" s="1"/>
  <c r="K89" i="73" s="1"/>
  <c r="L89" i="73" s="1"/>
  <c r="M89" i="73" s="1"/>
  <c r="N89" i="73" s="1"/>
  <c r="O89" i="73" s="1"/>
  <c r="P89" i="73" s="1"/>
  <c r="Q89" i="73" s="1"/>
  <c r="R89" i="73" s="1"/>
  <c r="S89" i="73" s="1"/>
  <c r="T89" i="73" s="1"/>
  <c r="U89" i="73" s="1"/>
  <c r="V89" i="73" s="1"/>
  <c r="W89" i="73" s="1"/>
  <c r="X89" i="73" s="1"/>
  <c r="Y89" i="73" s="1"/>
  <c r="Z89" i="73" s="1"/>
  <c r="AA89" i="73" s="1"/>
  <c r="AB89" i="73" s="1"/>
  <c r="AC89" i="73" s="1"/>
  <c r="AD89" i="73" s="1"/>
  <c r="AE89" i="73" s="1"/>
  <c r="AF89" i="73" s="1"/>
  <c r="AG89" i="73" s="1"/>
  <c r="AH89" i="73" s="1"/>
  <c r="AI89" i="73" s="1"/>
  <c r="AJ89" i="73" s="1"/>
  <c r="AK89" i="73" s="1"/>
  <c r="AL89" i="73" s="1"/>
  <c r="AM89" i="73" s="1"/>
  <c r="AN89" i="73" s="1"/>
  <c r="AO89" i="73" s="1"/>
  <c r="AP89" i="73" s="1"/>
  <c r="AQ89" i="73" s="1"/>
  <c r="AR89" i="73" s="1"/>
  <c r="AS89" i="73" s="1"/>
  <c r="AT89" i="73" s="1"/>
  <c r="AU89" i="73" s="1"/>
  <c r="AV89" i="73" s="1"/>
  <c r="AW89" i="73" s="1"/>
  <c r="AX89" i="73" s="1"/>
  <c r="AY89" i="73" s="1"/>
  <c r="AZ89" i="73" s="1"/>
  <c r="I86" i="73"/>
  <c r="J86" i="73" s="1"/>
  <c r="K86" i="73" s="1"/>
  <c r="L86" i="73" s="1"/>
  <c r="M86" i="73" s="1"/>
  <c r="N86" i="73" s="1"/>
  <c r="O86" i="73" s="1"/>
  <c r="P86" i="73" s="1"/>
  <c r="Q86" i="73" s="1"/>
  <c r="R86" i="73" s="1"/>
  <c r="S86" i="73" s="1"/>
  <c r="T86" i="73" s="1"/>
  <c r="U86" i="73" s="1"/>
  <c r="V86" i="73" s="1"/>
  <c r="W86" i="73" s="1"/>
  <c r="X86" i="73" s="1"/>
  <c r="Y86" i="73" s="1"/>
  <c r="Z86" i="73" s="1"/>
  <c r="AA86" i="73" s="1"/>
  <c r="AB86" i="73" s="1"/>
  <c r="AC86" i="73" s="1"/>
  <c r="AD86" i="73" s="1"/>
  <c r="AE86" i="73" s="1"/>
  <c r="AF86" i="73" s="1"/>
  <c r="AG86" i="73" s="1"/>
  <c r="AH86" i="73" s="1"/>
  <c r="AI86" i="73" s="1"/>
  <c r="AJ86" i="73" s="1"/>
  <c r="AK86" i="73" s="1"/>
  <c r="AL86" i="73" s="1"/>
  <c r="AM86" i="73" s="1"/>
  <c r="AN86" i="73" s="1"/>
  <c r="AO86" i="73" s="1"/>
  <c r="AP86" i="73" s="1"/>
  <c r="AQ86" i="73" s="1"/>
  <c r="AR86" i="73" s="1"/>
  <c r="AS86" i="73" s="1"/>
  <c r="AT86" i="73" s="1"/>
  <c r="AU86" i="73" s="1"/>
  <c r="AV86" i="73" s="1"/>
  <c r="AW86" i="73" s="1"/>
  <c r="AX86" i="73" s="1"/>
  <c r="AY86" i="73" s="1"/>
  <c r="AZ86" i="73" s="1"/>
  <c r="AZ85" i="73"/>
  <c r="AY85" i="73"/>
  <c r="AX85" i="73"/>
  <c r="AW85" i="73"/>
  <c r="AV85" i="73"/>
  <c r="AU85" i="73"/>
  <c r="AT85" i="73"/>
  <c r="AS85" i="73"/>
  <c r="AR85" i="73"/>
  <c r="AQ85" i="73"/>
  <c r="AP85" i="73"/>
  <c r="AO85" i="73"/>
  <c r="AN85" i="73"/>
  <c r="AM85" i="73"/>
  <c r="AL85" i="73"/>
  <c r="AK85" i="73"/>
  <c r="AJ85" i="73"/>
  <c r="AI85" i="73"/>
  <c r="AH85" i="73"/>
  <c r="AG85" i="73"/>
  <c r="AF85" i="73"/>
  <c r="AE85" i="73"/>
  <c r="AD85" i="73"/>
  <c r="AC85" i="73"/>
  <c r="AB85" i="73"/>
  <c r="AA85" i="73"/>
  <c r="Z85" i="73"/>
  <c r="Y85" i="73"/>
  <c r="X85" i="73"/>
  <c r="W85" i="73"/>
  <c r="V85" i="73"/>
  <c r="U85" i="73"/>
  <c r="T85" i="73"/>
  <c r="S85" i="73"/>
  <c r="R85" i="73"/>
  <c r="Q85" i="73"/>
  <c r="P85" i="73"/>
  <c r="O85" i="73"/>
  <c r="N85" i="73"/>
  <c r="M85" i="73"/>
  <c r="L85" i="73"/>
  <c r="K85" i="73"/>
  <c r="J85" i="73"/>
  <c r="I85" i="73"/>
  <c r="H85" i="73"/>
  <c r="AZ83" i="73"/>
  <c r="AY83" i="73"/>
  <c r="AX83" i="73"/>
  <c r="AW83" i="73"/>
  <c r="AV83" i="73"/>
  <c r="AU83" i="73"/>
  <c r="AT83" i="73"/>
  <c r="AS83" i="73"/>
  <c r="AR83" i="73"/>
  <c r="AQ83" i="73"/>
  <c r="AP83" i="73"/>
  <c r="AO83" i="73"/>
  <c r="AN83" i="73"/>
  <c r="AM83" i="73"/>
  <c r="AL83" i="73"/>
  <c r="AK83" i="73"/>
  <c r="AJ83" i="73"/>
  <c r="AI83" i="73"/>
  <c r="AH83" i="73"/>
  <c r="AG83" i="73"/>
  <c r="AF83" i="73"/>
  <c r="AE83" i="73"/>
  <c r="AD83" i="73"/>
  <c r="AC83" i="73"/>
  <c r="AB83" i="73"/>
  <c r="AA83" i="73"/>
  <c r="Z83" i="73"/>
  <c r="Y83" i="73"/>
  <c r="X83" i="73"/>
  <c r="W83" i="73"/>
  <c r="V83" i="73"/>
  <c r="U83" i="73"/>
  <c r="T83" i="73"/>
  <c r="S83" i="73"/>
  <c r="R83" i="73"/>
  <c r="Q83" i="73"/>
  <c r="P83" i="73"/>
  <c r="O83" i="73"/>
  <c r="N83" i="73"/>
  <c r="M83" i="73"/>
  <c r="L83" i="73"/>
  <c r="K83" i="73"/>
  <c r="J83" i="73"/>
  <c r="I83" i="73"/>
  <c r="H83" i="73"/>
  <c r="AZ81" i="73"/>
  <c r="AY81" i="73"/>
  <c r="AX81" i="73"/>
  <c r="AW81" i="73"/>
  <c r="AV81" i="73"/>
  <c r="AU81" i="73"/>
  <c r="AT81" i="73"/>
  <c r="AS81" i="73"/>
  <c r="AR81" i="73"/>
  <c r="AQ81" i="73"/>
  <c r="AP81" i="73"/>
  <c r="AO81" i="73"/>
  <c r="AN81" i="73"/>
  <c r="AM81" i="73"/>
  <c r="AL81" i="73"/>
  <c r="AK81" i="73"/>
  <c r="AJ81" i="73"/>
  <c r="AI81" i="73"/>
  <c r="AH81" i="73"/>
  <c r="AG81" i="73"/>
  <c r="AF81" i="73"/>
  <c r="AE81" i="73"/>
  <c r="AD81" i="73"/>
  <c r="AC81" i="73"/>
  <c r="AB81" i="73"/>
  <c r="AA81" i="73"/>
  <c r="Z81" i="73"/>
  <c r="Y81" i="73"/>
  <c r="X81" i="73"/>
  <c r="W81" i="73"/>
  <c r="V81" i="73"/>
  <c r="U81" i="73"/>
  <c r="T81" i="73"/>
  <c r="S81" i="73"/>
  <c r="R81" i="73"/>
  <c r="Q81" i="73"/>
  <c r="P81" i="73"/>
  <c r="O81" i="73"/>
  <c r="N81" i="73"/>
  <c r="M81" i="73"/>
  <c r="L81" i="73"/>
  <c r="K81" i="73"/>
  <c r="J81" i="73"/>
  <c r="I81" i="73"/>
  <c r="H81" i="73"/>
  <c r="AZ79" i="73"/>
  <c r="AY79" i="73"/>
  <c r="AX79" i="73"/>
  <c r="AW79" i="73"/>
  <c r="AV79" i="73"/>
  <c r="AU79" i="73"/>
  <c r="AT79" i="73"/>
  <c r="AS79" i="73"/>
  <c r="AR79" i="73"/>
  <c r="AQ79" i="73"/>
  <c r="AP79" i="73"/>
  <c r="AO79" i="73"/>
  <c r="AN79" i="73"/>
  <c r="AM79" i="73"/>
  <c r="AL79" i="73"/>
  <c r="AK79" i="73"/>
  <c r="AJ79" i="73"/>
  <c r="AI79" i="73"/>
  <c r="AH79" i="73"/>
  <c r="AG79" i="73"/>
  <c r="AF79" i="73"/>
  <c r="AE79" i="73"/>
  <c r="AD79" i="73"/>
  <c r="AC79" i="73"/>
  <c r="AB79" i="73"/>
  <c r="AA79" i="73"/>
  <c r="Z79" i="73"/>
  <c r="Y79" i="73"/>
  <c r="X79" i="73"/>
  <c r="W79" i="73"/>
  <c r="V79" i="73"/>
  <c r="U79" i="73"/>
  <c r="T79" i="73"/>
  <c r="S79" i="73"/>
  <c r="R79" i="73"/>
  <c r="Q79" i="73"/>
  <c r="P79" i="73"/>
  <c r="O79" i="73"/>
  <c r="N79" i="73"/>
  <c r="M79" i="73"/>
  <c r="L79" i="73"/>
  <c r="K79" i="73"/>
  <c r="J79" i="73"/>
  <c r="I79" i="73"/>
  <c r="H79" i="73"/>
  <c r="AZ77" i="73"/>
  <c r="AY77" i="73"/>
  <c r="AX77" i="73"/>
  <c r="AW77" i="73"/>
  <c r="AV77" i="73"/>
  <c r="AU77" i="73"/>
  <c r="AT77" i="73"/>
  <c r="AS77" i="73"/>
  <c r="AR77" i="73"/>
  <c r="AQ77" i="73"/>
  <c r="AP77" i="73"/>
  <c r="AO77" i="73"/>
  <c r="AN77" i="73"/>
  <c r="AM77" i="73"/>
  <c r="AL77" i="73"/>
  <c r="AK77" i="73"/>
  <c r="AJ77" i="73"/>
  <c r="AI77" i="73"/>
  <c r="AH77" i="73"/>
  <c r="AG77" i="73"/>
  <c r="AF77" i="73"/>
  <c r="AE77" i="73"/>
  <c r="AD77" i="73"/>
  <c r="AC77" i="73"/>
  <c r="AB77" i="73"/>
  <c r="AA77" i="73"/>
  <c r="Z77" i="73"/>
  <c r="Y77" i="73"/>
  <c r="X77" i="73"/>
  <c r="W77" i="73"/>
  <c r="V77" i="73"/>
  <c r="U77" i="73"/>
  <c r="T77" i="73"/>
  <c r="S77" i="73"/>
  <c r="R77" i="73"/>
  <c r="Q77" i="73"/>
  <c r="P77" i="73"/>
  <c r="O77" i="73"/>
  <c r="N77" i="73"/>
  <c r="M77" i="73"/>
  <c r="L77" i="73"/>
  <c r="K77" i="73"/>
  <c r="J77" i="73"/>
  <c r="I77" i="73"/>
  <c r="H77" i="73"/>
  <c r="AZ75" i="73"/>
  <c r="AY75" i="73"/>
  <c r="AX75" i="73"/>
  <c r="AW75" i="73"/>
  <c r="AV75" i="73"/>
  <c r="AU75" i="73"/>
  <c r="AT75" i="73"/>
  <c r="AS75" i="73"/>
  <c r="AR75" i="73"/>
  <c r="AQ75" i="73"/>
  <c r="AP75" i="73"/>
  <c r="AO75" i="73"/>
  <c r="AN75" i="73"/>
  <c r="AM75" i="73"/>
  <c r="AL75" i="73"/>
  <c r="AK75" i="73"/>
  <c r="AJ75" i="73"/>
  <c r="AI75" i="73"/>
  <c r="AH75" i="73"/>
  <c r="AG75" i="73"/>
  <c r="AF75" i="73"/>
  <c r="AE75" i="73"/>
  <c r="AD75" i="73"/>
  <c r="AC75" i="73"/>
  <c r="AB75" i="73"/>
  <c r="AA75" i="73"/>
  <c r="Z75" i="73"/>
  <c r="Y75" i="73"/>
  <c r="X75" i="73"/>
  <c r="W75" i="73"/>
  <c r="V75" i="73"/>
  <c r="U75" i="73"/>
  <c r="T75" i="73"/>
  <c r="S75" i="73"/>
  <c r="R75" i="73"/>
  <c r="Q75" i="73"/>
  <c r="P75" i="73"/>
  <c r="O75" i="73"/>
  <c r="N75" i="73"/>
  <c r="M75" i="73"/>
  <c r="L75" i="73"/>
  <c r="K75" i="73"/>
  <c r="J75" i="73"/>
  <c r="I75" i="73"/>
  <c r="H75" i="73"/>
  <c r="F73" i="73"/>
  <c r="E73" i="73"/>
  <c r="C73" i="73"/>
  <c r="B73" i="73"/>
  <c r="A73" i="73"/>
  <c r="F72" i="73"/>
  <c r="E72" i="73"/>
  <c r="C72" i="73"/>
  <c r="B72" i="73"/>
  <c r="A72" i="73"/>
  <c r="F71" i="73"/>
  <c r="E71" i="73"/>
  <c r="C71" i="73"/>
  <c r="B71" i="73"/>
  <c r="A71" i="73"/>
  <c r="F70" i="73"/>
  <c r="E70" i="73"/>
  <c r="C70" i="73"/>
  <c r="B70" i="73"/>
  <c r="A70" i="73"/>
  <c r="F69" i="73"/>
  <c r="E69" i="73"/>
  <c r="C69" i="73"/>
  <c r="B69" i="73"/>
  <c r="A69" i="73"/>
  <c r="F68" i="73"/>
  <c r="E68" i="73"/>
  <c r="C68" i="73"/>
  <c r="B68" i="73"/>
  <c r="A68" i="73"/>
  <c r="F67" i="73"/>
  <c r="E67" i="73"/>
  <c r="C67" i="73"/>
  <c r="B67" i="73"/>
  <c r="A67" i="73"/>
  <c r="F66" i="73"/>
  <c r="E66" i="73"/>
  <c r="C66" i="73"/>
  <c r="B66" i="73"/>
  <c r="A66" i="73"/>
  <c r="F65" i="73"/>
  <c r="E65" i="73"/>
  <c r="C65" i="73"/>
  <c r="B65" i="73"/>
  <c r="A65" i="73"/>
  <c r="F64" i="73"/>
  <c r="E64" i="73"/>
  <c r="C64" i="73"/>
  <c r="B64" i="73"/>
  <c r="A64" i="73"/>
  <c r="F63" i="73"/>
  <c r="E63" i="73"/>
  <c r="C63" i="73"/>
  <c r="B63" i="73"/>
  <c r="A63" i="73"/>
  <c r="F62" i="73"/>
  <c r="E62" i="73"/>
  <c r="C62" i="73"/>
  <c r="B62" i="73"/>
  <c r="A62" i="73"/>
  <c r="F61" i="73"/>
  <c r="E61" i="73"/>
  <c r="C61" i="73"/>
  <c r="B61" i="73"/>
  <c r="A61" i="73"/>
  <c r="F60" i="73"/>
  <c r="E60" i="73"/>
  <c r="C60" i="73"/>
  <c r="B60" i="73"/>
  <c r="A60" i="73"/>
  <c r="F59" i="73"/>
  <c r="E59" i="73"/>
  <c r="C59" i="73"/>
  <c r="B59" i="73"/>
  <c r="A59" i="73"/>
  <c r="F58" i="73"/>
  <c r="E58" i="73"/>
  <c r="C58" i="73"/>
  <c r="B58" i="73"/>
  <c r="A58" i="73"/>
  <c r="F57" i="73"/>
  <c r="E57" i="73"/>
  <c r="C57" i="73"/>
  <c r="B57" i="73"/>
  <c r="A57" i="73"/>
  <c r="F56" i="73"/>
  <c r="E56" i="73"/>
  <c r="C56" i="73"/>
  <c r="B56" i="73"/>
  <c r="A56" i="73"/>
  <c r="F55" i="73"/>
  <c r="E55" i="73"/>
  <c r="C55" i="73"/>
  <c r="B55" i="73"/>
  <c r="A55" i="73"/>
  <c r="F54" i="73"/>
  <c r="E54" i="73"/>
  <c r="C54" i="73"/>
  <c r="B54" i="73"/>
  <c r="A54" i="73"/>
  <c r="F53" i="73"/>
  <c r="E53" i="73"/>
  <c r="C53" i="73"/>
  <c r="B53" i="73"/>
  <c r="A53" i="73"/>
  <c r="F52" i="73"/>
  <c r="E52" i="73"/>
  <c r="C52" i="73"/>
  <c r="B52" i="73"/>
  <c r="A52" i="73"/>
  <c r="F51" i="73"/>
  <c r="E51" i="73"/>
  <c r="C51" i="73"/>
  <c r="B51" i="73"/>
  <c r="A51" i="73"/>
  <c r="F50" i="73"/>
  <c r="E50" i="73"/>
  <c r="C50" i="73"/>
  <c r="B50" i="73"/>
  <c r="A50" i="73"/>
  <c r="F49" i="73"/>
  <c r="E49" i="73"/>
  <c r="C49" i="73"/>
  <c r="B49" i="73"/>
  <c r="A49" i="73"/>
  <c r="F48" i="73"/>
  <c r="E48" i="73"/>
  <c r="C48" i="73"/>
  <c r="B48" i="73"/>
  <c r="A48" i="73"/>
  <c r="F47" i="73"/>
  <c r="E47" i="73"/>
  <c r="C47" i="73"/>
  <c r="B47" i="73"/>
  <c r="A47" i="73"/>
  <c r="F46" i="73"/>
  <c r="E46" i="73"/>
  <c r="C46" i="73"/>
  <c r="B46" i="73"/>
  <c r="A46" i="73"/>
  <c r="F45" i="73"/>
  <c r="E45" i="73"/>
  <c r="C45" i="73"/>
  <c r="B45" i="73"/>
  <c r="A45" i="73"/>
  <c r="F44" i="73"/>
  <c r="E44" i="73"/>
  <c r="C44" i="73"/>
  <c r="B44" i="73"/>
  <c r="A44" i="73"/>
  <c r="F43" i="73"/>
  <c r="E43" i="73"/>
  <c r="C43" i="73"/>
  <c r="B43" i="73"/>
  <c r="A43" i="73"/>
  <c r="F42" i="73"/>
  <c r="E42" i="73"/>
  <c r="C42" i="73"/>
  <c r="B42" i="73"/>
  <c r="A42" i="73"/>
  <c r="F41" i="73"/>
  <c r="E41" i="73"/>
  <c r="C41" i="73"/>
  <c r="B41" i="73"/>
  <c r="A41" i="73"/>
  <c r="F40" i="73"/>
  <c r="E40" i="73"/>
  <c r="C40" i="73"/>
  <c r="B40" i="73"/>
  <c r="A40" i="73"/>
  <c r="F39" i="73"/>
  <c r="E39" i="73"/>
  <c r="C39" i="73"/>
  <c r="B39" i="73"/>
  <c r="A39" i="73"/>
  <c r="F38" i="73"/>
  <c r="E38" i="73"/>
  <c r="C38" i="73"/>
  <c r="B38" i="73"/>
  <c r="A38" i="73"/>
  <c r="F37" i="73"/>
  <c r="E37" i="73"/>
  <c r="C37" i="73"/>
  <c r="B37" i="73"/>
  <c r="A37" i="73"/>
  <c r="F36" i="73"/>
  <c r="E36" i="73"/>
  <c r="C36" i="73"/>
  <c r="B36" i="73"/>
  <c r="A36" i="73"/>
  <c r="F35" i="73"/>
  <c r="E35" i="73"/>
  <c r="C35" i="73"/>
  <c r="B35" i="73"/>
  <c r="A35" i="73"/>
  <c r="F34" i="73"/>
  <c r="E34" i="73"/>
  <c r="C34" i="73"/>
  <c r="B34" i="73"/>
  <c r="A34" i="73"/>
  <c r="F33" i="73"/>
  <c r="E33" i="73"/>
  <c r="C33" i="73"/>
  <c r="B33" i="73"/>
  <c r="A33" i="73"/>
  <c r="F32" i="73"/>
  <c r="E32" i="73"/>
  <c r="C32" i="73"/>
  <c r="B32" i="73"/>
  <c r="A32" i="73"/>
  <c r="F31" i="73"/>
  <c r="E31" i="73"/>
  <c r="C31" i="73"/>
  <c r="B31" i="73"/>
  <c r="A31" i="73"/>
  <c r="F30" i="73"/>
  <c r="E30" i="73"/>
  <c r="C30" i="73"/>
  <c r="B30" i="73"/>
  <c r="A30" i="73"/>
  <c r="F29" i="73"/>
  <c r="E29" i="73"/>
  <c r="C29" i="73"/>
  <c r="B29" i="73"/>
  <c r="A29" i="73"/>
  <c r="F28" i="73"/>
  <c r="E28" i="73"/>
  <c r="C28" i="73"/>
  <c r="B28" i="73"/>
  <c r="A28" i="73"/>
  <c r="F27" i="73"/>
  <c r="E27" i="73"/>
  <c r="C27" i="73"/>
  <c r="B27" i="73"/>
  <c r="A27" i="73"/>
  <c r="F26" i="73"/>
  <c r="E26" i="73"/>
  <c r="C26" i="73"/>
  <c r="B26" i="73"/>
  <c r="A26" i="73"/>
  <c r="F25" i="73"/>
  <c r="E25" i="73"/>
  <c r="C25" i="73"/>
  <c r="B25" i="73"/>
  <c r="A25" i="73"/>
  <c r="F24" i="73"/>
  <c r="E24" i="73"/>
  <c r="C24" i="73"/>
  <c r="B24" i="73"/>
  <c r="A24" i="73"/>
  <c r="F23" i="73"/>
  <c r="E23" i="73"/>
  <c r="C23" i="73"/>
  <c r="B23" i="73"/>
  <c r="A23" i="73"/>
  <c r="F22" i="73"/>
  <c r="E22" i="73"/>
  <c r="C22" i="73"/>
  <c r="B22" i="73"/>
  <c r="A22" i="73"/>
  <c r="F21" i="73"/>
  <c r="E21" i="73"/>
  <c r="C21" i="73"/>
  <c r="B21" i="73"/>
  <c r="A21" i="73"/>
  <c r="F20" i="73"/>
  <c r="E20" i="73"/>
  <c r="C20" i="73"/>
  <c r="B20" i="73"/>
  <c r="A20" i="73"/>
  <c r="F19" i="73"/>
  <c r="E19" i="73"/>
  <c r="C19" i="73"/>
  <c r="B19" i="73"/>
  <c r="A19" i="73"/>
  <c r="F18" i="73"/>
  <c r="E18" i="73"/>
  <c r="C18" i="73"/>
  <c r="B18" i="73"/>
  <c r="A18" i="73"/>
  <c r="F17" i="73"/>
  <c r="E17" i="73"/>
  <c r="C17" i="73"/>
  <c r="B17" i="73"/>
  <c r="A17" i="73"/>
  <c r="F16" i="73"/>
  <c r="E16" i="73"/>
  <c r="C16" i="73"/>
  <c r="B16" i="73"/>
  <c r="A16" i="73"/>
  <c r="F15" i="73"/>
  <c r="E15" i="73"/>
  <c r="C15" i="73"/>
  <c r="B15" i="73"/>
  <c r="A15" i="73"/>
  <c r="F14" i="73"/>
  <c r="E14" i="73"/>
  <c r="C14" i="73"/>
  <c r="B14" i="73"/>
  <c r="A14" i="73"/>
  <c r="F13" i="73"/>
  <c r="E13" i="73"/>
  <c r="C13" i="73"/>
  <c r="B13" i="73"/>
  <c r="A13" i="73"/>
  <c r="F12" i="73"/>
  <c r="E12" i="73"/>
  <c r="C12" i="73"/>
  <c r="B12" i="73"/>
  <c r="A12" i="73"/>
  <c r="F11" i="73"/>
  <c r="E11" i="73"/>
  <c r="C11" i="73"/>
  <c r="B11" i="73"/>
  <c r="A11" i="73"/>
  <c r="F10" i="73"/>
  <c r="E10" i="73"/>
  <c r="C10" i="73"/>
  <c r="B10" i="73"/>
  <c r="A10" i="73"/>
  <c r="F9" i="73"/>
  <c r="E9" i="73"/>
  <c r="C9" i="73"/>
  <c r="B9" i="73"/>
  <c r="A9" i="73"/>
  <c r="J7" i="73"/>
  <c r="K7" i="73" s="1"/>
  <c r="L7" i="73" s="1"/>
  <c r="M7" i="73" s="1"/>
  <c r="N7" i="73" s="1"/>
  <c r="O7" i="73" s="1"/>
  <c r="P7" i="73" s="1"/>
  <c r="Q7" i="73" s="1"/>
  <c r="R7" i="73" s="1"/>
  <c r="S7" i="73" s="1"/>
  <c r="T7" i="73" s="1"/>
  <c r="U7" i="73" s="1"/>
  <c r="V7" i="73" s="1"/>
  <c r="W7" i="73" s="1"/>
  <c r="X7" i="73" s="1"/>
  <c r="Y7" i="73" s="1"/>
  <c r="Z7" i="73" s="1"/>
  <c r="AA7" i="73" s="1"/>
  <c r="AB7" i="73" s="1"/>
  <c r="AC7" i="73" s="1"/>
  <c r="AD7" i="73" s="1"/>
  <c r="AE7" i="73" s="1"/>
  <c r="AF7" i="73" s="1"/>
  <c r="AG7" i="73" s="1"/>
  <c r="AH7" i="73" s="1"/>
  <c r="AI7" i="73" s="1"/>
  <c r="AJ7" i="73" s="1"/>
  <c r="AK7" i="73" s="1"/>
  <c r="AL7" i="73" s="1"/>
  <c r="AM7" i="73" s="1"/>
  <c r="AN7" i="73" s="1"/>
  <c r="AO7" i="73" s="1"/>
  <c r="AP7" i="73" s="1"/>
  <c r="AQ7" i="73" s="1"/>
  <c r="AR7" i="73" s="1"/>
  <c r="AS7" i="73" s="1"/>
  <c r="AT7" i="73" s="1"/>
  <c r="AU7" i="73" s="1"/>
  <c r="AV7" i="73" s="1"/>
  <c r="AW7" i="73" s="1"/>
  <c r="AX7" i="73" s="1"/>
  <c r="AY7" i="73" s="1"/>
  <c r="AZ7" i="73" s="1"/>
  <c r="I7" i="73"/>
  <c r="C53" i="72" l="1"/>
  <c r="N55" i="5"/>
  <c r="O55" i="5"/>
  <c r="C51" i="59"/>
  <c r="E51" i="59"/>
  <c r="G51" i="59"/>
  <c r="I51" i="59"/>
  <c r="B52" i="59"/>
  <c r="C52" i="59"/>
  <c r="D52" i="59"/>
  <c r="E52" i="59"/>
  <c r="F52" i="59"/>
  <c r="G52" i="59"/>
  <c r="H52" i="59"/>
  <c r="I52" i="59"/>
  <c r="J52" i="59"/>
  <c r="B53" i="59"/>
  <c r="C53" i="59"/>
  <c r="D53" i="59"/>
  <c r="E53" i="59"/>
  <c r="F53" i="59"/>
  <c r="G53" i="59"/>
  <c r="H53" i="59"/>
  <c r="I53" i="59"/>
  <c r="J53" i="59"/>
  <c r="I50" i="59"/>
  <c r="G50" i="59"/>
  <c r="E50" i="59"/>
  <c r="C50" i="59"/>
  <c r="C31" i="59"/>
  <c r="D31" i="59"/>
  <c r="E31" i="59"/>
  <c r="B58" i="59"/>
  <c r="C58" i="59"/>
  <c r="D58" i="59"/>
  <c r="E58" i="59"/>
  <c r="F58" i="59"/>
  <c r="G58" i="59"/>
  <c r="N19" i="59"/>
  <c r="H50" i="59" s="1"/>
  <c r="N20" i="59"/>
  <c r="F51" i="59" s="1"/>
  <c r="O23" i="59"/>
  <c r="B27" i="59"/>
  <c r="F57" i="59" s="1"/>
  <c r="B17" i="78"/>
  <c r="C17" i="78"/>
  <c r="C35" i="78"/>
  <c r="E46" i="79"/>
  <c r="L68" i="79"/>
  <c r="I68" i="79"/>
  <c r="F68" i="79"/>
  <c r="L46" i="79"/>
  <c r="D35" i="78"/>
  <c r="E17" i="78"/>
  <c r="E53" i="78"/>
  <c r="I46" i="79"/>
  <c r="F46" i="79"/>
  <c r="M68" i="79"/>
  <c r="J68" i="79"/>
  <c r="E35" i="78"/>
  <c r="D53" i="78"/>
  <c r="G68" i="79"/>
  <c r="M46" i="79"/>
  <c r="J46" i="79"/>
  <c r="G46" i="79"/>
  <c r="D46" i="79"/>
  <c r="E70" i="78"/>
  <c r="D17" i="78"/>
  <c r="K68" i="79"/>
  <c r="H68" i="79"/>
  <c r="E68" i="79"/>
  <c r="K46" i="79"/>
  <c r="H46" i="79"/>
  <c r="L5" i="72" l="1"/>
  <c r="L10" i="72" s="1"/>
  <c r="H5" i="72"/>
  <c r="H10" i="72" s="1"/>
  <c r="D5" i="72"/>
  <c r="D10" i="72" s="1"/>
  <c r="B21" i="5"/>
  <c r="J36" i="72"/>
  <c r="J40" i="72" s="1"/>
  <c r="F36" i="72"/>
  <c r="F40" i="72" s="1"/>
  <c r="K5" i="72"/>
  <c r="K10" i="72" s="1"/>
  <c r="G5" i="72"/>
  <c r="G10" i="72" s="1"/>
  <c r="B51" i="5"/>
  <c r="M36" i="72"/>
  <c r="M40" i="72" s="1"/>
  <c r="I36" i="72"/>
  <c r="I40" i="72" s="1"/>
  <c r="E36" i="72"/>
  <c r="E40" i="72" s="1"/>
  <c r="J5" i="72"/>
  <c r="J10" i="72" s="1"/>
  <c r="F5" i="72"/>
  <c r="F10" i="72" s="1"/>
  <c r="B41" i="5"/>
  <c r="L36" i="72"/>
  <c r="L40" i="72" s="1"/>
  <c r="H36" i="72"/>
  <c r="H40" i="72" s="1"/>
  <c r="M5" i="72"/>
  <c r="M10" i="72" s="1"/>
  <c r="I5" i="72"/>
  <c r="I10" i="72" s="1"/>
  <c r="E5" i="72"/>
  <c r="E10" i="72" s="1"/>
  <c r="B31" i="5"/>
  <c r="K36" i="72"/>
  <c r="K40" i="72" s="1"/>
  <c r="G36" i="72"/>
  <c r="G40" i="72" s="1"/>
  <c r="C54" i="5"/>
  <c r="C44" i="5"/>
  <c r="C34" i="5"/>
  <c r="C24" i="5"/>
  <c r="G57" i="59"/>
  <c r="B50" i="59"/>
  <c r="F50" i="59"/>
  <c r="J50" i="59"/>
  <c r="B57" i="59"/>
  <c r="D57" i="59"/>
  <c r="C57" i="59"/>
  <c r="E57" i="59"/>
  <c r="D50" i="59"/>
  <c r="H51" i="59"/>
  <c r="D51" i="59"/>
  <c r="B51" i="59"/>
  <c r="N23" i="59"/>
  <c r="J51" i="59"/>
  <c r="E7" i="59"/>
  <c r="F7" i="59"/>
  <c r="E66" i="79"/>
  <c r="L66" i="79"/>
  <c r="I66" i="79"/>
  <c r="J66" i="79"/>
  <c r="L67" i="79"/>
  <c r="M67" i="79"/>
  <c r="F67" i="79"/>
  <c r="K67" i="79"/>
  <c r="G66" i="79"/>
  <c r="M66" i="79"/>
  <c r="J67" i="79"/>
  <c r="G67" i="79"/>
  <c r="E69" i="79"/>
  <c r="K66" i="79"/>
  <c r="E67" i="79"/>
  <c r="F66" i="79"/>
  <c r="H67" i="79"/>
  <c r="I67" i="79"/>
  <c r="H66" i="79"/>
  <c r="H16" i="72" l="1"/>
  <c r="M26" i="72"/>
  <c r="I26" i="72"/>
  <c r="K16" i="72"/>
  <c r="G16" i="72"/>
  <c r="L26" i="72"/>
  <c r="H26" i="72"/>
  <c r="E46" i="72"/>
  <c r="E50" i="72" s="1"/>
  <c r="K26" i="72"/>
  <c r="J16" i="72"/>
  <c r="F16" i="72"/>
  <c r="G26" i="72"/>
  <c r="M16" i="72"/>
  <c r="I16" i="72"/>
  <c r="E16" i="72"/>
  <c r="J26" i="72"/>
  <c r="F26" i="72"/>
  <c r="L16" i="72"/>
  <c r="E26" i="72"/>
  <c r="H54" i="59"/>
  <c r="F54" i="5"/>
  <c r="N54" i="5" s="1"/>
  <c r="O54" i="5" s="1"/>
  <c r="M51" i="5"/>
  <c r="F44" i="5"/>
  <c r="N44" i="5" s="1"/>
  <c r="O44" i="5" s="1"/>
  <c r="M41" i="5"/>
  <c r="F34" i="5"/>
  <c r="N34" i="5" s="1"/>
  <c r="O34" i="5" s="1"/>
  <c r="E31" i="5"/>
  <c r="M31" i="5"/>
  <c r="F24" i="5"/>
  <c r="N24" i="5" s="1"/>
  <c r="O24" i="5" s="1"/>
  <c r="E51" i="5" l="1"/>
  <c r="O31" i="5"/>
  <c r="O51" i="5"/>
  <c r="O41" i="5"/>
  <c r="E21" i="5"/>
  <c r="E41" i="5"/>
  <c r="M21" i="5"/>
  <c r="F14" i="59"/>
  <c r="F13" i="59"/>
  <c r="F12" i="59"/>
  <c r="F11" i="59"/>
  <c r="E14" i="59"/>
  <c r="E13" i="59"/>
  <c r="E12" i="59"/>
  <c r="E11" i="59"/>
  <c r="B30" i="59"/>
  <c r="B29" i="59"/>
  <c r="B22" i="59"/>
  <c r="B21" i="59"/>
  <c r="B20" i="59"/>
  <c r="B19" i="59"/>
  <c r="B14" i="59"/>
  <c r="B13" i="59"/>
  <c r="B12" i="59"/>
  <c r="B11" i="59"/>
  <c r="B6" i="59"/>
  <c r="B5" i="59"/>
  <c r="B4" i="59"/>
  <c r="B3" i="59"/>
  <c r="D46" i="59" l="1"/>
  <c r="B23" i="59"/>
  <c r="E59" i="59"/>
  <c r="B59" i="59"/>
  <c r="F59" i="59"/>
  <c r="C59" i="59"/>
  <c r="G59" i="59"/>
  <c r="D59" i="59"/>
  <c r="B31" i="59"/>
  <c r="C60" i="59"/>
  <c r="G60" i="59"/>
  <c r="D60" i="59"/>
  <c r="E60" i="59"/>
  <c r="B60" i="59"/>
  <c r="F60" i="59"/>
  <c r="B44" i="59"/>
  <c r="E44" i="59"/>
  <c r="E46" i="59"/>
  <c r="B46" i="59"/>
  <c r="J4" i="59"/>
  <c r="B37" i="59" s="1"/>
  <c r="I4" i="59"/>
  <c r="C37" i="59" s="1"/>
  <c r="J5" i="59"/>
  <c r="B38" i="59" s="1"/>
  <c r="I5" i="59"/>
  <c r="C38" i="59" s="1"/>
  <c r="H5" i="59"/>
  <c r="D38" i="59" s="1"/>
  <c r="I6" i="59"/>
  <c r="C39" i="59" s="1"/>
  <c r="J6" i="59"/>
  <c r="B39" i="59" s="1"/>
  <c r="H6" i="59"/>
  <c r="D39" i="59" s="1"/>
  <c r="J3" i="59"/>
  <c r="I3" i="59"/>
  <c r="H3" i="59"/>
  <c r="D4" i="59"/>
  <c r="G3" i="59"/>
  <c r="G5" i="59"/>
  <c r="G6" i="59"/>
  <c r="G11" i="59"/>
  <c r="H11" i="59"/>
  <c r="G12" i="59"/>
  <c r="H12" i="59"/>
  <c r="G13" i="59"/>
  <c r="H13" i="59"/>
  <c r="G14" i="59"/>
  <c r="H14" i="59"/>
  <c r="O21" i="5"/>
  <c r="B61" i="59" l="1"/>
  <c r="F61" i="59"/>
  <c r="G61" i="59"/>
  <c r="E61" i="59"/>
  <c r="D61" i="59"/>
  <c r="C61" i="59"/>
  <c r="B36" i="59"/>
  <c r="J7" i="59"/>
  <c r="B40" i="59" s="1"/>
  <c r="D36" i="59"/>
  <c r="I7" i="59"/>
  <c r="C40" i="59" s="1"/>
  <c r="C36" i="59"/>
  <c r="G4" i="59"/>
  <c r="G7" i="59" s="1"/>
  <c r="E40" i="59" s="1"/>
  <c r="H4" i="59"/>
  <c r="D37" i="59" s="1"/>
  <c r="F47" i="79"/>
  <c r="K48" i="79"/>
  <c r="D48" i="79"/>
  <c r="D47" i="79"/>
  <c r="H48" i="79"/>
  <c r="E48" i="79"/>
  <c r="K47" i="79"/>
  <c r="H47" i="79"/>
  <c r="E47" i="79"/>
  <c r="J48" i="79"/>
  <c r="M47" i="79"/>
  <c r="J47" i="79"/>
  <c r="L48" i="79"/>
  <c r="I48" i="79"/>
  <c r="F48" i="79"/>
  <c r="L47" i="79"/>
  <c r="I47" i="79"/>
  <c r="M48" i="79"/>
  <c r="G48" i="79"/>
  <c r="G47" i="79"/>
  <c r="M15" i="72" l="1"/>
  <c r="M20" i="72" s="1"/>
  <c r="I15" i="72"/>
  <c r="I20" i="72" s="1"/>
  <c r="E15" i="72"/>
  <c r="E20" i="72" s="1"/>
  <c r="B32" i="5"/>
  <c r="K25" i="72"/>
  <c r="K30" i="72" s="1"/>
  <c r="G25" i="72"/>
  <c r="G30" i="72" s="1"/>
  <c r="L15" i="72"/>
  <c r="L20" i="72" s="1"/>
  <c r="H15" i="72"/>
  <c r="H20" i="72" s="1"/>
  <c r="D15" i="72"/>
  <c r="D20" i="72" s="1"/>
  <c r="B22" i="5"/>
  <c r="J25" i="72"/>
  <c r="J30" i="72" s="1"/>
  <c r="F25" i="72"/>
  <c r="F30" i="72" s="1"/>
  <c r="K15" i="72"/>
  <c r="K20" i="72" s="1"/>
  <c r="G15" i="72"/>
  <c r="G20" i="72" s="1"/>
  <c r="B52" i="5"/>
  <c r="M25" i="72"/>
  <c r="M30" i="72" s="1"/>
  <c r="I25" i="72"/>
  <c r="I30" i="72" s="1"/>
  <c r="I53" i="72" s="1"/>
  <c r="E25" i="72"/>
  <c r="E30" i="72" s="1"/>
  <c r="J15" i="72"/>
  <c r="J20" i="72" s="1"/>
  <c r="F15" i="72"/>
  <c r="F20" i="72" s="1"/>
  <c r="B42" i="5"/>
  <c r="L25" i="72"/>
  <c r="L30" i="72" s="1"/>
  <c r="H25" i="72"/>
  <c r="H30" i="72" s="1"/>
  <c r="D25" i="72"/>
  <c r="D30" i="72" s="1"/>
  <c r="H7" i="59"/>
  <c r="D40" i="59" s="1"/>
  <c r="F41" i="57"/>
  <c r="F35" i="57"/>
  <c r="F40" i="57"/>
  <c r="D33" i="57"/>
  <c r="C32" i="57"/>
  <c r="B31" i="57"/>
  <c r="M53" i="72" l="1"/>
  <c r="L53" i="72"/>
  <c r="E53" i="72"/>
  <c r="F53" i="72"/>
  <c r="E32" i="5"/>
  <c r="E36" i="5" s="1"/>
  <c r="B36" i="5"/>
  <c r="M32" i="5"/>
  <c r="H53" i="72"/>
  <c r="B56" i="5"/>
  <c r="M52" i="5"/>
  <c r="E52" i="5"/>
  <c r="E56" i="5" s="1"/>
  <c r="J53" i="72"/>
  <c r="M22" i="5"/>
  <c r="B26" i="5"/>
  <c r="E22" i="5"/>
  <c r="E26" i="5" s="1"/>
  <c r="G53" i="72"/>
  <c r="B46" i="5"/>
  <c r="M42" i="5"/>
  <c r="E42" i="5"/>
  <c r="E46" i="5" s="1"/>
  <c r="D53" i="72"/>
  <c r="K53" i="72"/>
  <c r="B41" i="57"/>
  <c r="F37" i="57"/>
  <c r="E34" i="57"/>
  <c r="C41" i="57"/>
  <c r="F39" i="57"/>
  <c r="E41" i="57"/>
  <c r="F38" i="57"/>
  <c r="D41" i="57"/>
  <c r="O32" i="5" l="1"/>
  <c r="M36" i="5"/>
  <c r="O42" i="5"/>
  <c r="M46" i="5"/>
  <c r="O52" i="5"/>
  <c r="M56" i="5"/>
  <c r="O22" i="5"/>
  <c r="M26" i="5"/>
  <c r="E39" i="59"/>
  <c r="E38" i="59"/>
  <c r="E37" i="59"/>
  <c r="E36" i="59"/>
  <c r="S23" i="59"/>
  <c r="J54" i="59" s="1"/>
  <c r="R23" i="59"/>
  <c r="F54" i="59" s="1"/>
  <c r="Q23" i="59"/>
  <c r="D54" i="59" s="1"/>
  <c r="P23" i="59"/>
  <c r="B54" i="59" s="1"/>
  <c r="L23" i="59"/>
  <c r="K23" i="59"/>
  <c r="G23" i="59"/>
  <c r="F23" i="59"/>
  <c r="E23" i="59"/>
  <c r="D23" i="59"/>
  <c r="C23" i="59"/>
  <c r="D7" i="59"/>
  <c r="C7" i="59"/>
  <c r="B7" i="59"/>
  <c r="C34" i="78"/>
  <c r="E52" i="78"/>
  <c r="E34" i="78"/>
  <c r="D16" i="78"/>
  <c r="C16" i="78"/>
  <c r="B16" i="78"/>
  <c r="E16" i="78"/>
  <c r="D52" i="78"/>
  <c r="E69" i="78"/>
  <c r="D34" i="78"/>
  <c r="C53" i="5" l="1"/>
  <c r="C43" i="5"/>
  <c r="C33" i="5"/>
  <c r="C23" i="5"/>
  <c r="M23" i="59"/>
  <c r="H23" i="59"/>
  <c r="E54" i="59" s="1"/>
  <c r="C56" i="5" l="1"/>
  <c r="F53" i="5"/>
  <c r="C26" i="5"/>
  <c r="F23" i="5"/>
  <c r="C36" i="5"/>
  <c r="F33" i="5"/>
  <c r="I54" i="59"/>
  <c r="C54" i="59"/>
  <c r="G54" i="59"/>
  <c r="C46" i="5"/>
  <c r="F43" i="5"/>
  <c r="G64" i="57"/>
  <c r="G56" i="57" s="1"/>
  <c r="F63" i="57"/>
  <c r="F55" i="57" s="1"/>
  <c r="E62" i="57"/>
  <c r="E54" i="57" s="1"/>
  <c r="D61" i="57"/>
  <c r="D53" i="57" s="1"/>
  <c r="C60" i="57"/>
  <c r="B59" i="57"/>
  <c r="Z78" i="58"/>
  <c r="AA76" i="58"/>
  <c r="Z76" i="58"/>
  <c r="O76" i="58"/>
  <c r="O80" i="58" s="1"/>
  <c r="N76" i="58"/>
  <c r="AA58" i="58"/>
  <c r="Y58" i="58"/>
  <c r="X58" i="58"/>
  <c r="X80" i="58" s="1"/>
  <c r="W58" i="58"/>
  <c r="V58" i="58"/>
  <c r="V80" i="58" s="1"/>
  <c r="U58" i="58"/>
  <c r="T58" i="58"/>
  <c r="T80" i="58" s="1"/>
  <c r="S58" i="58"/>
  <c r="R58" i="58"/>
  <c r="R80" i="58" s="1"/>
  <c r="Q58" i="58"/>
  <c r="P58" i="58"/>
  <c r="P80" i="58" s="1"/>
  <c r="O58" i="58"/>
  <c r="N58" i="58"/>
  <c r="N80" i="58" s="1"/>
  <c r="Z57" i="58"/>
  <c r="Z56" i="58"/>
  <c r="Z55" i="58"/>
  <c r="Z54" i="58"/>
  <c r="Z53" i="58"/>
  <c r="Z52" i="58"/>
  <c r="Z51" i="58"/>
  <c r="Z50" i="58"/>
  <c r="Z49" i="58"/>
  <c r="Z58" i="58" s="1"/>
  <c r="Y47" i="58"/>
  <c r="Y80" i="58" s="1"/>
  <c r="X47" i="58"/>
  <c r="W47" i="58"/>
  <c r="W80" i="58" s="1"/>
  <c r="V47" i="58"/>
  <c r="U47" i="58"/>
  <c r="U80" i="58" s="1"/>
  <c r="T47" i="58"/>
  <c r="S47" i="58"/>
  <c r="S80" i="58" s="1"/>
  <c r="R47" i="58"/>
  <c r="Q47" i="58"/>
  <c r="Q80" i="58" s="1"/>
  <c r="P47" i="58"/>
  <c r="O47" i="58"/>
  <c r="N47" i="58"/>
  <c r="Z46" i="58"/>
  <c r="Z45" i="58"/>
  <c r="Z44" i="58"/>
  <c r="Z43" i="58"/>
  <c r="Z42" i="58"/>
  <c r="Z41" i="58"/>
  <c r="Z40" i="58"/>
  <c r="Z39" i="58"/>
  <c r="Z38" i="58"/>
  <c r="Z37" i="58"/>
  <c r="Z36" i="58"/>
  <c r="Z35" i="58"/>
  <c r="Z34" i="58"/>
  <c r="Z33" i="58"/>
  <c r="Z32" i="58"/>
  <c r="Z31" i="58"/>
  <c r="Z30" i="58"/>
  <c r="Z29" i="58"/>
  <c r="Z28" i="58"/>
  <c r="Z27" i="58"/>
  <c r="Z26" i="58"/>
  <c r="Z25" i="58"/>
  <c r="Z24" i="58"/>
  <c r="AA23" i="58"/>
  <c r="Z23" i="58"/>
  <c r="AA22" i="58"/>
  <c r="Z22" i="58"/>
  <c r="AA21" i="58"/>
  <c r="Z21" i="58"/>
  <c r="AA20" i="58"/>
  <c r="Z20" i="58"/>
  <c r="AA19" i="58"/>
  <c r="Z19" i="58"/>
  <c r="AA18" i="58"/>
  <c r="Z18" i="58"/>
  <c r="AA17" i="58"/>
  <c r="Z17" i="58"/>
  <c r="AA16" i="58"/>
  <c r="AA47" i="58" s="1"/>
  <c r="Z16" i="58"/>
  <c r="Z47" i="58" s="1"/>
  <c r="C9" i="58"/>
  <c r="N23" i="5" l="1"/>
  <c r="F26" i="5"/>
  <c r="N43" i="5"/>
  <c r="F46" i="5"/>
  <c r="N33" i="5"/>
  <c r="F36" i="5"/>
  <c r="N53" i="5"/>
  <c r="F56" i="5"/>
  <c r="C52" i="57"/>
  <c r="B51" i="57"/>
  <c r="AA80" i="58"/>
  <c r="Z80" i="58"/>
  <c r="N46" i="5" l="1"/>
  <c r="O43" i="5"/>
  <c r="O46" i="5" s="1"/>
  <c r="N56" i="5"/>
  <c r="O53" i="5"/>
  <c r="O56" i="5" s="1"/>
  <c r="O33" i="5"/>
  <c r="O36" i="5" s="1"/>
  <c r="N36" i="5"/>
  <c r="N26" i="5"/>
  <c r="O23" i="5"/>
  <c r="O26" i="5" s="1"/>
  <c r="Y82" i="58"/>
  <c r="Q82" i="58"/>
  <c r="W82" i="58"/>
  <c r="O82" i="58"/>
  <c r="U82" i="58"/>
  <c r="S82" i="58"/>
  <c r="D58" i="5" l="1"/>
  <c r="K30" i="57"/>
  <c r="L30" i="57"/>
  <c r="M30" i="57"/>
  <c r="N30" i="57"/>
  <c r="J31" i="57"/>
  <c r="K31" i="57"/>
  <c r="J32" i="57"/>
  <c r="J33" i="57"/>
  <c r="J34" i="57"/>
  <c r="A59" i="57"/>
  <c r="H59" i="57"/>
  <c r="A60" i="57"/>
  <c r="H60" i="57"/>
  <c r="A61" i="57"/>
  <c r="H61" i="57"/>
  <c r="A62" i="57"/>
  <c r="H62" i="57"/>
  <c r="A63" i="57"/>
  <c r="H63" i="57"/>
  <c r="A64" i="57"/>
  <c r="H64" i="57"/>
  <c r="B65" i="57"/>
  <c r="C65" i="57"/>
  <c r="D65" i="57"/>
  <c r="E65" i="57"/>
  <c r="F65" i="57"/>
  <c r="G65" i="57"/>
  <c r="H65" i="57" l="1"/>
  <c r="H52" i="57"/>
  <c r="C57" i="57"/>
  <c r="F32" i="57"/>
  <c r="F34" i="57"/>
  <c r="C35" i="57"/>
  <c r="F33" i="57" l="1"/>
  <c r="B57" i="57"/>
  <c r="H51" i="57"/>
  <c r="E35" i="57"/>
  <c r="H56" i="57"/>
  <c r="G57" i="57"/>
  <c r="D57" i="57"/>
  <c r="H53" i="57"/>
  <c r="B35" i="57"/>
  <c r="F31" i="57"/>
  <c r="H54" i="57"/>
  <c r="E57" i="57"/>
  <c r="F57" i="57"/>
  <c r="H55" i="57"/>
  <c r="D35" i="57"/>
  <c r="H57" i="57" l="1"/>
</calcChain>
</file>

<file path=xl/comments1.xml><?xml version="1.0" encoding="utf-8"?>
<comments xmlns="http://schemas.openxmlformats.org/spreadsheetml/2006/main">
  <authors>
    <author>Sottile,Stephen</author>
  </authors>
  <commentList>
    <comment ref="G28" authorId="0">
      <text>
        <r>
          <rPr>
            <b/>
            <sz val="9"/>
            <color indexed="81"/>
            <rFont val="Tahoma"/>
            <family val="2"/>
          </rPr>
          <t>Sottile,Stephen:</t>
        </r>
        <r>
          <rPr>
            <sz val="9"/>
            <color indexed="81"/>
            <rFont val="Tahoma"/>
            <family val="2"/>
          </rPr>
          <t xml:space="preserve">
Note - All kWh savings from 2011-2013 reported for identical programs had 100% persistence for at least 2 years, with exception of DR 3 that has no persistence.
</t>
        </r>
      </text>
    </comment>
    <comment ref="F35" authorId="0">
      <text>
        <r>
          <rPr>
            <b/>
            <sz val="9"/>
            <color indexed="81"/>
            <rFont val="Tahoma"/>
            <family val="2"/>
          </rPr>
          <t>Sottile,Stephen:</t>
        </r>
        <r>
          <rPr>
            <sz val="9"/>
            <color indexed="81"/>
            <rFont val="Tahoma"/>
            <family val="2"/>
          </rPr>
          <t xml:space="preserve">
Cumulative Results do not reconcile to IESO reported numbers - 0.56% difference in cumulative net savings achieved. Total savings is from IESO numbers.  Savings in each year sum to less than IESO reported savings, therefore numbers in the appendix are conservative and result in lower LRAM and Conservation Results, hence lower rate impact to customers.</t>
        </r>
      </text>
    </comment>
    <comment ref="F41" authorId="0">
      <text>
        <r>
          <rPr>
            <b/>
            <sz val="9"/>
            <color indexed="81"/>
            <rFont val="Tahoma"/>
            <family val="2"/>
          </rPr>
          <t>Sottile,Stephen:</t>
        </r>
        <r>
          <rPr>
            <sz val="9"/>
            <color indexed="81"/>
            <rFont val="Tahoma"/>
            <family val="2"/>
          </rPr>
          <t xml:space="preserve">
Neither actual persisting savings, nor straightlining target savings will make the IESO reported, verified target progress match the sum based on calculations in this form. ACTUAL PERSISTING savings are used for calculation of LRAM and Load Forecast Adjustments</t>
        </r>
      </text>
    </comment>
    <comment ref="A51" authorId="0">
      <text>
        <r>
          <rPr>
            <b/>
            <sz val="9"/>
            <color indexed="81"/>
            <rFont val="Tahoma"/>
            <family val="2"/>
          </rPr>
          <t>Sottile,Stephen:</t>
        </r>
        <r>
          <rPr>
            <sz val="9"/>
            <color indexed="81"/>
            <rFont val="Tahoma"/>
            <family val="2"/>
          </rPr>
          <t xml:space="preserve">
Formulae corrected to display correct sums and percentages based on planned numbers and actual target - rather than assumption of exactly 100% achievement  - now refelcts actual plan submitted
</t>
        </r>
      </text>
    </comment>
    <comment ref="B51" authorId="0">
      <text>
        <r>
          <rPr>
            <b/>
            <sz val="9"/>
            <color indexed="81"/>
            <rFont val="Tahoma"/>
            <family val="2"/>
          </rPr>
          <t>Sottile,Stephen:</t>
        </r>
        <r>
          <rPr>
            <sz val="9"/>
            <color indexed="81"/>
            <rFont val="Tahoma"/>
            <family val="2"/>
          </rPr>
          <t xml:space="preserve">
Sottile,Stephen:
Numbers taken from Kingston Hydro's 2015-2020 Conservation Plan filed with the IESO
</t>
        </r>
      </text>
    </comment>
    <comment ref="B59" authorId="0">
      <text>
        <r>
          <rPr>
            <b/>
            <sz val="9"/>
            <color indexed="81"/>
            <rFont val="Tahoma"/>
            <family val="2"/>
          </rPr>
          <t>Sottile,Stephen:</t>
        </r>
        <r>
          <rPr>
            <sz val="9"/>
            <color indexed="81"/>
            <rFont val="Tahoma"/>
            <family val="2"/>
          </rPr>
          <t xml:space="preserve">
Numbers taken from Kingston Hydro's 2015-2020 Conservation Plan filed with the IESO
</t>
        </r>
      </text>
    </comment>
  </commentList>
</comments>
</file>

<file path=xl/comments2.xml><?xml version="1.0" encoding="utf-8"?>
<comments xmlns="http://schemas.openxmlformats.org/spreadsheetml/2006/main">
  <authors>
    <author>Sottile,Stephen</author>
  </authors>
  <commentList>
    <comment ref="C116" authorId="0">
      <text>
        <r>
          <rPr>
            <b/>
            <sz val="9"/>
            <color indexed="81"/>
            <rFont val="Tahoma"/>
            <family val="2"/>
          </rPr>
          <t>Sottile,Stephen:</t>
        </r>
        <r>
          <rPr>
            <sz val="9"/>
            <color indexed="81"/>
            <rFont val="Tahoma"/>
            <family val="2"/>
          </rPr>
          <t xml:space="preserve">
Assume 4 year persistence as in past years
</t>
        </r>
      </text>
    </comment>
    <comment ref="C117" authorId="0">
      <text>
        <r>
          <rPr>
            <b/>
            <sz val="9"/>
            <color indexed="81"/>
            <rFont val="Tahoma"/>
            <family val="2"/>
          </rPr>
          <t>Sottile,Stephen:</t>
        </r>
        <r>
          <rPr>
            <sz val="9"/>
            <color indexed="81"/>
            <rFont val="Tahoma"/>
            <family val="2"/>
          </rPr>
          <t xml:space="preserve">
15 yr persistence as per previous years
</t>
        </r>
      </text>
    </comment>
    <comment ref="C118" authorId="0">
      <text>
        <r>
          <rPr>
            <b/>
            <sz val="9"/>
            <color indexed="81"/>
            <rFont val="Tahoma"/>
            <family val="2"/>
          </rPr>
          <t>Sottile,Stephen:</t>
        </r>
        <r>
          <rPr>
            <sz val="9"/>
            <color indexed="81"/>
            <rFont val="Tahoma"/>
            <family val="2"/>
          </rPr>
          <t xml:space="preserve">
Persistence modelled at  2013 Retrofit Program savings persistence decay rate
  </t>
        </r>
      </text>
    </comment>
    <comment ref="C119" authorId="0">
      <text>
        <r>
          <rPr>
            <b/>
            <sz val="9"/>
            <color indexed="81"/>
            <rFont val="Tahoma"/>
            <family val="2"/>
          </rPr>
          <t>Sottile,Stephen:</t>
        </r>
        <r>
          <rPr>
            <sz val="9"/>
            <color indexed="81"/>
            <rFont val="Tahoma"/>
            <family val="2"/>
          </rPr>
          <t xml:space="preserve">
Savings all modelled after 2013 savings decay rate
</t>
        </r>
      </text>
    </comment>
    <comment ref="D119" authorId="0">
      <text>
        <r>
          <rPr>
            <b/>
            <sz val="9"/>
            <color indexed="81"/>
            <rFont val="Tahoma"/>
            <family val="2"/>
          </rPr>
          <t>Sottile,Stephen:</t>
        </r>
        <r>
          <rPr>
            <sz val="9"/>
            <color indexed="81"/>
            <rFont val="Tahoma"/>
            <family val="2"/>
          </rPr>
          <t xml:space="preserve">
Savings modeled as per 2013 savings decay rate
</t>
        </r>
      </text>
    </comment>
  </commentList>
</comments>
</file>

<file path=xl/comments3.xml><?xml version="1.0" encoding="utf-8"?>
<comments xmlns="http://schemas.openxmlformats.org/spreadsheetml/2006/main">
  <authors>
    <author>Sottile,Stephen</author>
  </authors>
  <commentList>
    <comment ref="A36" authorId="0">
      <text>
        <r>
          <rPr>
            <b/>
            <sz val="9"/>
            <color indexed="81"/>
            <rFont val="Tahoma"/>
            <family val="2"/>
          </rPr>
          <t>Sottile,Stephen:</t>
        </r>
        <r>
          <rPr>
            <sz val="9"/>
            <color indexed="81"/>
            <rFont val="Tahoma"/>
            <family val="2"/>
          </rPr>
          <t xml:space="preserve">
Streetlight demand savings are not summer peak, therefore not in SaveOnEnergy results. Gross kWh savings from IESO Records were applied a streetlighting load profile and IESO realization &amp; net to gross factors for Retrofit Programs to arrive at net kW rate impact Streetlighitng savings</t>
        </r>
      </text>
    </comment>
    <comment ref="A54" authorId="0">
      <text>
        <r>
          <rPr>
            <b/>
            <sz val="9"/>
            <color indexed="81"/>
            <rFont val="Tahoma"/>
            <family val="2"/>
          </rPr>
          <t>Sottile,Stephen:</t>
        </r>
        <r>
          <rPr>
            <sz val="9"/>
            <color indexed="81"/>
            <rFont val="Tahoma"/>
            <family val="2"/>
          </rPr>
          <t xml:space="preserve">
Streetlight demand savings are not summer peak, therefore not in SaveOnEnergy results. Gross kWh savings from IESO Records were applied a streetlighting load profile and IESO realization &amp; net to gross factors for Retrofit Programs to arrive at net kW rate impact Streetlighitng savings</t>
        </r>
      </text>
    </comment>
    <comment ref="A71" authorId="0">
      <text>
        <r>
          <rPr>
            <b/>
            <sz val="9"/>
            <color indexed="81"/>
            <rFont val="Tahoma"/>
            <family val="2"/>
          </rPr>
          <t>Sottile,Stephen:</t>
        </r>
        <r>
          <rPr>
            <sz val="9"/>
            <color indexed="81"/>
            <rFont val="Tahoma"/>
            <family val="2"/>
          </rPr>
          <t xml:space="preserve">
Streetlight demand savings are not summer peak, therefore not in SaveOnEnergy results. Gross kWh savings from IESO Records were applied a streetlighting load profile and IESO realization &amp; net to gross factors for Retrofit Programs to arrive at net kW rate impact Streetlighitng savings</t>
        </r>
      </text>
    </comment>
  </commentList>
</comments>
</file>

<file path=xl/comments4.xml><?xml version="1.0" encoding="utf-8"?>
<comments xmlns="http://schemas.openxmlformats.org/spreadsheetml/2006/main">
  <authors>
    <author>Sottile,Stephen</author>
  </authors>
  <commentList>
    <comment ref="C116" authorId="0">
      <text>
        <r>
          <rPr>
            <b/>
            <sz val="9"/>
            <color indexed="81"/>
            <rFont val="Tahoma"/>
            <family val="2"/>
          </rPr>
          <t>Sottile,Stephen:</t>
        </r>
        <r>
          <rPr>
            <sz val="9"/>
            <color indexed="81"/>
            <rFont val="Tahoma"/>
            <family val="2"/>
          </rPr>
          <t xml:space="preserve">
Assume 4 year persistence as in past years
</t>
        </r>
      </text>
    </comment>
    <comment ref="C117" authorId="0">
      <text>
        <r>
          <rPr>
            <b/>
            <sz val="9"/>
            <color indexed="81"/>
            <rFont val="Tahoma"/>
            <family val="2"/>
          </rPr>
          <t>Sottile,Stephen:</t>
        </r>
        <r>
          <rPr>
            <sz val="9"/>
            <color indexed="81"/>
            <rFont val="Tahoma"/>
            <family val="2"/>
          </rPr>
          <t xml:space="preserve">
15 yr persistence as per previous years
</t>
        </r>
      </text>
    </comment>
    <comment ref="C118" authorId="0">
      <text>
        <r>
          <rPr>
            <b/>
            <sz val="9"/>
            <color indexed="81"/>
            <rFont val="Tahoma"/>
            <family val="2"/>
          </rPr>
          <t>Sottile,Stephen:</t>
        </r>
        <r>
          <rPr>
            <sz val="9"/>
            <color indexed="81"/>
            <rFont val="Tahoma"/>
            <family val="2"/>
          </rPr>
          <t xml:space="preserve">
Persistence modelled at  2013 Retrofit Program savings persistence decay rate
  </t>
        </r>
      </text>
    </comment>
    <comment ref="C119" authorId="0">
      <text>
        <r>
          <rPr>
            <b/>
            <sz val="9"/>
            <color indexed="81"/>
            <rFont val="Tahoma"/>
            <family val="2"/>
          </rPr>
          <t>Sottile,Stephen:</t>
        </r>
        <r>
          <rPr>
            <sz val="9"/>
            <color indexed="81"/>
            <rFont val="Tahoma"/>
            <family val="2"/>
          </rPr>
          <t xml:space="preserve">
Savings all modelled after 2013 savings decay rate
</t>
        </r>
      </text>
    </comment>
    <comment ref="D119" authorId="0">
      <text>
        <r>
          <rPr>
            <b/>
            <sz val="9"/>
            <color indexed="81"/>
            <rFont val="Tahoma"/>
            <family val="2"/>
          </rPr>
          <t>Sottile,Stephen:</t>
        </r>
        <r>
          <rPr>
            <sz val="9"/>
            <color indexed="81"/>
            <rFont val="Tahoma"/>
            <family val="2"/>
          </rPr>
          <t xml:space="preserve">
Savings modeled as per 2013 savings decay rate
</t>
        </r>
      </text>
    </comment>
  </commentList>
</comments>
</file>

<file path=xl/comments5.xml><?xml version="1.0" encoding="utf-8"?>
<comments xmlns="http://schemas.openxmlformats.org/spreadsheetml/2006/main">
  <authors>
    <author>Sottile,Stephen</author>
  </authors>
  <commentList>
    <comment ref="A66" authorId="0">
      <text>
        <r>
          <rPr>
            <b/>
            <sz val="9"/>
            <color indexed="81"/>
            <rFont val="Tahoma"/>
            <family val="2"/>
          </rPr>
          <t>Sottile,Stephen:</t>
        </r>
        <r>
          <rPr>
            <sz val="9"/>
            <color indexed="81"/>
            <rFont val="Tahoma"/>
            <family val="2"/>
          </rPr>
          <t xml:space="preserve">
Did not bother allocating HP2012 - savings insignificant (1500kWh.yr)
</t>
        </r>
      </text>
    </comment>
  </commentList>
</comments>
</file>

<file path=xl/comments6.xml><?xml version="1.0" encoding="utf-8"?>
<comments xmlns="http://schemas.openxmlformats.org/spreadsheetml/2006/main">
  <authors>
    <author>OPA</author>
  </authors>
  <commentList>
    <comment ref="A1" authorId="0">
      <text>
        <r>
          <rPr>
            <sz val="9"/>
            <color indexed="81"/>
            <rFont val="Tahoma"/>
            <family val="2"/>
          </rPr>
          <t>Both Tables show Scenario 1 savings (which should match up with savings values in LDC - Results tab)</t>
        </r>
        <r>
          <rPr>
            <b/>
            <sz val="9"/>
            <color indexed="81"/>
            <rFont val="Tahoma"/>
            <family val="2"/>
          </rPr>
          <t xml:space="preserve">
'2012 - Verified' row explanation: 
</t>
        </r>
        <r>
          <rPr>
            <sz val="9"/>
            <color indexed="81"/>
            <rFont val="Tahoma"/>
            <family val="2"/>
          </rPr>
          <t xml:space="preserve">
2011 col. - values don't change after 2011, any true-ups for 2011 are rolled up into later years
2012 col. - values include savings from 2012 DR and EE projects in 2012, 2011 true-up in 2012 and 2011 true-up in 2011 (this shouldn't really go here, but since the 2011 col. is fixed, we need to capture the persistence of 2011 true-up in 2011, in the 2012 col.) 
2013 col. - values include savings from 2012 DR and EE projects in 2013 and 2011 true-up in 2013 
2014 col. - values include savings from 2012 DR and EE projects in 2014 and 2011 true-up in 2014 
</t>
        </r>
      </text>
    </comment>
  </commentList>
</comments>
</file>

<file path=xl/sharedStrings.xml><?xml version="1.0" encoding="utf-8"?>
<sst xmlns="http://schemas.openxmlformats.org/spreadsheetml/2006/main" count="5484" uniqueCount="646">
  <si>
    <t>LDC</t>
  </si>
  <si>
    <t>Business</t>
  </si>
  <si>
    <t>Energy Audit Funding</t>
  </si>
  <si>
    <t>Kingston Hydro Corporation</t>
  </si>
  <si>
    <t>Commercial &amp; Institutional</t>
  </si>
  <si>
    <t>EE</t>
  </si>
  <si>
    <t>Audit</t>
  </si>
  <si>
    <t/>
  </si>
  <si>
    <t>DR-3</t>
  </si>
  <si>
    <t>DR</t>
  </si>
  <si>
    <t>Facilities</t>
  </si>
  <si>
    <t>New Construction</t>
  </si>
  <si>
    <t>Retrofit</t>
  </si>
  <si>
    <t>Projects</t>
  </si>
  <si>
    <t>Small Business Lighting</t>
  </si>
  <si>
    <t>Consumer</t>
  </si>
  <si>
    <t>Annual Coupons</t>
  </si>
  <si>
    <t>Residential</t>
  </si>
  <si>
    <t>measures</t>
  </si>
  <si>
    <t>Appliance Exchange</t>
  </si>
  <si>
    <t>Appliances</t>
  </si>
  <si>
    <t>Appliance Retirement</t>
  </si>
  <si>
    <t>Bi-Annual Retailer Events</t>
  </si>
  <si>
    <t>Home Assistance Program</t>
  </si>
  <si>
    <t>Projects Completed</t>
  </si>
  <si>
    <t>HVAC</t>
  </si>
  <si>
    <t>Equipment</t>
  </si>
  <si>
    <t>Industrial</t>
  </si>
  <si>
    <t>Portfolio</t>
  </si>
  <si>
    <t>Program</t>
  </si>
  <si>
    <t>Initiative</t>
  </si>
  <si>
    <t>Sector</t>
  </si>
  <si>
    <t xml:space="preserve">Conservation Resource Type </t>
  </si>
  <si>
    <t>(Implementation) Year</t>
  </si>
  <si>
    <t>Activity Unit Name</t>
  </si>
  <si>
    <t>Gross Summer Peak Demand Savings (MW)</t>
  </si>
  <si>
    <t>Gross Energy Savings (MWh)</t>
  </si>
  <si>
    <t>Tier 1</t>
  </si>
  <si>
    <t>Direct Install Lighting</t>
  </si>
  <si>
    <t>C&amp;I</t>
  </si>
  <si>
    <t>Energy Audit</t>
  </si>
  <si>
    <t>Audits</t>
  </si>
  <si>
    <t>High Performance New Construction</t>
  </si>
  <si>
    <t>Bi-Annual Retailer Event</t>
  </si>
  <si>
    <t>Products</t>
  </si>
  <si>
    <t>Conservation Instant Coupon Booklet</t>
  </si>
  <si>
    <t>HVAC Incentives</t>
  </si>
  <si>
    <t>Installations</t>
  </si>
  <si>
    <t>Home Assistance</t>
  </si>
  <si>
    <t>Demand Response 3</t>
  </si>
  <si>
    <t>Pre-2011 Programs Completed in 2011</t>
  </si>
  <si>
    <t>Demand Response 3 (part of the Industrial program schedule)</t>
  </si>
  <si>
    <t>Tier 1 - 2011 Adjustment</t>
  </si>
  <si>
    <t>Buildings</t>
  </si>
  <si>
    <t>Retailer Co-op</t>
  </si>
  <si>
    <t>Electricity Retrofit Incentive Program</t>
  </si>
  <si>
    <t>Rate Class</t>
  </si>
  <si>
    <t>Large User</t>
  </si>
  <si>
    <t>n/a</t>
  </si>
  <si>
    <t>Multi-Family Energy Efficiency Rebates</t>
  </si>
  <si>
    <t>Consumer, Consumer Low-Income</t>
  </si>
  <si>
    <t>Demand Response 2</t>
  </si>
  <si>
    <t>Business, Industrial</t>
  </si>
  <si>
    <t>Loblaw &amp; York Region Demand Response</t>
  </si>
  <si>
    <t>LDC Custom - Hydro Ottawa - Small Commercial Demand Response</t>
  </si>
  <si>
    <t>Consumer, Business</t>
  </si>
  <si>
    <t>Consumer Low-Income</t>
  </si>
  <si>
    <t>Consumer, Business, Industrial</t>
  </si>
  <si>
    <t>Consumer, Consumer Low-Income, Business</t>
  </si>
  <si>
    <t>Consumer, Consumer Low-Income, Business, Industrial</t>
  </si>
  <si>
    <t>GS Less Than 50kW</t>
  </si>
  <si>
    <t>GS Greater Than 50kW</t>
  </si>
  <si>
    <t>Annual Savings</t>
  </si>
  <si>
    <t>Monthly Savings</t>
  </si>
  <si>
    <t>Rate</t>
  </si>
  <si>
    <t>LRAM Award</t>
  </si>
  <si>
    <t>Carrying Charge Rate</t>
  </si>
  <si>
    <t>Customer Class</t>
  </si>
  <si>
    <t>kWh</t>
  </si>
  <si>
    <t>kW</t>
  </si>
  <si>
    <t>$/kWh</t>
  </si>
  <si>
    <t>$/kW</t>
  </si>
  <si>
    <t>Total</t>
  </si>
  <si>
    <t>Jan-Apr</t>
  </si>
  <si>
    <t>May-Dec</t>
  </si>
  <si>
    <t>Q1</t>
  </si>
  <si>
    <t>General Service &lt;50 kW</t>
  </si>
  <si>
    <t>Q2</t>
  </si>
  <si>
    <t>General Service &gt;50kW</t>
  </si>
  <si>
    <t>Q3</t>
  </si>
  <si>
    <t>Q4</t>
  </si>
  <si>
    <t>Annual</t>
  </si>
  <si>
    <t>DI 2011</t>
  </si>
  <si>
    <t>RF 2011</t>
  </si>
  <si>
    <t>AU 2011</t>
  </si>
  <si>
    <t>DI 2012</t>
  </si>
  <si>
    <t>RF 2012</t>
  </si>
  <si>
    <t>AU 2012</t>
  </si>
  <si>
    <t>HP 2012</t>
  </si>
  <si>
    <t>AU 2013</t>
  </si>
  <si>
    <t>HP 2013</t>
  </si>
  <si>
    <t>RF 2013</t>
  </si>
  <si>
    <t>DI 2013</t>
  </si>
  <si>
    <t>RF 2014</t>
  </si>
  <si>
    <t>AU 2014</t>
  </si>
  <si>
    <t>HP 2014</t>
  </si>
  <si>
    <t>DI 2014</t>
  </si>
  <si>
    <t>Consumer Program</t>
  </si>
  <si>
    <t>Residential New Construction</t>
  </si>
  <si>
    <t>Consumer Program Total</t>
  </si>
  <si>
    <t>Business Program</t>
  </si>
  <si>
    <t>Building Commissioning</t>
  </si>
  <si>
    <t>Business Program Total</t>
  </si>
  <si>
    <t>Industrial Program</t>
  </si>
  <si>
    <t>Process &amp; System Upgrades</t>
  </si>
  <si>
    <t>Monitoring &amp; Targeting</t>
  </si>
  <si>
    <t>Energy Manager</t>
  </si>
  <si>
    <t>Industrial Program Total</t>
  </si>
  <si>
    <t>Home Assistance Program Total</t>
  </si>
  <si>
    <t>Aboriginal Program</t>
  </si>
  <si>
    <t>Aboriginal Program Total</t>
  </si>
  <si>
    <t>Pre-2011 Programs completed in 2011</t>
  </si>
  <si>
    <t>Pre-2011 Programs completed in 2011 Total</t>
  </si>
  <si>
    <t>Other</t>
  </si>
  <si>
    <t>Program Enabled Savings</t>
  </si>
  <si>
    <t>Other Total</t>
  </si>
  <si>
    <t xml:space="preserve"> </t>
  </si>
  <si>
    <t>TOTALS</t>
  </si>
  <si>
    <t>Large User - No Rate Impact</t>
  </si>
  <si>
    <t>Kingston Hydro allocates OPA verified net savings to each rate class based on each program's proportional contribution to gross savings in each rate class for each program year - See 'Rate Class Totals', 'KH Net MW MWh 2006-2040', 'Gross Program Savings KH' worksheets</t>
  </si>
  <si>
    <t>Unit</t>
  </si>
  <si>
    <t>Incremental Activity 
(new program activity occurring within the specified reporting period)</t>
  </si>
  <si>
    <t>Net Incremental Peak Demand Savings (kW) 
(new peak demand savings from activity within the specified reporting period)</t>
  </si>
  <si>
    <t>Net Incremental Energy Savings (kWh)
(new energy savings from activity within the specified reporting period)</t>
  </si>
  <si>
    <t>2014 Net Annual Peak Demand Savings (kW)</t>
  </si>
  <si>
    <t>2011-2014 Net Cumulative Energy Savings (kWh)</t>
  </si>
  <si>
    <t>Items</t>
  </si>
  <si>
    <t>Devices</t>
  </si>
  <si>
    <t>Homes</t>
  </si>
  <si>
    <t>Toronto Comprehensive</t>
  </si>
  <si>
    <t>Multifamily Energy Efficiency Rebates</t>
  </si>
  <si>
    <t>LDC Custom Programs</t>
  </si>
  <si>
    <t>Time-of-Use Savings</t>
  </si>
  <si>
    <t>Energy Efficiency Total</t>
  </si>
  <si>
    <t>Demand Response Total (Scenario 1)</t>
  </si>
  <si>
    <t>Full OEB Target:</t>
  </si>
  <si>
    <t>*Includes adjustments after Final Reports were issued</t>
  </si>
  <si>
    <t>% of Full OEB Target Achieved to Date (Scenario 1):</t>
  </si>
  <si>
    <t>Queen's Cogen DR3 kWh and kW savings not counted towards lost revenues in 2011-2014. These are recovered through the current metering and billng protocol for the generator.</t>
  </si>
  <si>
    <t>SMALL BUSINESS LIGHTING</t>
  </si>
  <si>
    <t>-</t>
  </si>
  <si>
    <t>HPNC</t>
  </si>
  <si>
    <t>Program-to-Date Verified Progress to Target (excludes DR)</t>
  </si>
  <si>
    <t>2011*</t>
  </si>
  <si>
    <t>2012*</t>
  </si>
  <si>
    <t>2013*</t>
  </si>
  <si>
    <t>Residential Demand Response</t>
  </si>
  <si>
    <t>Residential Demand Response (IHD)</t>
  </si>
  <si>
    <t>Small Commercial Demand Response</t>
  </si>
  <si>
    <t>Small Commercial Demand Response (IHD)</t>
  </si>
  <si>
    <t xml:space="preserve">Adjustments to 2011 Verified Results </t>
  </si>
  <si>
    <t xml:space="preserve">Adjustments to 2012 Verified Results </t>
  </si>
  <si>
    <t xml:space="preserve">Adjustments to 2013 Verified Results </t>
  </si>
  <si>
    <t>Adjustments to Previous Years' Verified Results Total</t>
  </si>
  <si>
    <t>OPA-Contracted LDC Portfolio Total (inc. Adjustments)</t>
  </si>
  <si>
    <t>Results presented using scenario 1 which assumes that demand response resources have a persistence of 1 year</t>
  </si>
  <si>
    <t>The distributor should determine the allocation of the savings to all customer classes in a reasonable manner (e.g. taking into account what programs and what OPA-measured impacts were directed at specific customer classes), for both the LRAMVA and for the load forecast adjustment.</t>
  </si>
  <si>
    <t>If the distributor has developed their load forecast on a system purchased basis, then the manual adjustment should be on system purchased basis, including the adjustment for losses.  If the load forecast has been developed on a billed basis, either on a system basis or on a class-specific basis, the manual adjustment should be on a billed basis, excluding losses.</t>
  </si>
  <si>
    <t xml:space="preserve">The Manual Adjustment for the 2016 Load Forecast is the amount manually subtracted from the load forecast derived from the base forecast from historical data. </t>
  </si>
  <si>
    <t xml:space="preserve">The proposed loss factor should correspond with the loss factor calculated in Appendix 2-R </t>
  </si>
  <si>
    <t>One manual adjustment for CDM impacts to the 2015 load forecast is made.  However, the distributor will have two associated annualized CDM impacts, one for the 2011-2014 CDM program and the second for the 2015-2020 CDM plan.  In addition, the distributor needs to reflect the CDM adjustment that was explicitly factored into its 2011 load forecast in its 2011 cost of service application (assuming that it rebased in that year).  this amount, and equal persistence for 2012, 2013 and 2014 is used as an offset to determine what the net balance of the 2011-2014 LRAMVA balance should be for disposition.</t>
  </si>
  <si>
    <t>Determination of 2016 Load Forecast Adjustment</t>
  </si>
  <si>
    <t>Total in Year</t>
  </si>
  <si>
    <t>2020 CDM Programs</t>
  </si>
  <si>
    <t>2019 CDM Programs</t>
  </si>
  <si>
    <t>2018 CDM Programs</t>
  </si>
  <si>
    <t>2017 CDM Programs</t>
  </si>
  <si>
    <t>2016 CDM Programs</t>
  </si>
  <si>
    <t>2015 CDM Programs</t>
  </si>
  <si>
    <t>%</t>
  </si>
  <si>
    <t>6 Year (2015-2020) kWh Target:</t>
  </si>
  <si>
    <t>For the first year of the new 2015-2020 CDM plan, it is assumed that each year's program will achieve an equal amount of new CDM savings.  The new targets for 2015-2020 do not take into account persistence beyond the first year, but the IESO will encourage distributors to promote and implement  CDM plans that will have longer term persistence of savings.  This results in each year's program being about 1/6 (18.67%) of the cumulative 2015-2020 CDM target for kWh savings.  A distributor may propose an alternative approach but would be expected to document in its application why it believes that its proposal is more reasonable.  In its proposal, the distributor should ensure that the sum of the results for each year's CDM program from 2015 to 2020 add up to its 2015-2020 CDM target as established by the IESO.</t>
  </si>
  <si>
    <t>2015-2020 CDM Program - 2016, second year of the current CDM plan</t>
  </si>
  <si>
    <t>2014 CDM Programs</t>
  </si>
  <si>
    <t>2013 CDM Programs</t>
  </si>
  <si>
    <t>2012 CDM Programs</t>
  </si>
  <si>
    <t>2011 CDM Programs</t>
  </si>
  <si>
    <t>Persistence of 2014 CDM Program into 2015 and 2016</t>
  </si>
  <si>
    <t>4 Year (2011-2014) kWh Target:</t>
  </si>
  <si>
    <t>2011-2014 CDM Program - 2014, last year of the current CDM plan</t>
  </si>
  <si>
    <t>Appendix 2-I was developed to help determine what would be the amount of CDM savings needed in each year to cumulatively achieve the four year 2011-2014 CDM target.  This then determined the amount of kWh (and with translation, kW of demand) savings that were converted in dollars balances for the LRAMVA, and also to determine the related adjustment to the load forecast to account for OPA-reported savings.  Beginning for the 2015 year, it has been adjusted because of the persistence of 2011-2014 CDM programs will be an adjustment to the load forecast in addition to the estimated savings for the first year (2015) for the new 2015-2020 CDM plan.</t>
  </si>
  <si>
    <t>Load Forecast CDM Adjustment Work Form (2016)</t>
  </si>
  <si>
    <t>Appendix 2-I</t>
  </si>
  <si>
    <t>Date:</t>
  </si>
  <si>
    <t>Page:</t>
  </si>
  <si>
    <t>Schedule:</t>
  </si>
  <si>
    <t>Tab:</t>
  </si>
  <si>
    <t>Exhibit:</t>
  </si>
  <si>
    <t>File Number:</t>
  </si>
  <si>
    <t>D.</t>
  </si>
  <si>
    <t>CDM Plan Detailed List of Programs, Election of Funding Mechanism, and Annual Milestones</t>
  </si>
  <si>
    <t>NOTES</t>
  </si>
  <si>
    <t>1. CDM Plan</t>
  </si>
  <si>
    <t>Complete Table 2 for all Programs for which will contribute towards the CDM Plan Target.</t>
  </si>
  <si>
    <t>2. Program Name</t>
  </si>
  <si>
    <t>Province-wide LDC Program names are found in the applicable Program Rules.  Regional &amp; local Program names should be consistent with those included in approved business cases (if applicable) and consistent throughout this CDM Plan.</t>
  </si>
  <si>
    <t>3. Anticipated Annual Budget</t>
  </si>
  <si>
    <t xml:space="preserve">Include annual budgets for each Program to be allocated against the CDM Plan Budget by funding mechanism.  Note: LDC Eligible Expenses incurred in 2014 for programs delivered in 2015 (and not funded as part of the 2011-2014 Master CDM Program Agreement) should be included in 2015 Annual anticipated budget amounts.  </t>
  </si>
  <si>
    <t>4. Target Gap</t>
  </si>
  <si>
    <t xml:space="preserve">Portion of the CDM Plan Target that the LDC reasonably expects, based on qualified independent third party analysis as accepted by the IESO could only be achieved with funding in addition to the CDM Plan Budget. </t>
  </si>
  <si>
    <t>LDC 1:</t>
  </si>
  <si>
    <t>TABLE 2. PROGRAM AND MILESTONE SCHEDULE</t>
  </si>
  <si>
    <t>Funding Mechanism</t>
  </si>
  <si>
    <t>Approved
Province Wide
Programs</t>
  </si>
  <si>
    <t>Approved
Local, Regional, or Pilot Programs</t>
  </si>
  <si>
    <t>Proposed
Pilots or Programs</t>
  </si>
  <si>
    <t>Program Start Date
(DD-Mon-YYYY)</t>
  </si>
  <si>
    <t>Customer Segments Targeted by Program</t>
  </si>
  <si>
    <t>Program Implementation Schedule (Annual Anticipated Budget &amp; Incremental Annual Milestones by Program)</t>
  </si>
  <si>
    <t>Total 2015 - 2020</t>
  </si>
  <si>
    <t>Low-income</t>
  </si>
  <si>
    <t>Small business</t>
  </si>
  <si>
    <t>Commercial (inc. Multi-Fam)</t>
  </si>
  <si>
    <t>Agricultural</t>
  </si>
  <si>
    <t>Institutional</t>
  </si>
  <si>
    <t>Anticipated Annual Budget ($)</t>
  </si>
  <si>
    <t>Energy Savings (MWh)</t>
  </si>
  <si>
    <t>Total CDM Plan Budget ($)</t>
  </si>
  <si>
    <t>Total Persisting Energy Savings in 2020 (MWh)</t>
  </si>
  <si>
    <t>Full Cost Recovery Programs</t>
  </si>
  <si>
    <t>01-Jan-2016</t>
  </si>
  <si>
    <t>Yes</t>
  </si>
  <si>
    <t>Heating and Cooling Program</t>
  </si>
  <si>
    <t>Coupon Program</t>
  </si>
  <si>
    <t>Enhanced Direct Install</t>
  </si>
  <si>
    <t>Audit Funding Program</t>
  </si>
  <si>
    <t>Process and Systems Upgrades Program</t>
  </si>
  <si>
    <t>FCR TOTAL</t>
  </si>
  <si>
    <t>Pay for Performance Programs</t>
  </si>
  <si>
    <t>P4P TOTAL</t>
  </si>
  <si>
    <r>
      <t xml:space="preserve">2011-2014 CDM Framework (and 2015 extension of 2011-2014 Master CDM Agreement) </t>
    </r>
    <r>
      <rPr>
        <b/>
        <i/>
        <sz val="11"/>
        <color theme="1"/>
        <rFont val="Calibri"/>
        <family val="2"/>
        <scheme val="minor"/>
      </rPr>
      <t>(Not funded through 2015-2020 CDM Framework)</t>
    </r>
  </si>
  <si>
    <t>Heating and Cooling</t>
  </si>
  <si>
    <t xml:space="preserve">High Performance New Construction </t>
  </si>
  <si>
    <t>Audit Funding</t>
  </si>
  <si>
    <t>2011-2014 CDM Framework (and 2015 extension) TOTAL</t>
  </si>
  <si>
    <t>TARGET GAP TOTAL</t>
  </si>
  <si>
    <t>CDM PLAN TOTAL</t>
  </si>
  <si>
    <t>MINIMUM ANNUAL SAVINGS CHECK</t>
  </si>
  <si>
    <t>Option</t>
  </si>
  <si>
    <t>Program Types</t>
  </si>
  <si>
    <t>Regional</t>
  </si>
  <si>
    <t>No</t>
  </si>
  <si>
    <t>Local</t>
  </si>
  <si>
    <t>Provincial</t>
  </si>
  <si>
    <t>2011-2014 Province Wide Programs</t>
  </si>
  <si>
    <t xml:space="preserve">Direct Install Lighting </t>
  </si>
  <si>
    <t>Energy Manager (PSUI)</t>
  </si>
  <si>
    <t xml:space="preserve">Existing Building Commissioning </t>
  </si>
  <si>
    <t>Heating and Cooling Initiative</t>
  </si>
  <si>
    <t>Low Income Home Assistance Program</t>
  </si>
  <si>
    <t>Monitoring and Targeting (PSUI)</t>
  </si>
  <si>
    <t>peaksaverPLUS</t>
  </si>
  <si>
    <t xml:space="preserve">Residential New Construction </t>
  </si>
  <si>
    <t>Retrofit Initiative</t>
  </si>
  <si>
    <t>2015-2020 CDM Programs</t>
  </si>
  <si>
    <t>Energy Manager Program</t>
  </si>
  <si>
    <t>Existing Building Commissioning</t>
  </si>
  <si>
    <t>Monitoring and Targeting Program</t>
  </si>
  <si>
    <t>New Construction Program</t>
  </si>
  <si>
    <t>DI</t>
  </si>
  <si>
    <t>GS&lt;50kW Participants</t>
  </si>
  <si>
    <t>GS&gt;50kW participants</t>
  </si>
  <si>
    <t>Total Gross Demand Savings (kW)</t>
  </si>
  <si>
    <t>GS&lt;50kW Demand Savings (kW)</t>
  </si>
  <si>
    <t>GS&gt;50kW Demand Savings (kW)</t>
  </si>
  <si>
    <t>Total Gross Energy Savings (kWh)</t>
  </si>
  <si>
    <t>GS&lt;50kW Energy Savings (kWh)</t>
  </si>
  <si>
    <t>GS&gt;50kW Energy Savings (kWh)</t>
  </si>
  <si>
    <t>Totals</t>
  </si>
  <si>
    <t>AU</t>
  </si>
  <si>
    <t>Large User Demand Savings</t>
  </si>
  <si>
    <t>RF</t>
  </si>
  <si>
    <t>Large User Participants</t>
  </si>
  <si>
    <t>Street Lighting Participants</t>
  </si>
  <si>
    <t>Large User Demand Savings (kW)</t>
  </si>
  <si>
    <t>Residential Energy Savings (kWh)</t>
  </si>
  <si>
    <t>Large User Energy Savings (kWh)</t>
  </si>
  <si>
    <t>Streetlighting Energy Savings (kWh)</t>
  </si>
  <si>
    <t>HP</t>
  </si>
  <si>
    <t>GS Less than 50kW Energy Savings</t>
  </si>
  <si>
    <t>GS Greater Than 50kW Demand Savings</t>
  </si>
  <si>
    <t>Residential Energy Savings</t>
  </si>
  <si>
    <t>Streetlighting Energy Savings</t>
  </si>
  <si>
    <t>Activity and savings for Demand Response resources for each year represent the savings from all active facilities or devices contracted since January 1, 2011 (reported cumulatively).
†Results contain a DR contributor that was applied to Kingston Hydro's service territory in error in 2012 and 2013 respectively.  The contributor has been removed in 2014.</t>
  </si>
  <si>
    <t>LDC Pilots</t>
  </si>
  <si>
    <t>Demand Response 3†</t>
  </si>
  <si>
    <t xml:space="preserve">Table 1: Kingston Hydro Corporation Initiative and Program Level Net Savings by Year </t>
  </si>
  <si>
    <t>Net-to-Gross Ratio</t>
  </si>
  <si>
    <t>Realization Rate</t>
  </si>
  <si>
    <t>Energy Savings</t>
  </si>
  <si>
    <t>Peak Demand Savings</t>
  </si>
  <si>
    <t>Table 3: Kingston Hydro Corporation Realization Rate &amp; NTG</t>
  </si>
  <si>
    <t>†Includes adjustments to previous years' verified results</t>
  </si>
  <si>
    <t xml:space="preserve">Verified Portion of Cumulative Energy Target Achieved in 2014 (%):  </t>
  </si>
  <si>
    <t>Kingston Hydro Corporation 2011-2014 Annual CDM Energy Target:</t>
  </si>
  <si>
    <t>Verified Net Cumulative Energy Savings 2011-2014:</t>
  </si>
  <si>
    <t>2014 - Verified†</t>
  </si>
  <si>
    <t>2013 - Verified†</t>
  </si>
  <si>
    <t>2012 - Verified†</t>
  </si>
  <si>
    <t>2011 - Verified</t>
  </si>
  <si>
    <t xml:space="preserve">2011-2014 </t>
  </si>
  <si>
    <t>Cumulative</t>
  </si>
  <si>
    <t>Implementation Period</t>
  </si>
  <si>
    <t>Table 5: Net Energy Savings at the End User Level (GWh)</t>
  </si>
  <si>
    <t xml:space="preserve">Verified Portion of Peak Demand Savings Target Achieved in 2014 (%):  </t>
  </si>
  <si>
    <t>Kingston Hydro Corporation 2014 Annual CDM Capacity Target:</t>
  </si>
  <si>
    <t xml:space="preserve">Verified Net Annual Peak Demand Savings Persisting in 2014:  </t>
  </si>
  <si>
    <t>Table 4: Net Peak Demand Savings at the End User Level (MW) (Scenario 1)</t>
  </si>
  <si>
    <t xml:space="preserve">Results are recognized using current IESO reporting policies. Energy efficiency resources persist for the duration of the effective useful life. Any upcoming code changes are taken into account. Demand response resources persist for 1 year (Scenario 1). Please see methodology tab for more detailed information. </t>
  </si>
  <si>
    <t>Summary Achievement Against CDM Targets</t>
  </si>
  <si>
    <t>Total Resource Cost (TRC) Test</t>
  </si>
  <si>
    <t>Societal Cost (SC) Test</t>
  </si>
  <si>
    <t>Program Administrator Cost (PAC) Test</t>
  </si>
  <si>
    <t>Participant Cost (PC) Test</t>
  </si>
  <si>
    <t>Rate Impact Measure (RIM) Test</t>
  </si>
  <si>
    <t>Levelized Cost (LC) Metric ($/kW or $/kWh)</t>
  </si>
  <si>
    <t>ACTIVE</t>
  </si>
  <si>
    <t>SECTOR</t>
  </si>
  <si>
    <t>PROGRAM</t>
  </si>
  <si>
    <t>END-USE</t>
  </si>
  <si>
    <t>CONSERVATION MEASURE</t>
  </si>
  <si>
    <t>MEASURE DESCRIPTION</t>
  </si>
  <si>
    <t>BASE MEASURE</t>
  </si>
  <si>
    <t>END USE LOAD PROFILE</t>
  </si>
  <si>
    <t>PROGRAM YEAR</t>
  </si>
  <si>
    <t>QUANTITY</t>
  </si>
  <si>
    <t>PER UNIT INCENTIVE</t>
  </si>
  <si>
    <t>VARIABLE PROGRAM COSTS</t>
  </si>
  <si>
    <t>EARLY REPLACEMENT</t>
  </si>
  <si>
    <t>WEATHER SENSITIVE PEAK DEMAND</t>
  </si>
  <si>
    <t>Distribution (Dx) or Transmission (Tx) Connected</t>
  </si>
  <si>
    <t>NET-TO-GROSS (ENERGY)</t>
  </si>
  <si>
    <t>NET-TO-GROSS (DEMAND)</t>
  </si>
  <si>
    <t>TOTAL INCENTIVE</t>
  </si>
  <si>
    <t>TOTAL VARIABLE PROGRAM COSTS</t>
  </si>
  <si>
    <t>TRC BENEFITS</t>
  </si>
  <si>
    <t>TRC COSTS</t>
  </si>
  <si>
    <t>TRC RATIO</t>
  </si>
  <si>
    <t>TRC NET BENEFITS</t>
  </si>
  <si>
    <t>SC BENEFITS</t>
  </si>
  <si>
    <t>SC COSTS</t>
  </si>
  <si>
    <t>SC RATIO</t>
  </si>
  <si>
    <t>SC NET BENEFITS</t>
  </si>
  <si>
    <t>PAC BENEFITS</t>
  </si>
  <si>
    <t>PAC COSTS</t>
  </si>
  <si>
    <t>PAC RATIO</t>
  </si>
  <si>
    <t>PAC NET BENEFITS</t>
  </si>
  <si>
    <t>PC BENEFITS</t>
  </si>
  <si>
    <t>PC COSTS</t>
  </si>
  <si>
    <t>PC RATIO</t>
  </si>
  <si>
    <t>PC NET BENEFITS</t>
  </si>
  <si>
    <t>RIM BENEFITS</t>
  </si>
  <si>
    <t>RIM COSTS</t>
  </si>
  <si>
    <t>RIM RATIO</t>
  </si>
  <si>
    <t>RIM NET BENEFITS</t>
  </si>
  <si>
    <t>LC BENEFITS (DEMAND)</t>
  </si>
  <si>
    <t>LC BENEFITS (ENERGY)</t>
  </si>
  <si>
    <t>LC COSTS</t>
  </si>
  <si>
    <t>LC METRIC (DEMAND)</t>
  </si>
  <si>
    <t>LC METRIC (ENERGY)</t>
  </si>
  <si>
    <t>IESO - ARCHETYPE</t>
  </si>
  <si>
    <t>Lighting</t>
  </si>
  <si>
    <t>PRESCRIPTIVE LIGHTING</t>
  </si>
  <si>
    <t>ARCHETYPE - PRESCRIPTIVE LIGHTING</t>
  </si>
  <si>
    <t>HISTORICAL PERFORMANCE</t>
  </si>
  <si>
    <t>PSP-Business-Commercial-Lighting_Interior_General</t>
  </si>
  <si>
    <t>Dx</t>
  </si>
  <si>
    <t>Non-Lighting</t>
  </si>
  <si>
    <t>PRESCRIPTIVE NON-LIGHTING</t>
  </si>
  <si>
    <t>ARCHETYPE - PRESCRIPTIVE NON-LIGHTING</t>
  </si>
  <si>
    <t>PSP-Business-Commercial-Miscellaneous_Equipment</t>
  </si>
  <si>
    <t>ENGINEERED LIGHTING</t>
  </si>
  <si>
    <t>ARCHETYPE - ENGINEERED LIGHTING</t>
  </si>
  <si>
    <t>ENGINEERED NON-LIGHTING</t>
  </si>
  <si>
    <t>ARCHETYPE - ENGINEERED NON-LIGHTING</t>
  </si>
  <si>
    <t>CUSTOM LIGHTING</t>
  </si>
  <si>
    <t>ARCHETYPE - CUSTOM LIGHTING</t>
  </si>
  <si>
    <t>CUSTOM NON-LIGHTING</t>
  </si>
  <si>
    <t>ARCHETYPE - CUSTOM NON-LIGHTING</t>
  </si>
  <si>
    <t>Space Cooling</t>
  </si>
  <si>
    <t>CAC 14.5 SEER</t>
  </si>
  <si>
    <t>ARCHETYPE - CAC 14.5 SEER</t>
  </si>
  <si>
    <t>PSP-Consumer-Residential-AC_Central</t>
  </si>
  <si>
    <t>CAC 15 SEER</t>
  </si>
  <si>
    <t>ARCHETYPE - CAC 15 SEER</t>
  </si>
  <si>
    <t>Space Cooling and Heating</t>
  </si>
  <si>
    <t>ECM FURNACE</t>
  </si>
  <si>
    <t>ARCHETYPE - ECM FURNACE</t>
  </si>
  <si>
    <t>PSP-Consumer-Residential-Furnace_ECM_3</t>
  </si>
  <si>
    <t>AIR CONDITIONER - ROOM</t>
  </si>
  <si>
    <t>ARCHETYPE - AIR CONDITIONER ROOM</t>
  </si>
  <si>
    <t>PSP-Consumer-Residential-AC_Room</t>
  </si>
  <si>
    <t>DEHUMIDIFIER</t>
  </si>
  <si>
    <t>ARCHETYPE - DEHUMIDIFIER</t>
  </si>
  <si>
    <t>PSP-Consumer-Residential-Dehumidifiers</t>
  </si>
  <si>
    <t>Household Appliances</t>
  </si>
  <si>
    <t>FREEZER</t>
  </si>
  <si>
    <t>ARCHETYPE - FREEZER</t>
  </si>
  <si>
    <t>PSP-Consumer-Residential-Freezers</t>
  </si>
  <si>
    <t>REFRIGERATOR</t>
  </si>
  <si>
    <t>ARCHETYPE - REFRIGERATOR</t>
  </si>
  <si>
    <t>PSP-Consumer-Residential-Refrigerators</t>
  </si>
  <si>
    <t>Coupon</t>
  </si>
  <si>
    <t xml:space="preserve">Miscellaneous       </t>
  </si>
  <si>
    <t>COUPONS</t>
  </si>
  <si>
    <t>ARCHETYPE - COUPONS</t>
  </si>
  <si>
    <t>PSP-Consumer-Residential-Lighting</t>
  </si>
  <si>
    <t>BI-ANNUAL COUPONS</t>
  </si>
  <si>
    <t>ARCHETYPE - BI-ANNUAL COUPONS</t>
  </si>
  <si>
    <t>New Residential Home</t>
  </si>
  <si>
    <t>NEW HOME CONSTRUCTION</t>
  </si>
  <si>
    <t>ARCHETYPE - NEW HOME CONSTRUCTION</t>
  </si>
  <si>
    <t>HAP Home</t>
  </si>
  <si>
    <t>HAP HOME</t>
  </si>
  <si>
    <t>ARCHETYPE - HAP HOME</t>
  </si>
  <si>
    <t>ARCHETYPE - SMALL BUSINESS LIGHTING</t>
  </si>
  <si>
    <t>PSP-Business-Commercial-Lighting_Small Business</t>
  </si>
  <si>
    <t>High Performance New Construction (HPNC)</t>
  </si>
  <si>
    <t>HPNC Project</t>
  </si>
  <si>
    <t>HPNC PROJECT</t>
  </si>
  <si>
    <t>ARCHETYPE - HPNC PROJECT</t>
  </si>
  <si>
    <t>AUDIT PROJECT</t>
  </si>
  <si>
    <t>ARCHETYPE - AUDIT PROJECT</t>
  </si>
  <si>
    <t>Process and Systems</t>
  </si>
  <si>
    <t>Behind the Meter Generatiion</t>
  </si>
  <si>
    <t>Steam letdown generator</t>
  </si>
  <si>
    <t>Steam letdown Generator</t>
  </si>
  <si>
    <t>Pressure regulator</t>
  </si>
  <si>
    <t>CUSTOM-Business-Hospital-BMG</t>
  </si>
  <si>
    <t>Chillier Commissioning</t>
  </si>
  <si>
    <t>Unrecomissioned chiller</t>
  </si>
  <si>
    <t>PSP-Business-Commercial-Chiller</t>
  </si>
  <si>
    <t>Behind the meter generation</t>
  </si>
  <si>
    <t>Combined heat and power</t>
  </si>
  <si>
    <t>Steam production</t>
  </si>
  <si>
    <t>2015 Savings</t>
  </si>
  <si>
    <t>NET ANNUAL PEAK DEMAND SAVINGS (KW) AT THE GENERATOR LEVEL</t>
  </si>
  <si>
    <t>NET ANNUAL ENERGY SAVINGS (KWH) AT THE GENERATOR LEVEL</t>
  </si>
  <si>
    <t>GROSS ANNUAL PEAK DEMAND SAVINGS (KW) AT THE GENERATOR LEVEL</t>
  </si>
  <si>
    <t>GROSS ANNUAL ENERGY SAVINGS (KWH) AT THE GENERATOR LEVEL</t>
  </si>
  <si>
    <t>PEAK DEMAND SAVINGS (KW)</t>
  </si>
  <si>
    <t>FIRST YEAR ENERGY SAVINGS (KWH)</t>
  </si>
  <si>
    <t>EFFECTIVE USEFUL LIFE (YEAR)</t>
  </si>
  <si>
    <t>REMAINNG USEFUL LIFE 
(YEARS)</t>
  </si>
  <si>
    <t>REMAINNG USEFUL LIFE ANNUAL ENERGY SAVINGS (KWH)</t>
  </si>
  <si>
    <t>REMAINNG USEFUL LIFE PEAK DEMAND SAVINGS (KW)</t>
  </si>
  <si>
    <t>KH Projections</t>
  </si>
  <si>
    <t>Commercial</t>
  </si>
  <si>
    <r>
      <t>2014 is the last year of the current four year (2011-2014) CDM program, and 2015 is the first year of a new six year (2015-2020) CDM program, per the Ministerial directives of March 31</t>
    </r>
    <r>
      <rPr>
        <sz val="10"/>
        <rFont val="Arial"/>
        <family val="2"/>
      </rPr>
      <t xml:space="preserve">, 2014.  With 2016, there is a need to recognize the full year impact of the past 2011-2014 CDM program, as well as to estimate reasonable impacts for each year for the new 2015-2020 CDM program.  These are combined to estimate the adjustment for CDM program impacts on the 2016 load forecast.  </t>
    </r>
  </si>
  <si>
    <t>Input the 2011-2014 CDM target in Cell B34.</t>
  </si>
  <si>
    <t>Conservation Coupon Instant Booklet</t>
  </si>
  <si>
    <t>Total Participants (IESO)</t>
  </si>
  <si>
    <t>Net Demand Savings</t>
  </si>
  <si>
    <t>Net Savings Allocated to Rate Class based ratio of total gross savings per rate class per Kingston Hydro records as to rate class of customer where retrofit work occurred.</t>
  </si>
  <si>
    <t>Net Savings Allocated to Rate Class by number of participants in each rate class.</t>
  </si>
  <si>
    <t>Allocated to Rate Class based on ratio of total gross savings per rate class per Kingston Hydro records of the rate class of customer where retrofit work occurred.</t>
  </si>
  <si>
    <t>Net Energy Savings (kWh)</t>
  </si>
  <si>
    <t>Streetlighting kW savings (non-peak)</t>
  </si>
  <si>
    <t>IESO - Filed CDM Plan</t>
  </si>
  <si>
    <t>Direct Install Lighting (Archetype for Enhanced Direct Install)</t>
  </si>
  <si>
    <t>Process &amp; Systems</t>
  </si>
  <si>
    <t>RF 2015-20</t>
  </si>
  <si>
    <t>DI 2015-20</t>
  </si>
  <si>
    <t>HP 2015-20</t>
  </si>
  <si>
    <t>AU 2015-20</t>
  </si>
  <si>
    <t>Kingston Hydro Lost Revenue Adjustment Mechanism Variance Account - 2011-2014 Actuals &amp; 2015-2020 Projections</t>
  </si>
  <si>
    <t>All Lost Revenues from 2006-2009 have been recovered as part of Kingston Hydro's 2010 Rate Application and 2010 Lost Revenues have been recovered as part of Kingston Hydro's 2011 Rate Application. Current LRAMVA balances reflect revenue losses from persisting savings from all programs since 2011, with half year persistence in their year of achievement, that persist through 2013 as reported by the IESO, and as projected by Kingston Hydro for 2014 based IESO Reported 2014 Final CDM results and observed 2013 persistence curves for each program type.</t>
  </si>
  <si>
    <t>Quantity</t>
  </si>
  <si>
    <t>Process &amp; Systems - 2015 savings</t>
  </si>
  <si>
    <t>Process &amp; Systems - BTG - no Rate Impact</t>
  </si>
  <si>
    <t>GS&gt;50kW</t>
  </si>
  <si>
    <t>2015- 2020</t>
  </si>
  <si>
    <t>In response to Interrogatories, Kingston Hydro has been asked to calculate net kWh and kWh savings by rate class as required to isolate CDM from the Load Forecast Trend Variable</t>
  </si>
  <si>
    <t>Persiting net savings for each year to be included in the Load Forecast are taken from the IESO's 2011-2014 Final CDM Results Report for Kingston Hydro and Kingston Hydro's 2015-2020 Conservation Plan filed with the IESO</t>
  </si>
  <si>
    <t>Net savings are calculated by the IESO based on province wide and local annual EM&amp;V and actual records of program-derived savings within Kingston Hydro territory.</t>
  </si>
  <si>
    <t>All persisting CDM savings from measures or programs completed from 2011 through 2014, as well as projected 2015 savings, are required to be integrated into the Load Forecast, and used to calculate LRAMVA values.</t>
  </si>
  <si>
    <t>GS&lt;50kW</t>
  </si>
  <si>
    <t xml:space="preserve">Net Savings achieved in a given year are adjusted per half-year rule in the year they are first reported and have 50% of their annual persistence in the first year they are reported. Savings in years 2 forward have full persistence. </t>
  </si>
  <si>
    <t>GS&lt;50 Energy Savings (kWh)</t>
  </si>
  <si>
    <t>GS&gt;50kW Energy Savings (kW)</t>
  </si>
  <si>
    <t>2015-2020</t>
  </si>
  <si>
    <t>GS Less than 50kW Demand Savings</t>
  </si>
  <si>
    <t>GS Greater Than 50kW Energy Savings</t>
  </si>
  <si>
    <t>Large User Energy Savings</t>
  </si>
  <si>
    <t>Residential Demand Savings</t>
  </si>
  <si>
    <t>Streetlighting Demand Savings</t>
  </si>
  <si>
    <t>Streetlighting</t>
  </si>
  <si>
    <t>Allocated to Rate Class by number of participants in each rate class (required as Enbridge holds pre-2011 HPNC files for buildings completed in 2011-2012 - Large Users)</t>
  </si>
  <si>
    <t>The IESO's assumed Tx+Dx loss factor of 6.7% is used to transpose 2015-2020 Net Generator Level Savings to End User Level Savings for 2015-2020</t>
  </si>
  <si>
    <t>OPA Conservation &amp; Demand Management Programs</t>
  </si>
  <si>
    <t>Initiative Results at End-User Level</t>
  </si>
  <si>
    <t>For Lage User</t>
  </si>
  <si>
    <t>For:</t>
  </si>
  <si>
    <t>Net Summer Peak Demand Savings (MW)</t>
  </si>
  <si>
    <t>#</t>
  </si>
  <si>
    <t>Initiative Name</t>
  </si>
  <si>
    <t>Program Name</t>
  </si>
  <si>
    <t>Kingston Hydro Rate Class</t>
  </si>
  <si>
    <t>Program Year</t>
  </si>
  <si>
    <t>Results Status</t>
  </si>
  <si>
    <t>2006 Subtotal</t>
  </si>
  <si>
    <t>2007 Subtotal</t>
  </si>
  <si>
    <t>2008 Subtotal</t>
  </si>
  <si>
    <t>2009 Subtotal</t>
  </si>
  <si>
    <t>2010 Subtotal</t>
  </si>
  <si>
    <t>Overall Total</t>
  </si>
  <si>
    <t>Net Energy Savings (MWh)</t>
  </si>
  <si>
    <t>Row Labels</t>
  </si>
  <si>
    <t>(blank)</t>
  </si>
  <si>
    <t>Grand Total</t>
  </si>
  <si>
    <t>Secondary Refrigerator Retirement Pilot</t>
  </si>
  <si>
    <t>Cool &amp; Hot Savings Rebate</t>
  </si>
  <si>
    <t>Every Kilowatt Counts</t>
  </si>
  <si>
    <t>Demand Response 1</t>
  </si>
  <si>
    <t>Great Refrigerator Roundup</t>
  </si>
  <si>
    <t>peaksaver®</t>
  </si>
  <si>
    <t>Summer Savings</t>
  </si>
  <si>
    <t>Aboriginal</t>
  </si>
  <si>
    <t>Affordable Housing Pilot</t>
  </si>
  <si>
    <t>Social Housing Pilot</t>
  </si>
  <si>
    <t>Energy Efficiency Assistance for Houses Pilot</t>
  </si>
  <si>
    <t>Electricity Retrofit Incentive</t>
  </si>
  <si>
    <t>Renewable Energy Standard Offer</t>
  </si>
  <si>
    <t>Cool Savings Rebate</t>
  </si>
  <si>
    <t>Every Kilowatt Counts Power Savings Event</t>
  </si>
  <si>
    <t>Summer Sweepstakes</t>
  </si>
  <si>
    <t>Power Savings Blitz</t>
  </si>
  <si>
    <t>Other Customer Based Generation</t>
  </si>
  <si>
    <t>LDC Custom - Hydro One Networks Inc. - Double Return</t>
  </si>
  <si>
    <t>LDC Custom - Thunder Bay Hydro - Phantom Load</t>
  </si>
  <si>
    <t>LDC Custom - Toronto Hydro - Summer Challenge</t>
  </si>
  <si>
    <t>LDC Custom - PowerStream - Data Centers</t>
  </si>
  <si>
    <t>Toronto Comprehensive Adjustment</t>
  </si>
  <si>
    <t>LDC Custom - Hydro One Networks Inc. - Double Return Adjustment</t>
  </si>
  <si>
    <t>Final</t>
  </si>
  <si>
    <t>Sum of 2011</t>
  </si>
  <si>
    <t>Sum of 2012</t>
  </si>
  <si>
    <t>Sum of 2013</t>
  </si>
  <si>
    <t>Sum of 2014</t>
  </si>
  <si>
    <t>Sum of 2015</t>
  </si>
  <si>
    <t>Net MW Savings by Rate Class</t>
  </si>
  <si>
    <t>kW Demand Reduction billed kW Impacts - 2011 Program Year &amp; Adjustments</t>
  </si>
  <si>
    <t>kW Demand Reduction billed kW Impacts - 2012 Program Year &amp; Adjustments</t>
  </si>
  <si>
    <t>kW Demand Reduction billed kW Impacts - 2013 Program Year &amp; Adjustments</t>
  </si>
  <si>
    <t>kW Demand Reduction billed kW Impacts - 2014 Program Year &amp; Adjustments</t>
  </si>
  <si>
    <t>OPA Verified Demand Savings are defined as May-Sept, weekday savings. Since demand savings are only verified for 5 months of the year, Kingston Hydro is only claiming 5 months lost revenue, all under the May-Dec rate for each program year. The exception is streetlighting, in which we can verify that demand savings occur and revenues are lost in all months.  Streetlighting has 10 year persistence starting in 2012 and 2013 - savings calculated with RETROFIT program application information available upon request.</t>
  </si>
  <si>
    <t>Net MWh Savings by Rate Class</t>
  </si>
  <si>
    <t>Sum of 2010</t>
  </si>
  <si>
    <t>Sum of 2009</t>
  </si>
  <si>
    <t>Sum of 2016</t>
  </si>
  <si>
    <t>Sum of 2017</t>
  </si>
  <si>
    <t>Sum of 2018</t>
  </si>
  <si>
    <t>Sum of 2019</t>
  </si>
  <si>
    <t>Sum of 2020</t>
  </si>
  <si>
    <t>Energy Reduction billed kWh Impacts - 2009 Program Year &amp; Adjustments</t>
  </si>
  <si>
    <t>Energy Reduction billed kWh Impacts - 2010 Program Year &amp; Adjustments</t>
  </si>
  <si>
    <t>Energy Reduction billed kWh Impacts - 2011 Program Year &amp; Adjustments</t>
  </si>
  <si>
    <t>Energy Reduction billed kWh Impacts - 2012 Program Year &amp; Adjustments</t>
  </si>
  <si>
    <t>Energy Reduction billed kWh Impacts - 2013 Program Year &amp; Adjustments</t>
  </si>
  <si>
    <t>Energy Reduction billed kWh Impacts - 2014 Program Year &amp; Adjustments</t>
  </si>
  <si>
    <t>Energy Reduction billed kWh Impacts - 2015-20 Program Year &amp; Adjustments</t>
  </si>
  <si>
    <t>GS Greater Than 50KW</t>
  </si>
  <si>
    <t>2009 program year savings</t>
  </si>
  <si>
    <t>2010 program year savings</t>
  </si>
  <si>
    <t>2011 program year savings</t>
  </si>
  <si>
    <t>2012 program year savings</t>
  </si>
  <si>
    <t>2013 program year savings</t>
  </si>
  <si>
    <t>2014 program year savings</t>
  </si>
  <si>
    <t>2015-2020 Projected persisting savings</t>
  </si>
  <si>
    <t>Total CDM Load Forecast Impact</t>
  </si>
  <si>
    <t>RESIDENTIAL</t>
  </si>
  <si>
    <t>TOTAL LOAD FORECAST CDM ANNUAL CDM kWh IMPACTS</t>
  </si>
  <si>
    <t xml:space="preserve">The new six year (2015-2020) CDM program will work similar to the existing 2011-2014 CDM program, meaning that distributors will offer programs each year that, cumulatively over the six years (from January 1, 2015 to December 31, 2020) will achieve the new six year CDM target.  This is the approach contemplated in the Ministerial directive letters of March 31, 2014 to the Board and to the OPA.  </t>
  </si>
  <si>
    <t xml:space="preserve">With this approach, it is necessary to account for estimated savings for the last year of the current program, particularly the estimated savings for CDM programs offered in 2014, as well as the estimated savings for new CDM programs that the distributor will offer in 2015 towards achievement of the new six year (2015-2020) CDM program.   This necessitates expansion of this Appendix 2-I to deal with both the 2011-2014 results and 2015-2020 CDM plans. </t>
  </si>
  <si>
    <t xml:space="preserve">Kingston Hydro has 2011-2014 Final Results, as well as confirmation of the 2015-2020 program savings and persistence calculations from the IESO as of Sept. 1, 2015. This appendix has been modified to reflect use of past LRAMVA balances for disposition, future LRAMVA balances, and Load Forecast adjustments based on actual and forecast savings per rate class per year. </t>
  </si>
  <si>
    <t>Unmetered Scattered Load</t>
  </si>
  <si>
    <t>Street Lighting</t>
  </si>
  <si>
    <t>Large Use</t>
  </si>
  <si>
    <t>General Service 50 to 4,999 kW</t>
  </si>
  <si>
    <t>General Service Less Than 50 kW</t>
  </si>
  <si>
    <t>Distribution Volumetric Rate</t>
  </si>
  <si>
    <t>Monthly Service Charge</t>
  </si>
  <si>
    <t>Service Classification</t>
  </si>
  <si>
    <t>Implementation Date</t>
  </si>
  <si>
    <t>Effective Date</t>
  </si>
  <si>
    <t>Distributor</t>
  </si>
  <si>
    <t>Applicant</t>
  </si>
  <si>
    <t>Kingston Hydro Distribution Rates</t>
  </si>
  <si>
    <t>Residential (kWh)</t>
  </si>
  <si>
    <t>GS&lt;50kW (kWh)</t>
  </si>
  <si>
    <t>GS&gt;50kW (kW)</t>
  </si>
  <si>
    <t>Large User (kW)</t>
  </si>
  <si>
    <t>Values for calculation of projected LRAMVA 2015-2020</t>
  </si>
  <si>
    <t>Notes</t>
  </si>
  <si>
    <t>In the old 2011-2014 framework "NET PEAK DEMAND SAVINGS" was defined as May-Sept and verified as such - rate impacts on LRAMVA were only calculated for 5 months each year</t>
  </si>
  <si>
    <t>In the new 2015-2020 Framework, there is no requirement that peak demand savings occur in the summer, and as Kingston Hydro itself and a large portion of its customers are generally winter-peaking, demand savings are assumed to persist evenly throughout the year. Demand savings are assumed to persist for 6 months of each year (peak heating &amp; peak cooling season)</t>
  </si>
  <si>
    <t>To calculate forward looking LRAMVA by rate class, divide annual savings above by 12 for monthly kWh applied to kWh billed customer rates, or apply full MW savings to 6 months of revenue from demand billed rate classes</t>
  </si>
  <si>
    <t>Year</t>
  </si>
  <si>
    <t>RATE CLASS</t>
  </si>
  <si>
    <t>Cummulative Interest Life to Date</t>
  </si>
  <si>
    <t>Interest on Opening Balance</t>
  </si>
  <si>
    <t>Principal Ending Balance</t>
  </si>
  <si>
    <t>LRAM Adjustment -2011</t>
  </si>
  <si>
    <t>Prescribed Rate</t>
  </si>
  <si>
    <t># of Days</t>
  </si>
  <si>
    <t>December</t>
  </si>
  <si>
    <t>November</t>
  </si>
  <si>
    <t>October</t>
  </si>
  <si>
    <t>September</t>
  </si>
  <si>
    <t>August</t>
  </si>
  <si>
    <t>July</t>
  </si>
  <si>
    <t>June</t>
  </si>
  <si>
    <t>May</t>
  </si>
  <si>
    <t>April</t>
  </si>
  <si>
    <t>March</t>
  </si>
  <si>
    <t>February</t>
  </si>
  <si>
    <t>January</t>
  </si>
  <si>
    <t xml:space="preserve">Month </t>
  </si>
  <si>
    <t>LRAM Adjustment-2012</t>
  </si>
  <si>
    <t>LRAM Adjustment-2013</t>
  </si>
  <si>
    <t>LRAMVA as of Dec. 31, 2104 for 2011-2014 Lost Revenues</t>
  </si>
  <si>
    <t>Total LRAMVA as of Dec. 31, 2104 for 2011-2014 Lost Revenues (incl. Interest)</t>
  </si>
  <si>
    <t>EB-2015-0083</t>
  </si>
  <si>
    <t xml:space="preserve">1 of </t>
  </si>
  <si>
    <t>TOTAL</t>
  </si>
  <si>
    <t>Process &amp; Systems - BTG - no Rate Impact on MW</t>
  </si>
  <si>
    <t>Check</t>
  </si>
  <si>
    <t>SeL</t>
  </si>
  <si>
    <t>check</t>
  </si>
  <si>
    <t>Kingston Hydro Lost Revenue Adjustment Mechanism Variance Account</t>
  </si>
  <si>
    <t xml:space="preserve"> Principal Total</t>
  </si>
  <si>
    <t>Interest</t>
  </si>
  <si>
    <t>2015 Forecasted Interest</t>
  </si>
  <si>
    <t>Interest Total</t>
  </si>
  <si>
    <t>Behind the Meter Generation creates kWh volumetric impacts, but not billed kW impacts for GS&gt;50kW and Large Users due to implementation of Kingston Hydro's Standby Power rate class charges</t>
  </si>
  <si>
    <t>Input the measured results for 2011-2014 CDM programs for each of the years 2011 and persistence into 2012, 2013 and 2014 into cells B37 to E40.  These results are taken from the final 2011 CDM Report issued by the IESO for the LDC on Sept. 1,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</si>
</sst>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33">
    <numFmt numFmtId="5" formatCode="&quot;$&quot;#,##0;\-&quot;$&quot;#,##0"/>
    <numFmt numFmtId="6" formatCode="&quot;$&quot;#,##0;[Red]\-&quot;$&quot;#,##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0.000"/>
    <numFmt numFmtId="172" formatCode="0.0"/>
    <numFmt numFmtId="173" formatCode="_(* #,##0_);_(* \(#,##0\);_(* &quot;-&quot;??_);_(@_)"/>
    <numFmt numFmtId="174" formatCode="0.0%"/>
    <numFmt numFmtId="175" formatCode="0.0000"/>
    <numFmt numFmtId="176" formatCode="[$-1009]d\-mmm\-yy;@"/>
    <numFmt numFmtId="177" formatCode="_(* #,##0.0_);_(* \(#,##0.0\);_(* &quot;-&quot;??_);_(@_)"/>
    <numFmt numFmtId="178" formatCode="#,##0.0_);\(#,##0.0\)"/>
    <numFmt numFmtId="179" formatCode="&quot;$&quot;_(#,##0.00_);&quot;$&quot;\(#,##0.00\)"/>
    <numFmt numFmtId="180" formatCode="_(&quot;$&quot;* #,##0.00000000000000000_);_(&quot;$&quot;* \(#,##0.00000000000000000\);_(&quot;$&quot;* &quot;-&quot;??_);_(@_)"/>
    <numFmt numFmtId="181" formatCode="_-&quot;£&quot;* #,##0.00_-;\-&quot;£&quot;* #,##0.00_-;_-&quot;£&quot;* &quot;-&quot;??_-;_-@_-"/>
    <numFmt numFmtId="182" formatCode="#,##0.0_)\x;\(#,##0.0\)\x"/>
    <numFmt numFmtId="183" formatCode="_(&quot;$&quot;* #,##0.00000000_);_(&quot;$&quot;* \(#,##0.00000000\);_(&quot;$&quot;* &quot;-&quot;??_);_(@_)"/>
    <numFmt numFmtId="184" formatCode="_(&quot;$&quot;* #,##0.00000000000_);_(&quot;$&quot;* \(#,##0.00000000000\);_(&quot;$&quot;* &quot;-&quot;??_);_(@_)"/>
    <numFmt numFmtId="185" formatCode="_(&quot;$&quot;* #,##0.000000000000_);_(&quot;$&quot;* \(#,##0.000000000000\);_(&quot;$&quot;* &quot;-&quot;??_);_(@_)"/>
    <numFmt numFmtId="186" formatCode="_-&quot;£&quot;* #,##0_-;\-&quot;£&quot;* #,##0_-;_-&quot;£&quot;* &quot;-&quot;_-;_-@_-"/>
    <numFmt numFmtId="187" formatCode="#,##0.0_)_x;\(#,##0.0\)_x"/>
    <numFmt numFmtId="188" formatCode="_(* #,##0.0_);_(* \(#,##0.0\);_(* &quot;-&quot;?_);_(@_)"/>
    <numFmt numFmtId="189" formatCode="#,##0.0_)_x;\(#,##0.0\)_x;0.0_)_x;@_)_x"/>
    <numFmt numFmtId="190" formatCode="_(&quot;$&quot;* #,##0.00000000000000_);_(&quot;$&quot;* \(#,##0.00000000000000\);_(&quot;$&quot;* &quot;-&quot;??_);_(@_)"/>
    <numFmt numFmtId="191" formatCode="0.0_)\%;\(0.0\)\%"/>
    <numFmt numFmtId="192" formatCode="_(&quot;$&quot;* #,##0.000000000000000_);_(&quot;$&quot;* \(#,##0.000000000000000\);_(&quot;$&quot;* &quot;-&quot;??_);_(@_)"/>
    <numFmt numFmtId="193" formatCode="#,##0.0_)_%;\(#,##0.0\)_%"/>
    <numFmt numFmtId="194" formatCode="_(* #,##0.000_);_(* \(#,##0.000\);_(* &quot;-&quot;??_);_(@_)"/>
    <numFmt numFmtId="195" formatCode="#,##0.0_);\(#,##0.0\);0_._0_)"/>
    <numFmt numFmtId="196" formatCode="\¥\ #,##0_);[Red]\(\¥\ #,##0\)"/>
    <numFmt numFmtId="197" formatCode="0.000000"/>
    <numFmt numFmtId="198" formatCode="[&gt;1]&quot;10Q: &quot;0&quot; qtrs&quot;;&quot;10Q: &quot;0&quot; qtr&quot;"/>
    <numFmt numFmtId="199" formatCode="0.0%;[Red]\(0.0%\)"/>
    <numFmt numFmtId="200" formatCode="#,##0.0\ \ \ _);\(#,##0.0\)\ \ "/>
    <numFmt numFmtId="201" formatCode="#,##0.00;[Red]\(#,##0.00\)"/>
    <numFmt numFmtId="202" formatCode="_-* #,##0.00\ _F_-;\-* #,##0.00\ _F_-;_-* &quot;-&quot;??\ _F_-;_-@_-"/>
    <numFmt numFmtId="203" formatCode="m\-d\-yy"/>
    <numFmt numFmtId="204" formatCode="&quot;£&quot;#,##0.00_);[Red]\(&quot;£&quot;#,##0.00\)"/>
    <numFmt numFmtId="205" formatCode="0.0_)"/>
    <numFmt numFmtId="206" formatCode="m/yy"/>
    <numFmt numFmtId="207" formatCode="#,###.0#"/>
    <numFmt numFmtId="208" formatCode="#,###.#"/>
    <numFmt numFmtId="209" formatCode="&quot;$&quot;#,##0.00"/>
    <numFmt numFmtId="210" formatCode="0000\ \-\ 0000"/>
    <numFmt numFmtId="211" formatCode="[Red][&gt;0.0000001]\+#,##0.?#;[Red][&lt;-0.0000001]\-#,##0.?#;[Green]&quot;=  &quot;"/>
    <numFmt numFmtId="212" formatCode="#.#######\x"/>
    <numFmt numFmtId="213" formatCode="0.00000E+00"/>
    <numFmt numFmtId="214" formatCode="_(* #,##0.0_);_(* \(#,##0.0\);_(* &quot;-&quot;_);_(@_)"/>
    <numFmt numFmtId="215" formatCode="_-* #,##0.00\ _D_M_-;\-* #,##0.00\ _D_M_-;_-* &quot;-&quot;??\ _D_M_-;_-@_-"/>
    <numFmt numFmtId="216" formatCode="#,##0_%_);\(#,##0\)_%;#,##0_%_);@_%_)"/>
    <numFmt numFmtId="217" formatCode="#,##0.00_%_);\(#,##0.00\)_%;**;@_%_)"/>
    <numFmt numFmtId="218" formatCode="0.000\x"/>
    <numFmt numFmtId="219" formatCode="&quot;$&quot;#,##0.00_);[Red]\(&quot;$&quot;#,##0.00\);&quot;--  &quot;;_(@_)"/>
    <numFmt numFmtId="220" formatCode="_(&quot;$&quot;* #,##0.0_);_(&quot;$&quot;* \(#,##0.0\);_(&quot;$&quot;* &quot;-&quot;_);_(@_)"/>
    <numFmt numFmtId="221" formatCode="_(&quot;$&quot;* #,##0_);_(&quot;$&quot;* \(#,##0\);_(&quot;$&quot;* &quot;-&quot;??_);_(@_)"/>
    <numFmt numFmtId="222" formatCode="&quot;$&quot;#,##0.00_%_);\(&quot;$&quot;#,##0.00\)_%;**;@_%_)"/>
    <numFmt numFmtId="223" formatCode="&quot;$&quot;#,##0.00_%_);\(&quot;$&quot;#,##0.00\)_%;&quot;$&quot;###0.00_%_);@_%_)"/>
    <numFmt numFmtId="224" formatCode="_(\§\ #,##0_)\ ;[Red]\(\§\ #,##0\)\ ;&quot; - &quot;;_(@\ _)"/>
    <numFmt numFmtId="225" formatCode="_(\§\ #,##0.00_);[Red]\(\§\ #,##0.00\);&quot; - &quot;_0_0;_(@_)"/>
    <numFmt numFmtId="226" formatCode="###0.00_)"/>
    <numFmt numFmtId="227" formatCode="m/d/yy_%_)"/>
    <numFmt numFmtId="228" formatCode="mmm\-dd\-yyyy"/>
    <numFmt numFmtId="229" formatCode="mmm\-d\-yyyy"/>
    <numFmt numFmtId="230" formatCode="mmm\-yyyy"/>
    <numFmt numFmtId="231" formatCode="m/d/yy_%_);;**"/>
    <numFmt numFmtId="232" formatCode="#,##0.0_);[Red]\(#,##0.0\)"/>
    <numFmt numFmtId="233" formatCode="_([$€-2]* #,##0.00_);_([$€-2]* \(#,##0.00\);_([$€-2]* &quot;-&quot;??_)"/>
    <numFmt numFmtId="234" formatCode="&quot;$&quot;#,##0.000_);[Red]\(&quot;$&quot;#,##0.000\)"/>
    <numFmt numFmtId="235" formatCode="0.0000000000000"/>
    <numFmt numFmtId="236" formatCode="0_)"/>
    <numFmt numFmtId="237" formatCode="[$-409]d\-mmm\-yy;@"/>
    <numFmt numFmtId="238" formatCode="#,##0.00_);[Red]\(#,##0.00\);\-\-\ \ \ "/>
    <numFmt numFmtId="239" formatCode="General_)"/>
    <numFmt numFmtId="240" formatCode="&quot;&quot;"/>
    <numFmt numFmtId="241" formatCode="#,##0.0\ ;\(#,##0.0\ \)"/>
    <numFmt numFmtId="242" formatCode="0.0%;0.0%;\-\ "/>
    <numFmt numFmtId="243" formatCode="0.0%\ ;\(0.0%\)"/>
    <numFmt numFmtId="244" formatCode="_ * #,##0.00_)\ _$_ ;_ * \(#,##0.00\)\ _$_ ;_ * &quot;-&quot;??_)\ _$_ ;_ @_ "/>
    <numFmt numFmtId="245" formatCode="#,##0.00000\ ;\(#,##0.00000\ \)"/>
    <numFmt numFmtId="246" formatCode="0.000000000000"/>
    <numFmt numFmtId="247" formatCode="_ * #,##0.00_)\ &quot;$&quot;_ ;_ * \(#,##0.00\)\ &quot;$&quot;_ ;_ * &quot;-&quot;??_)\ &quot;$&quot;_ ;_ @_ "/>
    <numFmt numFmtId="248" formatCode="#,##0.0000\ ;\(#,##0.0000\ \)"/>
    <numFmt numFmtId="249" formatCode="0.000%\ ;\(0.000%\)"/>
    <numFmt numFmtId="250" formatCode="#,##0.0\x_)_);\(#,##0.0\x\)_);#,##0.0\x_)_);@_%_)"/>
    <numFmt numFmtId="251" formatCode="_(* #,##0.00000_);_(* \(#,##0.00000\);_(* &quot;-&quot;?_);_(@_)"/>
    <numFmt numFmtId="252" formatCode="#,##0.0_);[Red]\(#,##0.0\);&quot;--  &quot;"/>
    <numFmt numFmtId="253" formatCode="0.00_)"/>
    <numFmt numFmtId="254" formatCode="#,##0.000_);[Red]\(#,##0.000\)"/>
    <numFmt numFmtId="255" formatCode="0_);\(0\)"/>
    <numFmt numFmtId="256" formatCode="#,##0.00&quot;x&quot;_);[Red]\(#,##0.00&quot;x&quot;\)"/>
    <numFmt numFmtId="257" formatCode="#,##0_);\(#,##0\);&quot;-  &quot;"/>
    <numFmt numFmtId="258" formatCode="#,##0.0_);\(#,##0.0\);&quot;-  &quot;"/>
    <numFmt numFmtId="259" formatCode="#,##0.0_);\(#,##0.0\);\-_)"/>
    <numFmt numFmtId="260" formatCode="0.00000000"/>
    <numFmt numFmtId="261" formatCode="#,##0.0%_);[Red]\(#,##0.0%\)"/>
    <numFmt numFmtId="262" formatCode="#,##0.00%_);[Red]\(#,##0.00%\)"/>
    <numFmt numFmtId="263" formatCode="0.0%_);\(0.0%\);&quot;-  &quot;"/>
    <numFmt numFmtId="264" formatCode="#,##0.0\%_);\(#,##0.0\%\);#,##0.0\%_);@_%_)"/>
    <numFmt numFmtId="265" formatCode="mm/dd/yy"/>
    <numFmt numFmtId="266" formatCode="0.00\ ;\-0.00\ ;&quot;- &quot;"/>
    <numFmt numFmtId="267" formatCode="#,##0.0000"/>
    <numFmt numFmtId="268" formatCode="#,##0\ ;[Red]\(#,##0\);\ \-\ "/>
    <numFmt numFmtId="269" formatCode="#,##0.00_);\(#,##0.00\);#,##0.00_);@_)"/>
    <numFmt numFmtId="270" formatCode="[White]General"/>
    <numFmt numFmtId="271" formatCode="#,###.##"/>
    <numFmt numFmtId="272" formatCode="&quot;$&quot;#,##0.000000_);[Red]\(&quot;$&quot;#,##0.000000\)"/>
    <numFmt numFmtId="273" formatCode="&quot;Table &quot;0"/>
    <numFmt numFmtId="274" formatCode="_(General_)"/>
    <numFmt numFmtId="275" formatCode="0.00\ "/>
    <numFmt numFmtId="276" formatCode="_-&quot;L.&quot;\ * #,##0.00_-;\-&quot;L.&quot;\ * #,##0.00_-;_-&quot;L.&quot;\ * &quot;-&quot;??_-;_-@_-"/>
    <numFmt numFmtId="277" formatCode="0_%_);\(0\)_%;0_%_);@_%_)"/>
    <numFmt numFmtId="278" formatCode="0,000\x"/>
    <numFmt numFmtId="279" formatCode="yyyy&quot;A&quot;"/>
    <numFmt numFmtId="280" formatCode="_-* #,##0\ _D_M_-;\-* #,##0\ _D_M_-;_-* &quot;-&quot;\ _D_M_-;_-@_-"/>
    <numFmt numFmtId="281" formatCode="&quot;@ &quot;0.00"/>
    <numFmt numFmtId="282" formatCode="&quot;Yes&quot;_%_);&quot;Error&quot;_%_);&quot;No&quot;_%_);&quot;--&quot;_%_)"/>
    <numFmt numFmtId="283" formatCode="0.000"/>
    <numFmt numFmtId="284" formatCode="&quot;$&quot;#,##0"/>
    <numFmt numFmtId="285" formatCode="#,##0_ ;\-#,##0\ "/>
    <numFmt numFmtId="286" formatCode="[$-409]d\-mmm\-yyyy;@"/>
    <numFmt numFmtId="287" formatCode="#,##0.0"/>
    <numFmt numFmtId="288" formatCode="0.0000000"/>
    <numFmt numFmtId="289" formatCode="[$-F800]dddd\,\ mmmm\ dd\,\ yyyy"/>
  </numFmts>
  <fonts count="239">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Calibri"/>
      <family val="2"/>
    </font>
    <font>
      <b/>
      <sz val="12"/>
      <color theme="1"/>
      <name val="Calibri"/>
      <family val="2"/>
    </font>
    <font>
      <u/>
      <sz val="11"/>
      <color theme="10"/>
      <name val="Calibri"/>
      <family val="2"/>
    </font>
    <font>
      <sz val="11"/>
      <name val="Arial"/>
      <family val="2"/>
    </font>
    <font>
      <u/>
      <sz val="9.35"/>
      <color theme="10"/>
      <name val="Calibri"/>
      <family val="2"/>
    </font>
    <font>
      <sz val="10"/>
      <name val="Arial"/>
      <family val="2"/>
    </font>
    <font>
      <sz val="11"/>
      <color rgb="FF000000"/>
      <name val="Calibri"/>
      <family val="2"/>
      <scheme val="minor"/>
    </font>
    <font>
      <sz val="8"/>
      <color indexed="12"/>
      <name val="Arial"/>
      <family val="2"/>
    </font>
    <font>
      <sz val="10"/>
      <name val="Geneva"/>
    </font>
    <font>
      <sz val="10"/>
      <name val="Book Antiqua"/>
      <family val="1"/>
    </font>
    <font>
      <sz val="10"/>
      <name val="Helv"/>
      <charset val="204"/>
    </font>
    <font>
      <sz val="10"/>
      <name val="Frutiger 45 Light"/>
    </font>
    <font>
      <sz val="10"/>
      <name val="Times New Roman"/>
      <family val="1"/>
    </font>
    <font>
      <sz val="10"/>
      <name val="Frutiger 45 Light"/>
      <family val="2"/>
    </font>
    <font>
      <sz val="12"/>
      <name val="Times New Roman"/>
      <family val="1"/>
    </font>
    <font>
      <b/>
      <sz val="8"/>
      <name val="Arial"/>
      <family val="2"/>
    </font>
    <font>
      <sz val="11"/>
      <color indexed="8"/>
      <name val="Calibri"/>
      <family val="2"/>
    </font>
    <font>
      <sz val="11"/>
      <color theme="1"/>
      <name val="Arial"/>
      <family val="2"/>
    </font>
    <font>
      <sz val="12"/>
      <color theme="1"/>
      <name val="Times New Roman"/>
      <family val="2"/>
    </font>
    <font>
      <sz val="11"/>
      <color indexed="9"/>
      <name val="Calibri"/>
      <family val="2"/>
    </font>
    <font>
      <sz val="11"/>
      <color theme="0"/>
      <name val="Arial"/>
      <family val="2"/>
    </font>
    <font>
      <b/>
      <sz val="12"/>
      <color indexed="8"/>
      <name val="Times New Roman"/>
      <family val="1"/>
    </font>
    <font>
      <sz val="10"/>
      <name val="Arial Narrow"/>
      <family val="2"/>
    </font>
    <font>
      <sz val="8"/>
      <name val="Times New Roman"/>
      <family val="1"/>
    </font>
    <font>
      <b/>
      <sz val="10"/>
      <name val="Arial"/>
      <family val="2"/>
    </font>
    <font>
      <sz val="8"/>
      <color indexed="8"/>
      <name val="Times New Roman"/>
      <family val="1"/>
    </font>
    <font>
      <sz val="10"/>
      <color indexed="8"/>
      <name val="Times New Roman"/>
      <family val="1"/>
    </font>
    <font>
      <sz val="12"/>
      <name val="Arial"/>
      <family val="2"/>
    </font>
    <font>
      <sz val="9"/>
      <name val="Times New Roman"/>
      <family val="1"/>
    </font>
    <font>
      <sz val="11"/>
      <color indexed="20"/>
      <name val="Calibri"/>
      <family val="2"/>
    </font>
    <font>
      <sz val="11"/>
      <color rgb="FF9C0006"/>
      <name val="Arial"/>
      <family val="2"/>
    </font>
    <font>
      <sz val="8"/>
      <color indexed="13"/>
      <name val="Arial"/>
      <family val="2"/>
    </font>
    <font>
      <sz val="10"/>
      <color indexed="8"/>
      <name val="Helvetica-Narrow"/>
      <family val="2"/>
    </font>
    <font>
      <sz val="10"/>
      <color indexed="12"/>
      <name val="Arial"/>
      <family val="2"/>
    </font>
    <font>
      <b/>
      <sz val="12"/>
      <name val="Times New Roman"/>
      <family val="1"/>
    </font>
    <font>
      <b/>
      <sz val="7"/>
      <name val="Arial"/>
      <family val="2"/>
    </font>
    <font>
      <b/>
      <sz val="11"/>
      <color indexed="52"/>
      <name val="Calibri"/>
      <family val="2"/>
    </font>
    <font>
      <b/>
      <sz val="11"/>
      <color rgb="FFFA7D00"/>
      <name val="Arial"/>
      <family val="2"/>
    </font>
    <font>
      <b/>
      <sz val="11"/>
      <color indexed="9"/>
      <name val="Calibri"/>
      <family val="2"/>
    </font>
    <font>
      <b/>
      <sz val="11"/>
      <color theme="0"/>
      <name val="Arial"/>
      <family val="2"/>
    </font>
    <font>
      <sz val="10"/>
      <name val="MS Sans Serif"/>
      <family val="2"/>
    </font>
    <font>
      <sz val="11"/>
      <color indexed="12"/>
      <name val="Arial"/>
      <family val="2"/>
    </font>
    <font>
      <sz val="10"/>
      <color indexed="39"/>
      <name val="Century Schoolbook"/>
      <family val="1"/>
    </font>
    <font>
      <sz val="10"/>
      <name val="Sabon"/>
    </font>
    <font>
      <sz val="8"/>
      <name val="Palatino"/>
      <family val="1"/>
    </font>
    <font>
      <sz val="12"/>
      <name val="Goudy Old Style"/>
      <family val="1"/>
    </font>
    <font>
      <sz val="10"/>
      <name val="Verdana"/>
      <family val="2"/>
    </font>
    <font>
      <sz val="12"/>
      <color indexed="8"/>
      <name val="Arial"/>
      <family val="2"/>
    </font>
    <font>
      <sz val="12"/>
      <color theme="1"/>
      <name val="Arial"/>
      <family val="2"/>
    </font>
    <font>
      <sz val="10"/>
      <color theme="1"/>
      <name val="Arial"/>
      <family val="2"/>
    </font>
    <font>
      <sz val="10"/>
      <color indexed="24"/>
      <name val="Arial"/>
      <family val="2"/>
    </font>
    <font>
      <sz val="11"/>
      <name val="Times New Roman"/>
      <family val="1"/>
    </font>
    <font>
      <i/>
      <sz val="9"/>
      <name val="MS Sans Serif"/>
      <family val="2"/>
    </font>
    <font>
      <sz val="24"/>
      <name val="MS Sans Serif"/>
      <family val="2"/>
    </font>
    <font>
      <sz val="8"/>
      <name val="Arial"/>
      <family val="2"/>
    </font>
    <font>
      <sz val="9"/>
      <name val="Arial"/>
      <family val="2"/>
    </font>
    <font>
      <sz val="11"/>
      <color indexed="12"/>
      <name val="Book Antiqua"/>
      <family val="1"/>
    </font>
    <font>
      <sz val="10"/>
      <color indexed="8"/>
      <name val="Arial"/>
      <family val="2"/>
    </font>
    <font>
      <sz val="8"/>
      <color indexed="16"/>
      <name val="Palatino"/>
      <family val="1"/>
    </font>
    <font>
      <sz val="10"/>
      <name val="Helv"/>
    </font>
    <font>
      <sz val="8"/>
      <name val="Helv"/>
    </font>
    <font>
      <u val="doubleAccounting"/>
      <sz val="10"/>
      <name val="Times New Roman"/>
      <family val="1"/>
    </font>
    <font>
      <sz val="1"/>
      <color indexed="8"/>
      <name val="Courier"/>
      <family val="3"/>
    </font>
    <font>
      <u val="doubleAccounting"/>
      <sz val="10"/>
      <name val="Arial"/>
      <family val="2"/>
    </font>
    <font>
      <sz val="9"/>
      <name val="Arial Narrow"/>
      <family val="2"/>
    </font>
    <font>
      <i/>
      <sz val="11"/>
      <color indexed="23"/>
      <name val="Calibri"/>
      <family val="2"/>
    </font>
    <font>
      <i/>
      <sz val="11"/>
      <color rgb="FF7F7F7F"/>
      <name val="Arial"/>
      <family val="2"/>
    </font>
    <font>
      <sz val="14"/>
      <color indexed="32"/>
      <name val="Times New Roman"/>
      <family val="1"/>
    </font>
    <font>
      <sz val="7"/>
      <name val="Palatino"/>
      <family val="1"/>
    </font>
    <font>
      <sz val="11"/>
      <color indexed="17"/>
      <name val="Calibri"/>
      <family val="2"/>
    </font>
    <font>
      <sz val="11"/>
      <color rgb="FF006100"/>
      <name val="Arial"/>
      <family val="2"/>
    </font>
    <font>
      <sz val="8"/>
      <name val="Courier"/>
      <family val="3"/>
    </font>
    <font>
      <sz val="9"/>
      <name val="Futura UBS Bk"/>
      <family val="2"/>
    </font>
    <font>
      <sz val="6"/>
      <color indexed="16"/>
      <name val="Palatino"/>
      <family val="1"/>
    </font>
    <font>
      <b/>
      <sz val="12"/>
      <name val="Arial"/>
      <family val="2"/>
    </font>
    <font>
      <sz val="14"/>
      <color indexed="8"/>
      <name val="Times New Roman"/>
      <family val="1"/>
    </font>
    <font>
      <b/>
      <sz val="15"/>
      <color indexed="56"/>
      <name val="Calibri"/>
      <family val="2"/>
    </font>
    <font>
      <b/>
      <sz val="18"/>
      <color indexed="24"/>
      <name val="Arial"/>
      <family val="2"/>
    </font>
    <font>
      <b/>
      <sz val="13"/>
      <color indexed="56"/>
      <name val="Calibri"/>
      <family val="2"/>
    </font>
    <font>
      <sz val="18"/>
      <name val="Helvetica-Black"/>
    </font>
    <font>
      <b/>
      <sz val="11"/>
      <color indexed="56"/>
      <name val="Calibri"/>
      <family val="2"/>
    </font>
    <font>
      <i/>
      <sz val="14"/>
      <name val="Palatino"/>
      <family val="1"/>
    </font>
    <font>
      <b/>
      <sz val="11"/>
      <color theme="3"/>
      <name val="Calibri"/>
      <family val="2"/>
    </font>
    <font>
      <b/>
      <sz val="9"/>
      <name val="Times New Roman"/>
      <family val="1"/>
    </font>
    <font>
      <b/>
      <i/>
      <sz val="22"/>
      <name val="Times New Roman"/>
      <family val="1"/>
    </font>
    <font>
      <b/>
      <sz val="10"/>
      <name val="Helv"/>
    </font>
    <font>
      <u/>
      <sz val="10"/>
      <color indexed="12"/>
      <name val="Arial"/>
      <family val="2"/>
    </font>
    <font>
      <u/>
      <sz val="10"/>
      <color indexed="12"/>
      <name val="Times New Roman"/>
      <family val="1"/>
    </font>
    <font>
      <u/>
      <sz val="11"/>
      <color theme="10"/>
      <name val="Calibri"/>
      <family val="2"/>
      <scheme val="minor"/>
    </font>
    <font>
      <u/>
      <sz val="11"/>
      <color indexed="12"/>
      <name val="Calibri"/>
      <family val="2"/>
    </font>
    <font>
      <sz val="11"/>
      <color indexed="62"/>
      <name val="Calibri"/>
      <family val="2"/>
    </font>
    <font>
      <sz val="11"/>
      <color rgb="FF3F3F76"/>
      <name val="Arial"/>
      <family val="2"/>
    </font>
    <font>
      <sz val="9"/>
      <color indexed="12"/>
      <name val="Helvetica"/>
      <family val="2"/>
    </font>
    <font>
      <sz val="8"/>
      <name val="Arial Narrow"/>
      <family val="2"/>
    </font>
    <font>
      <sz val="10"/>
      <color indexed="9"/>
      <name val="Frutiger 45 Light"/>
      <family val="2"/>
    </font>
    <font>
      <sz val="10"/>
      <color indexed="16"/>
      <name val="Arial Narrow"/>
      <family val="2"/>
    </font>
    <font>
      <b/>
      <sz val="10"/>
      <name val="MS Sans Serif"/>
      <family val="2"/>
    </font>
    <font>
      <u/>
      <sz val="10"/>
      <color indexed="36"/>
      <name val="Arial"/>
      <family val="2"/>
    </font>
    <font>
      <sz val="10"/>
      <color indexed="12"/>
      <name val="CG Times (WN)"/>
    </font>
    <font>
      <sz val="11"/>
      <color indexed="52"/>
      <name val="Calibri"/>
      <family val="2"/>
    </font>
    <font>
      <sz val="11"/>
      <color rgb="FFFA7D00"/>
      <name val="Arial"/>
      <family val="2"/>
    </font>
    <font>
      <sz val="8"/>
      <color indexed="10"/>
      <name val="Times New Roman"/>
      <family val="1"/>
    </font>
    <font>
      <i/>
      <sz val="9"/>
      <color indexed="20"/>
      <name val="Arial Narrow"/>
      <family val="2"/>
    </font>
    <font>
      <sz val="11"/>
      <color indexed="60"/>
      <name val="Calibri"/>
      <family val="2"/>
    </font>
    <font>
      <sz val="11"/>
      <color rgb="FF9C6500"/>
      <name val="Arial"/>
      <family val="2"/>
    </font>
    <font>
      <sz val="7"/>
      <name val="Small Fonts"/>
      <family val="2"/>
    </font>
    <font>
      <sz val="10"/>
      <name val="Courier"/>
      <family val="3"/>
    </font>
    <font>
      <sz val="8"/>
      <color indexed="23"/>
      <name val="Arial Narrow"/>
      <family val="2"/>
    </font>
    <font>
      <b/>
      <i/>
      <sz val="16"/>
      <name val="Helv"/>
    </font>
    <font>
      <i/>
      <sz val="9"/>
      <name val="Arial"/>
      <family val="2"/>
    </font>
    <font>
      <sz val="10"/>
      <name val="Palatino"/>
      <family val="1"/>
    </font>
    <font>
      <sz val="11"/>
      <color indexed="8"/>
      <name val="Arial"/>
      <family val="2"/>
    </font>
    <font>
      <sz val="9"/>
      <name val="Frutiger 45 Light"/>
      <family val="2"/>
    </font>
    <font>
      <sz val="9"/>
      <color indexed="12"/>
      <name val="Frutiger 45 Light"/>
      <family val="2"/>
    </font>
    <font>
      <b/>
      <sz val="9"/>
      <name val="Frutiger 45 Light"/>
      <family val="2"/>
    </font>
    <font>
      <sz val="9"/>
      <name val="Frutiger 45 Light"/>
    </font>
    <font>
      <sz val="9"/>
      <color indexed="56"/>
      <name val="Frutiger 45 Light"/>
      <family val="2"/>
    </font>
    <font>
      <b/>
      <sz val="11"/>
      <color indexed="63"/>
      <name val="Calibri"/>
      <family val="2"/>
    </font>
    <font>
      <b/>
      <sz val="11"/>
      <color rgb="FF3F3F3F"/>
      <name val="Arial"/>
      <family val="2"/>
    </font>
    <font>
      <b/>
      <sz val="26"/>
      <name val="Times New Roman"/>
      <family val="1"/>
    </font>
    <font>
      <b/>
      <sz val="18"/>
      <name val="Times New Roman"/>
      <family val="1"/>
    </font>
    <font>
      <sz val="10"/>
      <color indexed="16"/>
      <name val="Helvetica-Black"/>
    </font>
    <font>
      <sz val="22"/>
      <name val="UBSHeadline"/>
      <family val="1"/>
    </font>
    <font>
      <sz val="10"/>
      <name val="Tms Rmn"/>
    </font>
    <font>
      <i/>
      <sz val="8"/>
      <name val="Arial"/>
      <family val="2"/>
    </font>
    <font>
      <sz val="8"/>
      <color indexed="32"/>
      <name val="Arial"/>
      <family val="2"/>
    </font>
    <font>
      <sz val="8"/>
      <color indexed="10"/>
      <name val="Arial"/>
      <family val="2"/>
    </font>
    <font>
      <i/>
      <sz val="8"/>
      <color indexed="14"/>
      <name val="Arial"/>
      <family val="2"/>
    </font>
    <font>
      <sz val="9.5"/>
      <color indexed="23"/>
      <name val="Helvetica-Black"/>
    </font>
    <font>
      <b/>
      <sz val="12"/>
      <name val="MS Sans Serif"/>
      <family val="2"/>
    </font>
    <font>
      <u val="singleAccounting"/>
      <sz val="10"/>
      <name val="Arial"/>
      <family val="2"/>
    </font>
    <font>
      <u val="singleAccounting"/>
      <sz val="10"/>
      <name val="Times New Roman"/>
      <family val="1"/>
    </font>
    <font>
      <vertAlign val="superscript"/>
      <sz val="12"/>
      <name val="Helv"/>
    </font>
    <font>
      <i/>
      <sz val="8"/>
      <name val="Times New Roman"/>
      <family val="1"/>
    </font>
    <font>
      <b/>
      <sz val="15"/>
      <name val="Arial"/>
      <family val="2"/>
    </font>
    <font>
      <b/>
      <sz val="14"/>
      <name val="Arial"/>
      <family val="2"/>
    </font>
    <font>
      <b/>
      <sz val="10"/>
      <color indexed="9"/>
      <name val="Arial"/>
      <family val="2"/>
    </font>
    <font>
      <b/>
      <sz val="10"/>
      <color indexed="8"/>
      <name val="Arial"/>
      <family val="2"/>
    </font>
    <font>
      <i/>
      <sz val="10"/>
      <color indexed="8"/>
      <name val="Arial"/>
      <family val="2"/>
    </font>
    <font>
      <b/>
      <sz val="9"/>
      <name val="Palatino"/>
      <family val="1"/>
    </font>
    <font>
      <sz val="9"/>
      <color indexed="21"/>
      <name val="Helvetica-Black"/>
    </font>
    <font>
      <b/>
      <sz val="10"/>
      <name val="Palatino"/>
      <family val="1"/>
    </font>
    <font>
      <b/>
      <sz val="8.5"/>
      <name val="Arial"/>
      <family val="2"/>
    </font>
    <font>
      <sz val="7"/>
      <name val="Times New Roman"/>
      <family val="1"/>
    </font>
    <font>
      <b/>
      <sz val="10"/>
      <name val="Times New Roman"/>
      <family val="1"/>
    </font>
    <font>
      <b/>
      <sz val="10"/>
      <name val="Arial Narrow"/>
      <family val="2"/>
    </font>
    <font>
      <sz val="10"/>
      <color indexed="9"/>
      <name val="Arial Narrow"/>
      <family val="2"/>
    </font>
    <font>
      <sz val="12"/>
      <color indexed="8"/>
      <name val="Palatino"/>
      <family val="1"/>
    </font>
    <font>
      <sz val="11"/>
      <color indexed="8"/>
      <name val="Helvetica-Black"/>
    </font>
    <font>
      <b/>
      <sz val="11"/>
      <name val="Times New Roman"/>
      <family val="1"/>
    </font>
    <font>
      <b/>
      <sz val="18"/>
      <color indexed="56"/>
      <name val="Cambria"/>
      <family val="2"/>
    </font>
    <font>
      <b/>
      <sz val="14"/>
      <color indexed="16"/>
      <name val="Sabon"/>
    </font>
    <font>
      <b/>
      <sz val="14"/>
      <color indexed="9"/>
      <name val="Times New Roman"/>
      <family val="1"/>
    </font>
    <font>
      <b/>
      <sz val="14"/>
      <name val="Times New Roman"/>
      <family val="1"/>
    </font>
    <font>
      <b/>
      <sz val="12"/>
      <name val="Helv"/>
    </font>
    <font>
      <b/>
      <sz val="11"/>
      <color indexed="8"/>
      <name val="Calibri"/>
      <family val="2"/>
    </font>
    <font>
      <b/>
      <sz val="11"/>
      <color theme="1"/>
      <name val="Arial"/>
      <family val="2"/>
    </font>
    <font>
      <u/>
      <sz val="8"/>
      <color indexed="8"/>
      <name val="Arial"/>
      <family val="2"/>
    </font>
    <font>
      <sz val="16"/>
      <name val="WarburgLogo"/>
      <family val="1"/>
    </font>
    <font>
      <sz val="11"/>
      <color indexed="10"/>
      <name val="Calibri"/>
      <family val="2"/>
    </font>
    <font>
      <sz val="11"/>
      <color rgb="FFFF0000"/>
      <name val="Arial"/>
      <family val="2"/>
    </font>
    <font>
      <sz val="8"/>
      <color indexed="12"/>
      <name val="Times New Roman"/>
      <family val="1"/>
    </font>
    <font>
      <b/>
      <sz val="12"/>
      <name val="Calibri"/>
      <family val="2"/>
    </font>
    <font>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9"/>
      <color indexed="81"/>
      <name val="Tahoma"/>
      <family val="2"/>
    </font>
    <font>
      <b/>
      <sz val="9"/>
      <color indexed="81"/>
      <name val="Tahoma"/>
      <family val="2"/>
    </font>
    <font>
      <sz val="12"/>
      <color theme="1"/>
      <name val="Calibri"/>
      <family val="2"/>
      <scheme val="minor"/>
    </font>
    <font>
      <b/>
      <sz val="18"/>
      <color theme="3"/>
      <name val="Cambria"/>
      <family val="2"/>
      <scheme val="major"/>
    </font>
    <font>
      <u/>
      <sz val="8"/>
      <color rgb="FF800080"/>
      <name val="Calibri"/>
      <family val="2"/>
      <scheme val="minor"/>
    </font>
    <font>
      <u/>
      <sz val="8"/>
      <color rgb="FF0000FF"/>
      <name val="Calibri"/>
      <family val="2"/>
      <scheme val="minor"/>
    </font>
    <font>
      <b/>
      <u/>
      <sz val="11"/>
      <color theme="1"/>
      <name val="Calibri"/>
      <family val="2"/>
      <scheme val="minor"/>
    </font>
    <font>
      <i/>
      <sz val="10"/>
      <name val="Arial"/>
      <family val="2"/>
    </font>
    <font>
      <sz val="11"/>
      <name val="Calibri"/>
      <family val="2"/>
      <scheme val="minor"/>
    </font>
    <font>
      <sz val="10"/>
      <color theme="1"/>
      <name val="Calibri"/>
      <family val="2"/>
      <scheme val="minor"/>
    </font>
    <font>
      <b/>
      <sz val="10"/>
      <color theme="1"/>
      <name val="Calibri"/>
      <family val="2"/>
      <scheme val="minor"/>
    </font>
    <font>
      <b/>
      <sz val="10"/>
      <color theme="0"/>
      <name val="Calibri"/>
      <family val="2"/>
      <scheme val="minor"/>
    </font>
    <font>
      <sz val="10"/>
      <name val="Arial Unicode MS"/>
      <family val="2"/>
    </font>
    <font>
      <b/>
      <sz val="10"/>
      <name val="Arial Unicode MS"/>
      <family val="2"/>
    </font>
    <font>
      <b/>
      <sz val="10"/>
      <name val="Arial Unicode MS"/>
      <family val="2"/>
    </font>
    <font>
      <sz val="10"/>
      <name val="Arial Unicode MS"/>
      <family val="2"/>
    </font>
    <font>
      <sz val="10"/>
      <color indexed="8"/>
      <name val="Arial"/>
      <family val="2"/>
    </font>
    <font>
      <b/>
      <sz val="12"/>
      <color theme="1"/>
      <name val="Calibri"/>
      <family val="2"/>
      <scheme val="minor"/>
    </font>
    <font>
      <i/>
      <sz val="9"/>
      <color theme="1"/>
      <name val="Calibri"/>
      <family val="2"/>
      <scheme val="minor"/>
    </font>
    <font>
      <sz val="10"/>
      <name val="Calibri"/>
      <family val="2"/>
      <scheme val="minor"/>
    </font>
    <font>
      <b/>
      <i/>
      <sz val="14"/>
      <color theme="1"/>
      <name val="Calibri"/>
      <family val="2"/>
      <scheme val="minor"/>
    </font>
    <font>
      <b/>
      <i/>
      <sz val="11"/>
      <color theme="1"/>
      <name val="Calibri"/>
      <family val="2"/>
      <scheme val="minor"/>
    </font>
    <font>
      <b/>
      <sz val="11"/>
      <name val="Calibri"/>
      <family val="2"/>
      <scheme val="minor"/>
    </font>
    <font>
      <b/>
      <sz val="14"/>
      <color theme="1"/>
      <name val="Calibri"/>
      <family val="2"/>
      <scheme val="minor"/>
    </font>
    <font>
      <b/>
      <sz val="18"/>
      <color theme="1"/>
      <name val="Calibri"/>
      <family val="2"/>
      <scheme val="minor"/>
    </font>
    <font>
      <sz val="14"/>
      <color theme="1"/>
      <name val="Calibri"/>
      <family val="2"/>
      <scheme val="minor"/>
    </font>
    <font>
      <b/>
      <sz val="16"/>
      <color theme="1"/>
      <name val="Calibri"/>
      <family val="2"/>
      <scheme val="minor"/>
    </font>
    <font>
      <b/>
      <sz val="11"/>
      <name val="Calibri"/>
      <family val="2"/>
    </font>
    <font>
      <b/>
      <sz val="11"/>
      <name val="Arial"/>
      <family val="2"/>
    </font>
    <font>
      <sz val="11"/>
      <color theme="1"/>
      <name val="Calibri"/>
      <family val="2"/>
    </font>
    <font>
      <b/>
      <sz val="11"/>
      <color rgb="FFFF0000"/>
      <name val="Calibri"/>
      <family val="2"/>
      <scheme val="minor"/>
    </font>
    <font>
      <sz val="9"/>
      <name val="Calibri"/>
      <family val="2"/>
      <scheme val="minor"/>
    </font>
    <font>
      <sz val="9"/>
      <color theme="1"/>
      <name val="Calibri"/>
      <family val="2"/>
      <scheme val="minor"/>
    </font>
    <font>
      <sz val="8"/>
      <color theme="1"/>
      <name val="Calibri"/>
      <family val="2"/>
      <scheme val="minor"/>
    </font>
    <font>
      <b/>
      <sz val="10"/>
      <name val="Calibri"/>
      <family val="2"/>
      <scheme val="minor"/>
    </font>
    <font>
      <sz val="10"/>
      <color rgb="FFFF0000"/>
      <name val="Calibri"/>
      <family val="2"/>
      <scheme val="minor"/>
    </font>
    <font>
      <b/>
      <sz val="10"/>
      <color rgb="FFFF0000"/>
      <name val="Calibri"/>
      <family val="2"/>
      <scheme val="minor"/>
    </font>
    <font>
      <b/>
      <sz val="11"/>
      <color rgb="FF000000"/>
      <name val="Calibri"/>
      <family val="2"/>
      <scheme val="minor"/>
    </font>
    <font>
      <b/>
      <sz val="10"/>
      <color rgb="FFFFFFFF"/>
      <name val="Arial"/>
      <family val="2"/>
    </font>
    <font>
      <sz val="10"/>
      <color rgb="FFFFFFFF"/>
      <name val="Arial"/>
      <family val="2"/>
    </font>
    <font>
      <b/>
      <sz val="10"/>
      <color theme="0"/>
      <name val="Arial"/>
      <family val="2"/>
    </font>
    <font>
      <u/>
      <sz val="11"/>
      <color theme="1"/>
      <name val="Calibri"/>
      <family val="2"/>
      <scheme val="minor"/>
    </font>
    <font>
      <b/>
      <sz val="18"/>
      <color indexed="62"/>
      <name val="Arial"/>
      <family val="2"/>
    </font>
    <font>
      <b/>
      <sz val="12"/>
      <color indexed="62"/>
      <name val="Arial"/>
      <family val="2"/>
    </font>
    <font>
      <b/>
      <i/>
      <sz val="9"/>
      <name val="Arial"/>
      <family val="2"/>
    </font>
    <font>
      <sz val="10"/>
      <color theme="0"/>
      <name val="Arial"/>
      <family val="2"/>
    </font>
  </fonts>
  <fills count="10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indexed="62"/>
        <bgColor indexed="64"/>
      </patternFill>
    </fill>
    <fill>
      <patternFill patternType="solid">
        <fgColor indexed="54"/>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gray125">
        <fgColor indexed="8"/>
      </patternFill>
    </fill>
    <fill>
      <patternFill patternType="solid">
        <fgColor indexed="32"/>
        <bgColor indexed="64"/>
      </patternFill>
    </fill>
    <fill>
      <patternFill patternType="solid">
        <fgColor indexed="26"/>
        <bgColor indexed="64"/>
      </patternFill>
    </fill>
    <fill>
      <patternFill patternType="solid">
        <fgColor indexed="22"/>
      </patternFill>
    </fill>
    <fill>
      <patternFill patternType="lightGray">
        <fgColor indexed="15"/>
      </patternFill>
    </fill>
    <fill>
      <patternFill patternType="solid">
        <fgColor indexed="55"/>
      </patternFill>
    </fill>
    <fill>
      <patternFill patternType="lightGray">
        <fgColor indexed="12"/>
      </patternFill>
    </fill>
    <fill>
      <patternFill patternType="solid">
        <fgColor indexed="9"/>
        <bgColor indexed="9"/>
      </patternFill>
    </fill>
    <fill>
      <patternFill patternType="solid">
        <fgColor indexed="35"/>
        <bgColor indexed="64"/>
      </patternFill>
    </fill>
    <fill>
      <patternFill patternType="solid">
        <fgColor indexed="22"/>
        <bgColor indexed="64"/>
      </patternFill>
    </fill>
    <fill>
      <patternFill patternType="solid">
        <fgColor indexed="42"/>
        <bgColor indexed="64"/>
      </patternFill>
    </fill>
    <fill>
      <patternFill patternType="solid">
        <fgColor indexed="22"/>
        <bgColor indexed="9"/>
      </patternFill>
    </fill>
    <fill>
      <patternFill patternType="solid">
        <fgColor indexed="43"/>
      </patternFill>
    </fill>
    <fill>
      <patternFill patternType="solid">
        <fgColor indexed="13"/>
      </patternFill>
    </fill>
    <fill>
      <patternFill patternType="mediumGray">
        <fgColor indexed="9"/>
        <bgColor indexed="22"/>
      </patternFill>
    </fill>
    <fill>
      <patternFill patternType="gray0625">
        <fgColor indexed="22"/>
      </patternFill>
    </fill>
    <fill>
      <patternFill patternType="solid">
        <fgColor indexed="41"/>
        <bgColor indexed="64"/>
      </patternFill>
    </fill>
    <fill>
      <patternFill patternType="solid">
        <fgColor indexed="43"/>
        <bgColor indexed="64"/>
      </patternFill>
    </fill>
    <fill>
      <patternFill patternType="solid">
        <fgColor indexed="26"/>
      </patternFill>
    </fill>
    <fill>
      <patternFill patternType="solid">
        <fgColor indexed="40"/>
        <bgColor indexed="64"/>
      </patternFill>
    </fill>
    <fill>
      <patternFill patternType="mediumGray">
        <fgColor indexed="22"/>
      </patternFill>
    </fill>
    <fill>
      <patternFill patternType="solid">
        <fgColor indexed="22"/>
        <bgColor indexed="14"/>
      </patternFill>
    </fill>
    <fill>
      <patternFill patternType="solid">
        <fgColor indexed="63"/>
        <bgColor indexed="64"/>
      </patternFill>
    </fill>
    <fill>
      <patternFill patternType="solid">
        <fgColor indexed="8"/>
        <bgColor indexed="64"/>
      </patternFill>
    </fill>
    <fill>
      <patternFill patternType="solid">
        <fgColor indexed="12"/>
      </patternFill>
    </fill>
    <fill>
      <patternFill patternType="solid">
        <fgColor indexed="16"/>
        <bgColor indexed="64"/>
      </patternFill>
    </fill>
    <fill>
      <patternFill patternType="solid">
        <fgColor indexed="9"/>
      </patternFill>
    </fill>
    <fill>
      <patternFill patternType="solid">
        <fgColor indexed="38"/>
      </patternFill>
    </fill>
    <fill>
      <patternFill patternType="solid">
        <fgColor indexed="31"/>
        <bgColor indexed="64"/>
      </patternFill>
    </fill>
    <fill>
      <patternFill patternType="solid">
        <fgColor theme="6" tint="0.59999389629810485"/>
        <bgColor indexed="64"/>
      </patternFill>
    </fill>
    <fill>
      <patternFill patternType="solid">
        <fgColor rgb="FFFFFFFF"/>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E0E0E0"/>
        <bgColor indexed="64"/>
      </patternFill>
    </fill>
    <fill>
      <patternFill patternType="solid">
        <fgColor rgb="FFD8D8D8"/>
        <bgColor indexed="64"/>
      </patternFill>
    </fill>
    <fill>
      <patternFill patternType="solid">
        <fgColor theme="3" tint="-0.249977111117893"/>
        <bgColor indexed="64"/>
      </patternFill>
    </fill>
    <fill>
      <patternFill patternType="solid">
        <fgColor theme="3" tint="-0.249977111117893"/>
        <bgColor rgb="FF000000"/>
      </patternFill>
    </fill>
    <fill>
      <patternFill patternType="solid">
        <fgColor rgb="FFFFFF99"/>
        <bgColor rgb="FF000000"/>
      </patternFill>
    </fill>
    <fill>
      <patternFill patternType="solid">
        <fgColor rgb="FF009745"/>
        <bgColor indexed="64"/>
      </patternFill>
    </fill>
    <fill>
      <patternFill patternType="solid">
        <fgColor indexed="48"/>
        <bgColor indexed="64"/>
      </patternFill>
    </fill>
    <fill>
      <patternFill patternType="solid">
        <fgColor theme="3" tint="0.79998168889431442"/>
        <bgColor indexed="64"/>
      </patternFill>
    </fill>
    <fill>
      <patternFill patternType="solid">
        <fgColor theme="3" tint="0.39997558519241921"/>
        <bgColor indexed="64"/>
      </patternFill>
    </fill>
  </fills>
  <borders count="1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style="medium">
        <color indexed="64"/>
      </bottom>
      <diagonal/>
    </border>
    <border>
      <left/>
      <right/>
      <top/>
      <bottom style="medium">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hair">
        <color indexed="64"/>
      </right>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top/>
      <bottom style="hair">
        <color indexed="64"/>
      </bottom>
      <diagonal/>
    </border>
    <border>
      <left/>
      <right/>
      <top style="thin">
        <color indexed="8"/>
      </top>
      <bottom/>
      <diagonal/>
    </border>
    <border>
      <left/>
      <right/>
      <top/>
      <bottom style="thin">
        <color indexed="28"/>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bottom/>
      <diagonal/>
    </border>
    <border>
      <left/>
      <right style="thin">
        <color indexed="8"/>
      </right>
      <top style="thin">
        <color indexed="8"/>
      </top>
      <bottom/>
      <diagonal/>
    </border>
    <border>
      <left/>
      <right/>
      <top/>
      <bottom style="thin">
        <color indexed="22"/>
      </bottom>
      <diagonal/>
    </border>
    <border>
      <left/>
      <right/>
      <top/>
      <bottom style="dotted">
        <color auto="1"/>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ck">
        <color indexed="64"/>
      </bottom>
      <diagonal/>
    </border>
    <border>
      <left/>
      <right/>
      <top/>
      <bottom style="thin">
        <color indexed="8"/>
      </bottom>
      <diagonal/>
    </border>
    <border>
      <left/>
      <right/>
      <top/>
      <bottom style="hair">
        <color indexed="64"/>
      </bottom>
      <diagonal/>
    </border>
    <border>
      <left style="hair">
        <color auto="1"/>
      </left>
      <right/>
      <top style="hair">
        <color auto="1"/>
      </top>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medium">
        <color indexed="14"/>
      </left>
      <right style="medium">
        <color indexed="14"/>
      </right>
      <top style="medium">
        <color indexed="14"/>
      </top>
      <bottom style="medium">
        <color indexed="14"/>
      </bottom>
      <diagonal/>
    </border>
    <border>
      <left/>
      <right/>
      <top/>
      <bottom style="thin">
        <color indexed="23"/>
      </bottom>
      <diagonal/>
    </border>
    <border>
      <left/>
      <right/>
      <top style="thin">
        <color indexed="23"/>
      </top>
      <bottom style="thin">
        <color indexed="23"/>
      </bottom>
      <diagonal/>
    </border>
    <border>
      <left/>
      <right/>
      <top style="thin">
        <color indexed="62"/>
      </top>
      <bottom style="double">
        <color indexed="62"/>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3"/>
      </top>
      <bottom style="thin">
        <color indexed="2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auto="1"/>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double">
        <color indexed="64"/>
      </top>
      <bottom style="thin">
        <color indexed="64"/>
      </bottom>
      <diagonal/>
    </border>
    <border>
      <left style="medium">
        <color indexed="64"/>
      </left>
      <right/>
      <top/>
      <bottom style="double">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double">
        <color indexed="64"/>
      </bottom>
      <diagonal/>
    </border>
    <border>
      <left/>
      <right style="double">
        <color indexed="64"/>
      </right>
      <top/>
      <bottom style="medium">
        <color indexed="64"/>
      </bottom>
      <diagonal/>
    </border>
    <border>
      <left/>
      <right style="medium">
        <color indexed="64"/>
      </right>
      <top/>
      <bottom style="double">
        <color indexed="64"/>
      </bottom>
      <diagonal/>
    </border>
    <border>
      <left/>
      <right style="double">
        <color indexed="64"/>
      </right>
      <top/>
      <bottom style="double">
        <color indexed="64"/>
      </bottom>
      <diagonal/>
    </border>
    <border>
      <left/>
      <right style="double">
        <color indexed="64"/>
      </right>
      <top/>
      <bottom/>
      <diagonal/>
    </border>
    <border>
      <left/>
      <right style="double">
        <color indexed="64"/>
      </right>
      <top style="thin">
        <color theme="0"/>
      </top>
      <bottom/>
      <diagonal/>
    </border>
    <border>
      <left/>
      <right/>
      <top style="thin">
        <color theme="0"/>
      </top>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double">
        <color indexed="64"/>
      </top>
      <bottom style="thin">
        <color indexed="64"/>
      </bottom>
      <diagonal/>
    </border>
    <border>
      <left style="double">
        <color indexed="64"/>
      </left>
      <right style="medium">
        <color indexed="64"/>
      </right>
      <top/>
      <bottom style="medium">
        <color indexed="64"/>
      </bottom>
      <diagonal/>
    </border>
    <border>
      <left style="double">
        <color indexed="64"/>
      </left>
      <right style="medium">
        <color indexed="64"/>
      </right>
      <top/>
      <bottom/>
      <diagonal/>
    </border>
    <border>
      <left/>
      <right/>
      <top/>
      <bottom style="thin">
        <color theme="0"/>
      </bottom>
      <diagonal/>
    </border>
    <border>
      <left/>
      <right style="thin">
        <color theme="1"/>
      </right>
      <top style="thin">
        <color indexed="64"/>
      </top>
      <bottom style="thin">
        <color indexed="64"/>
      </bottom>
      <diagonal/>
    </border>
    <border>
      <left style="thin">
        <color theme="1"/>
      </left>
      <right/>
      <top style="thin">
        <color indexed="64"/>
      </top>
      <bottom style="thin">
        <color indexed="64"/>
      </bottom>
      <diagonal/>
    </border>
    <border>
      <left/>
      <right style="thin">
        <color theme="1"/>
      </right>
      <top style="thin">
        <color theme="1"/>
      </top>
      <bottom style="thin">
        <color theme="1"/>
      </bottom>
      <diagonal/>
    </border>
    <border>
      <left style="thin">
        <color theme="1"/>
      </left>
      <right/>
      <top style="thin">
        <color theme="1"/>
      </top>
      <bottom style="thin">
        <color theme="1"/>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thin">
        <color theme="1"/>
      </top>
      <bottom style="thin">
        <color theme="1"/>
      </bottom>
      <diagonal/>
    </border>
    <border>
      <left/>
      <right/>
      <top style="thin">
        <color theme="1"/>
      </top>
      <bottom style="thin">
        <color theme="1"/>
      </bottom>
      <diagonal/>
    </border>
    <border>
      <left/>
      <right style="thin">
        <color indexed="64"/>
      </right>
      <top style="thin">
        <color theme="1"/>
      </top>
      <bottom style="thin">
        <color indexed="64"/>
      </bottom>
      <diagonal/>
    </border>
    <border>
      <left style="thin">
        <color indexed="64"/>
      </left>
      <right/>
      <top style="thin">
        <color theme="1"/>
      </top>
      <bottom style="thin">
        <color indexed="64"/>
      </bottom>
      <diagonal/>
    </border>
    <border>
      <left style="thin">
        <color indexed="64"/>
      </left>
      <right style="hair">
        <color indexed="64"/>
      </right>
      <top/>
      <bottom style="thin">
        <color indexed="64"/>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theme="1"/>
      </left>
      <right style="hair">
        <color indexed="64"/>
      </right>
      <top style="hair">
        <color indexed="64"/>
      </top>
      <bottom style="thin">
        <color indexed="64"/>
      </bottom>
      <diagonal/>
    </border>
    <border>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style="thin">
        <color theme="1"/>
      </right>
      <top/>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style="thin">
        <color theme="1"/>
      </right>
      <top style="hair">
        <color indexed="64"/>
      </top>
      <bottom style="hair">
        <color indexed="64"/>
      </bottom>
      <diagonal/>
    </border>
    <border>
      <left style="thin">
        <color indexed="64"/>
      </left>
      <right style="thin">
        <color theme="1"/>
      </right>
      <top style="thin">
        <color theme="1"/>
      </top>
      <bottom style="hair">
        <color indexed="64"/>
      </bottom>
      <diagonal/>
    </border>
    <border>
      <left style="thin">
        <color indexed="64"/>
      </left>
      <right style="thin">
        <color indexed="64"/>
      </right>
      <top style="hair">
        <color indexed="64"/>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1"/>
      </right>
      <top style="thin">
        <color theme="0"/>
      </top>
      <bottom style="thin">
        <color indexed="64"/>
      </bottom>
      <diagonal/>
    </border>
    <border>
      <left style="thin">
        <color theme="1"/>
      </left>
      <right style="thin">
        <color theme="0"/>
      </right>
      <top style="thin">
        <color theme="0"/>
      </top>
      <bottom style="thin">
        <color indexed="64"/>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right style="thin">
        <color indexed="64"/>
      </right>
      <top/>
      <bottom style="thin">
        <color theme="0"/>
      </bottom>
      <diagonal/>
    </border>
    <border>
      <left style="thin">
        <color indexed="64"/>
      </left>
      <right/>
      <top/>
      <bottom style="thin">
        <color theme="0"/>
      </bottom>
      <diagonal/>
    </border>
    <border>
      <left/>
      <right style="thin">
        <color theme="1"/>
      </right>
      <top/>
      <bottom style="thin">
        <color theme="0"/>
      </bottom>
      <diagonal/>
    </border>
    <border>
      <left style="thin">
        <color theme="1"/>
      </left>
      <right/>
      <top/>
      <bottom style="thin">
        <color theme="0"/>
      </bottom>
      <diagonal/>
    </border>
    <border>
      <left/>
      <right style="thin">
        <color indexed="64"/>
      </right>
      <top style="thin">
        <color indexed="64"/>
      </top>
      <bottom style="thin">
        <color theme="0"/>
      </bottom>
      <diagonal/>
    </border>
    <border>
      <left style="thin">
        <color indexed="64"/>
      </left>
      <right/>
      <top style="thin">
        <color indexed="64"/>
      </top>
      <bottom style="thin">
        <color theme="0"/>
      </bottom>
      <diagonal/>
    </border>
    <border>
      <left/>
      <right style="thin">
        <color theme="1"/>
      </right>
      <top style="thin">
        <color indexed="64"/>
      </top>
      <bottom/>
      <diagonal/>
    </border>
    <border>
      <left style="thin">
        <color theme="1"/>
      </left>
      <right/>
      <top style="thin">
        <color indexed="64"/>
      </top>
      <bottom/>
      <diagonal/>
    </border>
    <border>
      <left style="thin">
        <color indexed="64"/>
      </left>
      <right style="thin">
        <color indexed="64"/>
      </right>
      <top style="hair">
        <color indexed="64"/>
      </top>
      <bottom style="thin">
        <color indexed="64"/>
      </bottom>
      <diagonal/>
    </border>
    <border>
      <left style="thin">
        <color theme="1"/>
      </left>
      <right/>
      <top style="thin">
        <color indexed="64"/>
      </top>
      <bottom style="thin">
        <color theme="1"/>
      </bottom>
      <diagonal/>
    </border>
    <border>
      <left style="thin">
        <color indexed="64"/>
      </left>
      <right style="thin">
        <color indexed="64"/>
      </right>
      <top style="thin">
        <color indexed="64"/>
      </top>
      <bottom style="thin">
        <color theme="1"/>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thin">
        <color indexed="64"/>
      </left>
      <right style="thin">
        <color indexed="64"/>
      </right>
      <top style="thin">
        <color auto="1"/>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auto="1"/>
      </bottom>
      <diagonal/>
    </border>
  </borders>
  <cellStyleXfs count="5607">
    <xf numFmtId="0" fontId="0" fillId="0" borderId="0"/>
    <xf numFmtId="0" fontId="1" fillId="0" borderId="0"/>
    <xf numFmtId="170" fontId="1" fillId="0" borderId="0" applyFont="0" applyFill="0" applyBorder="0" applyAlignment="0" applyProtection="0"/>
    <xf numFmtId="0" fontId="1" fillId="0" borderId="0"/>
    <xf numFmtId="0" fontId="21" fillId="0" borderId="0" applyNumberFormat="0" applyFill="0" applyBorder="0" applyAlignment="0" applyProtection="0">
      <alignment vertical="top"/>
      <protection locked="0"/>
    </xf>
    <xf numFmtId="176" fontId="22" fillId="0" borderId="0"/>
    <xf numFmtId="176" fontId="22" fillId="0" borderId="0"/>
    <xf numFmtId="0" fontId="22" fillId="0" borderId="0"/>
    <xf numFmtId="9" fontId="24" fillId="0" borderId="0">
      <alignment horizontal="right"/>
    </xf>
    <xf numFmtId="164" fontId="25" fillId="0" borderId="0" applyFont="0" applyFill="0" applyBorder="0" applyAlignment="0" applyProtection="0"/>
    <xf numFmtId="166" fontId="25" fillId="0" borderId="0" applyFont="0" applyFill="0" applyBorder="0" applyAlignment="0" applyProtection="0"/>
    <xf numFmtId="9" fontId="25" fillId="0" borderId="0" applyFont="0" applyFill="0" applyBorder="0" applyAlignment="0" applyProtection="0"/>
    <xf numFmtId="10" fontId="25" fillId="0" borderId="0" applyFont="0" applyFill="0" applyBorder="0" applyAlignment="0" applyProtection="0"/>
    <xf numFmtId="0" fontId="22" fillId="36" borderId="22" applyNumberFormat="0">
      <alignment horizontal="centerContinuous" vertical="center" wrapText="1"/>
    </xf>
    <xf numFmtId="0" fontId="22" fillId="37" borderId="22" applyNumberFormat="0">
      <alignment horizontal="left" vertical="center"/>
    </xf>
    <xf numFmtId="170" fontId="26" fillId="0" borderId="0" applyFont="0" applyFill="0" applyBorder="0" applyAlignment="0" applyProtection="0"/>
    <xf numFmtId="0" fontId="22" fillId="0" borderId="0"/>
    <xf numFmtId="0" fontId="22" fillId="0" borderId="0" applyFont="0" applyFill="0" applyBorder="0" applyAlignment="0" applyProtection="0"/>
    <xf numFmtId="178" fontId="22" fillId="0" borderId="0" applyFont="0" applyFill="0" applyBorder="0" applyAlignment="0" applyProtection="0"/>
    <xf numFmtId="0" fontId="27" fillId="0" borderId="0"/>
    <xf numFmtId="0" fontId="28" fillId="0" borderId="0" applyFont="0" applyFill="0" applyBorder="0" applyAlignment="0" applyProtection="0"/>
    <xf numFmtId="179" fontId="22" fillId="0" borderId="0" applyFont="0" applyFill="0" applyBorder="0" applyAlignment="0" applyProtection="0"/>
    <xf numFmtId="177" fontId="22" fillId="0" borderId="0" applyFont="0" applyFill="0" applyBorder="0" applyAlignment="0" applyProtection="0"/>
    <xf numFmtId="180" fontId="29" fillId="0" borderId="0" applyFont="0" applyFill="0" applyBorder="0" applyAlignment="0" applyProtection="0"/>
    <xf numFmtId="181" fontId="29" fillId="0" borderId="0" applyFont="0" applyFill="0" applyBorder="0" applyAlignment="0" applyProtection="0"/>
    <xf numFmtId="39" fontId="22" fillId="0" borderId="0" applyFont="0" applyFill="0" applyBorder="0" applyAlignment="0" applyProtection="0"/>
    <xf numFmtId="0" fontId="27" fillId="0" borderId="0"/>
    <xf numFmtId="0" fontId="22" fillId="0" borderId="0">
      <alignment vertical="top"/>
    </xf>
    <xf numFmtId="9" fontId="28" fillId="0" borderId="0">
      <alignment horizontal="right"/>
    </xf>
    <xf numFmtId="0" fontId="30" fillId="0" borderId="0" applyNumberFormat="0" applyFill="0">
      <alignment horizontal="left" vertical="center" wrapText="1"/>
    </xf>
    <xf numFmtId="182" fontId="22" fillId="0" borderId="0" applyFont="0" applyFill="0" applyBorder="0" applyAlignment="0" applyProtection="0"/>
    <xf numFmtId="183" fontId="29" fillId="0" borderId="0" applyFont="0" applyFill="0" applyBorder="0" applyAlignment="0" applyProtection="0"/>
    <xf numFmtId="184" fontId="29" fillId="0" borderId="0" applyFont="0" applyFill="0" applyBorder="0" applyAlignment="0" applyProtection="0"/>
    <xf numFmtId="185" fontId="29" fillId="0" borderId="0" applyFont="0" applyFill="0" applyBorder="0" applyAlignment="0" applyProtection="0"/>
    <xf numFmtId="186" fontId="29" fillId="0" borderId="0" applyFont="0" applyFill="0" applyBorder="0" applyAlignment="0" applyProtection="0"/>
    <xf numFmtId="187" fontId="22" fillId="0" borderId="0" applyFont="0" applyFill="0" applyBorder="0" applyAlignment="0" applyProtection="0"/>
    <xf numFmtId="188" fontId="22" fillId="0" borderId="0" applyFont="0" applyFill="0" applyBorder="0" applyAlignment="0" applyProtection="0"/>
    <xf numFmtId="189" fontId="22" fillId="0" borderId="0" applyFont="0" applyFill="0" applyBorder="0" applyProtection="0">
      <alignment horizontal="right"/>
    </xf>
    <xf numFmtId="190" fontId="29" fillId="0" borderId="0" applyFont="0" applyFill="0" applyBorder="0" applyAlignment="0" applyProtection="0"/>
    <xf numFmtId="41" fontId="29" fillId="0" borderId="0" applyFont="0" applyFill="0" applyBorder="0" applyAlignment="0" applyProtection="0"/>
    <xf numFmtId="191" fontId="22" fillId="0" borderId="0" applyFont="0" applyFill="0" applyBorder="0" applyAlignment="0" applyProtection="0"/>
    <xf numFmtId="175" fontId="22" fillId="0" borderId="0" applyFont="0" applyFill="0" applyBorder="0" applyAlignment="0" applyProtection="0"/>
    <xf numFmtId="192" fontId="29" fillId="0" borderId="0" applyFont="0" applyFill="0" applyBorder="0" applyAlignment="0" applyProtection="0"/>
    <xf numFmtId="192" fontId="22" fillId="0" borderId="0" applyFont="0" applyFill="0" applyBorder="0" applyAlignment="0" applyProtection="0"/>
    <xf numFmtId="193" fontId="22" fillId="0" borderId="0" applyFont="0" applyFill="0" applyBorder="0" applyAlignment="0" applyProtection="0"/>
    <xf numFmtId="194" fontId="22" fillId="0" borderId="0" applyFont="0" applyFill="0" applyBorder="0" applyAlignment="0" applyProtection="0"/>
    <xf numFmtId="195" fontId="22" fillId="0" borderId="0" applyFont="0" applyFill="0" applyBorder="0" applyAlignment="0" applyProtection="0"/>
    <xf numFmtId="0" fontId="22" fillId="0" borderId="0"/>
    <xf numFmtId="0" fontId="22" fillId="0" borderId="0"/>
    <xf numFmtId="0" fontId="31" fillId="0" borderId="0" applyFont="0" applyFill="0" applyBorder="0" applyAlignment="0" applyProtection="0"/>
    <xf numFmtId="196" fontId="31" fillId="0" borderId="0" applyFont="0" applyFill="0" applyBorder="0" applyAlignment="0" applyProtection="0"/>
    <xf numFmtId="0" fontId="29" fillId="0" borderId="0" applyNumberFormat="0" applyFill="0" applyBorder="0" applyAlignment="0" applyProtection="0"/>
    <xf numFmtId="197" fontId="30" fillId="0" borderId="0" applyNumberFormat="0" applyFill="0">
      <alignment horizontal="left" vertical="center" wrapText="1"/>
    </xf>
    <xf numFmtId="0" fontId="30" fillId="38" borderId="0" applyFont="0" applyFill="0" applyProtection="0"/>
    <xf numFmtId="178" fontId="22" fillId="0" borderId="0"/>
    <xf numFmtId="198" fontId="32" fillId="0" borderId="0" applyFill="0" applyBorder="0" applyAlignment="0" applyProtection="0">
      <alignment horizontal="right"/>
    </xf>
    <xf numFmtId="0" fontId="33" fillId="39" borderId="0" applyNumberFormat="0" applyBorder="0" applyAlignment="0" applyProtection="0"/>
    <xf numFmtId="0" fontId="1" fillId="10" borderId="0" applyNumberFormat="0" applyBorder="0" applyAlignment="0" applyProtection="0"/>
    <xf numFmtId="0" fontId="34"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4" fillId="10" borderId="0" applyNumberFormat="0" applyBorder="0" applyAlignment="0" applyProtection="0"/>
    <xf numFmtId="0" fontId="1"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5"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40" borderId="0" applyNumberFormat="0" applyBorder="0" applyAlignment="0" applyProtection="0"/>
    <xf numFmtId="0" fontId="1" fillId="14" borderId="0" applyNumberFormat="0" applyBorder="0" applyAlignment="0" applyProtection="0"/>
    <xf numFmtId="0" fontId="34"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4" fillId="14" borderId="0" applyNumberFormat="0" applyBorder="0" applyAlignment="0" applyProtection="0"/>
    <xf numFmtId="0" fontId="1"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4" fillId="14" borderId="0" applyNumberFormat="0" applyBorder="0" applyAlignment="0" applyProtection="0"/>
    <xf numFmtId="0" fontId="35"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41" borderId="0" applyNumberFormat="0" applyBorder="0" applyAlignment="0" applyProtection="0"/>
    <xf numFmtId="0" fontId="1" fillId="18" borderId="0" applyNumberFormat="0" applyBorder="0" applyAlignment="0" applyProtection="0"/>
    <xf numFmtId="0" fontId="34"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4" fillId="18" borderId="0" applyNumberFormat="0" applyBorder="0" applyAlignment="0" applyProtection="0"/>
    <xf numFmtId="0" fontId="1"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4" fillId="18" borderId="0" applyNumberFormat="0" applyBorder="0" applyAlignment="0" applyProtection="0"/>
    <xf numFmtId="0" fontId="35"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1" fillId="22" borderId="0" applyNumberFormat="0" applyBorder="0" applyAlignment="0" applyProtection="0"/>
    <xf numFmtId="0" fontId="34"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4" fillId="22" borderId="0" applyNumberFormat="0" applyBorder="0" applyAlignment="0" applyProtection="0"/>
    <xf numFmtId="0" fontId="1"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5"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3" borderId="0" applyNumberFormat="0" applyBorder="0" applyAlignment="0" applyProtection="0"/>
    <xf numFmtId="0" fontId="1" fillId="26" borderId="0" applyNumberFormat="0" applyBorder="0" applyAlignment="0" applyProtection="0"/>
    <xf numFmtId="0" fontId="34"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4" fillId="26" borderId="0" applyNumberFormat="0" applyBorder="0" applyAlignment="0" applyProtection="0"/>
    <xf numFmtId="0" fontId="1"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44" borderId="0" applyNumberFormat="0" applyBorder="0" applyAlignment="0" applyProtection="0"/>
    <xf numFmtId="0" fontId="1" fillId="30" borderId="0" applyNumberFormat="0" applyBorder="0" applyAlignment="0" applyProtection="0"/>
    <xf numFmtId="0" fontId="34"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4" fillId="30" borderId="0" applyNumberFormat="0" applyBorder="0" applyAlignment="0" applyProtection="0"/>
    <xf numFmtId="0" fontId="1"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5"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45" borderId="0" applyNumberFormat="0" applyBorder="0" applyAlignment="0" applyProtection="0"/>
    <xf numFmtId="0" fontId="1" fillId="11" borderId="0" applyNumberFormat="0" applyBorder="0" applyAlignment="0" applyProtection="0"/>
    <xf numFmtId="0" fontId="3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4" fillId="11" borderId="0" applyNumberFormat="0" applyBorder="0" applyAlignment="0" applyProtection="0"/>
    <xf numFmtId="0" fontId="1"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46" borderId="0" applyNumberFormat="0" applyBorder="0" applyAlignment="0" applyProtection="0"/>
    <xf numFmtId="0" fontId="1" fillId="15" borderId="0" applyNumberFormat="0" applyBorder="0" applyAlignment="0" applyProtection="0"/>
    <xf numFmtId="0" fontId="34"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4" fillId="15" borderId="0" applyNumberFormat="0" applyBorder="0" applyAlignment="0" applyProtection="0"/>
    <xf numFmtId="0" fontId="1"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4" fillId="15" borderId="0" applyNumberFormat="0" applyBorder="0" applyAlignment="0" applyProtection="0"/>
    <xf numFmtId="0" fontId="3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7" borderId="0" applyNumberFormat="0" applyBorder="0" applyAlignment="0" applyProtection="0"/>
    <xf numFmtId="0" fontId="1" fillId="19" borderId="0" applyNumberFormat="0" applyBorder="0" applyAlignment="0" applyProtection="0"/>
    <xf numFmtId="0" fontId="34"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4" fillId="19" borderId="0" applyNumberFormat="0" applyBorder="0" applyAlignment="0" applyProtection="0"/>
    <xf numFmtId="0" fontId="1"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4" fillId="19" borderId="0" applyNumberFormat="0" applyBorder="0" applyAlignment="0" applyProtection="0"/>
    <xf numFmtId="0" fontId="3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2" borderId="0" applyNumberFormat="0" applyBorder="0" applyAlignment="0" applyProtection="0"/>
    <xf numFmtId="0" fontId="1" fillId="23" borderId="0" applyNumberFormat="0" applyBorder="0" applyAlignment="0" applyProtection="0"/>
    <xf numFmtId="0" fontId="34"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4" fillId="23" borderId="0" applyNumberFormat="0" applyBorder="0" applyAlignment="0" applyProtection="0"/>
    <xf numFmtId="0" fontId="1"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45" borderId="0" applyNumberFormat="0" applyBorder="0" applyAlignment="0" applyProtection="0"/>
    <xf numFmtId="0" fontId="1" fillId="27" borderId="0" applyNumberFormat="0" applyBorder="0" applyAlignment="0" applyProtection="0"/>
    <xf numFmtId="0" fontId="34"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4" fillId="27" borderId="0" applyNumberFormat="0" applyBorder="0" applyAlignment="0" applyProtection="0"/>
    <xf numFmtId="0" fontId="1"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5"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48" borderId="0" applyNumberFormat="0" applyBorder="0" applyAlignment="0" applyProtection="0"/>
    <xf numFmtId="0" fontId="1" fillId="31" borderId="0" applyNumberFormat="0" applyBorder="0" applyAlignment="0" applyProtection="0"/>
    <xf numFmtId="0" fontId="34"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31" borderId="0" applyNumberFormat="0" applyBorder="0" applyAlignment="0" applyProtection="0"/>
    <xf numFmtId="0" fontId="1"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9"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16" fillId="12" borderId="0" applyNumberFormat="0" applyBorder="0" applyAlignment="0" applyProtection="0"/>
    <xf numFmtId="0" fontId="36" fillId="4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16" fillId="16" borderId="0" applyNumberFormat="0" applyBorder="0" applyAlignment="0" applyProtection="0"/>
    <xf numFmtId="0" fontId="36" fillId="47"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6" fillId="20" borderId="0" applyNumberFormat="0" applyBorder="0" applyAlignment="0" applyProtection="0"/>
    <xf numFmtId="0" fontId="36" fillId="50"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6" fillId="24" borderId="0" applyNumberFormat="0" applyBorder="0" applyAlignment="0" applyProtection="0"/>
    <xf numFmtId="0" fontId="36" fillId="51"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16" fillId="28" borderId="0" applyNumberFormat="0" applyBorder="0" applyAlignment="0" applyProtection="0"/>
    <xf numFmtId="0" fontId="36" fillId="5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16" fillId="32" borderId="0" applyNumberFormat="0" applyBorder="0" applyAlignment="0" applyProtection="0"/>
    <xf numFmtId="199" fontId="22" fillId="0" borderId="14">
      <alignment horizontal="right"/>
    </xf>
    <xf numFmtId="0" fontId="36" fillId="53"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16" fillId="9" borderId="0" applyNumberFormat="0" applyBorder="0" applyAlignment="0" applyProtection="0"/>
    <xf numFmtId="0" fontId="36" fillId="54"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6" fillId="13" borderId="0" applyNumberFormat="0" applyBorder="0" applyAlignment="0" applyProtection="0"/>
    <xf numFmtId="0" fontId="36" fillId="55"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16" fillId="17" borderId="0" applyNumberFormat="0" applyBorder="0" applyAlignment="0" applyProtection="0"/>
    <xf numFmtId="0" fontId="36" fillId="5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16" fillId="21" borderId="0" applyNumberFormat="0" applyBorder="0" applyAlignment="0" applyProtection="0"/>
    <xf numFmtId="0" fontId="36" fillId="51"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6" fillId="25" borderId="0" applyNumberFormat="0" applyBorder="0" applyAlignment="0" applyProtection="0"/>
    <xf numFmtId="0" fontId="36" fillId="56"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6" fillId="29" borderId="0" applyNumberFormat="0" applyBorder="0" applyAlignment="0" applyProtection="0"/>
    <xf numFmtId="167" fontId="38" fillId="0" borderId="0" applyFont="0"/>
    <xf numFmtId="167" fontId="38" fillId="0" borderId="23" applyFont="0"/>
    <xf numFmtId="168" fontId="38" fillId="0" borderId="0" applyFont="0"/>
    <xf numFmtId="200" fontId="39" fillId="0" borderId="14">
      <alignment horizontal="right"/>
    </xf>
    <xf numFmtId="200" fontId="39" fillId="0" borderId="14" applyFill="0">
      <alignment horizontal="right"/>
    </xf>
    <xf numFmtId="201" fontId="22" fillId="0" borderId="14">
      <alignment horizontal="right"/>
    </xf>
    <xf numFmtId="3" fontId="22" fillId="0" borderId="14" applyFill="0">
      <alignment horizontal="right"/>
    </xf>
    <xf numFmtId="202" fontId="39" fillId="0" borderId="14" applyFill="0">
      <alignment horizontal="right"/>
    </xf>
    <xf numFmtId="3" fontId="40" fillId="0" borderId="14" applyFill="0">
      <alignment horizontal="right"/>
    </xf>
    <xf numFmtId="203" fontId="41" fillId="57" borderId="24">
      <alignment horizontal="center" vertical="center"/>
    </xf>
    <xf numFmtId="0" fontId="22" fillId="0" borderId="0"/>
    <xf numFmtId="178" fontId="42" fillId="0" borderId="0"/>
    <xf numFmtId="0" fontId="22" fillId="0" borderId="0"/>
    <xf numFmtId="204" fontId="22" fillId="0" borderId="14">
      <alignment horizontal="right"/>
      <protection locked="0"/>
    </xf>
    <xf numFmtId="165" fontId="39" fillId="0" borderId="14" applyNumberFormat="0" applyFont="0" applyBorder="0" applyProtection="0">
      <alignment horizontal="right"/>
    </xf>
    <xf numFmtId="205" fontId="43" fillId="58" borderId="25"/>
    <xf numFmtId="0" fontId="22" fillId="0" borderId="0" applyNumberFormat="0" applyFill="0" applyBorder="0" applyAlignment="0" applyProtection="0"/>
    <xf numFmtId="0" fontId="44" fillId="0" borderId="0" applyNumberFormat="0" applyFill="0" applyBorder="0" applyAlignment="0" applyProtection="0"/>
    <xf numFmtId="0" fontId="45" fillId="0" borderId="0"/>
    <xf numFmtId="0" fontId="46" fillId="40"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47" fillId="3" borderId="0" applyNumberFormat="0" applyBorder="0" applyAlignment="0" applyProtection="0"/>
    <xf numFmtId="0" fontId="6" fillId="3" borderId="0" applyNumberFormat="0" applyBorder="0" applyAlignment="0" applyProtection="0"/>
    <xf numFmtId="1" fontId="48" fillId="59" borderId="20" applyNumberFormat="0" applyBorder="0" applyAlignment="0">
      <alignment horizontal="center" vertical="top" wrapText="1"/>
      <protection hidden="1"/>
    </xf>
    <xf numFmtId="0" fontId="49" fillId="60" borderId="0"/>
    <xf numFmtId="0" fontId="50" fillId="0" borderId="0" applyAlignment="0"/>
    <xf numFmtId="0" fontId="51" fillId="0" borderId="12" applyNumberFormat="0" applyFill="0" applyAlignment="0" applyProtection="0"/>
    <xf numFmtId="0" fontId="40" fillId="0" borderId="17" applyNumberFormat="0" applyFont="0" applyFill="0" applyAlignment="0" applyProtection="0"/>
    <xf numFmtId="0" fontId="52" fillId="0" borderId="26" applyNumberFormat="0" applyFont="0" applyFill="0" applyAlignment="0" applyProtection="0">
      <alignment horizontal="centerContinuous"/>
    </xf>
    <xf numFmtId="0" fontId="25" fillId="0" borderId="12" applyNumberFormat="0" applyFont="0" applyFill="0" applyAlignment="0" applyProtection="0"/>
    <xf numFmtId="0" fontId="25" fillId="0" borderId="20" applyNumberFormat="0" applyFont="0" applyFill="0" applyAlignment="0" applyProtection="0"/>
    <xf numFmtId="0" fontId="25" fillId="0" borderId="18" applyNumberFormat="0" applyFont="0" applyFill="0" applyAlignment="0" applyProtection="0"/>
    <xf numFmtId="0" fontId="25" fillId="0" borderId="13" applyNumberFormat="0" applyFont="0" applyFill="0" applyAlignment="0" applyProtection="0"/>
    <xf numFmtId="206" fontId="22" fillId="0" borderId="0" applyFont="0" applyFill="0" applyBorder="0" applyAlignment="0" applyProtection="0"/>
    <xf numFmtId="0" fontId="29" fillId="0" borderId="0">
      <alignment horizontal="right"/>
    </xf>
    <xf numFmtId="0" fontId="31" fillId="0" borderId="0" applyFont="0" applyFill="0" applyBorder="0" applyAlignment="0" applyProtection="0"/>
    <xf numFmtId="207" fontId="29" fillId="0" borderId="0" applyFill="0" applyBorder="0" applyAlignment="0"/>
    <xf numFmtId="208" fontId="29" fillId="0" borderId="0" applyFill="0" applyBorder="0" applyAlignment="0"/>
    <xf numFmtId="209" fontId="29" fillId="0" borderId="0" applyFill="0" applyBorder="0" applyAlignment="0"/>
    <xf numFmtId="210" fontId="29" fillId="0" borderId="0" applyFill="0" applyBorder="0" applyAlignment="0"/>
    <xf numFmtId="209" fontId="22" fillId="0" borderId="0" applyFill="0" applyBorder="0" applyAlignment="0"/>
    <xf numFmtId="207" fontId="29" fillId="0" borderId="0" applyFill="0" applyBorder="0" applyAlignment="0"/>
    <xf numFmtId="210" fontId="22" fillId="0" borderId="0" applyFill="0" applyBorder="0" applyAlignment="0"/>
    <xf numFmtId="208" fontId="29" fillId="0" borderId="0" applyFill="0" applyBorder="0" applyAlignment="0"/>
    <xf numFmtId="0" fontId="53" fillId="61" borderId="22" applyNumberFormat="0" applyAlignment="0" applyProtection="0"/>
    <xf numFmtId="0" fontId="53" fillId="61" borderId="22"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10" fillId="6" borderId="4" applyNumberFormat="0" applyAlignment="0" applyProtection="0"/>
    <xf numFmtId="178" fontId="40" fillId="62" borderId="0" applyNumberFormat="0" applyFont="0" applyBorder="0" applyAlignment="0">
      <alignment horizontal="left"/>
    </xf>
    <xf numFmtId="211" fontId="22" fillId="0" borderId="0" applyFont="0" applyFill="0" applyBorder="0" applyProtection="0">
      <alignment horizontal="center" vertical="center"/>
    </xf>
    <xf numFmtId="0" fontId="55" fillId="63" borderId="27" applyNumberFormat="0" applyAlignment="0" applyProtection="0"/>
    <xf numFmtId="0" fontId="56" fillId="7" borderId="7" applyNumberFormat="0" applyAlignment="0" applyProtection="0"/>
    <xf numFmtId="0" fontId="56" fillId="7" borderId="7" applyNumberFormat="0" applyAlignment="0" applyProtection="0"/>
    <xf numFmtId="0" fontId="56" fillId="7" borderId="7" applyNumberFormat="0" applyAlignment="0" applyProtection="0"/>
    <xf numFmtId="0" fontId="56" fillId="7" borderId="7" applyNumberFormat="0" applyAlignment="0" applyProtection="0"/>
    <xf numFmtId="0" fontId="56" fillId="7" borderId="7" applyNumberFormat="0" applyAlignment="0" applyProtection="0"/>
    <xf numFmtId="0" fontId="56" fillId="7" borderId="7" applyNumberFormat="0" applyAlignment="0" applyProtection="0"/>
    <xf numFmtId="0" fontId="56" fillId="7" borderId="7" applyNumberFormat="0" applyAlignment="0" applyProtection="0"/>
    <xf numFmtId="0" fontId="12" fillId="7" borderId="7" applyNumberFormat="0" applyAlignment="0" applyProtection="0"/>
    <xf numFmtId="212" fontId="22" fillId="0" borderId="0" applyNumberFormat="0" applyFont="0" applyFill="0" applyAlignment="0" applyProtection="0"/>
    <xf numFmtId="0" fontId="51" fillId="0" borderId="12" applyNumberFormat="0" applyFill="0" applyProtection="0">
      <alignment horizontal="left" vertical="center"/>
    </xf>
    <xf numFmtId="0" fontId="57" fillId="0" borderId="0">
      <alignment horizontal="center" wrapText="1"/>
      <protection hidden="1"/>
    </xf>
    <xf numFmtId="0" fontId="58" fillId="0" borderId="0">
      <alignment horizontal="right"/>
    </xf>
    <xf numFmtId="172" fontId="32" fillId="0" borderId="0" applyBorder="0">
      <alignment horizontal="right"/>
    </xf>
    <xf numFmtId="172" fontId="32" fillId="0" borderId="17" applyAlignment="0">
      <alignment horizontal="right"/>
    </xf>
    <xf numFmtId="213" fontId="29" fillId="0" borderId="0"/>
    <xf numFmtId="213" fontId="29" fillId="0" borderId="0"/>
    <xf numFmtId="213" fontId="29" fillId="0" borderId="0"/>
    <xf numFmtId="213" fontId="29" fillId="0" borderId="0"/>
    <xf numFmtId="213" fontId="29" fillId="0" borderId="0"/>
    <xf numFmtId="213" fontId="29" fillId="0" borderId="0"/>
    <xf numFmtId="213" fontId="29" fillId="0" borderId="0"/>
    <xf numFmtId="213" fontId="29" fillId="0" borderId="0"/>
    <xf numFmtId="168" fontId="59" fillId="0" borderId="0" applyFont="0" applyBorder="0">
      <alignment horizontal="right"/>
    </xf>
    <xf numFmtId="207" fontId="29" fillId="0" borderId="0" applyFont="0" applyFill="0" applyBorder="0" applyAlignment="0" applyProtection="0"/>
    <xf numFmtId="214" fontId="22" fillId="0" borderId="0" applyFont="0"/>
    <xf numFmtId="0" fontId="60" fillId="0" borderId="0" applyFont="0" applyFill="0" applyBorder="0" applyProtection="0">
      <alignment horizontal="right"/>
    </xf>
    <xf numFmtId="0" fontId="60" fillId="0" borderId="0" applyFont="0" applyFill="0" applyBorder="0" applyProtection="0">
      <alignment horizontal="right"/>
    </xf>
    <xf numFmtId="175" fontId="22" fillId="0" borderId="0" applyFont="0" applyFill="0" applyBorder="0" applyAlignment="0" applyProtection="0">
      <alignment horizontal="right"/>
    </xf>
    <xf numFmtId="215" fontId="22" fillId="0" borderId="0" applyFont="0" applyFill="0" applyBorder="0" applyAlignment="0" applyProtection="0"/>
    <xf numFmtId="216" fontId="61" fillId="0" borderId="0" applyFont="0" applyFill="0" applyBorder="0" applyAlignment="0" applyProtection="0">
      <alignment horizontal="right"/>
    </xf>
    <xf numFmtId="170"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3"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22"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3" fontId="22" fillId="0" borderId="0" applyFont="0" applyFill="0" applyBorder="0" applyAlignment="0" applyProtection="0">
      <alignment horizontal="right"/>
    </xf>
    <xf numFmtId="173" fontId="22" fillId="0" borderId="0" applyFont="0" applyFill="0" applyBorder="0" applyAlignment="0" applyProtection="0">
      <alignment horizontal="right"/>
    </xf>
    <xf numFmtId="173" fontId="22" fillId="0" borderId="0" applyFont="0" applyFill="0" applyBorder="0" applyAlignment="0" applyProtection="0">
      <alignment horizontal="right"/>
    </xf>
    <xf numFmtId="173" fontId="22" fillId="0" borderId="0" applyFont="0" applyFill="0" applyBorder="0" applyAlignment="0" applyProtection="0">
      <alignment horizontal="right"/>
    </xf>
    <xf numFmtId="170" fontId="22" fillId="0" borderId="0" applyFont="0" applyFill="0" applyBorder="0" applyAlignment="0" applyProtection="0"/>
    <xf numFmtId="170" fontId="17" fillId="0" borderId="0" applyFont="0" applyFill="0" applyBorder="0" applyAlignment="0" applyProtection="0"/>
    <xf numFmtId="170" fontId="62" fillId="0" borderId="0" applyFont="0" applyFill="0" applyBorder="0" applyAlignment="0" applyProtection="0"/>
    <xf numFmtId="173" fontId="22" fillId="0" borderId="0" applyFont="0" applyFill="0" applyBorder="0" applyAlignment="0" applyProtection="0">
      <alignment horizontal="right"/>
    </xf>
    <xf numFmtId="173" fontId="22" fillId="0" borderId="0" applyFont="0" applyFill="0" applyBorder="0" applyAlignment="0" applyProtection="0">
      <alignment horizontal="right"/>
    </xf>
    <xf numFmtId="173" fontId="22" fillId="0" borderId="0" applyFont="0" applyFill="0" applyBorder="0" applyAlignment="0" applyProtection="0">
      <alignment horizontal="right"/>
    </xf>
    <xf numFmtId="173" fontId="22" fillId="0" borderId="0" applyFont="0" applyFill="0" applyBorder="0" applyAlignment="0" applyProtection="0">
      <alignment horizontal="right"/>
    </xf>
    <xf numFmtId="170" fontId="57" fillId="0" borderId="0" applyFont="0" applyFill="0" applyBorder="0" applyAlignment="0" applyProtection="0"/>
    <xf numFmtId="170" fontId="1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57" fillId="0" borderId="0" applyFont="0" applyFill="0" applyBorder="0" applyAlignment="0" applyProtection="0"/>
    <xf numFmtId="170" fontId="1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217" fontId="61" fillId="0" borderId="0" applyFont="0" applyFill="0" applyBorder="0" applyAlignment="0" applyProtection="0"/>
    <xf numFmtId="170" fontId="22"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44"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63"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6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64"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6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9"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66"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22" fillId="0" borderId="0" applyFont="0" applyFill="0" applyBorder="0" applyAlignment="0" applyProtection="0"/>
    <xf numFmtId="170" fontId="1" fillId="0" borderId="0" applyFont="0" applyFill="0" applyBorder="0" applyAlignment="0" applyProtection="0"/>
    <xf numFmtId="170" fontId="35"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3" fontId="67" fillId="0" borderId="0" applyFont="0" applyFill="0" applyBorder="0" applyAlignment="0" applyProtection="0"/>
    <xf numFmtId="178" fontId="68" fillId="0" borderId="0"/>
    <xf numFmtId="0" fontId="69" fillId="0" borderId="0"/>
    <xf numFmtId="0" fontId="70" fillId="64" borderId="0">
      <alignment horizontal="center" vertical="center" wrapText="1"/>
    </xf>
    <xf numFmtId="218" fontId="22" fillId="0" borderId="0" applyFill="0" applyBorder="0">
      <alignment horizontal="right"/>
      <protection locked="0"/>
    </xf>
    <xf numFmtId="219" fontId="71" fillId="0" borderId="28" applyFont="0" applyFill="0" applyBorder="0" applyAlignment="0" applyProtection="0"/>
    <xf numFmtId="208" fontId="29" fillId="0" borderId="0" applyFont="0" applyFill="0" applyBorder="0" applyAlignment="0" applyProtection="0"/>
    <xf numFmtId="220" fontId="72" fillId="0" borderId="0">
      <alignment horizontal="right"/>
    </xf>
    <xf numFmtId="166" fontId="73" fillId="0" borderId="29">
      <protection locked="0"/>
    </xf>
    <xf numFmtId="0" fontId="60" fillId="0" borderId="0" applyFont="0" applyFill="0" applyBorder="0" applyProtection="0">
      <alignment horizontal="right"/>
    </xf>
    <xf numFmtId="187" fontId="22" fillId="0" borderId="0" applyFont="0" applyFill="0" applyBorder="0" applyAlignment="0" applyProtection="0">
      <alignment horizontal="right"/>
    </xf>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33" fillId="0" borderId="0" applyFont="0" applyFill="0" applyBorder="0" applyAlignment="0" applyProtection="0"/>
    <xf numFmtId="169" fontId="4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74"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169" fontId="74" fillId="0" borderId="0" applyFont="0" applyFill="0" applyBorder="0" applyAlignment="0" applyProtection="0"/>
    <xf numFmtId="169" fontId="63" fillId="0" borderId="0" applyFont="0" applyFill="0" applyBorder="0" applyAlignment="0" applyProtection="0"/>
    <xf numFmtId="44" fontId="44" fillId="0" borderId="0" applyFont="0" applyFill="0" applyBorder="0" applyAlignment="0" applyProtection="0"/>
    <xf numFmtId="169" fontId="64"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169" fontId="22" fillId="0" borderId="0" applyFont="0" applyFill="0" applyBorder="0" applyAlignment="0" applyProtection="0"/>
    <xf numFmtId="169" fontId="22" fillId="0" borderId="0" applyFont="0" applyFill="0" applyBorder="0" applyAlignment="0" applyProtection="0"/>
    <xf numFmtId="221" fontId="22" fillId="0" borderId="0" applyFont="0" applyFill="0" applyBorder="0" applyAlignment="0" applyProtection="0">
      <alignment horizontal="right"/>
    </xf>
    <xf numFmtId="221" fontId="22" fillId="0" borderId="0" applyFont="0" applyFill="0" applyBorder="0" applyAlignment="0" applyProtection="0">
      <alignment horizontal="right"/>
    </xf>
    <xf numFmtId="221" fontId="22" fillId="0" borderId="0" applyFont="0" applyFill="0" applyBorder="0" applyAlignment="0" applyProtection="0">
      <alignment horizontal="right"/>
    </xf>
    <xf numFmtId="221" fontId="22" fillId="0" borderId="0" applyFont="0" applyFill="0" applyBorder="0" applyAlignment="0" applyProtection="0">
      <alignment horizontal="right"/>
    </xf>
    <xf numFmtId="44" fontId="22" fillId="0" borderId="0" applyFont="0" applyFill="0" applyBorder="0" applyAlignment="0" applyProtection="0"/>
    <xf numFmtId="169" fontId="74" fillId="0" borderId="0" applyFont="0" applyFill="0" applyBorder="0" applyAlignment="0" applyProtection="0"/>
    <xf numFmtId="169" fontId="74" fillId="0" borderId="0" applyFont="0" applyFill="0" applyBorder="0" applyAlignment="0" applyProtection="0"/>
    <xf numFmtId="221" fontId="22" fillId="0" borderId="0" applyFont="0" applyFill="0" applyBorder="0" applyAlignment="0" applyProtection="0">
      <alignment horizontal="right"/>
    </xf>
    <xf numFmtId="221" fontId="22" fillId="0" borderId="0" applyFont="0" applyFill="0" applyBorder="0" applyAlignment="0" applyProtection="0">
      <alignment horizontal="right"/>
    </xf>
    <xf numFmtId="221" fontId="22" fillId="0" borderId="0" applyFont="0" applyFill="0" applyBorder="0" applyAlignment="0" applyProtection="0">
      <alignment horizontal="right"/>
    </xf>
    <xf numFmtId="221" fontId="22" fillId="0" borderId="0" applyFont="0" applyFill="0" applyBorder="0" applyAlignment="0" applyProtection="0">
      <alignment horizontal="right"/>
    </xf>
    <xf numFmtId="169" fontId="74" fillId="0" borderId="0" applyFont="0" applyFill="0" applyBorder="0" applyAlignment="0" applyProtection="0"/>
    <xf numFmtId="169" fontId="74" fillId="0" borderId="0" applyFont="0" applyFill="0" applyBorder="0" applyAlignment="0" applyProtection="0"/>
    <xf numFmtId="169" fontId="74" fillId="0" borderId="0" applyFont="0" applyFill="0" applyBorder="0" applyAlignment="0" applyProtection="0"/>
    <xf numFmtId="169" fontId="74" fillId="0" borderId="0" applyFont="0" applyFill="0" applyBorder="0" applyAlignment="0" applyProtection="0"/>
    <xf numFmtId="169" fontId="74" fillId="0" borderId="0" applyFont="0" applyFill="0" applyBorder="0" applyAlignment="0" applyProtection="0"/>
    <xf numFmtId="169" fontId="22" fillId="0" borderId="0" applyFont="0" applyFill="0" applyBorder="0" applyAlignment="0" applyProtection="0"/>
    <xf numFmtId="222" fontId="75" fillId="0" borderId="0" applyFont="0" applyFill="0" applyBorder="0" applyAlignment="0" applyProtection="0"/>
    <xf numFmtId="169"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65" fillId="0" borderId="0" applyFont="0" applyFill="0" applyBorder="0" applyAlignment="0" applyProtection="0"/>
    <xf numFmtId="169" fontId="6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63" fillId="0" borderId="0" applyFont="0" applyFill="0" applyBorder="0" applyAlignment="0" applyProtection="0"/>
    <xf numFmtId="169" fontId="1" fillId="0" borderId="0" applyFont="0" applyFill="0" applyBorder="0" applyAlignment="0" applyProtection="0"/>
    <xf numFmtId="169" fontId="22" fillId="0" borderId="0" applyFont="0" applyFill="0" applyBorder="0" applyAlignment="0" applyProtection="0"/>
    <xf numFmtId="44" fontId="1" fillId="0" borderId="0" applyFont="0" applyFill="0" applyBorder="0" applyAlignment="0" applyProtection="0"/>
    <xf numFmtId="169" fontId="7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6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7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7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29" fillId="0" borderId="0" applyFont="0" applyFill="0" applyBorder="0" applyProtection="0">
      <alignment horizontal="right"/>
    </xf>
    <xf numFmtId="224" fontId="39" fillId="0" borderId="0" applyFont="0" applyFill="0" applyBorder="0" applyAlignment="0" applyProtection="0">
      <alignment vertical="center"/>
    </xf>
    <xf numFmtId="225" fontId="39" fillId="0" borderId="0" applyFont="0" applyFill="0" applyBorder="0" applyAlignment="0" applyProtection="0">
      <alignment vertical="center"/>
    </xf>
    <xf numFmtId="0" fontId="57" fillId="0" borderId="0" applyFont="0" applyFill="0" applyBorder="0" applyAlignment="0">
      <protection locked="0"/>
    </xf>
    <xf numFmtId="0" fontId="31" fillId="0" borderId="0" applyFont="0" applyFill="0" applyBorder="0" applyAlignment="0" applyProtection="0"/>
    <xf numFmtId="226" fontId="76" fillId="0" borderId="30" applyNumberFormat="0" applyFill="0">
      <alignment horizontal="right"/>
    </xf>
    <xf numFmtId="226" fontId="76" fillId="0" borderId="30" applyNumberFormat="0" applyFill="0">
      <alignment horizontal="right"/>
    </xf>
    <xf numFmtId="1" fontId="77" fillId="0" borderId="0"/>
    <xf numFmtId="227" fontId="40" fillId="0" borderId="0" applyFont="0" applyFill="0" applyBorder="0" applyProtection="0">
      <alignment horizontal="right"/>
    </xf>
    <xf numFmtId="228" fontId="71" fillId="0" borderId="0" applyFont="0" applyFill="0" applyBorder="0" applyAlignment="0" applyProtection="0"/>
    <xf numFmtId="228" fontId="71" fillId="0" borderId="0" applyFont="0" applyFill="0" applyBorder="0" applyAlignment="0" applyProtection="0"/>
    <xf numFmtId="229" fontId="24" fillId="60" borderId="15" applyFont="0" applyFill="0" applyBorder="0" applyAlignment="0" applyProtection="0"/>
    <xf numFmtId="230" fontId="32" fillId="0" borderId="12" applyFont="0" applyFill="0" applyBorder="0" applyAlignment="0" applyProtection="0"/>
    <xf numFmtId="179" fontId="22" fillId="0" borderId="0" applyFont="0" applyFill="0" applyBorder="0" applyAlignment="0" applyProtection="0"/>
    <xf numFmtId="231" fontId="61" fillId="0" borderId="0" applyFont="0" applyFill="0" applyBorder="0" applyAlignment="0" applyProtection="0"/>
    <xf numFmtId="0" fontId="61" fillId="0" borderId="0" applyFont="0" applyFill="0" applyBorder="0" applyAlignment="0" applyProtection="0"/>
    <xf numFmtId="14" fontId="74" fillId="0" borderId="0" applyFill="0" applyBorder="0" applyAlignment="0"/>
    <xf numFmtId="0" fontId="22" fillId="0" borderId="0">
      <alignment horizontal="left" vertical="top"/>
    </xf>
    <xf numFmtId="167" fontId="78" fillId="0" borderId="0"/>
    <xf numFmtId="0" fontId="71" fillId="0" borderId="0"/>
    <xf numFmtId="168" fontId="22" fillId="0" borderId="0" applyFont="0" applyFill="0" applyBorder="0" applyAlignment="0" applyProtection="0"/>
    <xf numFmtId="170" fontId="22" fillId="0" borderId="0" applyFont="0" applyFill="0" applyBorder="0" applyAlignment="0" applyProtection="0"/>
    <xf numFmtId="0" fontId="79" fillId="0" borderId="0">
      <protection locked="0"/>
    </xf>
    <xf numFmtId="0" fontId="22" fillId="0" borderId="0"/>
    <xf numFmtId="167" fontId="29" fillId="0" borderId="0"/>
    <xf numFmtId="172" fontId="22" fillId="0" borderId="31" applyNumberFormat="0" applyFont="0" applyFill="0" applyAlignment="0" applyProtection="0"/>
    <xf numFmtId="172" fontId="22" fillId="0" borderId="31" applyNumberFormat="0" applyFont="0" applyFill="0" applyAlignment="0" applyProtection="0"/>
    <xf numFmtId="172" fontId="22" fillId="0" borderId="31" applyNumberFormat="0" applyFont="0" applyFill="0" applyAlignment="0" applyProtection="0"/>
    <xf numFmtId="167" fontId="80" fillId="0" borderId="0" applyFill="0" applyBorder="0" applyAlignment="0" applyProtection="0"/>
    <xf numFmtId="1" fontId="40" fillId="0" borderId="0"/>
    <xf numFmtId="232" fontId="81" fillId="0" borderId="0">
      <protection locked="0"/>
    </xf>
    <xf numFmtId="232" fontId="81" fillId="0" borderId="0">
      <protection locked="0"/>
    </xf>
    <xf numFmtId="207" fontId="29" fillId="0" borderId="0" applyFill="0" applyBorder="0" applyAlignment="0"/>
    <xf numFmtId="208" fontId="29" fillId="0" borderId="0" applyFill="0" applyBorder="0" applyAlignment="0"/>
    <xf numFmtId="207" fontId="29" fillId="0" borderId="0" applyFill="0" applyBorder="0" applyAlignment="0"/>
    <xf numFmtId="210" fontId="22" fillId="0" borderId="0" applyFill="0" applyBorder="0" applyAlignment="0"/>
    <xf numFmtId="208" fontId="29" fillId="0" borderId="0" applyFill="0" applyBorder="0" applyAlignment="0"/>
    <xf numFmtId="233" fontId="28" fillId="0" borderId="0" applyFon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14" fillId="0" borderId="0" applyNumberFormat="0" applyFill="0" applyBorder="0" applyAlignment="0" applyProtection="0"/>
    <xf numFmtId="234" fontId="57" fillId="65" borderId="20">
      <alignment horizontal="left"/>
    </xf>
    <xf numFmtId="1" fontId="84" fillId="66" borderId="19" applyNumberFormat="0" applyBorder="0" applyAlignment="0">
      <alignment horizontal="centerContinuous" vertical="center"/>
      <protection locked="0"/>
    </xf>
    <xf numFmtId="235" fontId="22" fillId="0" borderId="0">
      <protection locked="0"/>
    </xf>
    <xf numFmtId="212" fontId="22" fillId="0" borderId="0">
      <protection locked="0"/>
    </xf>
    <xf numFmtId="2" fontId="67" fillId="0" borderId="0" applyFont="0" applyFill="0" applyBorder="0" applyAlignment="0" applyProtection="0"/>
    <xf numFmtId="0" fontId="85" fillId="0" borderId="0" applyFill="0" applyBorder="0" applyProtection="0">
      <alignment horizontal="left"/>
    </xf>
    <xf numFmtId="0" fontId="86" fillId="41"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87" fillId="2" borderId="0" applyNumberFormat="0" applyBorder="0" applyAlignment="0" applyProtection="0"/>
    <xf numFmtId="0" fontId="5" fillId="2" borderId="0" applyNumberFormat="0" applyBorder="0" applyAlignment="0" applyProtection="0"/>
    <xf numFmtId="38" fontId="71" fillId="67" borderId="0" applyNumberFormat="0" applyBorder="0" applyAlignment="0" applyProtection="0"/>
    <xf numFmtId="0" fontId="88" fillId="0" borderId="0" applyNumberFormat="0">
      <alignment horizontal="right"/>
    </xf>
    <xf numFmtId="0" fontId="22" fillId="0" borderId="0"/>
    <xf numFmtId="0" fontId="22" fillId="0" borderId="0"/>
    <xf numFmtId="0" fontId="22" fillId="0" borderId="0"/>
    <xf numFmtId="0" fontId="22" fillId="0" borderId="0"/>
    <xf numFmtId="174" fontId="22" fillId="68" borderId="10" applyNumberFormat="0" applyFont="0" applyBorder="0" applyAlignment="0" applyProtection="0"/>
    <xf numFmtId="182" fontId="22" fillId="0" borderId="0" applyFont="0" applyFill="0" applyBorder="0" applyAlignment="0" applyProtection="0">
      <alignment horizontal="right"/>
    </xf>
    <xf numFmtId="178" fontId="89" fillId="68" borderId="0" applyNumberFormat="0" applyFont="0" applyAlignment="0"/>
    <xf numFmtId="0" fontId="90" fillId="0" borderId="0" applyProtection="0">
      <alignment horizontal="right"/>
    </xf>
    <xf numFmtId="0" fontId="91" fillId="0" borderId="32" applyNumberFormat="0" applyAlignment="0" applyProtection="0">
      <alignment horizontal="left" vertical="center"/>
    </xf>
    <xf numFmtId="0" fontId="91" fillId="0" borderId="11">
      <alignment horizontal="left" vertical="center"/>
    </xf>
    <xf numFmtId="49" fontId="92" fillId="0" borderId="0">
      <alignment horizontal="centerContinuous"/>
    </xf>
    <xf numFmtId="0" fontId="93" fillId="0" borderId="33"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2" fillId="0" borderId="1" applyNumberFormat="0" applyFill="0" applyAlignment="0" applyProtection="0"/>
    <xf numFmtId="0" fontId="94" fillId="0" borderId="0" applyNumberFormat="0" applyFill="0" applyBorder="0" applyAlignment="0" applyProtection="0"/>
    <xf numFmtId="0" fontId="95" fillId="0" borderId="34" applyNumberFormat="0" applyFill="0" applyAlignment="0" applyProtection="0"/>
    <xf numFmtId="0" fontId="96" fillId="0" borderId="0" applyProtection="0">
      <alignment horizontal="left"/>
    </xf>
    <xf numFmtId="0" fontId="96" fillId="0" borderId="0" applyProtection="0">
      <alignment horizontal="left"/>
    </xf>
    <xf numFmtId="0" fontId="96" fillId="0" borderId="0" applyProtection="0">
      <alignment horizontal="left"/>
    </xf>
    <xf numFmtId="0" fontId="96" fillId="0" borderId="0" applyProtection="0">
      <alignment horizontal="left"/>
    </xf>
    <xf numFmtId="0" fontId="3" fillId="0" borderId="2" applyNumberFormat="0" applyFill="0" applyAlignment="0" applyProtection="0"/>
    <xf numFmtId="0" fontId="96" fillId="0" borderId="0" applyProtection="0">
      <alignment horizontal="left"/>
    </xf>
    <xf numFmtId="0" fontId="97" fillId="0" borderId="35" applyNumberFormat="0" applyFill="0" applyAlignment="0" applyProtection="0"/>
    <xf numFmtId="0" fontId="98" fillId="0" borderId="0" applyProtection="0">
      <alignment horizontal="left"/>
    </xf>
    <xf numFmtId="0" fontId="98" fillId="0" borderId="0" applyProtection="0">
      <alignment horizontal="left"/>
    </xf>
    <xf numFmtId="0" fontId="98" fillId="0" borderId="0" applyProtection="0">
      <alignment horizontal="left"/>
    </xf>
    <xf numFmtId="0" fontId="98" fillId="0" borderId="0" applyProtection="0">
      <alignment horizontal="left"/>
    </xf>
    <xf numFmtId="0" fontId="99" fillId="0" borderId="3" applyNumberFormat="0" applyFill="0" applyAlignment="0" applyProtection="0"/>
    <xf numFmtId="0" fontId="4" fillId="0" borderId="3" applyNumberFormat="0" applyFill="0" applyAlignment="0" applyProtection="0"/>
    <xf numFmtId="0" fontId="98" fillId="0" borderId="0" applyProtection="0">
      <alignment horizontal="left"/>
    </xf>
    <xf numFmtId="0" fontId="97" fillId="0" borderId="0" applyNumberFormat="0" applyFill="0" applyBorder="0" applyAlignment="0" applyProtection="0"/>
    <xf numFmtId="0" fontId="4" fillId="0" borderId="0" applyNumberFormat="0" applyFill="0" applyBorder="0" applyAlignment="0" applyProtection="0"/>
    <xf numFmtId="0" fontId="100" fillId="0" borderId="0"/>
    <xf numFmtId="0" fontId="45" fillId="0" borderId="0"/>
    <xf numFmtId="236" fontId="38" fillId="0" borderId="0">
      <alignment horizontal="centerContinuous"/>
    </xf>
    <xf numFmtId="0" fontId="101" fillId="0" borderId="36" applyNumberFormat="0" applyFill="0" applyBorder="0" applyAlignment="0" applyProtection="0">
      <alignment horizontal="left"/>
    </xf>
    <xf numFmtId="236" fontId="38" fillId="0" borderId="37">
      <alignment horizontal="center"/>
    </xf>
    <xf numFmtId="0" fontId="22" fillId="0" borderId="0" applyNumberFormat="0" applyFill="0" applyBorder="0" applyProtection="0">
      <alignment wrapText="1"/>
    </xf>
    <xf numFmtId="0" fontId="22" fillId="0" borderId="0" applyNumberFormat="0" applyFill="0" applyBorder="0" applyProtection="0">
      <alignment horizontal="justify" vertical="top" wrapText="1"/>
    </xf>
    <xf numFmtId="0" fontId="102" fillId="0" borderId="38">
      <alignment horizontal="left" vertical="center"/>
    </xf>
    <xf numFmtId="0" fontId="102" fillId="69" borderId="0">
      <alignment horizontal="centerContinuous" wrapText="1"/>
    </xf>
    <xf numFmtId="0" fontId="103"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4" fillId="0" borderId="0" applyNumberFormat="0" applyFill="0" applyBorder="0" applyAlignment="0" applyProtection="0">
      <alignment vertical="top"/>
      <protection locked="0"/>
    </xf>
    <xf numFmtId="0" fontId="105" fillId="0" borderId="0" applyNumberFormat="0" applyFill="0" applyBorder="0" applyAlignment="0" applyProtection="0"/>
    <xf numFmtId="0" fontId="103" fillId="0" borderId="0" applyNumberFormat="0" applyFill="0" applyBorder="0" applyAlignment="0" applyProtection="0">
      <alignment vertical="top"/>
      <protection locked="0"/>
    </xf>
    <xf numFmtId="0" fontId="106" fillId="0" borderId="0" applyNumberFormat="0" applyFill="0" applyBorder="0" applyAlignment="0" applyProtection="0"/>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237" fontId="103"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lignment horizontal="right"/>
    </xf>
    <xf numFmtId="10" fontId="71" fillId="60" borderId="10" applyNumberFormat="0" applyBorder="0" applyAlignment="0" applyProtection="0"/>
    <xf numFmtId="0" fontId="107" fillId="44" borderId="22" applyNumberFormat="0" applyAlignment="0" applyProtection="0"/>
    <xf numFmtId="0" fontId="107" fillId="44" borderId="22" applyNumberFormat="0" applyAlignment="0" applyProtection="0"/>
    <xf numFmtId="0" fontId="108" fillId="5" borderId="4" applyNumberFormat="0" applyAlignment="0" applyProtection="0"/>
    <xf numFmtId="0" fontId="108" fillId="5" borderId="4" applyNumberFormat="0" applyAlignment="0" applyProtection="0"/>
    <xf numFmtId="0" fontId="108" fillId="5" borderId="4" applyNumberFormat="0" applyAlignment="0" applyProtection="0"/>
    <xf numFmtId="0" fontId="108" fillId="5" borderId="4" applyNumberFormat="0" applyAlignment="0" applyProtection="0"/>
    <xf numFmtId="0" fontId="108" fillId="5" borderId="4" applyNumberFormat="0" applyAlignment="0" applyProtection="0"/>
    <xf numFmtId="0" fontId="108" fillId="5" borderId="4" applyNumberFormat="0" applyAlignment="0" applyProtection="0"/>
    <xf numFmtId="0" fontId="108" fillId="5" borderId="4" applyNumberFormat="0" applyAlignment="0" applyProtection="0"/>
    <xf numFmtId="0" fontId="8" fillId="5" borderId="4" applyNumberFormat="0" applyAlignment="0" applyProtection="0"/>
    <xf numFmtId="238" fontId="57" fillId="0" borderId="0" applyNumberFormat="0" applyFill="0" applyBorder="0" applyAlignment="0" applyProtection="0"/>
    <xf numFmtId="0" fontId="22" fillId="0" borderId="0" applyNumberFormat="0" applyFill="0" applyBorder="0" applyAlignment="0">
      <protection locked="0"/>
    </xf>
    <xf numFmtId="0" fontId="109" fillId="60" borderId="0" applyNumberFormat="0" applyFont="0" applyBorder="0" applyAlignment="0">
      <alignment horizontal="right"/>
      <protection locked="0"/>
    </xf>
    <xf numFmtId="0" fontId="110" fillId="70" borderId="0" applyNumberFormat="0" applyFont="0" applyBorder="0" applyAlignment="0">
      <alignment horizontal="right" vertical="top"/>
      <protection locked="0"/>
    </xf>
    <xf numFmtId="239" fontId="22" fillId="60" borderId="21" applyNumberFormat="0" applyFont="0" applyBorder="0" applyAlignment="0">
      <alignment horizontal="right" vertical="center"/>
      <protection locked="0"/>
    </xf>
    <xf numFmtId="0" fontId="110" fillId="70" borderId="0" applyNumberFormat="0" applyFont="0" applyBorder="0" applyAlignment="0">
      <alignment horizontal="right" vertical="top"/>
      <protection locked="0"/>
    </xf>
    <xf numFmtId="0" fontId="57" fillId="0" borderId="0" applyFill="0" applyBorder="0">
      <alignment horizontal="right"/>
      <protection locked="0"/>
    </xf>
    <xf numFmtId="240" fontId="111" fillId="0" borderId="39" applyFont="0" applyFill="0" applyBorder="0" applyAlignment="0" applyProtection="0"/>
    <xf numFmtId="241" fontId="22" fillId="0" borderId="0" applyFill="0" applyBorder="0">
      <alignment horizontal="right"/>
      <protection locked="0"/>
    </xf>
    <xf numFmtId="0" fontId="112" fillId="0" borderId="0" applyFill="0" applyBorder="0"/>
    <xf numFmtId="0" fontId="113" fillId="71" borderId="40">
      <alignment horizontal="left" vertical="center" wrapText="1"/>
    </xf>
    <xf numFmtId="0" fontId="31" fillId="0" borderId="0" applyNumberFormat="0" applyFill="0" applyBorder="0" applyProtection="0">
      <alignment horizontal="left" vertical="center"/>
    </xf>
    <xf numFmtId="0" fontId="114" fillId="0" borderId="0" applyNumberFormat="0" applyFill="0" applyBorder="0" applyAlignment="0" applyProtection="0">
      <alignment vertical="top"/>
      <protection locked="0"/>
    </xf>
    <xf numFmtId="0" fontId="103" fillId="0" borderId="0" applyNumberFormat="0" applyFill="0" applyBorder="0" applyAlignment="0" applyProtection="0">
      <alignment vertical="top"/>
      <protection locked="0"/>
    </xf>
    <xf numFmtId="0" fontId="29" fillId="72" borderId="0" applyNumberFormat="0" applyFont="0" applyBorder="0" applyProtection="0"/>
    <xf numFmtId="2" fontId="115" fillId="0" borderId="12"/>
    <xf numFmtId="207" fontId="29" fillId="0" borderId="0" applyFill="0" applyBorder="0" applyAlignment="0"/>
    <xf numFmtId="208" fontId="29" fillId="0" borderId="0" applyFill="0" applyBorder="0" applyAlignment="0"/>
    <xf numFmtId="207" fontId="29" fillId="0" borderId="0" applyFill="0" applyBorder="0" applyAlignment="0"/>
    <xf numFmtId="210" fontId="22" fillId="0" borderId="0" applyFill="0" applyBorder="0" applyAlignment="0"/>
    <xf numFmtId="208" fontId="29" fillId="0" borderId="0" applyFill="0" applyBorder="0" applyAlignment="0"/>
    <xf numFmtId="0" fontId="116" fillId="0" borderId="41" applyNumberFormat="0" applyFill="0" applyAlignment="0" applyProtection="0"/>
    <xf numFmtId="0" fontId="117" fillId="0" borderId="6" applyNumberFormat="0" applyFill="0" applyAlignment="0" applyProtection="0"/>
    <xf numFmtId="0" fontId="117" fillId="0" borderId="6" applyNumberFormat="0" applyFill="0" applyAlignment="0" applyProtection="0"/>
    <xf numFmtId="0" fontId="117" fillId="0" borderId="6" applyNumberFormat="0" applyFill="0" applyAlignment="0" applyProtection="0"/>
    <xf numFmtId="0" fontId="117" fillId="0" borderId="6" applyNumberFormat="0" applyFill="0" applyAlignment="0" applyProtection="0"/>
    <xf numFmtId="0" fontId="117" fillId="0" borderId="6" applyNumberFormat="0" applyFill="0" applyAlignment="0" applyProtection="0"/>
    <xf numFmtId="0" fontId="117" fillId="0" borderId="6" applyNumberFormat="0" applyFill="0" applyAlignment="0" applyProtection="0"/>
    <xf numFmtId="0" fontId="117" fillId="0" borderId="6" applyNumberFormat="0" applyFill="0" applyAlignment="0" applyProtection="0"/>
    <xf numFmtId="0" fontId="11" fillId="0" borderId="6" applyNumberFormat="0" applyFill="0" applyAlignment="0" applyProtection="0"/>
    <xf numFmtId="14" fontId="32" fillId="0" borderId="12" applyFont="0" applyFill="0" applyBorder="0" applyAlignment="0" applyProtection="0"/>
    <xf numFmtId="3" fontId="22" fillId="0" borderId="0"/>
    <xf numFmtId="1" fontId="118" fillId="0" borderId="0"/>
    <xf numFmtId="242" fontId="119" fillId="73" borderId="0" applyBorder="0" applyAlignment="0">
      <alignment horizontal="right"/>
    </xf>
    <xf numFmtId="168" fontId="22" fillId="0" borderId="0" applyFont="0" applyFill="0" applyBorder="0" applyAlignment="0" applyProtection="0"/>
    <xf numFmtId="43"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243" fontId="22" fillId="0" borderId="0" applyFont="0" applyFill="0" applyBorder="0" applyAlignment="0" applyProtection="0"/>
    <xf numFmtId="244" fontId="1" fillId="0" borderId="0" applyFont="0" applyFill="0" applyBorder="0" applyAlignment="0" applyProtection="0"/>
    <xf numFmtId="245" fontId="22" fillId="0" borderId="0" applyFont="0" applyFill="0" applyBorder="0" applyAlignment="0" applyProtection="0"/>
    <xf numFmtId="14" fontId="25" fillId="0" borderId="0" applyFont="0" applyFill="0" applyBorder="0" applyAlignment="0" applyProtection="0"/>
    <xf numFmtId="3" fontId="31" fillId="0" borderId="0"/>
    <xf numFmtId="3" fontId="31" fillId="0" borderId="0"/>
    <xf numFmtId="0" fontId="22" fillId="0" borderId="0" applyFont="0" applyFill="0" applyBorder="0" applyAlignment="0" applyProtection="0"/>
    <xf numFmtId="0" fontId="22" fillId="0" borderId="0" applyFont="0" applyFill="0" applyBorder="0" applyAlignment="0" applyProtection="0"/>
    <xf numFmtId="246" fontId="22" fillId="0" borderId="0" applyFont="0" applyFill="0" applyBorder="0" applyAlignment="0" applyProtection="0"/>
    <xf numFmtId="247" fontId="1" fillId="0" borderId="0" applyFont="0" applyFill="0" applyBorder="0" applyAlignment="0" applyProtection="0"/>
    <xf numFmtId="248" fontId="22" fillId="0" borderId="0" applyFont="0" applyFill="0" applyBorder="0" applyAlignment="0" applyProtection="0"/>
    <xf numFmtId="249" fontId="22" fillId="0" borderId="0">
      <protection locked="0"/>
    </xf>
    <xf numFmtId="230" fontId="71" fillId="60" borderId="0">
      <alignment horizontal="center"/>
    </xf>
    <xf numFmtId="250" fontId="61" fillId="0" borderId="0" applyFont="0" applyFill="0" applyBorder="0" applyProtection="0">
      <alignment horizontal="right"/>
    </xf>
    <xf numFmtId="251" fontId="22" fillId="0" borderId="0" applyFont="0" applyFill="0" applyBorder="0" applyAlignment="0" applyProtection="0"/>
    <xf numFmtId="177" fontId="22" fillId="0" borderId="0" applyFont="0" applyFill="0" applyBorder="0" applyAlignment="0" applyProtection="0"/>
    <xf numFmtId="0" fontId="60" fillId="0" borderId="0" applyFont="0" applyFill="0" applyBorder="0" applyProtection="0">
      <alignment horizontal="right"/>
    </xf>
    <xf numFmtId="0" fontId="60" fillId="0" borderId="0" applyFont="0" applyFill="0" applyBorder="0" applyProtection="0">
      <alignment horizontal="right"/>
    </xf>
    <xf numFmtId="0" fontId="60" fillId="0" borderId="0" applyFont="0" applyFill="0" applyBorder="0" applyProtection="0">
      <alignment horizontal="right"/>
    </xf>
    <xf numFmtId="0" fontId="22" fillId="0" borderId="0" applyFont="0" applyFill="0" applyBorder="0" applyProtection="0">
      <alignment horizontal="right"/>
    </xf>
    <xf numFmtId="172" fontId="22" fillId="0" borderId="0" applyFont="0" applyFill="0" applyBorder="0" applyProtection="0">
      <alignment horizontal="right"/>
    </xf>
    <xf numFmtId="0" fontId="22" fillId="0" borderId="42" applyBorder="0" applyAlignment="0" applyProtection="0">
      <alignment horizontal="center"/>
    </xf>
    <xf numFmtId="0" fontId="120" fillId="70" borderId="0" applyNumberFormat="0" applyBorder="0" applyAlignment="0" applyProtection="0"/>
    <xf numFmtId="0" fontId="121" fillId="4" borderId="0" applyNumberFormat="0" applyBorder="0" applyAlignment="0" applyProtection="0"/>
    <xf numFmtId="0" fontId="121" fillId="4" borderId="0" applyNumberFormat="0" applyBorder="0" applyAlignment="0" applyProtection="0"/>
    <xf numFmtId="0" fontId="121" fillId="4" borderId="0" applyNumberFormat="0" applyBorder="0" applyAlignment="0" applyProtection="0"/>
    <xf numFmtId="0" fontId="121" fillId="4" borderId="0" applyNumberFormat="0" applyBorder="0" applyAlignment="0" applyProtection="0"/>
    <xf numFmtId="0" fontId="121" fillId="4" borderId="0" applyNumberFormat="0" applyBorder="0" applyAlignment="0" applyProtection="0"/>
    <xf numFmtId="0" fontId="121" fillId="4" borderId="0" applyNumberFormat="0" applyBorder="0" applyAlignment="0" applyProtection="0"/>
    <xf numFmtId="0" fontId="121" fillId="4" borderId="0" applyNumberFormat="0" applyBorder="0" applyAlignment="0" applyProtection="0"/>
    <xf numFmtId="0" fontId="7" fillId="4" borderId="0" applyNumberFormat="0" applyBorder="0" applyAlignment="0" applyProtection="0"/>
    <xf numFmtId="0" fontId="50" fillId="0" borderId="0"/>
    <xf numFmtId="239" fontId="39" fillId="0" borderId="0" applyNumberFormat="0" applyFont="0" applyFill="0" applyBorder="0" applyAlignment="0" applyProtection="0">
      <alignment vertical="center"/>
    </xf>
    <xf numFmtId="37" fontId="122" fillId="0" borderId="0"/>
    <xf numFmtId="0" fontId="123" fillId="0" borderId="0"/>
    <xf numFmtId="0" fontId="72" fillId="74" borderId="0" applyNumberFormat="0" applyBorder="0" applyAlignment="0">
      <alignment horizontal="right"/>
      <protection hidden="1"/>
    </xf>
    <xf numFmtId="239" fontId="124" fillId="0" borderId="0" applyNumberFormat="0" applyFill="0" applyBorder="0" applyAlignment="0" applyProtection="0">
      <alignment vertical="center"/>
    </xf>
    <xf numFmtId="1" fontId="31" fillId="0" borderId="0"/>
    <xf numFmtId="252" fontId="71" fillId="0" borderId="0" applyFont="0" applyFill="0" applyBorder="0" applyAlignment="0" applyProtection="0">
      <alignment horizontal="right"/>
    </xf>
    <xf numFmtId="253" fontId="125" fillId="0" borderId="0"/>
    <xf numFmtId="37" fontId="24" fillId="75" borderId="0" applyFont="0" applyFill="0" applyBorder="0" applyAlignment="0" applyProtection="0"/>
    <xf numFmtId="232" fontId="22" fillId="0" borderId="0" applyFont="0" applyFill="0" applyBorder="0" applyAlignment="0"/>
    <xf numFmtId="254" fontId="71" fillId="0" borderId="0" applyFont="0" applyFill="0" applyBorder="0" applyAlignment="0"/>
    <xf numFmtId="255" fontId="71" fillId="0" borderId="0" applyFont="0" applyFill="0" applyBorder="0" applyAlignment="0"/>
    <xf numFmtId="254" fontId="71" fillId="0" borderId="0" applyFont="0" applyFill="0" applyBorder="0" applyAlignment="0"/>
    <xf numFmtId="0" fontId="33" fillId="0" borderId="0"/>
    <xf numFmtId="0" fontId="22" fillId="0" borderId="0"/>
    <xf numFmtId="0" fontId="22" fillId="0" borderId="0"/>
    <xf numFmtId="0" fontId="22" fillId="0" borderId="0"/>
    <xf numFmtId="0" fontId="22" fillId="0" borderId="0"/>
    <xf numFmtId="0" fontId="57" fillId="0" borderId="0"/>
    <xf numFmtId="0" fontId="1" fillId="0" borderId="0"/>
    <xf numFmtId="0" fontId="65" fillId="0" borderId="0"/>
    <xf numFmtId="0" fontId="1" fillId="0" borderId="0"/>
    <xf numFmtId="0" fontId="22" fillId="0" borderId="0"/>
    <xf numFmtId="0" fontId="1" fillId="0" borderId="0"/>
    <xf numFmtId="0" fontId="1" fillId="0" borderId="0"/>
    <xf numFmtId="0" fontId="1" fillId="0" borderId="0"/>
    <xf numFmtId="0" fontId="57" fillId="0" borderId="0"/>
    <xf numFmtId="0" fontId="22" fillId="0" borderId="0"/>
    <xf numFmtId="0" fontId="57" fillId="0" borderId="0"/>
    <xf numFmtId="0" fontId="1" fillId="0" borderId="0"/>
    <xf numFmtId="0" fontId="1" fillId="0" borderId="0"/>
    <xf numFmtId="0" fontId="1" fillId="0" borderId="0"/>
    <xf numFmtId="0" fontId="1" fillId="0" borderId="0"/>
    <xf numFmtId="0" fontId="57" fillId="0" borderId="0"/>
    <xf numFmtId="0" fontId="74" fillId="0" borderId="0">
      <alignment vertical="top"/>
    </xf>
    <xf numFmtId="0" fontId="74" fillId="0" borderId="0">
      <alignment vertical="top"/>
    </xf>
    <xf numFmtId="0" fontId="57" fillId="0" borderId="0"/>
    <xf numFmtId="0" fontId="22" fillId="0" borderId="0"/>
    <xf numFmtId="0" fontId="22" fillId="0" borderId="0"/>
    <xf numFmtId="0" fontId="57" fillId="0" borderId="0"/>
    <xf numFmtId="0" fontId="22" fillId="0" borderId="0"/>
    <xf numFmtId="0" fontId="22" fillId="0" borderId="0"/>
    <xf numFmtId="0" fontId="22" fillId="0" borderId="0"/>
    <xf numFmtId="0" fontId="22" fillId="0" borderId="0"/>
    <xf numFmtId="0" fontId="57" fillId="0" borderId="0"/>
    <xf numFmtId="0" fontId="22" fillId="0" borderId="0"/>
    <xf numFmtId="0" fontId="22" fillId="0" borderId="0"/>
    <xf numFmtId="0" fontId="57" fillId="0" borderId="0"/>
    <xf numFmtId="0" fontId="1" fillId="0" borderId="0"/>
    <xf numFmtId="0" fontId="57" fillId="0" borderId="0"/>
    <xf numFmtId="0" fontId="57" fillId="0" borderId="0"/>
    <xf numFmtId="252" fontId="71" fillId="0" borderId="0" applyFont="0" applyFill="0" applyBorder="0" applyAlignment="0" applyProtection="0">
      <alignment horizontal="right"/>
    </xf>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74" fillId="0" borderId="0"/>
    <xf numFmtId="0" fontId="57" fillId="0" borderId="0"/>
    <xf numFmtId="0" fontId="66" fillId="0" borderId="0"/>
    <xf numFmtId="0" fontId="22" fillId="0" borderId="0"/>
    <xf numFmtId="0" fontId="22" fillId="0" borderId="0"/>
    <xf numFmtId="0" fontId="66" fillId="0" borderId="0"/>
    <xf numFmtId="0" fontId="57" fillId="0" borderId="0"/>
    <xf numFmtId="0" fontId="22" fillId="0" borderId="0"/>
    <xf numFmtId="0" fontId="22" fillId="0" borderId="0"/>
    <xf numFmtId="0" fontId="57" fillId="0" borderId="0"/>
    <xf numFmtId="0" fontId="57" fillId="0" borderId="0"/>
    <xf numFmtId="237" fontId="22" fillId="0" borderId="0"/>
    <xf numFmtId="0" fontId="66"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0" fontId="1" fillId="0" borderId="0"/>
    <xf numFmtId="0" fontId="1" fillId="0" borderId="0"/>
    <xf numFmtId="0" fontId="1"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44" fillId="0" borderId="0"/>
    <xf numFmtId="237" fontId="22" fillId="0" borderId="0"/>
    <xf numFmtId="0" fontId="22" fillId="0" borderId="0"/>
    <xf numFmtId="0" fontId="57" fillId="0" borderId="0"/>
    <xf numFmtId="237"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22" fillId="0" borderId="0"/>
    <xf numFmtId="0" fontId="22" fillId="0" borderId="0"/>
    <xf numFmtId="0" fontId="22" fillId="0" borderId="0"/>
    <xf numFmtId="237" fontId="22" fillId="0" borderId="0"/>
    <xf numFmtId="0" fontId="22" fillId="0" borderId="0"/>
    <xf numFmtId="0" fontId="5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88" fillId="0" borderId="0"/>
    <xf numFmtId="237" fontId="22" fillId="0" borderId="0"/>
    <xf numFmtId="0" fontId="57"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0" fontId="57" fillId="0" borderId="0"/>
    <xf numFmtId="0" fontId="57" fillId="0" borderId="0"/>
    <xf numFmtId="0" fontId="57" fillId="0" borderId="0"/>
    <xf numFmtId="0" fontId="57"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52" fontId="71" fillId="0" borderId="0" applyFont="0" applyFill="0" applyBorder="0" applyAlignment="0" applyProtection="0">
      <alignment horizontal="right"/>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88" fillId="0" borderId="0"/>
    <xf numFmtId="0" fontId="22" fillId="0" borderId="0"/>
    <xf numFmtId="0" fontId="63" fillId="0" borderId="0"/>
    <xf numFmtId="0" fontId="63" fillId="0" borderId="0"/>
    <xf numFmtId="0" fontId="57" fillId="0" borderId="0"/>
    <xf numFmtId="0" fontId="57"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57" fillId="0" borderId="0"/>
    <xf numFmtId="0" fontId="1" fillId="0" borderId="0"/>
    <xf numFmtId="0" fontId="1" fillId="0" borderId="0"/>
    <xf numFmtId="0" fontId="1" fillId="0" borderId="0"/>
    <xf numFmtId="0" fontId="57" fillId="0" borderId="0"/>
    <xf numFmtId="0" fontId="57" fillId="0" borderId="0"/>
    <xf numFmtId="0" fontId="57" fillId="0" borderId="0"/>
    <xf numFmtId="0" fontId="57" fillId="0" borderId="0"/>
    <xf numFmtId="0" fontId="57" fillId="0" borderId="0"/>
    <xf numFmtId="0" fontId="44" fillId="0" borderId="0"/>
    <xf numFmtId="0" fontId="57" fillId="0" borderId="0"/>
    <xf numFmtId="0" fontId="63" fillId="0" borderId="0"/>
    <xf numFmtId="0" fontId="63" fillId="0" borderId="0"/>
    <xf numFmtId="0" fontId="57" fillId="0" borderId="0"/>
    <xf numFmtId="0" fontId="57"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63" fillId="0" borderId="0"/>
    <xf numFmtId="0" fontId="22" fillId="0" borderId="0"/>
    <xf numFmtId="0" fontId="57" fillId="0" borderId="0"/>
    <xf numFmtId="0" fontId="22" fillId="0" borderId="0"/>
    <xf numFmtId="0" fontId="63" fillId="0" borderId="0"/>
    <xf numFmtId="0" fontId="22" fillId="0" borderId="0"/>
    <xf numFmtId="0" fontId="22" fillId="0" borderId="0"/>
    <xf numFmtId="0" fontId="63" fillId="0" borderId="0"/>
    <xf numFmtId="0" fontId="22" fillId="0" borderId="0"/>
    <xf numFmtId="0" fontId="22" fillId="0" borderId="0"/>
    <xf numFmtId="0" fontId="22" fillId="0" borderId="0"/>
    <xf numFmtId="0" fontId="22" fillId="0" borderId="0"/>
    <xf numFmtId="0" fontId="22" fillId="0" borderId="0"/>
    <xf numFmtId="0" fontId="63" fillId="0" borderId="0"/>
    <xf numFmtId="0" fontId="88" fillId="0" borderId="0"/>
    <xf numFmtId="0" fontId="57" fillId="0" borderId="0"/>
    <xf numFmtId="0" fontId="63" fillId="0" borderId="0"/>
    <xf numFmtId="0" fontId="22" fillId="0" borderId="0"/>
    <xf numFmtId="0" fontId="22" fillId="0" borderId="0"/>
    <xf numFmtId="0" fontId="44" fillId="0" borderId="0"/>
    <xf numFmtId="0" fontId="57" fillId="0" borderId="0"/>
    <xf numFmtId="0" fontId="57" fillId="0" borderId="0"/>
    <xf numFmtId="0" fontId="57" fillId="0" borderId="0"/>
    <xf numFmtId="0" fontId="57"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0" fontId="57" fillId="0" borderId="0"/>
    <xf numFmtId="237" fontId="22" fillId="0" borderId="0"/>
    <xf numFmtId="0" fontId="57"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0" fontId="57" fillId="0" borderId="0"/>
    <xf numFmtId="0" fontId="57" fillId="0" borderId="0"/>
    <xf numFmtId="0" fontId="22" fillId="0" borderId="0"/>
    <xf numFmtId="252" fontId="71" fillId="0" borderId="0" applyFont="0" applyFill="0" applyBorder="0" applyAlignment="0" applyProtection="0">
      <alignment horizontal="right"/>
    </xf>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57" fillId="0" borderId="0"/>
    <xf numFmtId="237" fontId="22" fillId="0" borderId="0"/>
    <xf numFmtId="0" fontId="44"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64" fillId="0" borderId="0"/>
    <xf numFmtId="0" fontId="22" fillId="0" borderId="0"/>
    <xf numFmtId="0" fontId="22" fillId="0" borderId="0"/>
    <xf numFmtId="0" fontId="22" fillId="0" borderId="0"/>
    <xf numFmtId="0" fontId="22" fillId="0" borderId="0"/>
    <xf numFmtId="237" fontId="22" fillId="0" borderId="0"/>
    <xf numFmtId="0" fontId="63" fillId="0" borderId="0"/>
    <xf numFmtId="0" fontId="1" fillId="0" borderId="0"/>
    <xf numFmtId="0" fontId="63" fillId="0" borderId="0"/>
    <xf numFmtId="0" fontId="57" fillId="0" borderId="0"/>
    <xf numFmtId="237" fontId="22"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7" fontId="22"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7" fontId="22"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7" fontId="22"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7" fontId="22" fillId="0" borderId="0"/>
    <xf numFmtId="0" fontId="57" fillId="0" borderId="0"/>
    <xf numFmtId="0" fontId="1" fillId="0" borderId="0"/>
    <xf numFmtId="0" fontId="1" fillId="0" borderId="0"/>
    <xf numFmtId="0" fontId="1" fillId="0" borderId="0"/>
    <xf numFmtId="237" fontId="22" fillId="0" borderId="0"/>
    <xf numFmtId="0" fontId="57" fillId="0" borderId="0"/>
    <xf numFmtId="237" fontId="22" fillId="0" borderId="0"/>
    <xf numFmtId="0" fontId="57" fillId="0" borderId="0"/>
    <xf numFmtId="0" fontId="1" fillId="0" borderId="0"/>
    <xf numFmtId="0" fontId="1" fillId="0" borderId="0"/>
    <xf numFmtId="0" fontId="1" fillId="0" borderId="0"/>
    <xf numFmtId="237" fontId="22" fillId="0" borderId="0"/>
    <xf numFmtId="0" fontId="57" fillId="0" borderId="0"/>
    <xf numFmtId="0" fontId="1" fillId="0" borderId="0"/>
    <xf numFmtId="237" fontId="22" fillId="0" borderId="0"/>
    <xf numFmtId="0" fontId="57" fillId="0" borderId="0"/>
    <xf numFmtId="237" fontId="22" fillId="0" borderId="0"/>
    <xf numFmtId="0" fontId="22" fillId="0" borderId="0"/>
    <xf numFmtId="0" fontId="22" fillId="0" borderId="0"/>
    <xf numFmtId="0" fontId="22" fillId="0" borderId="0"/>
    <xf numFmtId="0" fontId="22" fillId="0" borderId="0"/>
    <xf numFmtId="0" fontId="22" fillId="0" borderId="0"/>
    <xf numFmtId="237" fontId="22" fillId="0" borderId="0"/>
    <xf numFmtId="0" fontId="22" fillId="0" borderId="0"/>
    <xf numFmtId="0" fontId="57" fillId="0" borderId="0"/>
    <xf numFmtId="0" fontId="22" fillId="0" borderId="0"/>
    <xf numFmtId="237" fontId="22" fillId="0" borderId="0"/>
    <xf numFmtId="0" fontId="22" fillId="0" borderId="0"/>
    <xf numFmtId="237" fontId="22" fillId="0" borderId="0"/>
    <xf numFmtId="0" fontId="22" fillId="0" borderId="0"/>
    <xf numFmtId="237" fontId="22" fillId="0" borderId="0"/>
    <xf numFmtId="0" fontId="1"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22" fillId="0" borderId="0"/>
    <xf numFmtId="237" fontId="22" fillId="0" borderId="0"/>
    <xf numFmtId="0"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9"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252" fontId="71" fillId="0" borderId="0" applyFont="0" applyFill="0" applyBorder="0" applyAlignment="0" applyProtection="0">
      <alignment horizontal="right"/>
    </xf>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0" fontId="66" fillId="0" borderId="0"/>
    <xf numFmtId="0" fontId="22" fillId="0" borderId="0">
      <alignment wrapText="1"/>
    </xf>
    <xf numFmtId="0" fontId="22" fillId="0" borderId="0">
      <alignment wrapText="1"/>
    </xf>
    <xf numFmtId="0" fontId="44"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22" fillId="0" borderId="0"/>
    <xf numFmtId="237" fontId="22" fillId="0" borderId="0"/>
    <xf numFmtId="0" fontId="1" fillId="0" borderId="0"/>
    <xf numFmtId="0" fontId="22" fillId="0" borderId="0"/>
    <xf numFmtId="0" fontId="1" fillId="0" borderId="0"/>
    <xf numFmtId="0" fontId="57" fillId="0" borderId="0"/>
    <xf numFmtId="237" fontId="22" fillId="0" borderId="0"/>
    <xf numFmtId="0" fontId="57" fillId="0" borderId="0"/>
    <xf numFmtId="237" fontId="22" fillId="0" borderId="0"/>
    <xf numFmtId="0" fontId="22" fillId="0" borderId="0"/>
    <xf numFmtId="0" fontId="1" fillId="0" borderId="0"/>
    <xf numFmtId="0" fontId="1" fillId="0" borderId="0"/>
    <xf numFmtId="0" fontId="1"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22" fillId="0" borderId="0"/>
    <xf numFmtId="237" fontId="22" fillId="0" borderId="0"/>
    <xf numFmtId="0" fontId="22" fillId="0" borderId="0"/>
    <xf numFmtId="237" fontId="22" fillId="0" borderId="0"/>
    <xf numFmtId="0" fontId="22" fillId="0" borderId="0"/>
    <xf numFmtId="237" fontId="22" fillId="0" borderId="0"/>
    <xf numFmtId="0" fontId="22" fillId="0" borderId="0"/>
    <xf numFmtId="237" fontId="22" fillId="0" borderId="0"/>
    <xf numFmtId="0" fontId="22" fillId="0" borderId="0"/>
    <xf numFmtId="237" fontId="22" fillId="0" borderId="0"/>
    <xf numFmtId="0" fontId="22" fillId="0" borderId="0"/>
    <xf numFmtId="237" fontId="22" fillId="0" borderId="0"/>
    <xf numFmtId="237" fontId="22" fillId="0" borderId="0"/>
    <xf numFmtId="237"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37"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252" fontId="71" fillId="0" borderId="0" applyFont="0" applyFill="0" applyBorder="0" applyAlignment="0" applyProtection="0">
      <alignment horizontal="right"/>
    </xf>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0" fontId="22" fillId="0" borderId="0">
      <alignment wrapText="1"/>
    </xf>
    <xf numFmtId="0" fontId="34" fillId="0" borderId="0"/>
    <xf numFmtId="0" fontId="34" fillId="0" borderId="0"/>
    <xf numFmtId="0" fontId="22" fillId="0" borderId="0">
      <alignment wrapText="1"/>
    </xf>
    <xf numFmtId="0" fontId="22" fillId="0" borderId="0">
      <alignment wrapText="1"/>
    </xf>
    <xf numFmtId="0" fontId="22" fillId="0" borderId="0">
      <alignment wrapText="1"/>
    </xf>
    <xf numFmtId="0" fontId="34" fillId="0" borderId="0"/>
    <xf numFmtId="0" fontId="34"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237" fontId="22" fillId="0" borderId="0"/>
    <xf numFmtId="0" fontId="22" fillId="0" borderId="0">
      <alignment wrapText="1"/>
    </xf>
    <xf numFmtId="0" fontId="57" fillId="0" borderId="0"/>
    <xf numFmtId="0" fontId="22" fillId="0" borderId="0">
      <alignment wrapText="1"/>
    </xf>
    <xf numFmtId="0" fontId="57" fillId="0" borderId="0"/>
    <xf numFmtId="237" fontId="22" fillId="0" borderId="0"/>
    <xf numFmtId="0" fontId="57" fillId="0" borderId="0"/>
    <xf numFmtId="0" fontId="1" fillId="0" borderId="0"/>
    <xf numFmtId="0" fontId="1" fillId="0" borderId="0"/>
    <xf numFmtId="0" fontId="1" fillId="0" borderId="0"/>
    <xf numFmtId="237" fontId="22" fillId="0" borderId="0"/>
    <xf numFmtId="0" fontId="57" fillId="0" borderId="0"/>
    <xf numFmtId="0" fontId="1" fillId="0" borderId="0"/>
    <xf numFmtId="0" fontId="1" fillId="0" borderId="0"/>
    <xf numFmtId="0" fontId="1"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57" fillId="0" borderId="0"/>
    <xf numFmtId="237" fontId="22" fillId="0" borderId="0"/>
    <xf numFmtId="0" fontId="22" fillId="0" borderId="0">
      <alignment wrapText="1"/>
    </xf>
    <xf numFmtId="237" fontId="22" fillId="0" borderId="0"/>
    <xf numFmtId="0" fontId="22" fillId="0" borderId="0">
      <alignment wrapText="1"/>
    </xf>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57"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237"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52" fontId="71" fillId="0" borderId="0" applyFont="0" applyFill="0" applyBorder="0" applyAlignment="0" applyProtection="0">
      <alignment horizontal="right"/>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2" fillId="0" borderId="0"/>
    <xf numFmtId="0" fontId="22" fillId="0" borderId="0"/>
    <xf numFmtId="0" fontId="66" fillId="0" borderId="0"/>
    <xf numFmtId="0" fontId="74"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22" fillId="0" borderId="0"/>
    <xf numFmtId="0" fontId="22" fillId="0" borderId="0"/>
    <xf numFmtId="0" fontId="22" fillId="0" borderId="0"/>
    <xf numFmtId="0" fontId="22" fillId="0" borderId="0"/>
    <xf numFmtId="0" fontId="22" fillId="0" borderId="0"/>
    <xf numFmtId="0" fontId="74" fillId="0" borderId="0"/>
    <xf numFmtId="0" fontId="74" fillId="0" borderId="0"/>
    <xf numFmtId="237" fontId="22" fillId="0" borderId="0"/>
    <xf numFmtId="0" fontId="57" fillId="0" borderId="0"/>
    <xf numFmtId="0" fontId="57" fillId="0" borderId="0"/>
    <xf numFmtId="0" fontId="57" fillId="0" borderId="0"/>
    <xf numFmtId="0" fontId="57" fillId="0" borderId="0"/>
    <xf numFmtId="0" fontId="57"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63" fillId="0" borderId="0"/>
    <xf numFmtId="0" fontId="22" fillId="0" borderId="0"/>
    <xf numFmtId="252" fontId="71" fillId="0" borderId="0" applyFont="0" applyFill="0" applyBorder="0" applyAlignment="0" applyProtection="0">
      <alignment horizontal="right"/>
    </xf>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57" fillId="0" borderId="0"/>
    <xf numFmtId="0" fontId="1" fillId="0" borderId="0"/>
    <xf numFmtId="0" fontId="57"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57" fillId="0" borderId="0"/>
    <xf numFmtId="0" fontId="1" fillId="0" borderId="0"/>
    <xf numFmtId="0" fontId="57" fillId="0" borderId="0"/>
    <xf numFmtId="0" fontId="57" fillId="0" borderId="0"/>
    <xf numFmtId="0" fontId="57" fillId="0" borderId="0"/>
    <xf numFmtId="0" fontId="57" fillId="0" borderId="0"/>
    <xf numFmtId="0" fontId="57" fillId="0" borderId="0"/>
    <xf numFmtId="0" fontId="22" fillId="0" borderId="0"/>
    <xf numFmtId="0" fontId="57" fillId="0" borderId="0"/>
    <xf numFmtId="0" fontId="5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7" fillId="0" borderId="0"/>
    <xf numFmtId="0" fontId="1" fillId="0" borderId="0"/>
    <xf numFmtId="0" fontId="1" fillId="0" borderId="0"/>
    <xf numFmtId="0" fontId="1" fillId="0" borderId="0"/>
    <xf numFmtId="0" fontId="57" fillId="0" borderId="0"/>
    <xf numFmtId="0" fontId="57" fillId="0" borderId="0"/>
    <xf numFmtId="0" fontId="57" fillId="0" borderId="0"/>
    <xf numFmtId="0" fontId="57" fillId="0" borderId="0"/>
    <xf numFmtId="0" fontId="57" fillId="0" borderId="0"/>
    <xf numFmtId="0" fontId="22" fillId="0" borderId="0"/>
    <xf numFmtId="0" fontId="1" fillId="0" borderId="0"/>
    <xf numFmtId="0" fontId="22" fillId="0" borderId="0"/>
    <xf numFmtId="0" fontId="1" fillId="0" borderId="0"/>
    <xf numFmtId="0" fontId="1" fillId="0" borderId="0"/>
    <xf numFmtId="0" fontId="1" fillId="0" borderId="0"/>
    <xf numFmtId="0" fontId="57" fillId="0" borderId="0"/>
    <xf numFmtId="0" fontId="126" fillId="0" borderId="0"/>
    <xf numFmtId="0" fontId="22" fillId="0" borderId="0"/>
    <xf numFmtId="0" fontId="127" fillId="0" borderId="0"/>
    <xf numFmtId="256" fontId="71" fillId="0" borderId="0" applyFont="0" applyFill="0" applyBorder="0" applyAlignment="0" applyProtection="0"/>
    <xf numFmtId="0" fontId="33" fillId="76" borderId="43"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33" fillId="76" borderId="43" applyNumberFormat="0" applyFont="0" applyAlignment="0" applyProtection="0"/>
    <xf numFmtId="0" fontId="128"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34" fillId="8" borderId="8" applyNumberFormat="0" applyFont="0" applyAlignment="0" applyProtection="0"/>
    <xf numFmtId="0" fontId="1" fillId="8" borderId="8" applyNumberFormat="0" applyFont="0" applyAlignment="0" applyProtection="0"/>
    <xf numFmtId="0" fontId="128" fillId="8" borderId="8" applyNumberFormat="0" applyFont="0" applyAlignment="0" applyProtection="0"/>
    <xf numFmtId="0" fontId="1" fillId="8" borderId="8" applyNumberFormat="0" applyFont="0" applyAlignment="0" applyProtection="0"/>
    <xf numFmtId="0" fontId="128" fillId="8" borderId="8" applyNumberFormat="0" applyFont="0" applyAlignment="0" applyProtection="0"/>
    <xf numFmtId="0" fontId="128" fillId="8" borderId="8" applyNumberFormat="0" applyFont="0" applyAlignment="0" applyProtection="0"/>
    <xf numFmtId="0" fontId="128" fillId="8" borderId="8" applyNumberFormat="0" applyFont="0" applyAlignment="0" applyProtection="0"/>
    <xf numFmtId="0" fontId="128" fillId="8" borderId="8" applyNumberFormat="0" applyFont="0" applyAlignment="0" applyProtection="0"/>
    <xf numFmtId="0" fontId="128" fillId="8" borderId="8" applyNumberFormat="0" applyFont="0" applyAlignment="0" applyProtection="0"/>
    <xf numFmtId="0" fontId="128"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35"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257" fontId="129" fillId="0" borderId="0" applyBorder="0" applyProtection="0">
      <alignment horizontal="right"/>
    </xf>
    <xf numFmtId="257" fontId="130" fillId="77" borderId="0" applyBorder="0" applyProtection="0">
      <alignment horizontal="right"/>
    </xf>
    <xf numFmtId="257" fontId="131" fillId="0" borderId="11" applyBorder="0"/>
    <xf numFmtId="257" fontId="132" fillId="0" borderId="0" applyBorder="0" applyProtection="0">
      <alignment horizontal="right"/>
    </xf>
    <xf numFmtId="258" fontId="132" fillId="0" borderId="0" applyBorder="0" applyProtection="0">
      <alignment horizontal="right"/>
    </xf>
    <xf numFmtId="258" fontId="133" fillId="77" borderId="0" applyProtection="0">
      <alignment horizontal="right"/>
    </xf>
    <xf numFmtId="37" fontId="30" fillId="0" borderId="0" applyFill="0" applyBorder="0" applyProtection="0">
      <alignment horizontal="right"/>
    </xf>
    <xf numFmtId="188" fontId="24" fillId="0" borderId="0" applyFont="0" applyFill="0" applyBorder="0" applyProtection="0">
      <alignment horizontal="right"/>
    </xf>
    <xf numFmtId="259" fontId="129" fillId="0" borderId="0" applyFill="0" applyBorder="0" applyProtection="0"/>
    <xf numFmtId="0" fontId="49" fillId="60" borderId="0">
      <alignment horizontal="right"/>
    </xf>
    <xf numFmtId="0" fontId="22" fillId="0" borderId="0">
      <alignment horizontal="right"/>
    </xf>
    <xf numFmtId="0" fontId="134" fillId="61" borderId="44" applyNumberFormat="0" applyAlignment="0" applyProtection="0"/>
    <xf numFmtId="0" fontId="134" fillId="61" borderId="44" applyNumberFormat="0" applyAlignment="0" applyProtection="0"/>
    <xf numFmtId="0" fontId="135" fillId="6" borderId="5" applyNumberFormat="0" applyAlignment="0" applyProtection="0"/>
    <xf numFmtId="0" fontId="135" fillId="6" borderId="5" applyNumberFormat="0" applyAlignment="0" applyProtection="0"/>
    <xf numFmtId="0" fontId="135" fillId="6" borderId="5" applyNumberFormat="0" applyAlignment="0" applyProtection="0"/>
    <xf numFmtId="0" fontId="135" fillId="6" borderId="5" applyNumberFormat="0" applyAlignment="0" applyProtection="0"/>
    <xf numFmtId="0" fontId="135" fillId="6" borderId="5" applyNumberFormat="0" applyAlignment="0" applyProtection="0"/>
    <xf numFmtId="0" fontId="135" fillId="6" borderId="5" applyNumberFormat="0" applyAlignment="0" applyProtection="0"/>
    <xf numFmtId="0" fontId="135" fillId="6" borderId="5" applyNumberFormat="0" applyAlignment="0" applyProtection="0"/>
    <xf numFmtId="0" fontId="9" fillId="6" borderId="5" applyNumberFormat="0" applyAlignment="0" applyProtection="0"/>
    <xf numFmtId="0" fontId="136" fillId="0" borderId="0" applyProtection="0">
      <alignment horizontal="left"/>
    </xf>
    <xf numFmtId="0" fontId="136" fillId="0" borderId="0" applyFill="0" applyBorder="0" applyProtection="0">
      <alignment horizontal="left"/>
    </xf>
    <xf numFmtId="0" fontId="137" fillId="0" borderId="0" applyFill="0" applyBorder="0" applyProtection="0">
      <alignment horizontal="left"/>
    </xf>
    <xf numFmtId="1" fontId="138" fillId="0" borderId="0" applyProtection="0">
      <alignment horizontal="right" vertical="center"/>
    </xf>
    <xf numFmtId="239" fontId="139" fillId="0" borderId="12">
      <alignment vertical="center"/>
    </xf>
    <xf numFmtId="2" fontId="40" fillId="0" borderId="0"/>
    <xf numFmtId="174" fontId="140" fillId="0" borderId="0" applyFill="0" applyBorder="0" applyAlignment="0" applyProtection="0"/>
    <xf numFmtId="209" fontId="22" fillId="0" borderId="0" applyFont="0" applyFill="0" applyBorder="0" applyAlignment="0" applyProtection="0"/>
    <xf numFmtId="260" fontId="29" fillId="0" borderId="0" applyFont="0" applyFill="0" applyBorder="0" applyAlignment="0" applyProtection="0"/>
    <xf numFmtId="261" fontId="141" fillId="60" borderId="10" applyFill="0" applyBorder="0" applyAlignment="0" applyProtection="0">
      <alignment horizontal="right"/>
      <protection locked="0"/>
    </xf>
    <xf numFmtId="262" fontId="141" fillId="67" borderId="0" applyFill="0" applyBorder="0" applyAlignment="0" applyProtection="0">
      <protection hidden="1"/>
    </xf>
    <xf numFmtId="10" fontId="22" fillId="0" borderId="0" applyFont="0" applyFill="0" applyBorder="0" applyAlignment="0" applyProtection="0"/>
    <xf numFmtId="10" fontId="22" fillId="0" borderId="0" applyFont="0" applyFill="0" applyBorder="0" applyAlignment="0" applyProtection="0"/>
    <xf numFmtId="263" fontId="129" fillId="0" borderId="0" applyBorder="0" applyProtection="0">
      <alignment horizontal="right"/>
    </xf>
    <xf numFmtId="263" fontId="130" fillId="77" borderId="0" applyProtection="0">
      <alignment horizontal="right"/>
    </xf>
    <xf numFmtId="263" fontId="132" fillId="0" borderId="0" applyFont="0" applyBorder="0" applyProtection="0">
      <alignment horizontal="right"/>
    </xf>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3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7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4"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4" fillId="0" borderId="0" applyFont="0" applyFill="0" applyBorder="0" applyAlignment="0" applyProtection="0"/>
    <xf numFmtId="9" fontId="22" fillId="0" borderId="0" applyFont="0" applyFill="0" applyBorder="0" applyAlignment="0" applyProtection="0"/>
    <xf numFmtId="9" fontId="74"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64" fontId="40" fillId="0" borderId="0" applyFont="0" applyFill="0" applyBorder="0" applyProtection="0">
      <alignment horizontal="right"/>
    </xf>
    <xf numFmtId="9" fontId="22" fillId="0" borderId="0"/>
    <xf numFmtId="265" fontId="22" fillId="0" borderId="0" applyFill="0" applyBorder="0">
      <alignment horizontal="right"/>
      <protection locked="0"/>
    </xf>
    <xf numFmtId="1" fontId="31" fillId="0" borderId="0"/>
    <xf numFmtId="249" fontId="22" fillId="0" borderId="0">
      <protection locked="0"/>
    </xf>
    <xf numFmtId="174" fontId="22" fillId="0" borderId="0" applyFont="0" applyFill="0" applyBorder="0" applyAlignment="0" applyProtection="0"/>
    <xf numFmtId="207" fontId="29" fillId="0" borderId="0" applyFill="0" applyBorder="0" applyAlignment="0"/>
    <xf numFmtId="208" fontId="29" fillId="0" borderId="0" applyFill="0" applyBorder="0" applyAlignment="0"/>
    <xf numFmtId="207" fontId="29" fillId="0" borderId="0" applyFill="0" applyBorder="0" applyAlignment="0"/>
    <xf numFmtId="210" fontId="22" fillId="0" borderId="0" applyFill="0" applyBorder="0" applyAlignment="0"/>
    <xf numFmtId="208" fontId="29" fillId="0" borderId="0" applyFill="0" applyBorder="0" applyAlignment="0"/>
    <xf numFmtId="10" fontId="40" fillId="0" borderId="0"/>
    <xf numFmtId="10" fontId="40" fillId="71" borderId="0"/>
    <xf numFmtId="9" fontId="40" fillId="0" borderId="0" applyFont="0" applyFill="0" applyBorder="0" applyAlignment="0" applyProtection="0"/>
    <xf numFmtId="172" fontId="74" fillId="0" borderId="0"/>
    <xf numFmtId="266" fontId="142" fillId="67" borderId="0" applyBorder="0" applyAlignment="0">
      <protection hidden="1"/>
    </xf>
    <xf numFmtId="1" fontId="142" fillId="67" borderId="0">
      <alignment horizontal="center"/>
    </xf>
    <xf numFmtId="0" fontId="57" fillId="0" borderId="0" applyNumberFormat="0" applyFont="0" applyFill="0" applyBorder="0" applyAlignment="0" applyProtection="0">
      <alignment horizontal="left"/>
    </xf>
    <xf numFmtId="15" fontId="57" fillId="0" borderId="0" applyFont="0" applyFill="0" applyBorder="0" applyAlignment="0" applyProtection="0"/>
    <xf numFmtId="4" fontId="57" fillId="0" borderId="0" applyFont="0" applyFill="0" applyBorder="0" applyAlignment="0" applyProtection="0"/>
    <xf numFmtId="0" fontId="113" fillId="0" borderId="17">
      <alignment horizontal="center"/>
    </xf>
    <xf numFmtId="3" fontId="57" fillId="0" borderId="0" applyFont="0" applyFill="0" applyBorder="0" applyAlignment="0" applyProtection="0"/>
    <xf numFmtId="0" fontId="57" fillId="78" borderId="0" applyNumberFormat="0" applyFont="0" applyBorder="0" applyAlignment="0" applyProtection="0"/>
    <xf numFmtId="0" fontId="57" fillId="0" borderId="0">
      <alignment horizontal="right"/>
      <protection locked="0"/>
    </xf>
    <xf numFmtId="232" fontId="143" fillId="0" borderId="0" applyNumberFormat="0" applyFill="0" applyBorder="0" applyAlignment="0" applyProtection="0">
      <alignment horizontal="left"/>
    </xf>
    <xf numFmtId="0" fontId="144" fillId="65" borderId="0"/>
    <xf numFmtId="0" fontId="31" fillId="0" borderId="0" applyNumberFormat="0" applyFill="0" applyBorder="0" applyProtection="0">
      <alignment horizontal="right" vertical="center"/>
    </xf>
    <xf numFmtId="0" fontId="145" fillId="0" borderId="45">
      <alignment vertical="center"/>
    </xf>
    <xf numFmtId="267" fontId="22" fillId="0" borderId="0" applyFill="0" applyBorder="0">
      <alignment horizontal="right"/>
      <protection hidden="1"/>
    </xf>
    <xf numFmtId="0" fontId="146" fillId="64" borderId="10">
      <alignment horizontal="center" vertical="center" wrapText="1"/>
      <protection hidden="1"/>
    </xf>
    <xf numFmtId="0" fontId="57" fillId="79" borderId="46"/>
    <xf numFmtId="0" fontId="29" fillId="80" borderId="0" applyNumberFormat="0" applyFont="0" applyBorder="0" applyAlignment="0" applyProtection="0"/>
    <xf numFmtId="167" fontId="147" fillId="0" borderId="0" applyFill="0" applyBorder="0" applyAlignment="0" applyProtection="0"/>
    <xf numFmtId="168" fontId="148" fillId="0" borderId="0"/>
    <xf numFmtId="0" fontId="71" fillId="0" borderId="0"/>
    <xf numFmtId="0" fontId="149" fillId="0" borderId="0">
      <alignment horizontal="right"/>
    </xf>
    <xf numFmtId="0" fontId="77" fillId="0" borderId="0">
      <alignment horizontal="left"/>
    </xf>
    <xf numFmtId="174" fontId="150" fillId="0" borderId="37"/>
    <xf numFmtId="268" fontId="39" fillId="73" borderId="0" applyFont="0" applyBorder="0"/>
    <xf numFmtId="197" fontId="30" fillId="0" borderId="0" applyNumberFormat="0" applyFill="0">
      <alignment horizontal="left" vertical="center" wrapText="1"/>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2" fillId="0" borderId="0">
      <alignment vertical="top"/>
    </xf>
    <xf numFmtId="168" fontId="22" fillId="0" borderId="0" applyFont="0" applyFill="0" applyBorder="0" applyAlignment="0" applyProtection="0"/>
    <xf numFmtId="0" fontId="72" fillId="0" borderId="0">
      <alignment vertical="top"/>
    </xf>
    <xf numFmtId="0" fontId="29" fillId="0" borderId="0">
      <alignment vertical="top"/>
    </xf>
    <xf numFmtId="0" fontId="29" fillId="0" borderId="0">
      <alignment vertical="top"/>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9" fillId="0" borderId="0">
      <alignment vertical="top"/>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9" fillId="0" borderId="0">
      <alignment vertical="top"/>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169" fontId="22" fillId="0" borderId="0" applyFont="0" applyFill="0" applyBorder="0" applyAlignment="0" applyProtection="0"/>
    <xf numFmtId="0" fontId="29" fillId="0" borderId="0">
      <alignment vertical="top"/>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51" fillId="80" borderId="10" applyNumberFormat="0" applyProtection="0">
      <alignment horizontal="center" vertical="center"/>
    </xf>
    <xf numFmtId="0" fontId="29" fillId="0" borderId="0">
      <alignment vertical="top"/>
    </xf>
    <xf numFmtId="0" fontId="41" fillId="80" borderId="10" applyNumberFormat="0" applyProtection="0">
      <alignment horizontal="center" vertical="center"/>
    </xf>
    <xf numFmtId="0" fontId="29" fillId="0" borderId="0">
      <alignment vertical="top"/>
    </xf>
    <xf numFmtId="0" fontId="29" fillId="0" borderId="0">
      <alignment vertical="top"/>
    </xf>
    <xf numFmtId="0" fontId="152" fillId="0" borderId="0" applyNumberFormat="0" applyFill="0" applyBorder="0" applyAlignment="0" applyProtection="0"/>
    <xf numFmtId="0" fontId="22" fillId="38" borderId="10" applyNumberFormat="0" applyProtection="0">
      <alignment horizontal="left" vertical="center"/>
    </xf>
    <xf numFmtId="0" fontId="22" fillId="38" borderId="10" applyNumberFormat="0" applyProtection="0">
      <alignment horizontal="left" vertical="center"/>
    </xf>
    <xf numFmtId="0" fontId="29" fillId="0" borderId="0">
      <alignment vertical="top"/>
    </xf>
    <xf numFmtId="0" fontId="41" fillId="36" borderId="10" applyNumberFormat="0" applyProtection="0">
      <alignment horizontal="left" vertical="center" wrapText="1"/>
    </xf>
    <xf numFmtId="0" fontId="29" fillId="0" borderId="0">
      <alignment vertical="top"/>
    </xf>
    <xf numFmtId="0" fontId="29" fillId="0" borderId="0">
      <alignment vertical="top"/>
    </xf>
    <xf numFmtId="0" fontId="91" fillId="0" borderId="0" applyNumberFormat="0" applyFill="0" applyBorder="0" applyAlignment="0" applyProtection="0"/>
    <xf numFmtId="0" fontId="22" fillId="38" borderId="10" applyNumberFormat="0" applyProtection="0">
      <alignment horizontal="left" vertical="center" wrapText="1"/>
    </xf>
    <xf numFmtId="0" fontId="22" fillId="38" borderId="10" applyNumberFormat="0" applyProtection="0">
      <alignment horizontal="left" vertical="center" wrapText="1"/>
    </xf>
    <xf numFmtId="0" fontId="29" fillId="0" borderId="0">
      <alignment vertical="top"/>
    </xf>
    <xf numFmtId="0" fontId="41" fillId="36" borderId="10" applyNumberFormat="0" applyProtection="0">
      <alignment horizontal="left" vertical="center" wrapText="1"/>
    </xf>
    <xf numFmtId="0" fontId="29" fillId="0" borderId="0">
      <alignment vertical="top"/>
    </xf>
    <xf numFmtId="0" fontId="29" fillId="0" borderId="0">
      <alignment vertical="top"/>
    </xf>
    <xf numFmtId="0" fontId="153" fillId="81" borderId="0" applyNumberFormat="0" applyBorder="0" applyAlignment="0" applyProtection="0"/>
    <xf numFmtId="0" fontId="29" fillId="0" borderId="0">
      <alignment vertical="top"/>
    </xf>
    <xf numFmtId="0" fontId="29" fillId="0" borderId="0">
      <alignment vertical="top"/>
    </xf>
    <xf numFmtId="0" fontId="29" fillId="0" borderId="0">
      <alignment vertical="top"/>
    </xf>
    <xf numFmtId="43" fontId="28" fillId="0" borderId="0" applyFont="0" applyFill="0" applyBorder="0" applyAlignment="0" applyProtection="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181" fontId="22" fillId="0" borderId="0" applyFont="0" applyFill="0" applyBorder="0" applyAlignment="0" applyProtection="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169" fontId="22" fillId="0" borderId="0" applyFont="0" applyFill="0" applyBorder="0" applyAlignment="0" applyProtection="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269" fontId="40" fillId="0" borderId="0" applyFont="0" applyFill="0" applyBorder="0" applyAlignment="0" applyProtection="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269" fontId="40" fillId="0" borderId="0" applyFont="0" applyFill="0" applyBorder="0" applyAlignment="0" applyProtection="0"/>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29" fillId="0" borderId="0">
      <alignment vertical="top"/>
    </xf>
    <xf numFmtId="0" fontId="74" fillId="0" borderId="0" applyNumberFormat="0" applyBorder="0" applyAlignment="0"/>
    <xf numFmtId="0" fontId="154" fillId="0" borderId="0" applyNumberFormat="0" applyBorder="0" applyAlignment="0"/>
    <xf numFmtId="0" fontId="155" fillId="0" borderId="0" applyNumberFormat="0" applyBorder="0" applyAlignment="0"/>
    <xf numFmtId="0" fontId="51" fillId="0" borderId="0" applyNumberFormat="0" applyFill="0" applyBorder="0" applyProtection="0">
      <alignment horizontal="left" vertical="center"/>
    </xf>
    <xf numFmtId="0" fontId="51" fillId="0" borderId="11" applyNumberFormat="0" applyFill="0" applyProtection="0">
      <alignment horizontal="left" vertical="center"/>
    </xf>
    <xf numFmtId="270" fontId="39" fillId="82" borderId="0" applyNumberFormat="0" applyFont="0" applyBorder="0">
      <alignment horizontal="center" vertical="center"/>
      <protection locked="0"/>
    </xf>
    <xf numFmtId="9" fontId="22" fillId="0" borderId="0"/>
    <xf numFmtId="0" fontId="52" fillId="0" borderId="0" applyFill="0" applyBorder="0" applyProtection="0">
      <alignment horizontal="center" vertical="center"/>
    </xf>
    <xf numFmtId="0" fontId="156" fillId="0" borderId="0" applyBorder="0" applyProtection="0">
      <alignment vertical="center"/>
    </xf>
    <xf numFmtId="172" fontId="22" fillId="0" borderId="12" applyBorder="0" applyProtection="0">
      <alignment horizontal="right" vertical="center"/>
    </xf>
    <xf numFmtId="0" fontId="157" fillId="83" borderId="0" applyBorder="0" applyProtection="0">
      <alignment horizontal="centerContinuous" vertical="center"/>
    </xf>
    <xf numFmtId="0" fontId="157" fillId="81" borderId="12" applyBorder="0" applyProtection="0">
      <alignment horizontal="centerContinuous" vertical="center"/>
    </xf>
    <xf numFmtId="0" fontId="158" fillId="0" borderId="0"/>
    <xf numFmtId="0" fontId="52" fillId="0" borderId="0" applyFill="0" applyBorder="0" applyProtection="0"/>
    <xf numFmtId="0" fontId="127" fillId="0" borderId="0"/>
    <xf numFmtId="0" fontId="159" fillId="0" borderId="0" applyFill="0" applyBorder="0" applyProtection="0">
      <alignment horizontal="left"/>
    </xf>
    <xf numFmtId="0" fontId="160" fillId="0" borderId="0" applyFill="0" applyBorder="0" applyProtection="0">
      <alignment horizontal="left" vertical="top"/>
    </xf>
    <xf numFmtId="0" fontId="161" fillId="0" borderId="0">
      <alignment horizontal="centerContinuous"/>
    </xf>
    <xf numFmtId="239" fontId="22" fillId="38" borderId="47" applyNumberFormat="0" applyAlignment="0">
      <alignment vertical="center"/>
    </xf>
    <xf numFmtId="239" fontId="162" fillId="84" borderId="48" applyNumberFormat="0" applyBorder="0" applyAlignment="0" applyProtection="0">
      <alignment vertical="center"/>
    </xf>
    <xf numFmtId="239" fontId="22" fillId="38" borderId="47" applyNumberFormat="0" applyProtection="0">
      <alignment horizontal="centerContinuous" vertical="center"/>
    </xf>
    <xf numFmtId="239" fontId="163" fillId="85" borderId="0" applyNumberFormat="0" applyBorder="0" applyAlignment="0" applyProtection="0">
      <alignment vertical="center"/>
    </xf>
    <xf numFmtId="239" fontId="22" fillId="84" borderId="0" applyBorder="0" applyAlignment="0" applyProtection="0">
      <alignment vertical="center"/>
    </xf>
    <xf numFmtId="49" fontId="30" fillId="0" borderId="12">
      <alignment vertical="center"/>
    </xf>
    <xf numFmtId="0" fontId="164" fillId="0" borderId="0"/>
    <xf numFmtId="0" fontId="165" fillId="0" borderId="0"/>
    <xf numFmtId="49" fontId="74" fillId="0" borderId="0" applyFill="0" applyBorder="0" applyAlignment="0"/>
    <xf numFmtId="271" fontId="29" fillId="0" borderId="0" applyFill="0" applyBorder="0" applyAlignment="0"/>
    <xf numFmtId="272" fontId="29" fillId="0" borderId="0" applyFill="0" applyBorder="0" applyAlignment="0"/>
    <xf numFmtId="0" fontId="25" fillId="0" borderId="0" applyNumberFormat="0" applyFont="0" applyFill="0" applyBorder="0" applyProtection="0">
      <alignment horizontal="left" vertical="top" wrapText="1"/>
    </xf>
    <xf numFmtId="18" fontId="71" fillId="0" borderId="0" applyFill="0" applyBorder="0" applyAlignment="0" applyProtection="0"/>
    <xf numFmtId="0" fontId="29" fillId="0" borderId="0" applyNumberFormat="0" applyFill="0" applyBorder="0" applyAlignment="0" applyProtection="0"/>
    <xf numFmtId="0" fontId="31" fillId="0" borderId="0" applyNumberFormat="0" applyFill="0" applyBorder="0" applyAlignment="0" applyProtection="0"/>
    <xf numFmtId="40" fontId="166" fillId="0" borderId="0"/>
    <xf numFmtId="0" fontId="167" fillId="0" borderId="0" applyNumberFormat="0" applyFill="0" applyBorder="0" applyAlignment="0" applyProtection="0"/>
    <xf numFmtId="0" fontId="168" fillId="0" borderId="0" applyNumberFormat="0" applyBorder="0" applyAlignment="0" applyProtection="0"/>
    <xf numFmtId="0" fontId="168" fillId="0" borderId="0" applyNumberFormat="0" applyBorder="0" applyAlignment="0" applyProtection="0"/>
    <xf numFmtId="273" fontId="169" fillId="81" borderId="0" applyNumberFormat="0" applyProtection="0">
      <alignment horizontal="left" vertical="center"/>
    </xf>
    <xf numFmtId="0" fontId="170" fillId="0" borderId="0" applyNumberFormat="0" applyProtection="0">
      <alignment horizontal="left" vertical="center"/>
    </xf>
    <xf numFmtId="0" fontId="171" fillId="0" borderId="0">
      <alignment horizontal="left"/>
    </xf>
    <xf numFmtId="0" fontId="57" fillId="0" borderId="0" applyBorder="0"/>
    <xf numFmtId="1" fontId="29" fillId="69" borderId="0" applyNumberFormat="0" applyFont="0" applyBorder="0" applyProtection="0">
      <alignment horizontal="left"/>
    </xf>
    <xf numFmtId="274" fontId="22" fillId="0" borderId="0" applyNumberFormat="0" applyFill="0" applyBorder="0" applyProtection="0">
      <alignment vertical="top"/>
    </xf>
    <xf numFmtId="0" fontId="172" fillId="0" borderId="49" applyNumberFormat="0" applyFill="0" applyAlignment="0" applyProtection="0"/>
    <xf numFmtId="0" fontId="15" fillId="0" borderId="9" applyNumberFormat="0" applyFill="0" applyAlignment="0" applyProtection="0"/>
    <xf numFmtId="0" fontId="172" fillId="0" borderId="49" applyNumberFormat="0" applyFill="0" applyAlignment="0" applyProtection="0"/>
    <xf numFmtId="0" fontId="173" fillId="0" borderId="9" applyNumberFormat="0" applyFill="0" applyAlignment="0" applyProtection="0"/>
    <xf numFmtId="0" fontId="173" fillId="0" borderId="9" applyNumberFormat="0" applyFill="0" applyAlignment="0" applyProtection="0"/>
    <xf numFmtId="0" fontId="173" fillId="0" borderId="9" applyNumberFormat="0" applyFill="0" applyAlignment="0" applyProtection="0"/>
    <xf numFmtId="0" fontId="173" fillId="0" borderId="9" applyNumberFormat="0" applyFill="0" applyAlignment="0" applyProtection="0"/>
    <xf numFmtId="0" fontId="173" fillId="0" borderId="9" applyNumberFormat="0" applyFill="0" applyAlignment="0" applyProtection="0"/>
    <xf numFmtId="0" fontId="173" fillId="0" borderId="9" applyNumberFormat="0" applyFill="0" applyAlignment="0" applyProtection="0"/>
    <xf numFmtId="0" fontId="173" fillId="0" borderId="9" applyNumberFormat="0" applyFill="0" applyAlignment="0" applyProtection="0"/>
    <xf numFmtId="0" fontId="18" fillId="0" borderId="9" applyNumberFormat="0" applyFill="0" applyAlignment="0" applyProtection="0"/>
    <xf numFmtId="39" fontId="22" fillId="0" borderId="23">
      <protection locked="0"/>
    </xf>
    <xf numFmtId="165" fontId="161" fillId="0" borderId="23" applyFill="0" applyAlignment="0" applyProtection="0"/>
    <xf numFmtId="172" fontId="32" fillId="0" borderId="16"/>
    <xf numFmtId="0" fontId="174" fillId="0" borderId="0">
      <alignment horizontal="fill"/>
    </xf>
    <xf numFmtId="275" fontId="142" fillId="67" borderId="20" applyBorder="0">
      <alignment horizontal="right" vertical="center"/>
      <protection locked="0"/>
    </xf>
    <xf numFmtId="167" fontId="22" fillId="0" borderId="0" applyFont="0" applyFill="0" applyBorder="0" applyAlignment="0" applyProtection="0"/>
    <xf numFmtId="276" fontId="22" fillId="0" borderId="0" applyFont="0" applyFill="0" applyBorder="0" applyAlignment="0" applyProtection="0"/>
    <xf numFmtId="167" fontId="22" fillId="0" borderId="0" applyFont="0" applyFill="0" applyBorder="0" applyAlignment="0" applyProtection="0"/>
    <xf numFmtId="169" fontId="22" fillId="0" borderId="0" applyFont="0" applyFill="0" applyBorder="0" applyAlignment="0" applyProtection="0"/>
    <xf numFmtId="274" fontId="175" fillId="84" borderId="0" applyNumberFormat="0" applyBorder="0" applyProtection="0">
      <alignment horizontal="centerContinuous" vertical="center"/>
    </xf>
    <xf numFmtId="0" fontId="176"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13" fillId="0" borderId="0" applyNumberFormat="0" applyFill="0" applyBorder="0" applyAlignment="0" applyProtection="0"/>
    <xf numFmtId="0" fontId="178" fillId="0" borderId="0"/>
    <xf numFmtId="1" fontId="178" fillId="0" borderId="0"/>
    <xf numFmtId="277" fontId="40" fillId="0" borderId="0" applyFont="0" applyFill="0" applyBorder="0" applyProtection="0">
      <alignment horizontal="right"/>
    </xf>
    <xf numFmtId="278" fontId="22" fillId="0" borderId="0"/>
    <xf numFmtId="279" fontId="129" fillId="0" borderId="0" applyFill="0" applyBorder="0" applyProtection="0"/>
    <xf numFmtId="0" fontId="22" fillId="0" borderId="0">
      <alignment horizontal="center"/>
    </xf>
    <xf numFmtId="280" fontId="30" fillId="0" borderId="12">
      <alignment horizontal="right"/>
    </xf>
    <xf numFmtId="281" fontId="22" fillId="0" borderId="0" applyFont="0" applyFill="0" applyBorder="0" applyAlignment="0" applyProtection="0"/>
    <xf numFmtId="282" fontId="43" fillId="0" borderId="0" applyFont="0" applyFill="0" applyBorder="0" applyProtection="0">
      <alignment horizontal="right"/>
    </xf>
    <xf numFmtId="0" fontId="22" fillId="0" borderId="0"/>
    <xf numFmtId="0" fontId="20" fillId="0" borderId="0"/>
    <xf numFmtId="170" fontId="1" fillId="0" borderId="0" applyFont="0" applyFill="0" applyBorder="0" applyAlignment="0" applyProtection="0"/>
    <xf numFmtId="0" fontId="22" fillId="36" borderId="51" applyNumberFormat="0">
      <alignment horizontal="centerContinuous" vertical="center" wrapText="1"/>
    </xf>
    <xf numFmtId="0" fontId="22" fillId="37" borderId="51" applyNumberFormat="0">
      <alignment horizontal="left" vertical="center"/>
    </xf>
    <xf numFmtId="205" fontId="43" fillId="58" borderId="52"/>
    <xf numFmtId="0" fontId="53" fillId="61" borderId="51" applyNumberFormat="0" applyAlignment="0" applyProtection="0"/>
    <xf numFmtId="0" fontId="53" fillId="61" borderId="51" applyNumberFormat="0" applyAlignment="0" applyProtection="0"/>
    <xf numFmtId="166" fontId="73" fillId="0" borderId="53">
      <protection locked="0"/>
    </xf>
    <xf numFmtId="1" fontId="84" fillId="66" borderId="50" applyNumberFormat="0" applyBorder="0" applyAlignment="0">
      <alignment horizontal="centerContinuous" vertical="center"/>
      <protection locked="0"/>
    </xf>
    <xf numFmtId="0" fontId="107" fillId="44" borderId="51" applyNumberFormat="0" applyAlignment="0" applyProtection="0"/>
    <xf numFmtId="0" fontId="107" fillId="44" borderId="51" applyNumberFormat="0" applyAlignment="0" applyProtection="0"/>
    <xf numFmtId="0" fontId="113" fillId="71" borderId="54">
      <alignment horizontal="left" vertical="center" wrapText="1"/>
    </xf>
    <xf numFmtId="0" fontId="33" fillId="76" borderId="55" applyNumberFormat="0" applyFont="0" applyAlignment="0" applyProtection="0"/>
    <xf numFmtId="0" fontId="33" fillId="76" borderId="55" applyNumberFormat="0" applyFont="0" applyAlignment="0" applyProtection="0"/>
    <xf numFmtId="0" fontId="134" fillId="61" borderId="56" applyNumberFormat="0" applyAlignment="0" applyProtection="0"/>
    <xf numFmtId="0" fontId="134" fillId="61" borderId="56" applyNumberFormat="0" applyAlignment="0" applyProtection="0"/>
    <xf numFmtId="239" fontId="162" fillId="84" borderId="57" applyNumberFormat="0" applyBorder="0" applyAlignment="0" applyProtection="0">
      <alignment vertical="center"/>
    </xf>
    <xf numFmtId="0" fontId="172" fillId="0" borderId="58" applyNumberFormat="0" applyFill="0" applyAlignment="0" applyProtection="0"/>
    <xf numFmtId="0" fontId="172" fillId="0" borderId="58" applyNumberFormat="0" applyFill="0" applyAlignment="0" applyProtection="0"/>
    <xf numFmtId="0" fontId="22" fillId="0" borderId="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4" borderId="0" applyNumberFormat="0" applyBorder="0" applyAlignment="0" applyProtection="0"/>
    <xf numFmtId="0" fontId="74" fillId="45" borderId="0" applyNumberFormat="0" applyBorder="0" applyAlignment="0" applyProtection="0"/>
    <xf numFmtId="0" fontId="74" fillId="46" borderId="0" applyNumberFormat="0" applyBorder="0" applyAlignment="0" applyProtection="0"/>
    <xf numFmtId="0" fontId="74" fillId="47" borderId="0" applyNumberFormat="0" applyBorder="0" applyAlignment="0" applyProtection="0"/>
    <xf numFmtId="0" fontId="74" fillId="42" borderId="0" applyNumberFormat="0" applyBorder="0" applyAlignment="0" applyProtection="0"/>
    <xf numFmtId="0" fontId="74" fillId="45" borderId="0" applyNumberFormat="0" applyBorder="0" applyAlignment="0" applyProtection="0"/>
    <xf numFmtId="0" fontId="74" fillId="48" borderId="0" applyNumberFormat="0" applyBorder="0" applyAlignment="0" applyProtection="0"/>
    <xf numFmtId="0" fontId="180" fillId="49" borderId="0" applyNumberFormat="0" applyBorder="0" applyAlignment="0" applyProtection="0"/>
    <xf numFmtId="0" fontId="180" fillId="46" borderId="0" applyNumberFormat="0" applyBorder="0" applyAlignment="0" applyProtection="0"/>
    <xf numFmtId="0" fontId="180" fillId="47" borderId="0" applyNumberFormat="0" applyBorder="0" applyAlignment="0" applyProtection="0"/>
    <xf numFmtId="0" fontId="180" fillId="50" borderId="0" applyNumberFormat="0" applyBorder="0" applyAlignment="0" applyProtection="0"/>
    <xf numFmtId="0" fontId="180" fillId="51" borderId="0" applyNumberFormat="0" applyBorder="0" applyAlignment="0" applyProtection="0"/>
    <xf numFmtId="0" fontId="180" fillId="52" borderId="0" applyNumberFormat="0" applyBorder="0" applyAlignment="0" applyProtection="0"/>
    <xf numFmtId="0" fontId="180" fillId="53" borderId="0" applyNumberFormat="0" applyBorder="0" applyAlignment="0" applyProtection="0"/>
    <xf numFmtId="0" fontId="180" fillId="54" borderId="0" applyNumberFormat="0" applyBorder="0" applyAlignment="0" applyProtection="0"/>
    <xf numFmtId="0" fontId="180" fillId="55" borderId="0" applyNumberFormat="0" applyBorder="0" applyAlignment="0" applyProtection="0"/>
    <xf numFmtId="0" fontId="180" fillId="50" borderId="0" applyNumberFormat="0" applyBorder="0" applyAlignment="0" applyProtection="0"/>
    <xf numFmtId="0" fontId="180" fillId="51" borderId="0" applyNumberFormat="0" applyBorder="0" applyAlignment="0" applyProtection="0"/>
    <xf numFmtId="0" fontId="180" fillId="56" borderId="0" applyNumberFormat="0" applyBorder="0" applyAlignment="0" applyProtection="0"/>
    <xf numFmtId="0" fontId="181" fillId="40" borderId="0" applyNumberFormat="0" applyBorder="0" applyAlignment="0" applyProtection="0"/>
    <xf numFmtId="0" fontId="182" fillId="61" borderId="51" applyNumberFormat="0" applyAlignment="0" applyProtection="0"/>
    <xf numFmtId="0" fontId="153" fillId="63" borderId="27" applyNumberFormat="0" applyAlignment="0" applyProtection="0"/>
    <xf numFmtId="0" fontId="183" fillId="0" borderId="0" applyNumberFormat="0" applyFill="0" applyBorder="0" applyAlignment="0" applyProtection="0"/>
    <xf numFmtId="0" fontId="184" fillId="41" borderId="0" applyNumberFormat="0" applyBorder="0" applyAlignment="0" applyProtection="0"/>
    <xf numFmtId="0" fontId="185" fillId="0" borderId="33" applyNumberFormat="0" applyFill="0" applyAlignment="0" applyProtection="0"/>
    <xf numFmtId="0" fontId="186" fillId="0" borderId="34" applyNumberFormat="0" applyFill="0" applyAlignment="0" applyProtection="0"/>
    <xf numFmtId="0" fontId="187" fillId="0" borderId="35" applyNumberFormat="0" applyFill="0" applyAlignment="0" applyProtection="0"/>
    <xf numFmtId="0" fontId="187" fillId="0" borderId="0" applyNumberFormat="0" applyFill="0" applyBorder="0" applyAlignment="0" applyProtection="0"/>
    <xf numFmtId="0" fontId="188" fillId="44" borderId="51" applyNumberFormat="0" applyAlignment="0" applyProtection="0"/>
    <xf numFmtId="0" fontId="189" fillId="0" borderId="41" applyNumberFormat="0" applyFill="0" applyAlignment="0" applyProtection="0"/>
    <xf numFmtId="0" fontId="190" fillId="70" borderId="0" applyNumberFormat="0" applyBorder="0" applyAlignment="0" applyProtection="0"/>
    <xf numFmtId="0" fontId="22" fillId="76" borderId="55" applyNumberFormat="0" applyFont="0" applyAlignment="0" applyProtection="0"/>
    <xf numFmtId="0" fontId="191" fillId="61" borderId="56" applyNumberFormat="0" applyAlignment="0" applyProtection="0"/>
    <xf numFmtId="0" fontId="154" fillId="0" borderId="58" applyNumberFormat="0" applyFill="0" applyAlignment="0" applyProtection="0"/>
    <xf numFmtId="0" fontId="192" fillId="0" borderId="0" applyNumberFormat="0" applyFill="0" applyBorder="0" applyAlignment="0" applyProtection="0"/>
    <xf numFmtId="170" fontId="1" fillId="0" borderId="0" applyFont="0" applyFill="0" applyBorder="0" applyAlignment="0" applyProtection="0"/>
    <xf numFmtId="0" fontId="196"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74"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74"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74"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74"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74"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74" fillId="0" borderId="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0" fontId="197" fillId="0" borderId="0" applyNumberForma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198" fillId="0" borderId="0" applyNumberFormat="0" applyFill="0" applyBorder="0" applyAlignment="0" applyProtection="0"/>
    <xf numFmtId="0" fontId="1" fillId="0" borderId="0"/>
    <xf numFmtId="9" fontId="22" fillId="0" borderId="0" applyFont="0" applyFill="0" applyBorder="0" applyAlignment="0" applyProtection="0"/>
    <xf numFmtId="0" fontId="1" fillId="0" borderId="0"/>
    <xf numFmtId="0" fontId="74" fillId="0" borderId="0"/>
    <xf numFmtId="0" fontId="1" fillId="0" borderId="0"/>
    <xf numFmtId="9" fontId="22" fillId="0" borderId="0" applyFont="0" applyFill="0" applyBorder="0" applyAlignment="0" applyProtection="0"/>
    <xf numFmtId="0" fontId="1" fillId="0" borderId="0"/>
    <xf numFmtId="0" fontId="74" fillId="0" borderId="0"/>
    <xf numFmtId="9" fontId="22" fillId="0" borderId="0" applyFont="0" applyFill="0" applyBorder="0" applyAlignment="0" applyProtection="0"/>
    <xf numFmtId="0" fontId="1" fillId="0" borderId="0"/>
    <xf numFmtId="0" fontId="74" fillId="0" borderId="0"/>
    <xf numFmtId="9" fontId="22" fillId="0" borderId="0" applyFont="0" applyFill="0" applyBorder="0" applyAlignment="0" applyProtection="0"/>
    <xf numFmtId="0" fontId="1" fillId="0" borderId="0"/>
    <xf numFmtId="0" fontId="74" fillId="0" borderId="0"/>
    <xf numFmtId="9" fontId="22" fillId="0" borderId="0" applyFont="0" applyFill="0" applyBorder="0" applyAlignment="0" applyProtection="0"/>
    <xf numFmtId="0" fontId="1" fillId="0" borderId="0"/>
    <xf numFmtId="0" fontId="74" fillId="0" borderId="0"/>
    <xf numFmtId="9" fontId="22" fillId="0" borderId="0" applyFont="0" applyFill="0" applyBorder="0" applyAlignment="0" applyProtection="0"/>
    <xf numFmtId="0" fontId="1" fillId="0" borderId="0"/>
    <xf numFmtId="0" fontId="74" fillId="0" borderId="0"/>
    <xf numFmtId="9" fontId="22" fillId="0" borderId="0" applyFont="0" applyFill="0" applyBorder="0" applyAlignment="0" applyProtection="0"/>
    <xf numFmtId="0" fontId="1" fillId="0" borderId="0"/>
    <xf numFmtId="0" fontId="74" fillId="0" borderId="0"/>
    <xf numFmtId="9" fontId="22" fillId="0" borderId="0" applyFont="0" applyFill="0" applyBorder="0" applyAlignment="0" applyProtection="0"/>
    <xf numFmtId="0" fontId="74" fillId="0" borderId="0"/>
    <xf numFmtId="9" fontId="22" fillId="0" borderId="0" applyFont="0" applyFill="0" applyBorder="0" applyAlignment="0" applyProtection="0"/>
    <xf numFmtId="0" fontId="22" fillId="0" borderId="0"/>
    <xf numFmtId="0" fontId="22" fillId="0" borderId="0"/>
    <xf numFmtId="0" fontId="22" fillId="0" borderId="0"/>
    <xf numFmtId="0" fontId="107" fillId="44" borderId="51" applyNumberFormat="0" applyAlignment="0" applyProtection="0"/>
    <xf numFmtId="0" fontId="134" fillId="61" borderId="56" applyNumberFormat="0" applyAlignment="0" applyProtection="0"/>
    <xf numFmtId="0" fontId="107" fillId="44" borderId="51" applyNumberFormat="0" applyAlignment="0" applyProtection="0"/>
    <xf numFmtId="0" fontId="134" fillId="61" borderId="56" applyNumberFormat="0" applyAlignment="0" applyProtection="0"/>
    <xf numFmtId="0" fontId="22" fillId="0" borderId="0"/>
    <xf numFmtId="0" fontId="107" fillId="44" borderId="51" applyNumberFormat="0" applyAlignment="0" applyProtection="0"/>
    <xf numFmtId="0" fontId="134" fillId="61" borderId="56" applyNumberFormat="0" applyAlignment="0" applyProtection="0"/>
    <xf numFmtId="0" fontId="107" fillId="44" borderId="51" applyNumberFormat="0" applyAlignment="0" applyProtection="0"/>
    <xf numFmtId="0" fontId="134" fillId="61" borderId="56" applyNumberFormat="0" applyAlignment="0" applyProtection="0"/>
    <xf numFmtId="0" fontId="22" fillId="0" borderId="0"/>
    <xf numFmtId="0" fontId="107" fillId="44" borderId="51" applyNumberFormat="0" applyAlignment="0" applyProtection="0"/>
    <xf numFmtId="0" fontId="134" fillId="61" borderId="56" applyNumberFormat="0" applyAlignment="0" applyProtection="0"/>
    <xf numFmtId="205" fontId="43" fillId="58" borderId="25"/>
    <xf numFmtId="174" fontId="22" fillId="68" borderId="62" applyNumberFormat="0" applyFont="0" applyBorder="0" applyAlignment="0" applyProtection="0"/>
    <xf numFmtId="0" fontId="91" fillId="0" borderId="60">
      <alignment horizontal="left" vertical="center"/>
    </xf>
    <xf numFmtId="10" fontId="71" fillId="60" borderId="62" applyNumberFormat="0" applyBorder="0" applyAlignment="0" applyProtection="0"/>
    <xf numFmtId="257" fontId="131" fillId="0" borderId="60" applyBorder="0"/>
    <xf numFmtId="261" fontId="141" fillId="60" borderId="62" applyFill="0" applyBorder="0" applyAlignment="0" applyProtection="0">
      <alignment horizontal="right"/>
      <protection locked="0"/>
    </xf>
    <xf numFmtId="0" fontId="146" fillId="64" borderId="62">
      <alignment horizontal="center" vertical="center" wrapText="1"/>
      <protection hidden="1"/>
    </xf>
    <xf numFmtId="0" fontId="151" fillId="80" borderId="62" applyNumberFormat="0" applyProtection="0">
      <alignment horizontal="center" vertical="center"/>
    </xf>
    <xf numFmtId="0" fontId="41" fillId="80" borderId="62" applyNumberFormat="0" applyProtection="0">
      <alignment horizontal="center" vertical="center"/>
    </xf>
    <xf numFmtId="0" fontId="22" fillId="38" borderId="62" applyNumberFormat="0" applyProtection="0">
      <alignment horizontal="left" vertical="center"/>
    </xf>
    <xf numFmtId="0" fontId="22" fillId="38" borderId="62" applyNumberFormat="0" applyProtection="0">
      <alignment horizontal="left" vertical="center"/>
    </xf>
    <xf numFmtId="0" fontId="41" fillId="36" borderId="62" applyNumberFormat="0" applyProtection="0">
      <alignment horizontal="left" vertical="center" wrapText="1"/>
    </xf>
    <xf numFmtId="0" fontId="22" fillId="38" borderId="62" applyNumberFormat="0" applyProtection="0">
      <alignment horizontal="left" vertical="center" wrapText="1"/>
    </xf>
    <xf numFmtId="0" fontId="22" fillId="38" borderId="62" applyNumberFormat="0" applyProtection="0">
      <alignment horizontal="left" vertical="center" wrapText="1"/>
    </xf>
    <xf numFmtId="0" fontId="41" fillId="36" borderId="62" applyNumberFormat="0" applyProtection="0">
      <alignment horizontal="left" vertical="center" wrapText="1"/>
    </xf>
    <xf numFmtId="172" fontId="32" fillId="0" borderId="82"/>
    <xf numFmtId="9" fontId="1" fillId="0" borderId="0" applyFont="0" applyFill="0" applyBorder="0" applyAlignment="0" applyProtection="0"/>
    <xf numFmtId="170" fontId="1" fillId="0" borderId="0" applyFont="0" applyFill="0" applyBorder="0" applyAlignment="0" applyProtection="0"/>
    <xf numFmtId="0" fontId="22" fillId="0" borderId="0"/>
    <xf numFmtId="0" fontId="22" fillId="0" borderId="0"/>
    <xf numFmtId="0" fontId="1" fillId="0" borderId="0"/>
    <xf numFmtId="170" fontId="1" fillId="0" borderId="0" applyFont="0" applyFill="0" applyBorder="0" applyAlignment="0" applyProtection="0"/>
    <xf numFmtId="0" fontId="22" fillId="0" borderId="0"/>
    <xf numFmtId="0" fontId="22" fillId="0" borderId="0"/>
    <xf numFmtId="0" fontId="1" fillId="0" borderId="0"/>
    <xf numFmtId="0" fontId="205" fillId="0" borderId="0"/>
    <xf numFmtId="170" fontId="207" fillId="0" borderId="0" applyFont="0" applyFill="0" applyBorder="0" applyAlignment="0" applyProtection="0"/>
    <xf numFmtId="43" fontId="1" fillId="0" borderId="0" applyFont="0" applyFill="0" applyBorder="0" applyAlignment="0" applyProtection="0"/>
    <xf numFmtId="0" fontId="209" fillId="0" borderId="0"/>
    <xf numFmtId="9" fontId="22" fillId="0" borderId="0" applyFont="0" applyFill="0" applyBorder="0" applyAlignment="0" applyProtection="0"/>
    <xf numFmtId="9" fontId="22" fillId="0" borderId="0" applyFont="0" applyFill="0" applyBorder="0" applyAlignment="0" applyProtection="0"/>
    <xf numFmtId="0" fontId="1" fillId="0" borderId="0"/>
    <xf numFmtId="0" fontId="1" fillId="0" borderId="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6" fillId="0" borderId="0" applyFont="0" applyFill="0" applyBorder="0" applyAlignment="0" applyProtection="0"/>
    <xf numFmtId="0" fontId="1" fillId="0" borderId="0"/>
    <xf numFmtId="0" fontId="1" fillId="0" borderId="0"/>
    <xf numFmtId="0" fontId="1" fillId="0" borderId="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09" fillId="0" borderId="0"/>
    <xf numFmtId="43" fontId="22" fillId="0" borderId="0" applyFont="0" applyFill="0" applyBorder="0" applyAlignment="0" applyProtection="0"/>
    <xf numFmtId="8" fontId="25" fillId="0" borderId="0" applyFont="0" applyFill="0" applyBorder="0" applyAlignment="0" applyProtection="0"/>
    <xf numFmtId="0" fontId="209" fillId="0" borderId="0"/>
    <xf numFmtId="43" fontId="22" fillId="0" borderId="0" applyFont="0" applyFill="0" applyBorder="0" applyAlignment="0" applyProtection="0"/>
    <xf numFmtId="0" fontId="209" fillId="0" borderId="0"/>
    <xf numFmtId="43" fontId="22" fillId="0" borderId="0" applyFont="0" applyFill="0" applyBorder="0" applyAlignment="0" applyProtection="0"/>
    <xf numFmtId="5" fontId="25" fillId="0" borderId="0" applyFont="0" applyFill="0" applyBorder="0" applyAlignment="0" applyProtection="0"/>
    <xf numFmtId="0" fontId="209" fillId="0" borderId="0"/>
    <xf numFmtId="42" fontId="38" fillId="0" borderId="0" applyFont="0"/>
    <xf numFmtId="42" fontId="38" fillId="0" borderId="23" applyFont="0"/>
    <xf numFmtId="41" fontId="38" fillId="0" borderId="0" applyFont="0"/>
    <xf numFmtId="6" fontId="39" fillId="0" borderId="14" applyNumberFormat="0" applyFont="0" applyBorder="0" applyProtection="0">
      <alignment horizontal="right"/>
    </xf>
    <xf numFmtId="0" fontId="25" fillId="0" borderId="80" applyNumberFormat="0" applyFont="0" applyFill="0" applyAlignment="0" applyProtection="0"/>
    <xf numFmtId="41" fontId="59" fillId="0" borderId="0" applyFont="0" applyBorder="0">
      <alignment horizontal="right"/>
    </xf>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2" fillId="0" borderId="0" applyFont="0" applyFill="0" applyBorder="0" applyAlignment="0" applyProtection="0"/>
    <xf numFmtId="43" fontId="17"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5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8" fontId="73" fillId="0" borderId="53">
      <protection locked="0"/>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44" fontId="4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4"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4" fillId="0" borderId="0" applyFont="0" applyFill="0" applyBorder="0" applyAlignment="0" applyProtection="0"/>
    <xf numFmtId="44" fontId="63" fillId="0" borderId="0" applyFont="0" applyFill="0" applyBorder="0" applyAlignment="0" applyProtection="0"/>
    <xf numFmtId="44" fontId="64"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74" fillId="0" borderId="0" applyFont="0" applyFill="0" applyBorder="0" applyAlignment="0" applyProtection="0"/>
    <xf numFmtId="44" fontId="2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5" fillId="0" borderId="0" applyFont="0" applyFill="0" applyBorder="0" applyAlignment="0" applyProtection="0"/>
    <xf numFmtId="44" fontId="6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3" fillId="0" borderId="0" applyFont="0" applyFill="0" applyBorder="0" applyAlignment="0" applyProtection="0"/>
    <xf numFmtId="44" fontId="1" fillId="0" borderId="0" applyFont="0" applyFill="0" applyBorder="0" applyAlignment="0" applyProtection="0"/>
    <xf numFmtId="44" fontId="22" fillId="0" borderId="0" applyFont="0" applyFill="0" applyBorder="0" applyAlignment="0" applyProtection="0"/>
    <xf numFmtId="44" fontId="74" fillId="0" borderId="0" applyFont="0" applyFill="0" applyBorder="0" applyAlignment="0" applyProtection="0"/>
    <xf numFmtId="44" fontId="6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2" fontId="78" fillId="0" borderId="0"/>
    <xf numFmtId="42" fontId="29" fillId="0" borderId="0"/>
    <xf numFmtId="42" fontId="80" fillId="0" borderId="0" applyFill="0" applyBorder="0" applyAlignment="0" applyProtection="0"/>
    <xf numFmtId="42" fontId="147" fillId="0" borderId="0" applyFill="0" applyBorder="0" applyAlignment="0" applyProtection="0"/>
    <xf numFmtId="41" fontId="148" fillId="0" borderId="0"/>
    <xf numFmtId="41"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170" fontId="206" fillId="0" borderId="0" applyFont="0" applyFill="0" applyBorder="0" applyAlignment="0" applyProtection="0"/>
    <xf numFmtId="0" fontId="208" fillId="0" borderId="0"/>
    <xf numFmtId="6" fontId="161" fillId="0" borderId="23" applyFill="0" applyAlignment="0" applyProtection="0"/>
    <xf numFmtId="0" fontId="22" fillId="0" borderId="0"/>
    <xf numFmtId="0" fontId="22" fillId="0" borderId="0"/>
    <xf numFmtId="0" fontId="74" fillId="0" borderId="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2" borderId="0" applyNumberFormat="0" applyBorder="0" applyAlignment="0" applyProtection="0"/>
    <xf numFmtId="0" fontId="33" fillId="45" borderId="0" applyNumberFormat="0" applyBorder="0" applyAlignment="0" applyProtection="0"/>
    <xf numFmtId="0" fontId="33" fillId="48" borderId="0" applyNumberFormat="0" applyBorder="0" applyAlignment="0" applyProtection="0"/>
    <xf numFmtId="0" fontId="36" fillId="49"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36" fillId="50" borderId="0" applyNumberFormat="0" applyBorder="0" applyAlignment="0" applyProtection="0"/>
    <xf numFmtId="0" fontId="36" fillId="51" borderId="0" applyNumberFormat="0" applyBorder="0" applyAlignment="0" applyProtection="0"/>
    <xf numFmtId="0" fontId="36" fillId="52" borderId="0" applyNumberFormat="0" applyBorder="0" applyAlignment="0" applyProtection="0"/>
    <xf numFmtId="0" fontId="176" fillId="0" borderId="0" applyNumberFormat="0" applyFill="0" applyBorder="0" applyAlignment="0" applyProtection="0"/>
    <xf numFmtId="0" fontId="53" fillId="61" borderId="51" applyNumberFormat="0" applyAlignment="0" applyProtection="0"/>
    <xf numFmtId="0" fontId="53" fillId="61" borderId="51" applyNumberFormat="0" applyAlignment="0" applyProtection="0"/>
    <xf numFmtId="0" fontId="53" fillId="61" borderId="51" applyNumberFormat="0" applyAlignment="0" applyProtection="0"/>
    <xf numFmtId="0" fontId="53" fillId="61" borderId="51" applyNumberFormat="0" applyAlignment="0" applyProtection="0"/>
    <xf numFmtId="0" fontId="53" fillId="61" borderId="51" applyNumberFormat="0" applyAlignment="0" applyProtection="0"/>
    <xf numFmtId="0" fontId="53" fillId="61" borderId="51" applyNumberFormat="0" applyAlignment="0" applyProtection="0"/>
    <xf numFmtId="0" fontId="53" fillId="61" borderId="51" applyNumberFormat="0" applyAlignment="0" applyProtection="0"/>
    <xf numFmtId="0" fontId="53" fillId="61" borderId="51" applyNumberFormat="0" applyAlignment="0" applyProtection="0"/>
    <xf numFmtId="0" fontId="53" fillId="61" borderId="51" applyNumberFormat="0" applyAlignment="0" applyProtection="0"/>
    <xf numFmtId="0" fontId="53" fillId="61" borderId="51" applyNumberFormat="0" applyAlignment="0" applyProtection="0"/>
    <xf numFmtId="0" fontId="53" fillId="61" borderId="51" applyNumberFormat="0" applyAlignment="0" applyProtection="0"/>
    <xf numFmtId="0" fontId="53" fillId="61" borderId="51" applyNumberFormat="0" applyAlignment="0" applyProtection="0"/>
    <xf numFmtId="0" fontId="116" fillId="0" borderId="41"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2" fillId="76" borderId="55" applyNumberFormat="0" applyFont="0" applyAlignment="0" applyProtection="0"/>
    <xf numFmtId="0" fontId="22" fillId="76" borderId="55" applyNumberFormat="0" applyFont="0" applyAlignment="0" applyProtection="0"/>
    <xf numFmtId="0" fontId="22" fillId="76" borderId="55" applyNumberFormat="0" applyFont="0" applyAlignment="0" applyProtection="0"/>
    <xf numFmtId="0" fontId="22" fillId="76" borderId="55" applyNumberFormat="0" applyFont="0" applyAlignment="0" applyProtection="0"/>
    <xf numFmtId="0" fontId="22" fillId="76" borderId="55" applyNumberFormat="0" applyFont="0" applyAlignment="0" applyProtection="0"/>
    <xf numFmtId="0" fontId="22" fillId="76" borderId="55" applyNumberFormat="0" applyFont="0" applyAlignment="0" applyProtection="0"/>
    <xf numFmtId="0" fontId="22" fillId="76" borderId="55" applyNumberFormat="0" applyFont="0" applyAlignment="0" applyProtection="0"/>
    <xf numFmtId="0" fontId="22" fillId="76" borderId="55" applyNumberFormat="0" applyFont="0" applyAlignment="0" applyProtection="0"/>
    <xf numFmtId="0" fontId="107" fillId="44" borderId="51" applyNumberFormat="0" applyAlignment="0" applyProtection="0"/>
    <xf numFmtId="0" fontId="107" fillId="44" borderId="51" applyNumberFormat="0" applyAlignment="0" applyProtection="0"/>
    <xf numFmtId="0" fontId="107" fillId="44" borderId="51" applyNumberFormat="0" applyAlignment="0" applyProtection="0"/>
    <xf numFmtId="0" fontId="107" fillId="44" borderId="51" applyNumberFormat="0" applyAlignment="0" applyProtection="0"/>
    <xf numFmtId="0" fontId="107" fillId="44" borderId="51" applyNumberFormat="0" applyAlignment="0" applyProtection="0"/>
    <xf numFmtId="0" fontId="107" fillId="44" borderId="51" applyNumberFormat="0" applyAlignment="0" applyProtection="0"/>
    <xf numFmtId="0" fontId="107" fillId="44" borderId="51" applyNumberFormat="0" applyAlignment="0" applyProtection="0"/>
    <xf numFmtId="0" fontId="107" fillId="44" borderId="51" applyNumberFormat="0" applyAlignment="0" applyProtection="0"/>
    <xf numFmtId="0" fontId="107" fillId="44" borderId="51" applyNumberFormat="0" applyAlignment="0" applyProtection="0"/>
    <xf numFmtId="0" fontId="107" fillId="44" borderId="51" applyNumberFormat="0" applyAlignment="0" applyProtection="0"/>
    <xf numFmtId="0" fontId="107" fillId="44" borderId="51" applyNumberFormat="0" applyAlignment="0" applyProtection="0"/>
    <xf numFmtId="0" fontId="107" fillId="44" borderId="51" applyNumberFormat="0" applyAlignment="0" applyProtection="0"/>
    <xf numFmtId="0" fontId="22" fillId="0" borderId="62"/>
    <xf numFmtId="0" fontId="22" fillId="0" borderId="62"/>
    <xf numFmtId="0" fontId="22" fillId="0" borderId="62"/>
    <xf numFmtId="0" fontId="22" fillId="0" borderId="62"/>
    <xf numFmtId="0" fontId="22" fillId="0" borderId="62"/>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33" fillId="76" borderId="55" applyNumberFormat="0" applyFont="0" applyAlignment="0" applyProtection="0"/>
    <xf numFmtId="0" fontId="33" fillId="76" borderId="55" applyNumberFormat="0" applyFont="0" applyAlignment="0" applyProtection="0"/>
    <xf numFmtId="0" fontId="33" fillId="76" borderId="55" applyNumberFormat="0" applyFont="0" applyAlignment="0" applyProtection="0"/>
    <xf numFmtId="0" fontId="33" fillId="76" borderId="55" applyNumberFormat="0" applyFont="0" applyAlignment="0" applyProtection="0"/>
    <xf numFmtId="0" fontId="33" fillId="76" borderId="55" applyNumberFormat="0" applyFont="0" applyAlignment="0" applyProtection="0"/>
    <xf numFmtId="0" fontId="33" fillId="76" borderId="55" applyNumberFormat="0" applyFont="0" applyAlignment="0" applyProtection="0"/>
    <xf numFmtId="0" fontId="33" fillId="76" borderId="55" applyNumberFormat="0" applyFont="0" applyAlignment="0" applyProtection="0"/>
    <xf numFmtId="0" fontId="33" fillId="76" borderId="55" applyNumberFormat="0" applyFont="0" applyAlignment="0" applyProtection="0"/>
    <xf numFmtId="0" fontId="33" fillId="76" borderId="55" applyNumberFormat="0" applyFont="0" applyAlignment="0" applyProtection="0"/>
    <xf numFmtId="0" fontId="33" fillId="76" borderId="55" applyNumberFormat="0" applyFont="0" applyAlignment="0" applyProtection="0"/>
    <xf numFmtId="0" fontId="33" fillId="76" borderId="55" applyNumberFormat="0" applyFont="0" applyAlignment="0" applyProtection="0"/>
    <xf numFmtId="0" fontId="33" fillId="76" borderId="55" applyNumberFormat="0" applyFont="0" applyAlignment="0" applyProtection="0"/>
    <xf numFmtId="0" fontId="134" fillId="61" borderId="56" applyNumberFormat="0" applyAlignment="0" applyProtection="0"/>
    <xf numFmtId="0" fontId="134" fillId="61" borderId="56" applyNumberFormat="0" applyAlignment="0" applyProtection="0"/>
    <xf numFmtId="0" fontId="134" fillId="61" borderId="56" applyNumberFormat="0" applyAlignment="0" applyProtection="0"/>
    <xf numFmtId="0" fontId="134" fillId="61" borderId="56" applyNumberFormat="0" applyAlignment="0" applyProtection="0"/>
    <xf numFmtId="0" fontId="134" fillId="61" borderId="56" applyNumberFormat="0" applyAlignment="0" applyProtection="0"/>
    <xf numFmtId="0" fontId="134" fillId="61" borderId="56" applyNumberFormat="0" applyAlignment="0" applyProtection="0"/>
    <xf numFmtId="0" fontId="134" fillId="61" borderId="5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51" fillId="80" borderId="62" applyNumberFormat="0" applyProtection="0">
      <alignment horizontal="center" vertical="center"/>
    </xf>
    <xf numFmtId="0" fontId="151" fillId="80" borderId="62" applyNumberFormat="0" applyProtection="0">
      <alignment horizontal="center" vertical="center"/>
    </xf>
    <xf numFmtId="0" fontId="151" fillId="80" borderId="62" applyNumberFormat="0" applyProtection="0">
      <alignment horizontal="center" vertical="center"/>
    </xf>
    <xf numFmtId="0" fontId="41" fillId="80" borderId="62" applyNumberFormat="0" applyProtection="0">
      <alignment horizontal="center" vertical="center"/>
    </xf>
    <xf numFmtId="0" fontId="41" fillId="80" borderId="62" applyNumberFormat="0" applyProtection="0">
      <alignment horizontal="center" vertical="center"/>
    </xf>
    <xf numFmtId="0" fontId="41" fillId="80" borderId="62" applyNumberFormat="0" applyProtection="0">
      <alignment horizontal="center" vertical="center"/>
    </xf>
    <xf numFmtId="0" fontId="41" fillId="80" borderId="62" applyNumberFormat="0" applyProtection="0">
      <alignment horizontal="center" vertical="center"/>
    </xf>
    <xf numFmtId="0" fontId="41" fillId="80" borderId="62" applyNumberFormat="0" applyProtection="0">
      <alignment horizontal="center" vertical="center"/>
    </xf>
    <xf numFmtId="0" fontId="41" fillId="80" borderId="62" applyNumberFormat="0" applyProtection="0">
      <alignment horizontal="center" vertical="center" wrapText="1"/>
    </xf>
    <xf numFmtId="0" fontId="41" fillId="80" borderId="62" applyNumberFormat="0" applyProtection="0">
      <alignment horizontal="center" vertical="center" wrapText="1"/>
    </xf>
    <xf numFmtId="0" fontId="41" fillId="80" borderId="62" applyNumberFormat="0" applyProtection="0">
      <alignment horizontal="center" vertical="center" wrapText="1"/>
    </xf>
    <xf numFmtId="0" fontId="41" fillId="80" borderId="62" applyNumberFormat="0" applyProtection="0">
      <alignment horizontal="center" vertical="center" wrapText="1"/>
    </xf>
    <xf numFmtId="0" fontId="41" fillId="80" borderId="62" applyNumberFormat="0" applyProtection="0">
      <alignment horizontal="center" vertical="center" wrapText="1"/>
    </xf>
    <xf numFmtId="0" fontId="41" fillId="80" borderId="62" applyNumberFormat="0" applyProtection="0">
      <alignment horizontal="center" vertical="center" wrapText="1"/>
    </xf>
    <xf numFmtId="0" fontId="41" fillId="80" borderId="62" applyNumberFormat="0" applyProtection="0">
      <alignment horizontal="center" vertical="center" wrapText="1"/>
    </xf>
    <xf numFmtId="0" fontId="41" fillId="80" borderId="62" applyNumberFormat="0" applyProtection="0">
      <alignment horizontal="center" vertical="center" wrapText="1"/>
    </xf>
    <xf numFmtId="0" fontId="22" fillId="38" borderId="62" applyNumberFormat="0" applyProtection="0">
      <alignment horizontal="left" vertical="center"/>
    </xf>
    <xf numFmtId="0" fontId="22" fillId="38" borderId="62" applyNumberFormat="0" applyProtection="0">
      <alignment horizontal="left" vertical="center"/>
    </xf>
    <xf numFmtId="0" fontId="22" fillId="38" borderId="62" applyNumberFormat="0" applyProtection="0">
      <alignment horizontal="left" vertical="center"/>
    </xf>
    <xf numFmtId="0" fontId="22" fillId="38" borderId="62" applyNumberFormat="0" applyProtection="0">
      <alignment horizontal="left" vertical="center"/>
    </xf>
    <xf numFmtId="0" fontId="22" fillId="38" borderId="62" applyNumberFormat="0" applyProtection="0">
      <alignment horizontal="left" vertical="center"/>
    </xf>
    <xf numFmtId="0" fontId="22" fillId="38" borderId="62" applyNumberFormat="0" applyProtection="0">
      <alignment horizontal="left" vertical="center"/>
    </xf>
    <xf numFmtId="0" fontId="22" fillId="38" borderId="62" applyNumberFormat="0" applyProtection="0">
      <alignment horizontal="left" vertical="center"/>
    </xf>
    <xf numFmtId="0" fontId="41" fillId="36" borderId="62" applyNumberFormat="0" applyProtection="0">
      <alignment horizontal="left" vertical="center" wrapText="1"/>
    </xf>
    <xf numFmtId="0" fontId="41" fillId="36" borderId="62" applyNumberFormat="0" applyProtection="0">
      <alignment horizontal="left" vertical="center" wrapText="1"/>
    </xf>
    <xf numFmtId="0" fontId="22" fillId="38" borderId="62" applyNumberFormat="0" applyProtection="0">
      <alignment horizontal="left" vertical="center" wrapText="1"/>
    </xf>
    <xf numFmtId="0" fontId="22" fillId="38" borderId="62" applyNumberFormat="0" applyProtection="0">
      <alignment horizontal="left" vertical="center" wrapText="1"/>
    </xf>
    <xf numFmtId="0" fontId="22" fillId="38" borderId="62" applyNumberFormat="0" applyProtection="0">
      <alignment horizontal="left" vertical="center" wrapText="1"/>
    </xf>
    <xf numFmtId="0" fontId="22" fillId="38" borderId="62" applyNumberFormat="0" applyProtection="0">
      <alignment horizontal="left" vertical="center" wrapText="1"/>
    </xf>
    <xf numFmtId="0" fontId="22" fillId="38" borderId="62" applyNumberFormat="0" applyProtection="0">
      <alignment horizontal="left" vertical="center" wrapText="1"/>
    </xf>
    <xf numFmtId="0" fontId="22" fillId="38" borderId="62" applyNumberFormat="0" applyProtection="0">
      <alignment horizontal="left" vertical="center" wrapText="1"/>
    </xf>
    <xf numFmtId="0" fontId="22" fillId="38" borderId="62" applyNumberFormat="0" applyProtection="0">
      <alignment horizontal="left" vertical="center" wrapText="1"/>
    </xf>
    <xf numFmtId="0" fontId="41" fillId="36" borderId="62" applyNumberFormat="0" applyProtection="0">
      <alignment horizontal="left" vertical="center" wrapText="1"/>
    </xf>
    <xf numFmtId="0" fontId="41" fillId="36" borderId="62" applyNumberFormat="0" applyProtection="0">
      <alignment horizontal="left" vertical="center" wrapText="1"/>
    </xf>
    <xf numFmtId="0" fontId="172" fillId="0" borderId="58" applyNumberFormat="0" applyFill="0" applyAlignment="0" applyProtection="0"/>
    <xf numFmtId="0" fontId="172" fillId="0" borderId="58" applyNumberFormat="0" applyFill="0" applyAlignment="0" applyProtection="0"/>
    <xf numFmtId="0" fontId="172" fillId="0" borderId="58" applyNumberFormat="0" applyFill="0" applyAlignment="0" applyProtection="0"/>
    <xf numFmtId="0" fontId="172" fillId="0" borderId="58" applyNumberFormat="0" applyFill="0" applyAlignment="0" applyProtection="0"/>
    <xf numFmtId="0" fontId="172" fillId="0" borderId="58" applyNumberFormat="0" applyFill="0" applyAlignment="0" applyProtection="0"/>
    <xf numFmtId="0" fontId="172" fillId="0" borderId="58" applyNumberFormat="0" applyFill="0" applyAlignment="0" applyProtection="0"/>
    <xf numFmtId="0" fontId="172" fillId="0" borderId="58" applyNumberFormat="0" applyFill="0" applyAlignment="0" applyProtection="0"/>
    <xf numFmtId="0" fontId="33" fillId="0" borderId="0"/>
    <xf numFmtId="0" fontId="44" fillId="0" borderId="0"/>
    <xf numFmtId="9" fontId="44" fillId="0" borderId="0" applyFont="0" applyFill="0" applyBorder="0" applyAlignment="0" applyProtection="0"/>
    <xf numFmtId="0" fontId="22" fillId="0" borderId="0"/>
    <xf numFmtId="170" fontId="1" fillId="0" borderId="0" applyFont="0" applyFill="0" applyBorder="0" applyAlignment="0" applyProtection="0"/>
  </cellStyleXfs>
  <cellXfs count="855">
    <xf numFmtId="0" fontId="0" fillId="0" borderId="0" xfId="0"/>
    <xf numFmtId="0" fontId="18" fillId="35" borderId="62" xfId="0" applyFont="1" applyFill="1" applyBorder="1" applyAlignment="1">
      <alignment horizontal="center" vertical="center" wrapText="1"/>
    </xf>
    <xf numFmtId="0" fontId="179" fillId="35" borderId="61" xfId="0" applyFont="1" applyFill="1" applyBorder="1" applyAlignment="1">
      <alignment horizontal="center" vertical="center" wrapText="1"/>
    </xf>
    <xf numFmtId="0" fontId="18" fillId="35" borderId="62" xfId="0" applyFont="1" applyFill="1" applyBorder="1" applyAlignment="1">
      <alignment horizontal="center" vertical="center"/>
    </xf>
    <xf numFmtId="0" fontId="0" fillId="0" borderId="78" xfId="0" applyBorder="1"/>
    <xf numFmtId="0" fontId="0" fillId="0" borderId="79" xfId="0" applyBorder="1"/>
    <xf numFmtId="0" fontId="0" fillId="0" borderId="78" xfId="0" applyBorder="1" applyAlignment="1">
      <alignment horizontal="center"/>
    </xf>
    <xf numFmtId="0" fontId="0" fillId="0" borderId="12" xfId="0" applyBorder="1" applyAlignment="1">
      <alignment horizontal="center"/>
    </xf>
    <xf numFmtId="0" fontId="0" fillId="0" borderId="12" xfId="0" applyBorder="1"/>
    <xf numFmtId="0" fontId="0" fillId="0" borderId="20" xfId="0" applyBorder="1"/>
    <xf numFmtId="10" fontId="0" fillId="0" borderId="18" xfId="0" applyNumberFormat="1" applyBorder="1"/>
    <xf numFmtId="3" fontId="0" fillId="0" borderId="20" xfId="0" applyNumberFormat="1" applyBorder="1"/>
    <xf numFmtId="3" fontId="0" fillId="0" borderId="0" xfId="0" applyNumberFormat="1" applyBorder="1"/>
    <xf numFmtId="3" fontId="0" fillId="0" borderId="18" xfId="0" applyNumberFormat="1" applyBorder="1"/>
    <xf numFmtId="10" fontId="0" fillId="87" borderId="18" xfId="0" applyNumberFormat="1" applyFill="1" applyBorder="1"/>
    <xf numFmtId="284" fontId="0" fillId="0" borderId="20" xfId="0" applyNumberFormat="1" applyBorder="1"/>
    <xf numFmtId="284" fontId="0" fillId="0" borderId="0" xfId="0" applyNumberFormat="1" applyBorder="1"/>
    <xf numFmtId="284" fontId="0" fillId="0" borderId="18" xfId="0" applyNumberFormat="1" applyBorder="1"/>
    <xf numFmtId="284" fontId="0" fillId="0" borderId="0" xfId="0" applyNumberFormat="1"/>
    <xf numFmtId="3" fontId="0" fillId="87" borderId="20" xfId="0" applyNumberFormat="1" applyFill="1" applyBorder="1"/>
    <xf numFmtId="3" fontId="0" fillId="87" borderId="18" xfId="0" applyNumberFormat="1" applyFill="1" applyBorder="1"/>
    <xf numFmtId="0" fontId="0" fillId="87" borderId="20" xfId="0" applyFill="1" applyBorder="1"/>
    <xf numFmtId="0" fontId="0" fillId="87" borderId="0" xfId="0" applyFill="1" applyBorder="1"/>
    <xf numFmtId="0" fontId="0" fillId="87" borderId="18" xfId="0" applyFill="1" applyBorder="1"/>
    <xf numFmtId="0" fontId="0" fillId="0" borderId="0" xfId="0" applyBorder="1"/>
    <xf numFmtId="1" fontId="0" fillId="0" borderId="0" xfId="0" applyNumberFormat="1" applyBorder="1" applyAlignment="1">
      <alignment horizontal="center"/>
    </xf>
    <xf numFmtId="0" fontId="0" fillId="0" borderId="0" xfId="0" applyFill="1" applyBorder="1" applyAlignment="1">
      <alignment horizontal="center"/>
    </xf>
    <xf numFmtId="10" fontId="0" fillId="0" borderId="0" xfId="0" applyNumberFormat="1" applyFill="1" applyBorder="1" applyAlignment="1">
      <alignment horizontal="center"/>
    </xf>
    <xf numFmtId="10" fontId="0" fillId="0" borderId="0" xfId="0" applyNumberFormat="1" applyFill="1" applyBorder="1"/>
    <xf numFmtId="0" fontId="195" fillId="0" borderId="0" xfId="0" applyFont="1"/>
    <xf numFmtId="0" fontId="195" fillId="0" borderId="0" xfId="0" applyFont="1" applyFill="1"/>
    <xf numFmtId="0" fontId="44" fillId="0" borderId="0" xfId="0" applyFont="1"/>
    <xf numFmtId="3" fontId="44" fillId="0" borderId="0" xfId="0" applyNumberFormat="1" applyFont="1"/>
    <xf numFmtId="171" fontId="44" fillId="0" borderId="0" xfId="0" applyNumberFormat="1" applyFont="1"/>
    <xf numFmtId="171" fontId="44" fillId="0" borderId="0" xfId="0" applyNumberFormat="1" applyFont="1" applyFill="1"/>
    <xf numFmtId="4" fontId="0" fillId="0" borderId="0" xfId="0" applyNumberFormat="1"/>
    <xf numFmtId="0" fontId="199" fillId="0" borderId="0" xfId="0" applyFont="1"/>
    <xf numFmtId="0" fontId="0" fillId="0" borderId="0" xfId="0" applyNumberFormat="1"/>
    <xf numFmtId="209" fontId="0" fillId="0" borderId="0" xfId="0" applyNumberFormat="1"/>
    <xf numFmtId="0" fontId="0" fillId="0" borderId="0" xfId="0" applyProtection="1"/>
    <xf numFmtId="0" fontId="0" fillId="0" borderId="0" xfId="0" applyBorder="1" applyProtection="1"/>
    <xf numFmtId="0" fontId="0" fillId="0" borderId="0" xfId="0" applyProtection="1">
      <protection locked="0"/>
    </xf>
    <xf numFmtId="0" fontId="0" fillId="0" borderId="0" xfId="0" applyFill="1" applyBorder="1" applyProtection="1">
      <protection locked="0"/>
    </xf>
    <xf numFmtId="0" fontId="22" fillId="0" borderId="0" xfId="1734"/>
    <xf numFmtId="0" fontId="22" fillId="0" borderId="0" xfId="1734" applyFill="1"/>
    <xf numFmtId="0" fontId="0" fillId="0" borderId="0" xfId="0"/>
    <xf numFmtId="0" fontId="0" fillId="0" borderId="0" xfId="0" applyAlignment="1">
      <alignment horizontal="center"/>
    </xf>
    <xf numFmtId="0" fontId="0" fillId="0" borderId="0" xfId="0" applyFill="1"/>
    <xf numFmtId="0" fontId="0" fillId="0" borderId="0" xfId="0" applyFill="1" applyBorder="1"/>
    <xf numFmtId="9" fontId="0" fillId="0" borderId="0" xfId="0" applyNumberFormat="1"/>
    <xf numFmtId="0" fontId="0" fillId="0" borderId="0" xfId="0" applyAlignment="1">
      <alignment horizontal="right"/>
    </xf>
    <xf numFmtId="3" fontId="0" fillId="0" borderId="0" xfId="0" applyNumberFormat="1"/>
    <xf numFmtId="0" fontId="15" fillId="0" borderId="0" xfId="0" applyFont="1"/>
    <xf numFmtId="0" fontId="0" fillId="0" borderId="0" xfId="0" applyAlignment="1">
      <alignment horizontal="left"/>
    </xf>
    <xf numFmtId="3" fontId="0" fillId="0" borderId="0" xfId="0" applyNumberFormat="1" applyBorder="1" applyAlignment="1">
      <alignment horizontal="center"/>
    </xf>
    <xf numFmtId="0" fontId="1" fillId="0" borderId="0" xfId="3306" applyProtection="1">
      <protection locked="0"/>
    </xf>
    <xf numFmtId="0" fontId="1" fillId="0" borderId="0" xfId="3306" applyFont="1" applyProtection="1">
      <protection locked="0"/>
    </xf>
    <xf numFmtId="0" fontId="15" fillId="0" borderId="0" xfId="3306" applyFont="1" applyProtection="1">
      <protection locked="0"/>
    </xf>
    <xf numFmtId="0" fontId="1" fillId="0" borderId="0" xfId="3306" applyBorder="1" applyProtection="1">
      <protection locked="0"/>
    </xf>
    <xf numFmtId="0" fontId="1" fillId="0" borderId="84" xfId="3306" applyBorder="1" applyProtection="1">
      <protection locked="0"/>
    </xf>
    <xf numFmtId="0" fontId="1" fillId="0" borderId="0" xfId="3306" applyFont="1" applyBorder="1" applyProtection="1">
      <protection locked="0"/>
    </xf>
    <xf numFmtId="43" fontId="15" fillId="0" borderId="0" xfId="853" applyNumberFormat="1" applyFont="1" applyBorder="1" applyProtection="1">
      <protection locked="0"/>
    </xf>
    <xf numFmtId="0" fontId="15" fillId="0" borderId="0" xfId="3306" applyFont="1" applyBorder="1" applyProtection="1">
      <protection locked="0"/>
    </xf>
    <xf numFmtId="43" fontId="15" fillId="0" borderId="85" xfId="853" applyNumberFormat="1" applyFont="1" applyBorder="1" applyProtection="1">
      <protection locked="0"/>
    </xf>
    <xf numFmtId="43" fontId="15" fillId="0" borderId="95" xfId="853" applyNumberFormat="1" applyFont="1" applyBorder="1" applyProtection="1">
      <protection locked="0"/>
    </xf>
    <xf numFmtId="43" fontId="15" fillId="0" borderId="17" xfId="853" applyNumberFormat="1" applyFont="1" applyBorder="1" applyProtection="1">
      <protection locked="0"/>
    </xf>
    <xf numFmtId="0" fontId="15" fillId="0" borderId="86" xfId="3306" applyFont="1" applyBorder="1" applyProtection="1">
      <protection locked="0"/>
    </xf>
    <xf numFmtId="43" fontId="201" fillId="0" borderId="96" xfId="853" applyNumberFormat="1" applyFont="1" applyBorder="1" applyProtection="1">
      <protection locked="0"/>
    </xf>
    <xf numFmtId="43" fontId="201" fillId="89" borderId="97" xfId="853" applyNumberFormat="1" applyFont="1" applyFill="1" applyBorder="1" applyProtection="1">
      <protection locked="0"/>
    </xf>
    <xf numFmtId="43" fontId="201" fillId="0" borderId="94" xfId="853" applyNumberFormat="1" applyFont="1" applyBorder="1" applyProtection="1">
      <protection locked="0"/>
    </xf>
    <xf numFmtId="0" fontId="1" fillId="0" borderId="90" xfId="3306" applyFont="1" applyBorder="1" applyProtection="1">
      <protection locked="0"/>
    </xf>
    <xf numFmtId="43" fontId="201" fillId="0" borderId="83" xfId="853" applyNumberFormat="1" applyFont="1" applyBorder="1" applyProtection="1">
      <protection locked="0"/>
    </xf>
    <xf numFmtId="43" fontId="201" fillId="92" borderId="98" xfId="853" applyNumberFormat="1" applyFont="1" applyFill="1" applyBorder="1" applyProtection="1">
      <protection locked="0"/>
    </xf>
    <xf numFmtId="43" fontId="201" fillId="89" borderId="0" xfId="853" applyNumberFormat="1" applyFont="1" applyFill="1" applyBorder="1" applyProtection="1">
      <protection locked="0"/>
    </xf>
    <xf numFmtId="43" fontId="201" fillId="0" borderId="0" xfId="853" applyNumberFormat="1" applyFont="1" applyFill="1" applyBorder="1" applyProtection="1">
      <protection locked="0"/>
    </xf>
    <xf numFmtId="43" fontId="201" fillId="0" borderId="0" xfId="853" applyNumberFormat="1" applyFont="1" applyBorder="1" applyProtection="1">
      <protection locked="0"/>
    </xf>
    <xf numFmtId="0" fontId="1" fillId="0" borderId="84" xfId="3306" applyFont="1" applyBorder="1" applyProtection="1">
      <protection locked="0"/>
    </xf>
    <xf numFmtId="43" fontId="201" fillId="92" borderId="0" xfId="853" applyNumberFormat="1" applyFont="1" applyFill="1" applyBorder="1" applyProtection="1">
      <protection locked="0"/>
    </xf>
    <xf numFmtId="43" fontId="201" fillId="92" borderId="99" xfId="853" applyNumberFormat="1" applyFont="1" applyFill="1" applyBorder="1" applyProtection="1">
      <protection locked="0"/>
    </xf>
    <xf numFmtId="43" fontId="201" fillId="92" borderId="100" xfId="853" applyNumberFormat="1" applyFont="1" applyFill="1" applyBorder="1" applyProtection="1">
      <protection locked="0"/>
    </xf>
    <xf numFmtId="43" fontId="201" fillId="89" borderId="100" xfId="853" applyNumberFormat="1" applyFont="1" applyFill="1" applyBorder="1" applyProtection="1">
      <protection locked="0"/>
    </xf>
    <xf numFmtId="10" fontId="201" fillId="92" borderId="0" xfId="4084" applyNumberFormat="1" applyFont="1" applyFill="1" applyBorder="1" applyProtection="1">
      <protection locked="0"/>
    </xf>
    <xf numFmtId="10" fontId="15" fillId="0" borderId="101" xfId="3306" applyNumberFormat="1" applyFont="1" applyBorder="1" applyProtection="1">
      <protection locked="0"/>
    </xf>
    <xf numFmtId="10" fontId="15" fillId="0" borderId="102" xfId="3306" applyNumberFormat="1" applyFont="1" applyBorder="1" applyProtection="1">
      <protection locked="0"/>
    </xf>
    <xf numFmtId="10" fontId="15" fillId="0" borderId="89" xfId="3306" applyNumberFormat="1" applyFont="1" applyBorder="1" applyProtection="1">
      <protection locked="0"/>
    </xf>
    <xf numFmtId="0" fontId="15" fillId="0" borderId="103" xfId="3306" applyFont="1" applyBorder="1" applyProtection="1">
      <protection locked="0"/>
    </xf>
    <xf numFmtId="10" fontId="201" fillId="0" borderId="96" xfId="4084" applyNumberFormat="1" applyFont="1" applyBorder="1" applyProtection="1">
      <protection locked="0"/>
    </xf>
    <xf numFmtId="0" fontId="1" fillId="0" borderId="94" xfId="3306" applyFont="1" applyBorder="1" applyProtection="1">
      <protection locked="0"/>
    </xf>
    <xf numFmtId="10" fontId="201" fillId="0" borderId="83" xfId="4084" applyNumberFormat="1" applyFont="1" applyBorder="1" applyProtection="1">
      <protection locked="0"/>
    </xf>
    <xf numFmtId="10" fontId="201" fillId="92" borderId="98" xfId="4084" applyNumberFormat="1" applyFont="1" applyFill="1" applyBorder="1" applyProtection="1">
      <protection locked="0"/>
    </xf>
    <xf numFmtId="10" fontId="201" fillId="0" borderId="0" xfId="4084" applyNumberFormat="1" applyFont="1" applyBorder="1" applyProtection="1">
      <protection locked="0"/>
    </xf>
    <xf numFmtId="0" fontId="15" fillId="90" borderId="83" xfId="3306" applyFont="1" applyFill="1" applyBorder="1" applyAlignment="1" applyProtection="1">
      <alignment horizontal="right"/>
      <protection locked="0"/>
    </xf>
    <xf numFmtId="0" fontId="15" fillId="90" borderId="0" xfId="3306" applyFont="1" applyFill="1" applyBorder="1" applyAlignment="1" applyProtection="1">
      <alignment horizontal="right"/>
      <protection locked="0"/>
    </xf>
    <xf numFmtId="0" fontId="15" fillId="90" borderId="84" xfId="3306" applyFont="1" applyFill="1" applyBorder="1" applyAlignment="1" applyProtection="1">
      <alignment horizontal="right"/>
      <protection locked="0"/>
    </xf>
    <xf numFmtId="0" fontId="1" fillId="0" borderId="104" xfId="3306" applyBorder="1" applyProtection="1">
      <protection locked="0"/>
    </xf>
    <xf numFmtId="0" fontId="1" fillId="0" borderId="86" xfId="3306" applyBorder="1" applyProtection="1">
      <protection locked="0"/>
    </xf>
    <xf numFmtId="0" fontId="1" fillId="0" borderId="105" xfId="3306" applyBorder="1" applyProtection="1">
      <protection locked="0"/>
    </xf>
    <xf numFmtId="10" fontId="15" fillId="0" borderId="83" xfId="3306" applyNumberFormat="1" applyFont="1" applyBorder="1" applyProtection="1">
      <protection locked="0"/>
    </xf>
    <xf numFmtId="10" fontId="15" fillId="0" borderId="0" xfId="3306" applyNumberFormat="1" applyFont="1" applyBorder="1" applyProtection="1">
      <protection locked="0"/>
    </xf>
    <xf numFmtId="0" fontId="15" fillId="0" borderId="84" xfId="3306" applyFont="1" applyBorder="1" applyProtection="1">
      <protection locked="0"/>
    </xf>
    <xf numFmtId="9" fontId="1" fillId="0" borderId="0" xfId="3306" applyNumberFormat="1" applyProtection="1">
      <protection locked="0"/>
    </xf>
    <xf numFmtId="9" fontId="1" fillId="34" borderId="0" xfId="3306" applyNumberFormat="1" applyFill="1" applyProtection="1">
      <protection locked="0"/>
    </xf>
    <xf numFmtId="9" fontId="0" fillId="34" borderId="0" xfId="4084" applyFont="1" applyFill="1" applyProtection="1">
      <protection locked="0"/>
    </xf>
    <xf numFmtId="0" fontId="15" fillId="0" borderId="105" xfId="3306" applyFont="1" applyBorder="1" applyProtection="1">
      <protection locked="0"/>
    </xf>
    <xf numFmtId="0" fontId="15" fillId="91" borderId="83" xfId="3306" applyFont="1" applyFill="1" applyBorder="1" applyAlignment="1" applyProtection="1">
      <alignment horizontal="right"/>
      <protection locked="0"/>
    </xf>
    <xf numFmtId="0" fontId="15" fillId="91" borderId="0" xfId="3306" applyFont="1" applyFill="1" applyBorder="1" applyAlignment="1" applyProtection="1">
      <alignment horizontal="right"/>
      <protection locked="0"/>
    </xf>
    <xf numFmtId="0" fontId="15" fillId="91" borderId="84" xfId="3306" applyFont="1" applyFill="1" applyBorder="1" applyAlignment="1" applyProtection="1">
      <alignment horizontal="right"/>
      <protection locked="0"/>
    </xf>
    <xf numFmtId="49" fontId="1" fillId="0" borderId="0" xfId="3306" applyNumberFormat="1" applyFont="1" applyAlignment="1" applyProtection="1">
      <alignment vertical="top" wrapText="1"/>
      <protection locked="0"/>
    </xf>
    <xf numFmtId="49" fontId="212" fillId="0" borderId="0" xfId="853" applyNumberFormat="1" applyFont="1" applyBorder="1" applyAlignment="1" applyProtection="1">
      <alignment vertical="top" wrapText="1"/>
      <protection locked="0"/>
    </xf>
    <xf numFmtId="0" fontId="22" fillId="0" borderId="0" xfId="1795" applyProtection="1">
      <protection locked="0"/>
    </xf>
    <xf numFmtId="0" fontId="22" fillId="0" borderId="0" xfId="1795" applyAlignment="1" applyProtection="1">
      <alignment horizontal="left"/>
      <protection locked="0"/>
    </xf>
    <xf numFmtId="0" fontId="71" fillId="0" borderId="0" xfId="1795" applyFont="1" applyFill="1" applyAlignment="1" applyProtection="1">
      <alignment horizontal="right" vertical="top"/>
      <protection locked="0"/>
    </xf>
    <xf numFmtId="0" fontId="71" fillId="89" borderId="0" xfId="1795" applyFont="1" applyFill="1" applyAlignment="1" applyProtection="1">
      <alignment horizontal="right" vertical="top"/>
      <protection locked="0"/>
    </xf>
    <xf numFmtId="0" fontId="41" fillId="0" borderId="0" xfId="1795" applyFont="1" applyAlignment="1" applyProtection="1">
      <alignment horizontal="left"/>
      <protection locked="0"/>
    </xf>
    <xf numFmtId="0" fontId="71" fillId="0" borderId="0" xfId="1795" applyFont="1" applyAlignment="1" applyProtection="1">
      <alignment horizontal="right" vertical="top"/>
      <protection locked="0"/>
    </xf>
    <xf numFmtId="0" fontId="71" fillId="0" borderId="106" xfId="1795" applyFont="1" applyFill="1" applyBorder="1" applyAlignment="1" applyProtection="1">
      <alignment horizontal="right" vertical="top"/>
      <protection locked="0"/>
    </xf>
    <xf numFmtId="0" fontId="71" fillId="89" borderId="106" xfId="1795" applyFont="1" applyFill="1" applyBorder="1" applyAlignment="1" applyProtection="1">
      <alignment horizontal="right" vertical="top"/>
      <protection locked="0"/>
    </xf>
    <xf numFmtId="0" fontId="217" fillId="0" borderId="0" xfId="0" applyFont="1" applyProtection="1">
      <protection locked="0"/>
    </xf>
    <xf numFmtId="0" fontId="201" fillId="0" borderId="0" xfId="0" applyFont="1" applyBorder="1" applyAlignment="1" applyProtection="1">
      <alignment horizontal="left" wrapText="1"/>
    </xf>
    <xf numFmtId="0" fontId="0" fillId="0" borderId="0" xfId="0" applyBorder="1" applyAlignment="1" applyProtection="1">
      <alignment horizontal="left" wrapText="1"/>
    </xf>
    <xf numFmtId="0" fontId="15" fillId="0" borderId="62" xfId="0" applyFont="1" applyBorder="1" applyAlignment="1" applyProtection="1">
      <alignment horizontal="left" vertical="center"/>
    </xf>
    <xf numFmtId="0" fontId="15" fillId="0" borderId="62" xfId="0" applyFont="1" applyBorder="1" applyAlignment="1" applyProtection="1">
      <alignment horizontal="left" vertical="center" wrapText="1"/>
    </xf>
    <xf numFmtId="0" fontId="0" fillId="0" borderId="20"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Alignment="1" applyProtection="1">
      <alignment horizontal="left"/>
    </xf>
    <xf numFmtId="0" fontId="218" fillId="0" borderId="59" xfId="0" applyNumberFormat="1" applyFont="1" applyBorder="1" applyProtection="1"/>
    <xf numFmtId="0" fontId="0" fillId="0" borderId="61" xfId="0" applyBorder="1" applyProtection="1"/>
    <xf numFmtId="0" fontId="15" fillId="0" borderId="62" xfId="0" applyFont="1" applyBorder="1" applyAlignment="1" applyProtection="1">
      <alignment horizontal="center" vertical="center" wrapText="1"/>
    </xf>
    <xf numFmtId="0" fontId="20" fillId="75" borderId="62" xfId="5415" applyFont="1" applyFill="1" applyBorder="1" applyAlignment="1" applyProtection="1">
      <alignment vertical="center" wrapText="1"/>
      <protection locked="0"/>
    </xf>
    <xf numFmtId="49" fontId="20" fillId="75" borderId="62" xfId="5415" applyNumberFormat="1" applyFont="1" applyFill="1" applyBorder="1" applyAlignment="1" applyProtection="1">
      <alignment horizontal="center" vertical="center" wrapText="1"/>
      <protection locked="0"/>
    </xf>
    <xf numFmtId="286" fontId="20" fillId="75" borderId="62" xfId="5415" quotePrefix="1" applyNumberFormat="1" applyFont="1" applyFill="1" applyBorder="1" applyAlignment="1" applyProtection="1">
      <alignment horizontal="center" vertical="center" wrapText="1"/>
      <protection locked="0"/>
    </xf>
    <xf numFmtId="0" fontId="20" fillId="75" borderId="61" xfId="5415" applyFont="1" applyFill="1" applyBorder="1" applyAlignment="1" applyProtection="1">
      <alignment vertical="center" wrapText="1"/>
      <protection locked="0"/>
    </xf>
    <xf numFmtId="284" fontId="20" fillId="75" borderId="62" xfId="5415" applyNumberFormat="1" applyFont="1" applyFill="1" applyBorder="1" applyAlignment="1" applyProtection="1">
      <alignment horizontal="center" vertical="center" wrapText="1"/>
      <protection locked="0"/>
    </xf>
    <xf numFmtId="287" fontId="20" fillId="75" borderId="62" xfId="5415" applyNumberFormat="1" applyFont="1" applyFill="1" applyBorder="1" applyAlignment="1" applyProtection="1">
      <alignment horizontal="center" vertical="center" wrapText="1"/>
      <protection locked="0"/>
    </xf>
    <xf numFmtId="284" fontId="220" fillId="2" borderId="62" xfId="4533" applyNumberFormat="1" applyFont="1" applyBorder="1" applyAlignment="1" applyProtection="1">
      <alignment horizontal="center" vertical="center"/>
    </xf>
    <xf numFmtId="3" fontId="221" fillId="93" borderId="62" xfId="5415" applyNumberFormat="1" applyFont="1" applyFill="1" applyBorder="1" applyAlignment="1" applyProtection="1">
      <alignment horizontal="center" vertical="center" wrapText="1"/>
      <protection locked="0"/>
    </xf>
    <xf numFmtId="3" fontId="20" fillId="75" borderId="62" xfId="5415" applyNumberFormat="1" applyFont="1" applyFill="1" applyBorder="1" applyAlignment="1" applyProtection="1">
      <alignment horizontal="center" vertical="center" wrapText="1"/>
      <protection locked="0"/>
    </xf>
    <xf numFmtId="286" fontId="20" fillId="75" borderId="62" xfId="5415" applyNumberFormat="1" applyFont="1" applyFill="1" applyBorder="1" applyAlignment="1" applyProtection="1">
      <alignment horizontal="center" vertical="center" wrapText="1"/>
      <protection locked="0"/>
    </xf>
    <xf numFmtId="287" fontId="221" fillId="75" borderId="62" xfId="5415" applyNumberFormat="1" applyFont="1" applyFill="1" applyBorder="1" applyAlignment="1" applyProtection="1">
      <alignment horizontal="center" vertical="center" wrapText="1"/>
      <protection locked="0"/>
    </xf>
    <xf numFmtId="0" fontId="15" fillId="0" borderId="59" xfId="0" applyFont="1" applyBorder="1" applyAlignment="1" applyProtection="1">
      <alignment vertical="center"/>
    </xf>
    <xf numFmtId="0" fontId="15" fillId="0" borderId="60" xfId="0" applyFont="1" applyBorder="1" applyAlignment="1" applyProtection="1">
      <alignment vertical="center"/>
      <protection locked="0"/>
    </xf>
    <xf numFmtId="0" fontId="15" fillId="0" borderId="61" xfId="0" applyFont="1" applyBorder="1" applyAlignment="1" applyProtection="1">
      <alignment vertical="center"/>
      <protection locked="0"/>
    </xf>
    <xf numFmtId="287" fontId="220" fillId="2" borderId="62" xfId="4533" applyNumberFormat="1" applyFont="1" applyBorder="1" applyAlignment="1" applyProtection="1">
      <alignment horizontal="center" vertical="center"/>
    </xf>
    <xf numFmtId="0" fontId="15" fillId="0" borderId="80" xfId="0" applyFont="1" applyBorder="1" applyAlignment="1" applyProtection="1">
      <alignment vertical="center"/>
    </xf>
    <xf numFmtId="172" fontId="220" fillId="0" borderId="60" xfId="4533" applyNumberFormat="1" applyFont="1" applyFill="1" applyBorder="1" applyAlignment="1" applyProtection="1">
      <alignment horizontal="center" vertical="center"/>
    </xf>
    <xf numFmtId="0" fontId="0" fillId="0" borderId="0" xfId="0" applyBorder="1" applyProtection="1">
      <protection locked="0"/>
    </xf>
    <xf numFmtId="0" fontId="15" fillId="0" borderId="80" xfId="0" applyFont="1" applyBorder="1" applyAlignment="1" applyProtection="1">
      <alignment vertical="center"/>
      <protection locked="0"/>
    </xf>
    <xf numFmtId="0" fontId="20" fillId="0" borderId="62" xfId="5415" applyFont="1" applyFill="1" applyBorder="1" applyAlignment="1" applyProtection="1">
      <alignment horizontal="center" vertical="center" wrapText="1"/>
      <protection locked="0"/>
    </xf>
    <xf numFmtId="3" fontId="221" fillId="93" borderId="61" xfId="5415" applyNumberFormat="1" applyFont="1" applyFill="1" applyBorder="1" applyAlignment="1" applyProtection="1">
      <alignment horizontal="center" vertical="center" wrapText="1"/>
      <protection locked="0"/>
    </xf>
    <xf numFmtId="0" fontId="221" fillId="0" borderId="62" xfId="5415" applyFont="1" applyFill="1" applyBorder="1" applyAlignment="1" applyProtection="1">
      <alignment horizontal="center" vertical="center" wrapText="1"/>
      <protection locked="0"/>
    </xf>
    <xf numFmtId="172" fontId="220" fillId="2" borderId="62" xfId="4533" applyNumberFormat="1" applyFont="1" applyBorder="1" applyAlignment="1" applyProtection="1">
      <alignment horizontal="center" vertical="center"/>
    </xf>
    <xf numFmtId="0" fontId="15" fillId="0" borderId="60" xfId="0" applyFont="1" applyBorder="1" applyAlignment="1" applyProtection="1">
      <alignment horizontal="left" vertical="center"/>
      <protection locked="0"/>
    </xf>
    <xf numFmtId="0" fontId="20" fillId="75" borderId="62" xfId="5415" applyFont="1" applyFill="1" applyBorder="1" applyAlignment="1" applyProtection="1">
      <alignment horizontal="center" vertical="center" wrapText="1"/>
      <protection locked="0"/>
    </xf>
    <xf numFmtId="0" fontId="15" fillId="0" borderId="60" xfId="0" applyFont="1" applyFill="1" applyBorder="1" applyAlignment="1" applyProtection="1">
      <alignment horizontal="left" vertical="center"/>
      <protection locked="0"/>
    </xf>
    <xf numFmtId="0" fontId="0" fillId="0" borderId="60" xfId="0" applyFill="1" applyBorder="1" applyProtection="1">
      <protection locked="0"/>
    </xf>
    <xf numFmtId="0" fontId="0" fillId="0" borderId="60" xfId="0" applyFill="1" applyBorder="1" applyAlignment="1" applyProtection="1">
      <alignment horizontal="center" vertical="top" wrapText="1"/>
      <protection locked="0"/>
    </xf>
    <xf numFmtId="172" fontId="0" fillId="0" borderId="60" xfId="0" applyNumberFormat="1" applyFill="1" applyBorder="1" applyProtection="1">
      <protection hidden="1"/>
    </xf>
    <xf numFmtId="2" fontId="220" fillId="2" borderId="62" xfId="4533" applyNumberFormat="1" applyFont="1" applyBorder="1" applyAlignment="1" applyProtection="1">
      <alignment horizontal="center" vertical="center"/>
    </xf>
    <xf numFmtId="0" fontId="201" fillId="0" borderId="0" xfId="0" applyFont="1" applyFill="1" applyProtection="1">
      <protection locked="0"/>
    </xf>
    <xf numFmtId="0" fontId="23" fillId="0" borderId="0" xfId="0" applyFont="1" applyBorder="1" applyAlignment="1">
      <alignment wrapText="1"/>
    </xf>
    <xf numFmtId="0" fontId="15" fillId="0" borderId="0" xfId="0" applyFont="1" applyProtection="1">
      <protection locked="0"/>
    </xf>
    <xf numFmtId="0" fontId="0" fillId="0" borderId="0" xfId="0" applyFill="1" applyProtection="1">
      <protection locked="0"/>
    </xf>
    <xf numFmtId="0" fontId="23" fillId="0" borderId="0" xfId="0" applyFont="1" applyBorder="1"/>
    <xf numFmtId="43" fontId="1" fillId="0" borderId="84" xfId="3306" applyNumberFormat="1" applyBorder="1" applyProtection="1">
      <protection locked="0"/>
    </xf>
    <xf numFmtId="43" fontId="1" fillId="0" borderId="105" xfId="3306" applyNumberFormat="1" applyBorder="1" applyProtection="1">
      <protection locked="0"/>
    </xf>
    <xf numFmtId="43" fontId="1" fillId="89" borderId="84" xfId="3306" applyNumberFormat="1" applyFill="1" applyBorder="1" applyProtection="1">
      <protection locked="0"/>
    </xf>
    <xf numFmtId="0" fontId="0" fillId="0" borderId="0" xfId="0" applyAlignment="1"/>
    <xf numFmtId="0" fontId="222" fillId="0" borderId="0" xfId="0" applyFont="1" applyFill="1" applyBorder="1"/>
    <xf numFmtId="288" fontId="0" fillId="0" borderId="0" xfId="0" applyNumberFormat="1"/>
    <xf numFmtId="0" fontId="13" fillId="0" borderId="0" xfId="0" applyFont="1"/>
    <xf numFmtId="0" fontId="212" fillId="0" borderId="0" xfId="0" applyNumberFormat="1" applyFont="1" applyAlignment="1">
      <alignment vertical="top"/>
    </xf>
    <xf numFmtId="9" fontId="212" fillId="0" borderId="0" xfId="4666" applyFont="1" applyAlignment="1">
      <alignment horizontal="center" vertical="top"/>
    </xf>
    <xf numFmtId="0" fontId="0" fillId="0" borderId="0" xfId="0" applyBorder="1" applyAlignment="1">
      <alignment horizontal="center" vertical="center"/>
    </xf>
    <xf numFmtId="0" fontId="212" fillId="0" borderId="0" xfId="0" applyNumberFormat="1" applyFont="1" applyFill="1" applyAlignment="1">
      <alignment horizontal="center" vertical="top"/>
    </xf>
    <xf numFmtId="0" fontId="212" fillId="0" borderId="0" xfId="0" applyNumberFormat="1" applyFont="1" applyFill="1" applyAlignment="1">
      <alignment vertical="top"/>
    </xf>
    <xf numFmtId="0" fontId="224" fillId="0" borderId="0" xfId="0" applyNumberFormat="1" applyFont="1" applyFill="1" applyAlignment="1"/>
    <xf numFmtId="174" fontId="215" fillId="34" borderId="62" xfId="4666" applyNumberFormat="1" applyFont="1" applyFill="1" applyBorder="1" applyAlignment="1">
      <alignment horizontal="center" vertical="center"/>
    </xf>
    <xf numFmtId="0" fontId="0" fillId="0" borderId="0" xfId="0" applyFont="1" applyBorder="1" applyAlignment="1">
      <alignment horizontal="center" vertical="center"/>
    </xf>
    <xf numFmtId="0" fontId="225" fillId="0" borderId="0" xfId="0" applyFont="1" applyFill="1" applyAlignment="1">
      <alignment vertical="top" wrapText="1"/>
    </xf>
    <xf numFmtId="3" fontId="215" fillId="95" borderId="62" xfId="0" applyNumberFormat="1" applyFont="1" applyFill="1" applyBorder="1" applyAlignment="1">
      <alignment horizontal="center" vertical="center"/>
    </xf>
    <xf numFmtId="0" fontId="212" fillId="0" borderId="0" xfId="0" applyNumberFormat="1" applyFont="1" applyAlignment="1">
      <alignment horizontal="center" vertical="top"/>
    </xf>
    <xf numFmtId="0" fontId="201" fillId="0" borderId="0" xfId="0" applyNumberFormat="1" applyFont="1" applyFill="1" applyBorder="1" applyAlignment="1">
      <alignment horizontal="left" vertical="center"/>
    </xf>
    <xf numFmtId="0" fontId="201" fillId="0" borderId="0" xfId="0" applyNumberFormat="1" applyFont="1" applyAlignment="1">
      <alignment vertical="center"/>
    </xf>
    <xf numFmtId="3" fontId="227" fillId="95" borderId="62" xfId="0" applyNumberFormat="1" applyFont="1" applyFill="1" applyBorder="1" applyAlignment="1">
      <alignment horizontal="center" vertical="center"/>
    </xf>
    <xf numFmtId="3" fontId="202" fillId="0" borderId="0" xfId="0" applyNumberFormat="1" applyFont="1" applyBorder="1" applyAlignment="1">
      <alignment horizontal="center" vertical="center"/>
    </xf>
    <xf numFmtId="3" fontId="212" fillId="0" borderId="0" xfId="0" applyNumberFormat="1" applyFont="1" applyFill="1" applyBorder="1" applyAlignment="1">
      <alignment horizontal="left" vertical="center"/>
    </xf>
    <xf numFmtId="3" fontId="227" fillId="95" borderId="61" xfId="0" applyNumberFormat="1" applyFont="1" applyFill="1" applyBorder="1" applyAlignment="1">
      <alignment horizontal="left" vertical="center"/>
    </xf>
    <xf numFmtId="3" fontId="227" fillId="95" borderId="60" xfId="0" applyNumberFormat="1" applyFont="1" applyFill="1" applyBorder="1" applyAlignment="1">
      <alignment horizontal="left" vertical="center"/>
    </xf>
    <xf numFmtId="3" fontId="227" fillId="95" borderId="59" xfId="0" applyNumberFormat="1" applyFont="1" applyFill="1" applyBorder="1" applyAlignment="1">
      <alignment horizontal="left" vertical="center"/>
    </xf>
    <xf numFmtId="3" fontId="215" fillId="95" borderId="61" xfId="0" applyNumberFormat="1" applyFont="1" applyFill="1" applyBorder="1" applyAlignment="1">
      <alignment vertical="center"/>
    </xf>
    <xf numFmtId="3" fontId="215" fillId="95" borderId="59" xfId="0" applyNumberFormat="1" applyFont="1" applyFill="1" applyBorder="1" applyAlignment="1">
      <alignment vertical="center"/>
    </xf>
    <xf numFmtId="3" fontId="202" fillId="0" borderId="0" xfId="0" applyNumberFormat="1" applyFont="1" applyFill="1" applyBorder="1" applyAlignment="1">
      <alignment horizontal="center" vertical="center"/>
    </xf>
    <xf numFmtId="3" fontId="212" fillId="0" borderId="0" xfId="0" applyNumberFormat="1" applyFont="1" applyFill="1" applyBorder="1" applyAlignment="1">
      <alignment horizontal="center" vertical="center"/>
    </xf>
    <xf numFmtId="3" fontId="212" fillId="0" borderId="0" xfId="4677" applyNumberFormat="1" applyFont="1" applyFill="1" applyAlignment="1">
      <alignment horizontal="center" vertical="center"/>
    </xf>
    <xf numFmtId="3" fontId="212" fillId="0" borderId="0" xfId="0" applyNumberFormat="1" applyFont="1" applyFill="1" applyAlignment="1">
      <alignment horizontal="center" vertical="center"/>
    </xf>
    <xf numFmtId="3" fontId="212" fillId="0" borderId="60" xfId="0" applyNumberFormat="1" applyFont="1" applyFill="1" applyBorder="1" applyAlignment="1">
      <alignment vertical="center"/>
    </xf>
    <xf numFmtId="0" fontId="212" fillId="0" borderId="0" xfId="0" applyNumberFormat="1" applyFont="1" applyFill="1" applyAlignment="1">
      <alignment vertical="center"/>
    </xf>
    <xf numFmtId="3" fontId="212" fillId="0" borderId="0" xfId="0" applyNumberFormat="1" applyFont="1" applyFill="1" applyAlignment="1">
      <alignment vertical="center"/>
    </xf>
    <xf numFmtId="0" fontId="13" fillId="0" borderId="0" xfId="0" applyNumberFormat="1" applyFont="1" applyAlignment="1">
      <alignment vertical="top"/>
    </xf>
    <xf numFmtId="3" fontId="227" fillId="96" borderId="62" xfId="0" applyNumberFormat="1" applyFont="1" applyFill="1" applyBorder="1" applyAlignment="1">
      <alignment horizontal="center" vertical="center"/>
    </xf>
    <xf numFmtId="3" fontId="212" fillId="97" borderId="0" xfId="0" applyNumberFormat="1" applyFont="1" applyFill="1" applyBorder="1" applyAlignment="1">
      <alignment horizontal="center" vertical="center"/>
    </xf>
    <xf numFmtId="3" fontId="227" fillId="96" borderId="62" xfId="0" quotePrefix="1" applyNumberFormat="1" applyFont="1" applyFill="1" applyBorder="1" applyAlignment="1">
      <alignment horizontal="center" vertical="center"/>
    </xf>
    <xf numFmtId="3" fontId="203" fillId="96" borderId="62" xfId="0" applyNumberFormat="1" applyFont="1" applyFill="1" applyBorder="1" applyAlignment="1">
      <alignment horizontal="center" vertical="center"/>
    </xf>
    <xf numFmtId="3" fontId="228" fillId="0" borderId="0" xfId="0" applyNumberFormat="1" applyFont="1" applyFill="1" applyBorder="1" applyAlignment="1">
      <alignment horizontal="left" vertical="center"/>
    </xf>
    <xf numFmtId="0" fontId="13" fillId="0" borderId="0" xfId="0" applyNumberFormat="1" applyFont="1" applyFill="1" applyBorder="1" applyAlignment="1">
      <alignment horizontal="left" vertical="center"/>
    </xf>
    <xf numFmtId="3" fontId="223" fillId="96" borderId="61" xfId="0" applyNumberFormat="1" applyFont="1" applyFill="1" applyBorder="1" applyAlignment="1">
      <alignment vertical="center"/>
    </xf>
    <xf numFmtId="3" fontId="215" fillId="96" borderId="59" xfId="0" applyNumberFormat="1" applyFont="1" applyFill="1" applyBorder="1" applyAlignment="1">
      <alignment vertical="center"/>
    </xf>
    <xf numFmtId="0" fontId="201" fillId="0" borderId="0" xfId="0" applyNumberFormat="1" applyFont="1" applyAlignment="1">
      <alignment vertical="top"/>
    </xf>
    <xf numFmtId="3" fontId="227" fillId="95" borderId="61" xfId="0" applyNumberFormat="1" applyFont="1" applyFill="1" applyBorder="1" applyAlignment="1">
      <alignment vertical="center"/>
    </xf>
    <xf numFmtId="3" fontId="227" fillId="95" borderId="60" xfId="0" applyNumberFormat="1" applyFont="1" applyFill="1" applyBorder="1" applyAlignment="1">
      <alignment vertical="center"/>
    </xf>
    <xf numFmtId="3" fontId="227" fillId="95" borderId="108" xfId="0" applyNumberFormat="1" applyFont="1" applyFill="1" applyBorder="1" applyAlignment="1">
      <alignment vertical="center"/>
    </xf>
    <xf numFmtId="3" fontId="215" fillId="95" borderId="109" xfId="0" applyNumberFormat="1" applyFont="1" applyFill="1" applyBorder="1" applyAlignment="1">
      <alignment vertical="center"/>
    </xf>
    <xf numFmtId="3" fontId="215" fillId="95" borderId="110" xfId="0" applyNumberFormat="1" applyFont="1" applyFill="1" applyBorder="1" applyAlignment="1">
      <alignment vertical="center"/>
    </xf>
    <xf numFmtId="3" fontId="212" fillId="33" borderId="111" xfId="0" applyNumberFormat="1" applyFont="1" applyFill="1" applyBorder="1" applyAlignment="1">
      <alignment horizontal="center" vertical="center"/>
    </xf>
    <xf numFmtId="3" fontId="212" fillId="33" borderId="76" xfId="0" applyNumberFormat="1" applyFont="1" applyFill="1" applyBorder="1" applyAlignment="1">
      <alignment horizontal="center" vertical="center"/>
    </xf>
    <xf numFmtId="3" fontId="212" fillId="33" borderId="112" xfId="0" applyNumberFormat="1" applyFont="1" applyFill="1" applyBorder="1" applyAlignment="1">
      <alignment horizontal="center" vertical="center"/>
    </xf>
    <xf numFmtId="3" fontId="212" fillId="33" borderId="113" xfId="0" applyNumberFormat="1" applyFont="1" applyFill="1" applyBorder="1" applyAlignment="1">
      <alignment horizontal="center" vertical="center"/>
    </xf>
    <xf numFmtId="3" fontId="212" fillId="33" borderId="72" xfId="0" applyNumberFormat="1" applyFont="1" applyFill="1" applyBorder="1" applyAlignment="1">
      <alignment horizontal="center" vertical="center"/>
    </xf>
    <xf numFmtId="3" fontId="212" fillId="33" borderId="71" xfId="0" applyNumberFormat="1" applyFont="1" applyFill="1" applyBorder="1" applyAlignment="1">
      <alignment horizontal="center" vertical="center"/>
    </xf>
    <xf numFmtId="3" fontId="212" fillId="33" borderId="70" xfId="0" applyNumberFormat="1" applyFont="1" applyFill="1" applyBorder="1" applyAlignment="1">
      <alignment horizontal="center" vertical="center"/>
    </xf>
    <xf numFmtId="3" fontId="212" fillId="33" borderId="114" xfId="0" applyNumberFormat="1" applyFont="1" applyFill="1" applyBorder="1" applyAlignment="1">
      <alignment vertical="center"/>
    </xf>
    <xf numFmtId="3" fontId="212" fillId="33" borderId="69" xfId="0" applyNumberFormat="1" applyFont="1" applyFill="1" applyBorder="1" applyAlignment="1">
      <alignment vertical="center" wrapText="1"/>
    </xf>
    <xf numFmtId="3" fontId="212" fillId="33" borderId="69" xfId="0" applyNumberFormat="1" applyFont="1" applyFill="1" applyBorder="1" applyAlignment="1">
      <alignment horizontal="center" vertical="center"/>
    </xf>
    <xf numFmtId="3" fontId="212" fillId="33" borderId="68" xfId="0" applyNumberFormat="1" applyFont="1" applyFill="1" applyBorder="1" applyAlignment="1">
      <alignment horizontal="center" vertical="center"/>
    </xf>
    <xf numFmtId="3" fontId="212" fillId="33" borderId="67" xfId="0" applyNumberFormat="1" applyFont="1" applyFill="1" applyBorder="1" applyAlignment="1">
      <alignment horizontal="center" vertical="center"/>
    </xf>
    <xf numFmtId="3" fontId="212" fillId="33" borderId="66" xfId="0" applyNumberFormat="1" applyFont="1" applyFill="1" applyBorder="1" applyAlignment="1">
      <alignment horizontal="center" vertical="center"/>
    </xf>
    <xf numFmtId="3" fontId="212" fillId="33" borderId="65" xfId="0" applyNumberFormat="1" applyFont="1" applyFill="1" applyBorder="1" applyAlignment="1">
      <alignment horizontal="center" vertical="center"/>
    </xf>
    <xf numFmtId="3" fontId="212" fillId="33" borderId="64" xfId="0" applyNumberFormat="1" applyFont="1" applyFill="1" applyBorder="1" applyAlignment="1">
      <alignment horizontal="center" vertical="center"/>
    </xf>
    <xf numFmtId="3" fontId="212" fillId="33" borderId="115" xfId="0" applyNumberFormat="1" applyFont="1" applyFill="1" applyBorder="1" applyAlignment="1">
      <alignment vertical="center"/>
    </xf>
    <xf numFmtId="3" fontId="212" fillId="33" borderId="111" xfId="0" applyNumberFormat="1" applyFont="1" applyFill="1" applyBorder="1" applyAlignment="1">
      <alignment vertical="center" wrapText="1"/>
    </xf>
    <xf numFmtId="0" fontId="212" fillId="0" borderId="0" xfId="0" applyNumberFormat="1" applyFont="1" applyAlignment="1">
      <alignment vertical="center"/>
    </xf>
    <xf numFmtId="3" fontId="204" fillId="35" borderId="109" xfId="0" applyNumberFormat="1" applyFont="1" applyFill="1" applyBorder="1" applyAlignment="1">
      <alignment vertical="center"/>
    </xf>
    <xf numFmtId="3" fontId="204" fillId="35" borderId="110" xfId="0" applyNumberFormat="1" applyFont="1" applyFill="1" applyBorder="1" applyAlignment="1">
      <alignment vertical="center"/>
    </xf>
    <xf numFmtId="3" fontId="204" fillId="35" borderId="116" xfId="0" applyNumberFormat="1" applyFont="1" applyFill="1" applyBorder="1" applyAlignment="1">
      <alignment vertical="center"/>
    </xf>
    <xf numFmtId="3" fontId="204" fillId="35" borderId="117" xfId="0" applyNumberFormat="1" applyFont="1" applyFill="1" applyBorder="1" applyAlignment="1">
      <alignment vertical="center"/>
    </xf>
    <xf numFmtId="3" fontId="204" fillId="35" borderId="61" xfId="0" applyNumberFormat="1" applyFont="1" applyFill="1" applyBorder="1" applyAlignment="1">
      <alignment vertical="center"/>
    </xf>
    <xf numFmtId="3" fontId="204" fillId="35" borderId="60" xfId="0" applyNumberFormat="1" applyFont="1" applyFill="1" applyBorder="1" applyAlignment="1">
      <alignment vertical="center"/>
    </xf>
    <xf numFmtId="3" fontId="204" fillId="35" borderId="108" xfId="0" applyNumberFormat="1" applyFont="1" applyFill="1" applyBorder="1" applyAlignment="1">
      <alignment vertical="center"/>
    </xf>
    <xf numFmtId="3" fontId="227" fillId="95" borderId="59" xfId="0" applyNumberFormat="1" applyFont="1" applyFill="1" applyBorder="1" applyAlignment="1">
      <alignment vertical="center"/>
    </xf>
    <xf numFmtId="3" fontId="215" fillId="95" borderId="118" xfId="0" applyNumberFormat="1" applyFont="1" applyFill="1" applyBorder="1" applyAlignment="1">
      <alignment vertical="center"/>
    </xf>
    <xf numFmtId="3" fontId="215" fillId="95" borderId="119" xfId="0" applyNumberFormat="1" applyFont="1" applyFill="1" applyBorder="1" applyAlignment="1">
      <alignment vertical="center"/>
    </xf>
    <xf numFmtId="3" fontId="212" fillId="33" borderId="120" xfId="0" applyNumberFormat="1" applyFont="1" applyFill="1" applyBorder="1" applyAlignment="1">
      <alignment horizontal="center" vertical="center"/>
    </xf>
    <xf numFmtId="3" fontId="212" fillId="33" borderId="14" xfId="0" applyNumberFormat="1" applyFont="1" applyFill="1" applyBorder="1" applyAlignment="1">
      <alignment vertical="center"/>
    </xf>
    <xf numFmtId="3" fontId="212" fillId="33" borderId="14" xfId="0" applyNumberFormat="1" applyFont="1" applyFill="1" applyBorder="1" applyAlignment="1">
      <alignment vertical="center" wrapText="1"/>
    </xf>
    <xf numFmtId="3" fontId="212" fillId="33" borderId="114" xfId="0" applyNumberFormat="1" applyFont="1" applyFill="1" applyBorder="1" applyAlignment="1">
      <alignment vertical="center" wrapText="1"/>
    </xf>
    <xf numFmtId="3" fontId="212" fillId="33" borderId="115" xfId="0" applyNumberFormat="1" applyFont="1" applyFill="1" applyBorder="1" applyAlignment="1">
      <alignment vertical="center" wrapText="1"/>
    </xf>
    <xf numFmtId="3" fontId="204" fillId="35" borderId="121" xfId="0" applyNumberFormat="1" applyFont="1" applyFill="1" applyBorder="1" applyAlignment="1">
      <alignment vertical="center"/>
    </xf>
    <xf numFmtId="3" fontId="204" fillId="35" borderId="122" xfId="0" applyNumberFormat="1" applyFont="1" applyFill="1" applyBorder="1" applyAlignment="1">
      <alignment vertical="center"/>
    </xf>
    <xf numFmtId="3" fontId="204" fillId="35" borderId="123" xfId="0" applyNumberFormat="1" applyFont="1" applyFill="1" applyBorder="1" applyAlignment="1">
      <alignment vertical="center"/>
    </xf>
    <xf numFmtId="3" fontId="204" fillId="35" borderId="59" xfId="0" applyNumberFormat="1" applyFont="1" applyFill="1" applyBorder="1" applyAlignment="1">
      <alignment vertical="center"/>
    </xf>
    <xf numFmtId="3" fontId="212" fillId="0" borderId="0" xfId="0" applyNumberFormat="1" applyFont="1" applyAlignment="1">
      <alignment horizontal="center" vertical="center"/>
    </xf>
    <xf numFmtId="3" fontId="212" fillId="33" borderId="0" xfId="0" applyNumberFormat="1" applyFont="1" applyFill="1" applyBorder="1" applyAlignment="1">
      <alignment horizontal="center" vertical="center"/>
    </xf>
    <xf numFmtId="3" fontId="212" fillId="33" borderId="0" xfId="0" applyNumberFormat="1" applyFont="1" applyFill="1" applyAlignment="1">
      <alignment horizontal="center" vertical="center"/>
    </xf>
    <xf numFmtId="3" fontId="212" fillId="33" borderId="0" xfId="0" applyNumberFormat="1" applyFont="1" applyFill="1" applyAlignment="1">
      <alignment vertical="center"/>
    </xf>
    <xf numFmtId="3" fontId="212" fillId="33" borderId="0" xfId="0" applyNumberFormat="1" applyFont="1" applyFill="1" applyAlignment="1">
      <alignment vertical="center" wrapText="1"/>
    </xf>
    <xf numFmtId="3" fontId="227" fillId="95" borderId="79" xfId="0" applyNumberFormat="1" applyFont="1" applyFill="1" applyBorder="1" applyAlignment="1">
      <alignment vertical="center"/>
    </xf>
    <xf numFmtId="3" fontId="227" fillId="95" borderId="12" xfId="0" applyNumberFormat="1" applyFont="1" applyFill="1" applyBorder="1" applyAlignment="1">
      <alignment vertical="center"/>
    </xf>
    <xf numFmtId="3" fontId="227" fillId="95" borderId="78" xfId="0" applyNumberFormat="1" applyFont="1" applyFill="1" applyBorder="1" applyAlignment="1">
      <alignment vertical="center"/>
    </xf>
    <xf numFmtId="3" fontId="212" fillId="33" borderId="124" xfId="0" applyNumberFormat="1" applyFont="1" applyFill="1" applyBorder="1" applyAlignment="1">
      <alignment horizontal="center" vertical="center"/>
    </xf>
    <xf numFmtId="3" fontId="212" fillId="33" borderId="125" xfId="0" applyNumberFormat="1" applyFont="1" applyFill="1" applyBorder="1" applyAlignment="1">
      <alignment horizontal="center" vertical="center"/>
    </xf>
    <xf numFmtId="3" fontId="212" fillId="33" borderId="126" xfId="0" applyNumberFormat="1" applyFont="1" applyFill="1" applyBorder="1" applyAlignment="1">
      <alignment horizontal="center" vertical="center"/>
    </xf>
    <xf numFmtId="3" fontId="212" fillId="33" borderId="79" xfId="0" applyNumberFormat="1" applyFont="1" applyFill="1" applyBorder="1" applyAlignment="1">
      <alignment horizontal="center" vertical="center"/>
    </xf>
    <xf numFmtId="3" fontId="212" fillId="33" borderId="127" xfId="0" applyNumberFormat="1" applyFont="1" applyFill="1" applyBorder="1" applyAlignment="1">
      <alignment horizontal="center" vertical="center"/>
    </xf>
    <xf numFmtId="3" fontId="212" fillId="33" borderId="128" xfId="0" applyNumberFormat="1" applyFont="1" applyFill="1" applyBorder="1" applyAlignment="1">
      <alignment horizontal="center" vertical="center"/>
    </xf>
    <xf numFmtId="3" fontId="212" fillId="33" borderId="0" xfId="0" applyNumberFormat="1" applyFont="1" applyFill="1" applyBorder="1" applyAlignment="1">
      <alignment vertical="center"/>
    </xf>
    <xf numFmtId="3" fontId="201" fillId="33" borderId="0" xfId="0" applyNumberFormat="1" applyFont="1" applyFill="1" applyBorder="1" applyAlignment="1">
      <alignment vertical="center"/>
    </xf>
    <xf numFmtId="3" fontId="201" fillId="33" borderId="0" xfId="0" applyNumberFormat="1" applyFont="1" applyFill="1" applyBorder="1" applyAlignment="1">
      <alignment vertical="center" wrapText="1"/>
    </xf>
    <xf numFmtId="3" fontId="212" fillId="94" borderId="111" xfId="0" applyNumberFormat="1" applyFont="1" applyFill="1" applyBorder="1" applyAlignment="1">
      <alignment horizontal="center" vertical="center"/>
    </xf>
    <xf numFmtId="3" fontId="212" fillId="94" borderId="76" xfId="0" applyNumberFormat="1" applyFont="1" applyFill="1" applyBorder="1" applyAlignment="1">
      <alignment horizontal="center" vertical="center"/>
    </xf>
    <xf numFmtId="0" fontId="0" fillId="0" borderId="129" xfId="0" applyBorder="1" applyAlignment="1">
      <alignment horizontal="center" vertical="center"/>
    </xf>
    <xf numFmtId="3" fontId="212" fillId="94" borderId="112" xfId="0" applyNumberFormat="1" applyFont="1" applyFill="1" applyBorder="1" applyAlignment="1">
      <alignment horizontal="center" vertical="center"/>
    </xf>
    <xf numFmtId="3" fontId="212" fillId="94" borderId="113" xfId="0" applyNumberFormat="1" applyFont="1" applyFill="1" applyBorder="1" applyAlignment="1">
      <alignment horizontal="center" vertical="center"/>
    </xf>
    <xf numFmtId="3" fontId="212" fillId="94" borderId="120" xfId="0" applyNumberFormat="1" applyFont="1" applyFill="1" applyBorder="1" applyAlignment="1">
      <alignment horizontal="center" vertical="center"/>
    </xf>
    <xf numFmtId="3" fontId="212" fillId="94" borderId="114" xfId="0" applyNumberFormat="1" applyFont="1" applyFill="1" applyBorder="1" applyAlignment="1">
      <alignment vertical="center"/>
    </xf>
    <xf numFmtId="3" fontId="212" fillId="94" borderId="114" xfId="0" applyNumberFormat="1" applyFont="1" applyFill="1" applyBorder="1" applyAlignment="1">
      <alignment vertical="center" wrapText="1"/>
    </xf>
    <xf numFmtId="0" fontId="212" fillId="33" borderId="114" xfId="0" applyNumberFormat="1" applyFont="1" applyFill="1" applyBorder="1" applyAlignment="1">
      <alignment vertical="top"/>
    </xf>
    <xf numFmtId="0" fontId="212" fillId="33" borderId="0" xfId="0" applyNumberFormat="1" applyFont="1" applyFill="1" applyAlignment="1">
      <alignment vertical="top"/>
    </xf>
    <xf numFmtId="3" fontId="227" fillId="33" borderId="0" xfId="0" applyNumberFormat="1" applyFont="1" applyFill="1" applyBorder="1" applyAlignment="1">
      <alignment horizontal="center" vertical="center"/>
    </xf>
    <xf numFmtId="3" fontId="227" fillId="33" borderId="0" xfId="0" applyNumberFormat="1" applyFont="1" applyFill="1" applyBorder="1" applyAlignment="1">
      <alignment vertical="center"/>
    </xf>
    <xf numFmtId="3" fontId="227" fillId="33" borderId="0" xfId="0" applyNumberFormat="1" applyFont="1" applyFill="1" applyBorder="1" applyAlignment="1">
      <alignment vertical="center" wrapText="1"/>
    </xf>
    <xf numFmtId="3" fontId="212" fillId="94" borderId="114" xfId="0" applyNumberFormat="1" applyFont="1" applyFill="1" applyBorder="1" applyAlignment="1">
      <alignment horizontal="left" vertical="center"/>
    </xf>
    <xf numFmtId="3" fontId="212" fillId="0" borderId="112" xfId="0" applyNumberFormat="1" applyFont="1" applyFill="1" applyBorder="1" applyAlignment="1">
      <alignment horizontal="center" vertical="center"/>
    </xf>
    <xf numFmtId="3" fontId="212" fillId="0" borderId="76" xfId="0" applyNumberFormat="1" applyFont="1" applyFill="1" applyBorder="1" applyAlignment="1">
      <alignment horizontal="center" vertical="center"/>
    </xf>
    <xf numFmtId="3" fontId="212" fillId="0" borderId="113" xfId="0" applyNumberFormat="1" applyFont="1" applyFill="1" applyBorder="1" applyAlignment="1">
      <alignment horizontal="center" vertical="center"/>
    </xf>
    <xf numFmtId="3" fontId="212" fillId="0" borderId="114" xfId="0" applyNumberFormat="1" applyFont="1" applyFill="1" applyBorder="1" applyAlignment="1">
      <alignment horizontal="left" vertical="center"/>
    </xf>
    <xf numFmtId="3" fontId="212" fillId="0" borderId="130" xfId="0" applyNumberFormat="1" applyFont="1" applyFill="1" applyBorder="1" applyAlignment="1">
      <alignment horizontal="left" vertical="center"/>
    </xf>
    <xf numFmtId="3" fontId="212" fillId="33" borderId="131" xfId="0" applyNumberFormat="1" applyFont="1" applyFill="1" applyBorder="1" applyAlignment="1">
      <alignment horizontal="left" vertical="center"/>
    </xf>
    <xf numFmtId="3" fontId="212" fillId="0" borderId="132" xfId="0" applyNumberFormat="1" applyFont="1" applyFill="1" applyBorder="1" applyAlignment="1">
      <alignment vertical="center" wrapText="1"/>
    </xf>
    <xf numFmtId="3" fontId="212" fillId="33" borderId="132" xfId="0" applyNumberFormat="1" applyFont="1" applyFill="1" applyBorder="1" applyAlignment="1">
      <alignment vertical="center" wrapText="1"/>
    </xf>
    <xf numFmtId="9" fontId="212" fillId="0" borderId="0" xfId="4666" applyFont="1" applyAlignment="1">
      <alignment vertical="top"/>
    </xf>
    <xf numFmtId="3" fontId="212" fillId="33" borderId="112" xfId="0" applyNumberFormat="1" applyFont="1" applyFill="1" applyBorder="1" applyAlignment="1">
      <alignment horizontal="left" vertical="center"/>
    </xf>
    <xf numFmtId="0" fontId="212" fillId="33" borderId="133" xfId="0" applyNumberFormat="1" applyFont="1" applyFill="1" applyBorder="1" applyAlignment="1">
      <alignment vertical="top"/>
    </xf>
    <xf numFmtId="3" fontId="212" fillId="33" borderId="0" xfId="0" applyNumberFormat="1" applyFont="1" applyFill="1" applyBorder="1" applyAlignment="1">
      <alignment vertical="center" wrapText="1"/>
    </xf>
    <xf numFmtId="3" fontId="212" fillId="33" borderId="134" xfId="0" applyNumberFormat="1" applyFont="1" applyFill="1" applyBorder="1" applyAlignment="1">
      <alignment vertical="center"/>
    </xf>
    <xf numFmtId="3" fontId="212" fillId="33" borderId="134" xfId="0" applyNumberFormat="1" applyFont="1" applyFill="1" applyBorder="1" applyAlignment="1">
      <alignment vertical="center" wrapText="1"/>
    </xf>
    <xf numFmtId="0" fontId="212" fillId="0" borderId="0" xfId="0" applyNumberFormat="1" applyFont="1" applyBorder="1" applyAlignment="1">
      <alignment vertical="top"/>
    </xf>
    <xf numFmtId="0" fontId="227" fillId="95" borderId="135" xfId="0" applyNumberFormat="1" applyFont="1" applyFill="1" applyBorder="1" applyAlignment="1">
      <alignment horizontal="center" vertical="center" wrapText="1"/>
    </xf>
    <xf numFmtId="0" fontId="227" fillId="95" borderId="136" xfId="0" applyNumberFormat="1" applyFont="1" applyFill="1" applyBorder="1" applyAlignment="1">
      <alignment horizontal="center" vertical="center" wrapText="1"/>
    </xf>
    <xf numFmtId="0" fontId="227" fillId="95" borderId="137" xfId="0" applyNumberFormat="1" applyFont="1" applyFill="1" applyBorder="1" applyAlignment="1">
      <alignment horizontal="center" vertical="center" wrapText="1"/>
    </xf>
    <xf numFmtId="0" fontId="227" fillId="95" borderId="138" xfId="0" applyNumberFormat="1" applyFont="1" applyFill="1" applyBorder="1" applyAlignment="1">
      <alignment horizontal="center" vertical="center" wrapText="1"/>
    </xf>
    <xf numFmtId="0" fontId="227" fillId="95" borderId="139" xfId="0" applyNumberFormat="1" applyFont="1" applyFill="1" applyBorder="1" applyAlignment="1">
      <alignment horizontal="center" vertical="center" wrapText="1"/>
    </xf>
    <xf numFmtId="3" fontId="227" fillId="95" borderId="140" xfId="0" applyNumberFormat="1" applyFont="1" applyFill="1" applyBorder="1" applyAlignment="1">
      <alignment horizontal="center" vertical="center" wrapText="1"/>
    </xf>
    <xf numFmtId="3" fontId="227" fillId="95" borderId="141" xfId="0" applyNumberFormat="1" applyFont="1" applyFill="1" applyBorder="1" applyAlignment="1">
      <alignment horizontal="center" vertical="center" wrapText="1"/>
    </xf>
    <xf numFmtId="0" fontId="0" fillId="0" borderId="0" xfId="0" applyAlignment="1">
      <alignment vertical="center"/>
    </xf>
    <xf numFmtId="0" fontId="201" fillId="0" borderId="0" xfId="0" applyFont="1" applyBorder="1" applyAlignment="1">
      <alignment horizontal="center" vertical="center"/>
    </xf>
    <xf numFmtId="4" fontId="212" fillId="33" borderId="72" xfId="0" applyNumberFormat="1" applyFont="1" applyFill="1" applyBorder="1" applyAlignment="1">
      <alignment horizontal="center" vertical="center"/>
    </xf>
    <xf numFmtId="4" fontId="212" fillId="33" borderId="71" xfId="0" applyNumberFormat="1" applyFont="1" applyFill="1" applyBorder="1" applyAlignment="1">
      <alignment horizontal="center" vertical="center"/>
    </xf>
    <xf numFmtId="4" fontId="212" fillId="33" borderId="70" xfId="0" applyNumberFormat="1" applyFont="1" applyFill="1" applyBorder="1" applyAlignment="1">
      <alignment horizontal="center" vertical="center"/>
    </xf>
    <xf numFmtId="3" fontId="212" fillId="33" borderId="150" xfId="0" applyNumberFormat="1" applyFont="1" applyFill="1" applyBorder="1" applyAlignment="1">
      <alignment vertical="center" wrapText="1"/>
    </xf>
    <xf numFmtId="4" fontId="212" fillId="33" borderId="69" xfId="0" applyNumberFormat="1" applyFont="1" applyFill="1" applyBorder="1" applyAlignment="1">
      <alignment horizontal="center" vertical="center"/>
    </xf>
    <xf numFmtId="4" fontId="212" fillId="33" borderId="68" xfId="0" applyNumberFormat="1" applyFont="1" applyFill="1" applyBorder="1" applyAlignment="1">
      <alignment horizontal="center" vertical="center"/>
    </xf>
    <xf numFmtId="4" fontId="212" fillId="33" borderId="67" xfId="0" applyNumberFormat="1" applyFont="1" applyFill="1" applyBorder="1" applyAlignment="1">
      <alignment horizontal="center" vertical="center"/>
    </xf>
    <xf numFmtId="4" fontId="212" fillId="33" borderId="112" xfId="0" applyNumberFormat="1" applyFont="1" applyFill="1" applyBorder="1" applyAlignment="1">
      <alignment horizontal="center" vertical="center"/>
    </xf>
    <xf numFmtId="4" fontId="212" fillId="33" borderId="113" xfId="0" applyNumberFormat="1" applyFont="1" applyFill="1" applyBorder="1" applyAlignment="1">
      <alignment horizontal="center" vertical="center"/>
    </xf>
    <xf numFmtId="4" fontId="212" fillId="33" borderId="76" xfId="0" applyNumberFormat="1" applyFont="1" applyFill="1" applyBorder="1" applyAlignment="1">
      <alignment horizontal="center" vertical="center"/>
    </xf>
    <xf numFmtId="4" fontId="204" fillId="35" borderId="123" xfId="0" applyNumberFormat="1" applyFont="1" applyFill="1" applyBorder="1" applyAlignment="1">
      <alignment vertical="center"/>
    </xf>
    <xf numFmtId="4" fontId="204" fillId="35" borderId="122" xfId="0" applyNumberFormat="1" applyFont="1" applyFill="1" applyBorder="1" applyAlignment="1">
      <alignment vertical="center"/>
    </xf>
    <xf numFmtId="4" fontId="204" fillId="35" borderId="121" xfId="0" applyNumberFormat="1" applyFont="1" applyFill="1" applyBorder="1" applyAlignment="1">
      <alignment vertical="center"/>
    </xf>
    <xf numFmtId="4" fontId="204" fillId="35" borderId="151" xfId="0" applyNumberFormat="1" applyFont="1" applyFill="1" applyBorder="1" applyAlignment="1">
      <alignment vertical="center"/>
    </xf>
    <xf numFmtId="4" fontId="204" fillId="35" borderId="60" xfId="0" applyNumberFormat="1" applyFont="1" applyFill="1" applyBorder="1" applyAlignment="1">
      <alignment vertical="center"/>
    </xf>
    <xf numFmtId="3" fontId="204" fillId="35" borderId="152" xfId="0" applyNumberFormat="1" applyFont="1" applyFill="1" applyBorder="1" applyAlignment="1">
      <alignment vertical="center"/>
    </xf>
    <xf numFmtId="3" fontId="228" fillId="0" borderId="0" xfId="0" applyNumberFormat="1" applyFont="1" applyFill="1" applyBorder="1" applyAlignment="1">
      <alignment vertical="center"/>
    </xf>
    <xf numFmtId="4" fontId="228" fillId="0" borderId="0" xfId="0" applyNumberFormat="1" applyFont="1" applyFill="1" applyBorder="1" applyAlignment="1">
      <alignment vertical="center"/>
    </xf>
    <xf numFmtId="4" fontId="228" fillId="0" borderId="0" xfId="0" applyNumberFormat="1" applyFont="1" applyFill="1" applyBorder="1" applyAlignment="1">
      <alignment horizontal="left" vertical="center"/>
    </xf>
    <xf numFmtId="4" fontId="212" fillId="33" borderId="153" xfId="0" applyNumberFormat="1" applyFont="1" applyFill="1" applyBorder="1" applyAlignment="1">
      <alignment horizontal="center" vertical="center"/>
    </xf>
    <xf numFmtId="4" fontId="212" fillId="33" borderId="79" xfId="0" applyNumberFormat="1" applyFont="1" applyFill="1" applyBorder="1" applyAlignment="1">
      <alignment horizontal="center" vertical="center"/>
    </xf>
    <xf numFmtId="4" fontId="212" fillId="33" borderId="127" xfId="0" applyNumberFormat="1" applyFont="1" applyFill="1" applyBorder="1" applyAlignment="1">
      <alignment horizontal="center" vertical="center"/>
    </xf>
    <xf numFmtId="3" fontId="212" fillId="33" borderId="15" xfId="0" applyNumberFormat="1" applyFont="1" applyFill="1" applyBorder="1" applyAlignment="1">
      <alignment vertical="center" wrapText="1"/>
    </xf>
    <xf numFmtId="4" fontId="212" fillId="33" borderId="154" xfId="0" applyNumberFormat="1" applyFont="1" applyFill="1" applyBorder="1" applyAlignment="1">
      <alignment horizontal="center" vertical="center"/>
    </xf>
    <xf numFmtId="4" fontId="212" fillId="33" borderId="64" xfId="0" applyNumberFormat="1" applyFont="1" applyFill="1" applyBorder="1" applyAlignment="1">
      <alignment horizontal="center" vertical="center"/>
    </xf>
    <xf numFmtId="3" fontId="212" fillId="33" borderId="155" xfId="0" applyNumberFormat="1" applyFont="1" applyFill="1" applyBorder="1" applyAlignment="1">
      <alignment vertical="center" wrapText="1"/>
    </xf>
    <xf numFmtId="3" fontId="228" fillId="33" borderId="0" xfId="0" applyNumberFormat="1" applyFont="1" applyFill="1" applyAlignment="1">
      <alignment vertical="center"/>
    </xf>
    <xf numFmtId="4" fontId="212" fillId="33" borderId="0" xfId="0" applyNumberFormat="1" applyFont="1" applyFill="1" applyAlignment="1">
      <alignment vertical="center"/>
    </xf>
    <xf numFmtId="4" fontId="228" fillId="33" borderId="0" xfId="0" applyNumberFormat="1" applyFont="1" applyFill="1" applyAlignment="1">
      <alignment vertical="center"/>
    </xf>
    <xf numFmtId="287" fontId="212" fillId="33" borderId="0" xfId="0" applyNumberFormat="1" applyFont="1" applyFill="1" applyAlignment="1">
      <alignment vertical="center"/>
    </xf>
    <xf numFmtId="4" fontId="212" fillId="33" borderId="120" xfId="0" applyNumberFormat="1" applyFont="1" applyFill="1" applyBorder="1" applyAlignment="1">
      <alignment horizontal="center" vertical="center"/>
    </xf>
    <xf numFmtId="3" fontId="212" fillId="33" borderId="72" xfId="0" applyNumberFormat="1" applyFont="1" applyFill="1" applyBorder="1" applyAlignment="1">
      <alignment vertical="center" wrapText="1"/>
    </xf>
    <xf numFmtId="4" fontId="212" fillId="33" borderId="61" xfId="0" applyNumberFormat="1" applyFont="1" applyFill="1" applyBorder="1" applyAlignment="1">
      <alignment horizontal="center" vertical="center"/>
    </xf>
    <xf numFmtId="4" fontId="212" fillId="33" borderId="156" xfId="0" applyNumberFormat="1" applyFont="1" applyFill="1" applyBorder="1" applyAlignment="1">
      <alignment horizontal="center" vertical="center"/>
    </xf>
    <xf numFmtId="4" fontId="212" fillId="33" borderId="128" xfId="0" applyNumberFormat="1" applyFont="1" applyFill="1" applyBorder="1" applyAlignment="1">
      <alignment horizontal="center" vertical="center"/>
    </xf>
    <xf numFmtId="3" fontId="212" fillId="33" borderId="62" xfId="0" applyNumberFormat="1" applyFont="1" applyFill="1" applyBorder="1" applyAlignment="1">
      <alignment vertical="center" wrapText="1"/>
    </xf>
    <xf numFmtId="3" fontId="228" fillId="33" borderId="0" xfId="0" applyNumberFormat="1" applyFont="1" applyFill="1" applyBorder="1" applyAlignment="1">
      <alignment vertical="center"/>
    </xf>
    <xf numFmtId="4" fontId="212" fillId="33" borderId="0" xfId="0" applyNumberFormat="1" applyFont="1" applyFill="1" applyBorder="1" applyAlignment="1">
      <alignment vertical="center"/>
    </xf>
    <xf numFmtId="4" fontId="228" fillId="33" borderId="0" xfId="0" applyNumberFormat="1" applyFont="1" applyFill="1" applyBorder="1" applyAlignment="1">
      <alignment vertical="center"/>
    </xf>
    <xf numFmtId="287" fontId="212" fillId="33" borderId="0" xfId="0" applyNumberFormat="1" applyFont="1" applyFill="1" applyBorder="1" applyAlignment="1">
      <alignment vertical="center"/>
    </xf>
    <xf numFmtId="4" fontId="212" fillId="0" borderId="79" xfId="0" applyNumberFormat="1" applyFont="1" applyFill="1" applyBorder="1" applyAlignment="1">
      <alignment horizontal="center" vertical="center"/>
    </xf>
    <xf numFmtId="4" fontId="212" fillId="0" borderId="127" xfId="0" applyNumberFormat="1" applyFont="1" applyFill="1" applyBorder="1" applyAlignment="1">
      <alignment horizontal="center" vertical="center"/>
    </xf>
    <xf numFmtId="4" fontId="212" fillId="0" borderId="120" xfId="0" applyNumberFormat="1" applyFont="1" applyFill="1" applyBorder="1" applyAlignment="1">
      <alignment horizontal="center" vertical="center"/>
    </xf>
    <xf numFmtId="3" fontId="212" fillId="0" borderId="150" xfId="0" applyNumberFormat="1" applyFont="1" applyFill="1" applyBorder="1" applyAlignment="1">
      <alignment vertical="center" wrapText="1"/>
    </xf>
    <xf numFmtId="4" fontId="212" fillId="91" borderId="131" xfId="0" applyNumberFormat="1" applyFont="1" applyFill="1" applyBorder="1" applyAlignment="1">
      <alignment horizontal="center" vertical="center"/>
    </xf>
    <xf numFmtId="4" fontId="212" fillId="91" borderId="157" xfId="0" applyNumberFormat="1" applyFont="1" applyFill="1" applyBorder="1" applyAlignment="1">
      <alignment horizontal="center" vertical="center"/>
    </xf>
    <xf numFmtId="4" fontId="212" fillId="91" borderId="67" xfId="0" applyNumberFormat="1" applyFont="1" applyFill="1" applyBorder="1" applyAlignment="1">
      <alignment horizontal="center" vertical="center"/>
    </xf>
    <xf numFmtId="4" fontId="212" fillId="33" borderId="157" xfId="0" applyNumberFormat="1" applyFont="1" applyFill="1" applyBorder="1" applyAlignment="1">
      <alignment horizontal="center" vertical="center"/>
    </xf>
    <xf numFmtId="4" fontId="228" fillId="0" borderId="0" xfId="0" applyNumberFormat="1" applyFont="1" applyFill="1" applyBorder="1" applyAlignment="1">
      <alignment vertical="top"/>
    </xf>
    <xf numFmtId="3" fontId="229" fillId="33" borderId="0" xfId="0" applyNumberFormat="1" applyFont="1" applyFill="1" applyBorder="1" applyAlignment="1">
      <alignment vertical="center"/>
    </xf>
    <xf numFmtId="4" fontId="227" fillId="33" borderId="0" xfId="0" applyNumberFormat="1" applyFont="1" applyFill="1" applyBorder="1" applyAlignment="1">
      <alignment vertical="center"/>
    </xf>
    <xf numFmtId="4" fontId="229" fillId="33" borderId="0" xfId="0" applyNumberFormat="1" applyFont="1" applyFill="1" applyBorder="1" applyAlignment="1">
      <alignment vertical="center"/>
    </xf>
    <xf numFmtId="287" fontId="227" fillId="33" borderId="0" xfId="0" applyNumberFormat="1" applyFont="1" applyFill="1" applyBorder="1" applyAlignment="1">
      <alignment vertical="center"/>
    </xf>
    <xf numFmtId="4" fontId="212" fillId="0" borderId="112" xfId="0" applyNumberFormat="1" applyFont="1" applyFill="1" applyBorder="1" applyAlignment="1">
      <alignment horizontal="center" vertical="center"/>
    </xf>
    <xf numFmtId="4" fontId="212" fillId="0" borderId="113" xfId="0" applyNumberFormat="1" applyFont="1" applyFill="1" applyBorder="1" applyAlignment="1">
      <alignment horizontal="center" vertical="center"/>
    </xf>
    <xf numFmtId="4" fontId="212" fillId="0" borderId="67" xfId="0" applyNumberFormat="1" applyFont="1" applyFill="1" applyBorder="1" applyAlignment="1">
      <alignment horizontal="center" vertical="center"/>
    </xf>
    <xf numFmtId="4" fontId="212" fillId="0" borderId="157" xfId="0" applyNumberFormat="1" applyFont="1" applyFill="1" applyBorder="1" applyAlignment="1">
      <alignment horizontal="center" vertical="center"/>
    </xf>
    <xf numFmtId="3" fontId="212" fillId="0" borderId="114" xfId="0" applyNumberFormat="1" applyFont="1" applyFill="1" applyBorder="1" applyAlignment="1">
      <alignment vertical="center" wrapText="1"/>
    </xf>
    <xf numFmtId="4" fontId="212" fillId="0" borderId="76" xfId="0" applyNumberFormat="1" applyFont="1" applyFill="1" applyBorder="1" applyAlignment="1">
      <alignment horizontal="center" vertical="center"/>
    </xf>
    <xf numFmtId="0" fontId="212" fillId="33" borderId="155" xfId="0" applyNumberFormat="1" applyFont="1" applyFill="1" applyBorder="1" applyAlignment="1">
      <alignment vertical="top"/>
    </xf>
    <xf numFmtId="4" fontId="212" fillId="33" borderId="125" xfId="0" applyNumberFormat="1" applyFont="1" applyFill="1" applyBorder="1" applyAlignment="1">
      <alignment horizontal="center" vertical="center"/>
    </xf>
    <xf numFmtId="4" fontId="212" fillId="33" borderId="73" xfId="0" applyNumberFormat="1" applyFont="1" applyFill="1" applyBorder="1" applyAlignment="1">
      <alignment horizontal="center" vertical="center"/>
    </xf>
    <xf numFmtId="4" fontId="212" fillId="33" borderId="158" xfId="0" applyNumberFormat="1" applyFont="1" applyFill="1" applyBorder="1" applyAlignment="1">
      <alignment horizontal="center" vertical="center"/>
    </xf>
    <xf numFmtId="4" fontId="228" fillId="0" borderId="0" xfId="0" applyNumberFormat="1" applyFont="1" applyFill="1" applyAlignment="1">
      <alignment vertical="top"/>
    </xf>
    <xf numFmtId="4" fontId="204" fillId="35" borderId="107" xfId="0" applyNumberFormat="1" applyFont="1" applyFill="1" applyBorder="1" applyAlignment="1">
      <alignment vertical="center"/>
    </xf>
    <xf numFmtId="0" fontId="227" fillId="95" borderId="62" xfId="0" applyNumberFormat="1" applyFont="1" applyFill="1" applyBorder="1" applyAlignment="1">
      <alignment horizontal="center" vertical="center" wrapText="1"/>
    </xf>
    <xf numFmtId="0" fontId="215" fillId="0" borderId="0" xfId="0" applyNumberFormat="1" applyFont="1" applyFill="1" applyBorder="1" applyAlignment="1">
      <alignment horizontal="left" vertical="center"/>
    </xf>
    <xf numFmtId="0" fontId="211" fillId="0" borderId="0" xfId="0" applyFont="1" applyAlignment="1"/>
    <xf numFmtId="10" fontId="221" fillId="33" borderId="0" xfId="0" applyNumberFormat="1" applyFont="1" applyFill="1" applyBorder="1" applyAlignment="1">
      <alignment horizontal="center" vertical="top"/>
    </xf>
    <xf numFmtId="0" fontId="221" fillId="33" borderId="0" xfId="0" applyFont="1" applyFill="1" applyBorder="1" applyAlignment="1">
      <alignment horizontal="right" vertical="top"/>
    </xf>
    <xf numFmtId="174" fontId="230" fillId="0" borderId="62" xfId="0" applyNumberFormat="1" applyFont="1" applyBorder="1" applyAlignment="1">
      <alignment horizontal="center" vertical="top"/>
    </xf>
    <xf numFmtId="287" fontId="230" fillId="0" borderId="62" xfId="0" applyNumberFormat="1" applyFont="1" applyBorder="1" applyAlignment="1">
      <alignment horizontal="center" vertical="top"/>
    </xf>
    <xf numFmtId="172" fontId="23" fillId="0" borderId="62" xfId="0" applyNumberFormat="1" applyFont="1" applyBorder="1" applyAlignment="1">
      <alignment horizontal="center" vertical="top"/>
    </xf>
    <xf numFmtId="172" fontId="23" fillId="0" borderId="62" xfId="0" applyNumberFormat="1" applyFont="1" applyFill="1" applyBorder="1" applyAlignment="1">
      <alignment horizontal="center" vertical="top"/>
    </xf>
    <xf numFmtId="2" fontId="23" fillId="0" borderId="62" xfId="0" applyNumberFormat="1" applyFont="1" applyFill="1" applyBorder="1" applyAlignment="1">
      <alignment horizontal="center" vertical="top"/>
    </xf>
    <xf numFmtId="0" fontId="230" fillId="0" borderId="62" xfId="0" applyFont="1" applyBorder="1" applyAlignment="1">
      <alignment horizontal="center" vertical="top"/>
    </xf>
    <xf numFmtId="0" fontId="215" fillId="0" borderId="62" xfId="0" applyFont="1" applyBorder="1" applyAlignment="1">
      <alignment horizontal="center" vertical="top"/>
    </xf>
    <xf numFmtId="0" fontId="230" fillId="99" borderId="62" xfId="0" applyFont="1" applyFill="1" applyBorder="1" applyAlignment="1">
      <alignment horizontal="center" wrapText="1"/>
    </xf>
    <xf numFmtId="172" fontId="230" fillId="0" borderId="62" xfId="0" applyNumberFormat="1" applyFont="1" applyBorder="1" applyAlignment="1">
      <alignment horizontal="center" vertical="top"/>
    </xf>
    <xf numFmtId="2" fontId="0" fillId="0" borderId="0" xfId="762" applyNumberFormat="1" applyFont="1" applyFill="1" applyAlignment="1">
      <alignment horizontal="center"/>
    </xf>
    <xf numFmtId="9" fontId="0" fillId="0" borderId="0" xfId="3982" applyFont="1" applyFill="1"/>
    <xf numFmtId="209" fontId="0" fillId="0" borderId="0" xfId="3982" applyNumberFormat="1" applyFont="1" applyFill="1"/>
    <xf numFmtId="0" fontId="22" fillId="0" borderId="0" xfId="1773" applyNumberFormat="1" applyFont="1" applyFill="1" applyAlignment="1">
      <alignment horizontal="center"/>
    </xf>
    <xf numFmtId="0" fontId="22" fillId="0" borderId="0" xfId="1773" applyNumberFormat="1" applyFont="1" applyFill="1"/>
    <xf numFmtId="1" fontId="200" fillId="0" borderId="12" xfId="1773" applyNumberFormat="1" applyFont="1" applyFill="1" applyBorder="1" applyAlignment="1">
      <alignment vertical="center" wrapText="1"/>
    </xf>
    <xf numFmtId="0" fontId="231" fillId="101" borderId="81" xfId="1773" applyNumberFormat="1" applyFont="1" applyFill="1" applyBorder="1" applyAlignment="1">
      <alignment horizontal="center" vertical="center" wrapText="1"/>
    </xf>
    <xf numFmtId="0" fontId="231" fillId="101" borderId="81" xfId="1768" applyNumberFormat="1" applyFont="1" applyFill="1" applyBorder="1" applyAlignment="1">
      <alignment horizontal="center" vertical="center" wrapText="1"/>
    </xf>
    <xf numFmtId="1" fontId="41" fillId="102" borderId="81" xfId="1773" applyNumberFormat="1" applyFont="1" applyFill="1" applyBorder="1" applyAlignment="1">
      <alignment horizontal="center" vertical="center" wrapText="1"/>
    </xf>
    <xf numFmtId="3" fontId="41" fillId="102" borderId="81" xfId="1773" applyNumberFormat="1" applyFont="1" applyFill="1" applyBorder="1" applyAlignment="1">
      <alignment horizontal="center" vertical="center" wrapText="1"/>
    </xf>
    <xf numFmtId="169" fontId="41" fillId="102" borderId="50" xfId="1773" applyNumberFormat="1" applyFont="1" applyFill="1" applyBorder="1" applyAlignment="1">
      <alignment horizontal="center" vertical="center" wrapText="1"/>
    </xf>
    <xf numFmtId="283" fontId="231" fillId="101" borderId="81" xfId="1768" applyNumberFormat="1" applyFont="1" applyFill="1" applyBorder="1" applyAlignment="1">
      <alignment horizontal="center" vertical="center" wrapText="1"/>
    </xf>
    <xf numFmtId="283" fontId="231" fillId="101" borderId="62" xfId="1768" applyNumberFormat="1" applyFont="1" applyFill="1" applyBorder="1" applyAlignment="1">
      <alignment horizontal="center" vertical="center" wrapText="1"/>
    </xf>
    <xf numFmtId="9" fontId="231" fillId="101" borderId="81" xfId="3982" applyFont="1" applyFill="1" applyBorder="1" applyAlignment="1">
      <alignment horizontal="center" vertical="center" wrapText="1"/>
    </xf>
    <xf numFmtId="209" fontId="231" fillId="101" borderId="63" xfId="3982" applyNumberFormat="1" applyFont="1" applyFill="1" applyBorder="1" applyAlignment="1">
      <alignment horizontal="center" vertical="center" wrapText="1"/>
    </xf>
    <xf numFmtId="44" fontId="231" fillId="101" borderId="63" xfId="1079" applyFont="1" applyFill="1" applyBorder="1" applyAlignment="1">
      <alignment horizontal="center" vertical="center" wrapText="1"/>
    </xf>
    <xf numFmtId="44" fontId="231" fillId="101" borderId="81" xfId="1079" applyFont="1" applyFill="1" applyBorder="1" applyAlignment="1">
      <alignment horizontal="center" vertical="center" wrapText="1"/>
    </xf>
    <xf numFmtId="2" fontId="231" fillId="101" borderId="81" xfId="762" applyNumberFormat="1" applyFont="1" applyFill="1" applyBorder="1" applyAlignment="1">
      <alignment horizontal="center" vertical="center" wrapText="1"/>
    </xf>
    <xf numFmtId="0" fontId="22" fillId="0" borderId="62" xfId="1773" applyNumberFormat="1" applyFont="1" applyFill="1" applyBorder="1"/>
    <xf numFmtId="1" fontId="22" fillId="0" borderId="62" xfId="1773" applyNumberFormat="1" applyFont="1" applyFill="1" applyBorder="1" applyAlignment="1" applyProtection="1">
      <alignment horizontal="center"/>
      <protection locked="0"/>
    </xf>
    <xf numFmtId="3" fontId="22" fillId="0" borderId="62" xfId="1773" applyNumberFormat="1" applyFont="1" applyFill="1" applyBorder="1" applyAlignment="1" applyProtection="1">
      <alignment horizontal="center"/>
      <protection locked="0"/>
    </xf>
    <xf numFmtId="169" fontId="22" fillId="0" borderId="62" xfId="1773" applyNumberFormat="1" applyFont="1" applyFill="1" applyBorder="1" applyProtection="1">
      <protection locked="0"/>
    </xf>
    <xf numFmtId="0" fontId="22" fillId="0" borderId="62" xfId="1773" applyNumberFormat="1" applyFont="1" applyFill="1" applyBorder="1" applyAlignment="1">
      <alignment horizontal="center"/>
    </xf>
    <xf numFmtId="9" fontId="0" fillId="0" borderId="62" xfId="3982" applyFont="1" applyFill="1" applyBorder="1"/>
    <xf numFmtId="209" fontId="0" fillId="0" borderId="62" xfId="3982" applyNumberFormat="1" applyFont="1" applyFill="1" applyBorder="1"/>
    <xf numFmtId="44" fontId="0" fillId="0" borderId="62" xfId="1079" applyFont="1" applyFill="1" applyBorder="1"/>
    <xf numFmtId="2" fontId="0" fillId="0" borderId="62" xfId="762" applyNumberFormat="1" applyFont="1" applyFill="1" applyBorder="1" applyAlignment="1">
      <alignment horizontal="center"/>
    </xf>
    <xf numFmtId="4" fontId="22" fillId="0" borderId="62" xfId="1773" applyNumberFormat="1" applyFont="1" applyFill="1" applyBorder="1"/>
    <xf numFmtId="2" fontId="22" fillId="0" borderId="0" xfId="1773" applyNumberFormat="1" applyFont="1" applyFill="1" applyAlignment="1">
      <alignment horizontal="center"/>
    </xf>
    <xf numFmtId="9" fontId="22" fillId="0" borderId="0" xfId="1773" applyNumberFormat="1" applyFont="1" applyFill="1"/>
    <xf numFmtId="0" fontId="231" fillId="101" borderId="159" xfId="1773" applyNumberFormat="1" applyFont="1" applyFill="1" applyBorder="1" applyAlignment="1">
      <alignment horizontal="center" vertical="center" wrapText="1"/>
    </xf>
    <xf numFmtId="283" fontId="231" fillId="101" borderId="159" xfId="1768" applyNumberFormat="1" applyFont="1" applyFill="1" applyBorder="1" applyAlignment="1">
      <alignment horizontal="center" vertical="center" wrapText="1"/>
    </xf>
    <xf numFmtId="2" fontId="231" fillId="101" borderId="159" xfId="762" applyNumberFormat="1" applyFont="1" applyFill="1" applyBorder="1" applyAlignment="1">
      <alignment horizontal="center" vertical="center" wrapText="1"/>
    </xf>
    <xf numFmtId="2" fontId="231" fillId="101" borderId="159" xfId="1773" applyNumberFormat="1" applyFont="1" applyFill="1" applyBorder="1" applyAlignment="1">
      <alignment horizontal="center" vertical="center" wrapText="1"/>
    </xf>
    <xf numFmtId="9" fontId="231" fillId="101" borderId="159" xfId="1773" applyNumberFormat="1" applyFont="1" applyFill="1" applyBorder="1" applyAlignment="1">
      <alignment horizontal="center" vertical="center" wrapText="1"/>
    </xf>
    <xf numFmtId="0" fontId="233" fillId="101" borderId="159" xfId="1768" applyNumberFormat="1" applyFont="1" applyFill="1" applyBorder="1" applyAlignment="1">
      <alignment horizontal="center" vertical="center" wrapText="1"/>
    </xf>
    <xf numFmtId="1" fontId="231" fillId="103" borderId="159" xfId="1773" applyNumberFormat="1" applyFont="1" applyFill="1" applyBorder="1" applyAlignment="1">
      <alignment horizontal="center" vertical="center"/>
    </xf>
    <xf numFmtId="0" fontId="22" fillId="33" borderId="159" xfId="1773" applyNumberFormat="1" applyFont="1" applyFill="1" applyBorder="1"/>
    <xf numFmtId="0" fontId="22" fillId="33" borderId="159" xfId="1773" applyNumberFormat="1" applyFont="1" applyFill="1" applyBorder="1" applyAlignment="1">
      <alignment horizontal="center"/>
    </xf>
    <xf numFmtId="2" fontId="0" fillId="33" borderId="159" xfId="762" applyNumberFormat="1" applyFont="1" applyFill="1" applyBorder="1" applyAlignment="1">
      <alignment horizontal="center"/>
    </xf>
    <xf numFmtId="2" fontId="22" fillId="33" borderId="159" xfId="1773" applyNumberFormat="1" applyFont="1" applyFill="1" applyBorder="1" applyAlignment="1">
      <alignment horizontal="center"/>
    </xf>
    <xf numFmtId="9" fontId="22" fillId="33" borderId="159" xfId="1773" applyNumberFormat="1" applyFont="1" applyFill="1" applyBorder="1" applyAlignment="1">
      <alignment horizontal="center"/>
    </xf>
    <xf numFmtId="283" fontId="22" fillId="88" borderId="78" xfId="1773" applyNumberFormat="1" applyFont="1" applyFill="1" applyBorder="1"/>
    <xf numFmtId="283" fontId="22" fillId="88" borderId="12" xfId="1773" applyNumberFormat="1" applyFont="1" applyFill="1" applyBorder="1"/>
    <xf numFmtId="283" fontId="22" fillId="88" borderId="79" xfId="1773" applyNumberFormat="1" applyFont="1" applyFill="1" applyBorder="1"/>
    <xf numFmtId="3" fontId="1" fillId="0" borderId="0" xfId="3306" applyNumberFormat="1" applyProtection="1">
      <protection locked="0"/>
    </xf>
    <xf numFmtId="43" fontId="1" fillId="0" borderId="0" xfId="3306" applyNumberFormat="1" applyProtection="1">
      <protection locked="0"/>
    </xf>
    <xf numFmtId="10" fontId="1" fillId="0" borderId="0" xfId="3306" applyNumberFormat="1" applyProtection="1">
      <protection locked="0"/>
    </xf>
    <xf numFmtId="3" fontId="195" fillId="0" borderId="0" xfId="0" applyNumberFormat="1" applyFont="1"/>
    <xf numFmtId="171" fontId="195" fillId="0" borderId="0" xfId="0" applyNumberFormat="1" applyFont="1"/>
    <xf numFmtId="172" fontId="0" fillId="0" borderId="0" xfId="0" applyNumberFormat="1" applyFill="1"/>
    <xf numFmtId="3" fontId="0" fillId="0" borderId="0" xfId="0" applyNumberFormat="1" applyFill="1"/>
    <xf numFmtId="209" fontId="0" fillId="0" borderId="0" xfId="0" applyNumberFormat="1" applyFill="1"/>
    <xf numFmtId="0" fontId="0" fillId="0" borderId="0" xfId="0" applyFill="1" applyAlignment="1"/>
    <xf numFmtId="0" fontId="0" fillId="0" borderId="0" xfId="0" applyAlignment="1">
      <alignment vertical="top" wrapText="1"/>
    </xf>
    <xf numFmtId="0" fontId="0" fillId="0" borderId="163" xfId="0" applyBorder="1" applyAlignment="1">
      <alignment horizontal="center"/>
    </xf>
    <xf numFmtId="0" fontId="0" fillId="0" borderId="164" xfId="0" applyBorder="1" applyAlignment="1">
      <alignment horizontal="center"/>
    </xf>
    <xf numFmtId="0" fontId="0" fillId="0" borderId="13" xfId="0" applyBorder="1" applyAlignment="1">
      <alignment horizontal="center"/>
    </xf>
    <xf numFmtId="10" fontId="0" fillId="0" borderId="164" xfId="0" applyNumberFormat="1" applyBorder="1" applyAlignment="1">
      <alignment horizontal="center"/>
    </xf>
    <xf numFmtId="3" fontId="0" fillId="87" borderId="163" xfId="0" applyNumberFormat="1" applyFill="1" applyBorder="1"/>
    <xf numFmtId="3" fontId="0" fillId="87" borderId="164" xfId="0" applyNumberFormat="1" applyFill="1" applyBorder="1"/>
    <xf numFmtId="3" fontId="0" fillId="0" borderId="164" xfId="0" applyNumberFormat="1" applyBorder="1"/>
    <xf numFmtId="0" fontId="0" fillId="87" borderId="163" xfId="0" applyFill="1" applyBorder="1"/>
    <xf numFmtId="0" fontId="0" fillId="87" borderId="13" xfId="0" applyFill="1" applyBorder="1"/>
    <xf numFmtId="0" fontId="0" fillId="87" borderId="164" xfId="0" applyFill="1" applyBorder="1"/>
    <xf numFmtId="284" fontId="0" fillId="0" borderId="163" xfId="0" applyNumberFormat="1" applyBorder="1"/>
    <xf numFmtId="284" fontId="0" fillId="0" borderId="13" xfId="0" applyNumberFormat="1" applyBorder="1"/>
    <xf numFmtId="284" fontId="0" fillId="0" borderId="164" xfId="0" applyNumberFormat="1" applyBorder="1"/>
    <xf numFmtId="0" fontId="0" fillId="0" borderId="13" xfId="0" applyBorder="1"/>
    <xf numFmtId="3" fontId="0" fillId="0" borderId="13" xfId="0" applyNumberFormat="1" applyBorder="1"/>
    <xf numFmtId="3" fontId="0" fillId="0" borderId="163" xfId="0" applyNumberFormat="1" applyBorder="1"/>
    <xf numFmtId="0" fontId="0" fillId="0" borderId="163" xfId="0" applyBorder="1"/>
    <xf numFmtId="10" fontId="0" fillId="87" borderId="164" xfId="0" applyNumberFormat="1" applyFill="1" applyBorder="1"/>
    <xf numFmtId="0" fontId="1" fillId="0" borderId="0" xfId="3306" applyFont="1" applyAlignment="1" applyProtection="1">
      <alignment horizontal="left" vertical="top" wrapText="1"/>
      <protection locked="0"/>
    </xf>
    <xf numFmtId="0" fontId="0" fillId="0" borderId="0" xfId="3306" applyFont="1" applyAlignment="1" applyProtection="1">
      <alignment horizontal="left" vertical="top" wrapText="1"/>
      <protection locked="0"/>
    </xf>
    <xf numFmtId="0" fontId="232" fillId="103" borderId="78" xfId="1773" applyNumberFormat="1" applyFont="1" applyFill="1" applyBorder="1" applyAlignment="1"/>
    <xf numFmtId="0" fontId="232" fillId="103" borderId="165" xfId="1773" applyNumberFormat="1" applyFont="1" applyFill="1" applyBorder="1" applyAlignment="1"/>
    <xf numFmtId="0" fontId="195" fillId="34" borderId="0" xfId="0" applyFont="1" applyFill="1"/>
    <xf numFmtId="0" fontId="234" fillId="0" borderId="0" xfId="0" applyFont="1" applyAlignment="1">
      <alignment horizontal="center"/>
    </xf>
    <xf numFmtId="0" fontId="234" fillId="0" borderId="0" xfId="0" applyFont="1"/>
    <xf numFmtId="0" fontId="0" fillId="0" borderId="165" xfId="0" applyBorder="1"/>
    <xf numFmtId="172" fontId="0" fillId="0" borderId="0" xfId="0" applyNumberFormat="1"/>
    <xf numFmtId="0" fontId="235" fillId="0" borderId="0" xfId="1734" applyFont="1" applyAlignment="1">
      <alignment vertical="top"/>
    </xf>
    <xf numFmtId="0" fontId="22" fillId="0" borderId="0" xfId="1734" applyAlignment="1">
      <alignment vertical="top"/>
    </xf>
    <xf numFmtId="0" fontId="22" fillId="0" borderId="0" xfId="1734" applyFill="1" applyBorder="1" applyAlignment="1">
      <alignment vertical="top"/>
    </xf>
    <xf numFmtId="0" fontId="22" fillId="0" borderId="0" xfId="1734" applyBorder="1" applyAlignment="1">
      <alignment vertical="top"/>
    </xf>
    <xf numFmtId="0" fontId="22" fillId="0" borderId="0" xfId="1734" applyFill="1" applyAlignment="1">
      <alignment vertical="top"/>
    </xf>
    <xf numFmtId="0" fontId="236" fillId="0" borderId="0" xfId="1734" applyFont="1" applyAlignment="1">
      <alignment vertical="top"/>
    </xf>
    <xf numFmtId="0" fontId="22" fillId="0" borderId="0" xfId="1734" applyFill="1" applyBorder="1"/>
    <xf numFmtId="0" fontId="180" fillId="0" borderId="0" xfId="1734" applyFont="1"/>
    <xf numFmtId="0" fontId="236" fillId="0" borderId="0" xfId="1734" applyFont="1" applyFill="1" applyBorder="1" applyAlignment="1">
      <alignment vertical="top"/>
    </xf>
    <xf numFmtId="0" fontId="91" fillId="0" borderId="0" xfId="1734" applyFont="1" applyFill="1" applyBorder="1" applyAlignment="1">
      <alignment vertical="top"/>
    </xf>
    <xf numFmtId="0" fontId="41" fillId="67" borderId="159" xfId="1734" applyFont="1" applyFill="1" applyBorder="1" applyAlignment="1">
      <alignment vertical="top"/>
    </xf>
    <xf numFmtId="0" fontId="41" fillId="67" borderId="159" xfId="1734" applyFont="1" applyFill="1" applyBorder="1" applyAlignment="1">
      <alignment vertical="top" wrapText="1"/>
    </xf>
    <xf numFmtId="0" fontId="180" fillId="0" borderId="0" xfId="1734" applyNumberFormat="1" applyFont="1" applyAlignment="1">
      <alignment vertical="top"/>
    </xf>
    <xf numFmtId="0" fontId="22" fillId="0" borderId="64" xfId="1734" applyFill="1" applyBorder="1"/>
    <xf numFmtId="0" fontId="22" fillId="0" borderId="65" xfId="1734" applyFill="1" applyBorder="1"/>
    <xf numFmtId="0" fontId="22" fillId="0" borderId="66" xfId="1734" applyFill="1" applyBorder="1"/>
    <xf numFmtId="171" fontId="22" fillId="0" borderId="64" xfId="1734" applyNumberFormat="1" applyFont="1" applyFill="1" applyBorder="1" applyAlignment="1">
      <alignment vertical="top"/>
    </xf>
    <xf numFmtId="171" fontId="22" fillId="0" borderId="65" xfId="1734" applyNumberFormat="1" applyFont="1" applyFill="1" applyBorder="1" applyAlignment="1">
      <alignment vertical="top"/>
    </xf>
    <xf numFmtId="283" fontId="22" fillId="0" borderId="65" xfId="1734" applyNumberFormat="1" applyFont="1" applyFill="1" applyBorder="1" applyAlignment="1">
      <alignment vertical="top"/>
    </xf>
    <xf numFmtId="283" fontId="22" fillId="0" borderId="66" xfId="1734" applyNumberFormat="1" applyFont="1" applyFill="1" applyBorder="1" applyAlignment="1">
      <alignment vertical="top"/>
    </xf>
    <xf numFmtId="0" fontId="22" fillId="86" borderId="67" xfId="1734" applyFill="1" applyBorder="1"/>
    <xf numFmtId="0" fontId="22" fillId="86" borderId="68" xfId="1734" applyFill="1" applyBorder="1"/>
    <xf numFmtId="0" fontId="22" fillId="86" borderId="69" xfId="1734" applyFill="1" applyBorder="1"/>
    <xf numFmtId="171" fontId="22" fillId="86" borderId="67" xfId="1734" applyNumberFormat="1" applyFont="1" applyFill="1" applyBorder="1" applyAlignment="1">
      <alignment vertical="top"/>
    </xf>
    <xf numFmtId="171" fontId="22" fillId="86" borderId="68" xfId="1734" applyNumberFormat="1" applyFont="1" applyFill="1" applyBorder="1" applyAlignment="1">
      <alignment vertical="top"/>
    </xf>
    <xf numFmtId="283" fontId="22" fillId="86" borderId="68" xfId="1734" applyNumberFormat="1" applyFont="1" applyFill="1" applyBorder="1" applyAlignment="1">
      <alignment vertical="top"/>
    </xf>
    <xf numFmtId="283" fontId="22" fillId="86" borderId="69" xfId="1734" applyNumberFormat="1" applyFont="1" applyFill="1" applyBorder="1" applyAlignment="1">
      <alignment vertical="top"/>
    </xf>
    <xf numFmtId="0" fontId="22" fillId="0" borderId="67" xfId="1734" applyFill="1" applyBorder="1"/>
    <xf numFmtId="0" fontId="22" fillId="0" borderId="68" xfId="1734" applyFill="1" applyBorder="1"/>
    <xf numFmtId="0" fontId="22" fillId="0" borderId="69" xfId="1734" applyFill="1" applyBorder="1"/>
    <xf numFmtId="171" fontId="22" fillId="0" borderId="67" xfId="1734" applyNumberFormat="1" applyFont="1" applyFill="1" applyBorder="1" applyAlignment="1">
      <alignment vertical="top"/>
    </xf>
    <xf numFmtId="171" fontId="22" fillId="0" borderId="68" xfId="1734" applyNumberFormat="1" applyFont="1" applyFill="1" applyBorder="1" applyAlignment="1">
      <alignment vertical="top"/>
    </xf>
    <xf numFmtId="283" fontId="22" fillId="0" borderId="68" xfId="1734" applyNumberFormat="1" applyFont="1" applyFill="1" applyBorder="1" applyAlignment="1">
      <alignment vertical="top"/>
    </xf>
    <xf numFmtId="283" fontId="22" fillId="0" borderId="69" xfId="1734" applyNumberFormat="1" applyFont="1" applyFill="1" applyBorder="1" applyAlignment="1">
      <alignment vertical="top"/>
    </xf>
    <xf numFmtId="0" fontId="22" fillId="0" borderId="70" xfId="1734" applyFill="1" applyBorder="1"/>
    <xf numFmtId="0" fontId="22" fillId="0" borderId="71" xfId="1734" applyFill="1" applyBorder="1"/>
    <xf numFmtId="0" fontId="22" fillId="0" borderId="72" xfId="1734" applyFill="1" applyBorder="1"/>
    <xf numFmtId="171" fontId="22" fillId="0" borderId="70" xfId="1734" applyNumberFormat="1" applyFont="1" applyFill="1" applyBorder="1" applyAlignment="1">
      <alignment vertical="top"/>
    </xf>
    <xf numFmtId="171" fontId="22" fillId="0" borderId="71" xfId="1734" applyNumberFormat="1" applyFont="1" applyFill="1" applyBorder="1" applyAlignment="1">
      <alignment vertical="top"/>
    </xf>
    <xf numFmtId="283" fontId="22" fillId="0" borderId="71" xfId="1734" applyNumberFormat="1" applyFont="1" applyFill="1" applyBorder="1" applyAlignment="1">
      <alignment vertical="top"/>
    </xf>
    <xf numFmtId="283" fontId="22" fillId="0" borderId="72" xfId="1734" applyNumberFormat="1" applyFont="1" applyFill="1" applyBorder="1" applyAlignment="1">
      <alignment vertical="top"/>
    </xf>
    <xf numFmtId="0" fontId="22" fillId="86" borderId="64" xfId="1734" applyFill="1" applyBorder="1"/>
    <xf numFmtId="0" fontId="22" fillId="86" borderId="65" xfId="1734" applyFill="1" applyBorder="1"/>
    <xf numFmtId="0" fontId="22" fillId="86" borderId="66" xfId="1734" applyFill="1" applyBorder="1"/>
    <xf numFmtId="171" fontId="22" fillId="86" borderId="64" xfId="1734" applyNumberFormat="1" applyFont="1" applyFill="1" applyBorder="1" applyAlignment="1">
      <alignment vertical="top"/>
    </xf>
    <xf numFmtId="171" fontId="22" fillId="86" borderId="65" xfId="1734" applyNumberFormat="1" applyFont="1" applyFill="1" applyBorder="1" applyAlignment="1">
      <alignment vertical="top"/>
    </xf>
    <xf numFmtId="283" fontId="22" fillId="86" borderId="65" xfId="1734" applyNumberFormat="1" applyFont="1" applyFill="1" applyBorder="1" applyAlignment="1">
      <alignment vertical="top"/>
    </xf>
    <xf numFmtId="283" fontId="22" fillId="86" borderId="66" xfId="1734" applyNumberFormat="1" applyFont="1" applyFill="1" applyBorder="1" applyAlignment="1">
      <alignment vertical="top"/>
    </xf>
    <xf numFmtId="0" fontId="237" fillId="0" borderId="68" xfId="1734" applyFont="1" applyFill="1" applyBorder="1"/>
    <xf numFmtId="0" fontId="22" fillId="86" borderId="70" xfId="1734" applyFill="1" applyBorder="1"/>
    <xf numFmtId="0" fontId="22" fillId="86" borderId="71" xfId="1734" applyFill="1" applyBorder="1"/>
    <xf numFmtId="0" fontId="22" fillId="86" borderId="72" xfId="1734" applyFill="1" applyBorder="1"/>
    <xf numFmtId="171" fontId="22" fillId="86" borderId="70" xfId="1734" applyNumberFormat="1" applyFont="1" applyFill="1" applyBorder="1" applyAlignment="1">
      <alignment vertical="top"/>
    </xf>
    <xf numFmtId="171" fontId="22" fillId="86" borderId="71" xfId="1734" applyNumberFormat="1" applyFont="1" applyFill="1" applyBorder="1" applyAlignment="1">
      <alignment vertical="top"/>
    </xf>
    <xf numFmtId="283" fontId="22" fillId="86" borderId="71" xfId="1734" applyNumberFormat="1" applyFont="1" applyFill="1" applyBorder="1" applyAlignment="1">
      <alignment vertical="top"/>
    </xf>
    <xf numFmtId="283" fontId="22" fillId="86" borderId="72" xfId="1734" applyNumberFormat="1" applyFont="1" applyFill="1" applyBorder="1" applyAlignment="1">
      <alignment vertical="top"/>
    </xf>
    <xf numFmtId="0" fontId="237" fillId="86" borderId="68" xfId="1734" applyFont="1" applyFill="1" applyBorder="1"/>
    <xf numFmtId="0" fontId="22" fillId="0" borderId="73" xfId="1734" applyFill="1" applyBorder="1"/>
    <xf numFmtId="0" fontId="22" fillId="0" borderId="74" xfId="1734" applyFill="1" applyBorder="1"/>
    <xf numFmtId="0" fontId="22" fillId="0" borderId="75" xfId="1734" applyFill="1" applyBorder="1"/>
    <xf numFmtId="171" fontId="22" fillId="0" borderId="76" xfId="1734" applyNumberFormat="1" applyFont="1" applyFill="1" applyBorder="1" applyAlignment="1">
      <alignment vertical="top"/>
    </xf>
    <xf numFmtId="171" fontId="22" fillId="0" borderId="77" xfId="1734" applyNumberFormat="1" applyFont="1" applyFill="1" applyBorder="1" applyAlignment="1">
      <alignment vertical="top"/>
    </xf>
    <xf numFmtId="283" fontId="22" fillId="0" borderId="77" xfId="1734" applyNumberFormat="1" applyFont="1" applyFill="1" applyBorder="1" applyAlignment="1">
      <alignment vertical="top"/>
    </xf>
    <xf numFmtId="283" fontId="22" fillId="0" borderId="111" xfId="1734" applyNumberFormat="1" applyFont="1" applyFill="1" applyBorder="1" applyAlignment="1">
      <alignment vertical="top"/>
    </xf>
    <xf numFmtId="0" fontId="41" fillId="67" borderId="160" xfId="1734" applyFont="1" applyFill="1" applyBorder="1" applyAlignment="1">
      <alignment vertical="top"/>
    </xf>
    <xf numFmtId="0" fontId="41" fillId="67" borderId="162" xfId="1734" applyFont="1" applyFill="1" applyBorder="1" applyAlignment="1">
      <alignment vertical="top"/>
    </xf>
    <xf numFmtId="0" fontId="41" fillId="67" borderId="161" xfId="1734" applyFont="1" applyFill="1" applyBorder="1" applyAlignment="1">
      <alignment vertical="top"/>
    </xf>
    <xf numFmtId="4" fontId="41" fillId="67" borderId="159" xfId="1734" applyNumberFormat="1" applyFont="1" applyFill="1" applyBorder="1" applyAlignment="1">
      <alignment vertical="top"/>
    </xf>
    <xf numFmtId="0" fontId="41" fillId="0" borderId="0" xfId="1734" applyFont="1" applyFill="1" applyBorder="1" applyAlignment="1">
      <alignment vertical="top"/>
    </xf>
    <xf numFmtId="4" fontId="41" fillId="0" borderId="0" xfId="1734" applyNumberFormat="1" applyFont="1" applyFill="1" applyBorder="1" applyAlignment="1">
      <alignment vertical="top"/>
    </xf>
    <xf numFmtId="0" fontId="22" fillId="67" borderId="162" xfId="1734" applyFill="1" applyBorder="1" applyAlignment="1">
      <alignment vertical="top"/>
    </xf>
    <xf numFmtId="0" fontId="22" fillId="67" borderId="161" xfId="1734" applyFill="1" applyBorder="1" applyAlignment="1">
      <alignment vertical="top"/>
    </xf>
    <xf numFmtId="0" fontId="238" fillId="0" borderId="0" xfId="1734" applyFont="1" applyAlignment="1">
      <alignment vertical="top"/>
    </xf>
    <xf numFmtId="0" fontId="238" fillId="0" borderId="0" xfId="1734" applyFont="1" applyFill="1" applyBorder="1" applyAlignment="1">
      <alignment vertical="top"/>
    </xf>
    <xf numFmtId="0" fontId="238" fillId="0" borderId="0" xfId="1734" applyFont="1" applyBorder="1" applyAlignment="1">
      <alignment vertical="top"/>
    </xf>
    <xf numFmtId="0" fontId="238" fillId="0" borderId="0" xfId="1734" applyFont="1" applyFill="1" applyAlignment="1">
      <alignment vertical="top"/>
    </xf>
    <xf numFmtId="3" fontId="22" fillId="0" borderId="64" xfId="1734" applyNumberFormat="1" applyFont="1" applyFill="1" applyBorder="1" applyAlignment="1">
      <alignment vertical="top"/>
    </xf>
    <xf numFmtId="3" fontId="22" fillId="0" borderId="65" xfId="1734" quotePrefix="1" applyNumberFormat="1" applyFont="1" applyFill="1" applyBorder="1" applyAlignment="1">
      <alignment vertical="top"/>
    </xf>
    <xf numFmtId="3" fontId="22" fillId="0" borderId="65" xfId="1734" applyNumberFormat="1" applyFont="1" applyFill="1" applyBorder="1" applyAlignment="1">
      <alignment vertical="top"/>
    </xf>
    <xf numFmtId="3" fontId="22" fillId="0" borderId="66" xfId="1734" applyNumberFormat="1" applyFont="1" applyFill="1" applyBorder="1" applyAlignment="1">
      <alignment vertical="top"/>
    </xf>
    <xf numFmtId="3" fontId="22" fillId="86" borderId="67" xfId="1734" applyNumberFormat="1" applyFont="1" applyFill="1" applyBorder="1" applyAlignment="1">
      <alignment vertical="top"/>
    </xf>
    <xf numFmtId="3" fontId="22" fillId="86" borderId="68" xfId="1734" applyNumberFormat="1" applyFont="1" applyFill="1" applyBorder="1" applyAlignment="1">
      <alignment vertical="top"/>
    </xf>
    <xf numFmtId="3" fontId="22" fillId="86" borderId="69" xfId="1734" applyNumberFormat="1" applyFont="1" applyFill="1" applyBorder="1" applyAlignment="1">
      <alignment vertical="top"/>
    </xf>
    <xf numFmtId="3" fontId="22" fillId="0" borderId="67" xfId="1734" applyNumberFormat="1" applyFont="1" applyFill="1" applyBorder="1" applyAlignment="1">
      <alignment vertical="top"/>
    </xf>
    <xf numFmtId="3" fontId="22" fillId="0" borderId="68" xfId="1734" applyNumberFormat="1" applyFont="1" applyFill="1" applyBorder="1" applyAlignment="1">
      <alignment vertical="top"/>
    </xf>
    <xf numFmtId="3" fontId="22" fillId="0" borderId="69" xfId="1734" applyNumberFormat="1" applyFont="1" applyFill="1" applyBorder="1" applyAlignment="1">
      <alignment vertical="top"/>
    </xf>
    <xf numFmtId="3" fontId="22" fillId="0" borderId="70" xfId="1734" applyNumberFormat="1" applyFont="1" applyFill="1" applyBorder="1" applyAlignment="1">
      <alignment vertical="top"/>
    </xf>
    <xf numFmtId="3" fontId="22" fillId="0" borderId="71" xfId="1734" applyNumberFormat="1" applyFont="1" applyFill="1" applyBorder="1" applyAlignment="1">
      <alignment vertical="top"/>
    </xf>
    <xf numFmtId="3" fontId="22" fillId="0" borderId="72" xfId="1734" applyNumberFormat="1" applyFont="1" applyFill="1" applyBorder="1" applyAlignment="1">
      <alignment vertical="top"/>
    </xf>
    <xf numFmtId="3" fontId="22" fillId="86" borderId="64" xfId="1734" applyNumberFormat="1" applyFont="1" applyFill="1" applyBorder="1" applyAlignment="1">
      <alignment vertical="top"/>
    </xf>
    <xf numFmtId="3" fontId="22" fillId="86" borderId="65" xfId="1734" applyNumberFormat="1" applyFont="1" applyFill="1" applyBorder="1" applyAlignment="1">
      <alignment vertical="top"/>
    </xf>
    <xf numFmtId="3" fontId="22" fillId="86" borderId="66" xfId="1734" applyNumberFormat="1" applyFont="1" applyFill="1" applyBorder="1" applyAlignment="1">
      <alignment vertical="top"/>
    </xf>
    <xf numFmtId="3" fontId="22" fillId="86" borderId="70" xfId="1734" applyNumberFormat="1" applyFont="1" applyFill="1" applyBorder="1" applyAlignment="1">
      <alignment vertical="top"/>
    </xf>
    <xf numFmtId="3" fontId="22" fillId="86" borderId="71" xfId="1734" applyNumberFormat="1" applyFont="1" applyFill="1" applyBorder="1" applyAlignment="1">
      <alignment vertical="top"/>
    </xf>
    <xf numFmtId="3" fontId="22" fillId="86" borderId="72" xfId="1734" applyNumberFormat="1" applyFont="1" applyFill="1" applyBorder="1" applyAlignment="1">
      <alignment vertical="top"/>
    </xf>
    <xf numFmtId="3" fontId="22" fillId="0" borderId="73" xfId="1734" applyNumberFormat="1" applyFont="1" applyFill="1" applyBorder="1" applyAlignment="1">
      <alignment vertical="top"/>
    </xf>
    <xf numFmtId="3" fontId="22" fillId="0" borderId="74" xfId="1734" applyNumberFormat="1" applyFont="1" applyFill="1" applyBorder="1" applyAlignment="1">
      <alignment vertical="top"/>
    </xf>
    <xf numFmtId="3" fontId="22" fillId="0" borderId="75" xfId="1734" applyNumberFormat="1" applyFont="1" applyFill="1" applyBorder="1" applyAlignment="1">
      <alignment vertical="top"/>
    </xf>
    <xf numFmtId="3" fontId="41" fillId="67" borderId="159" xfId="1734" applyNumberFormat="1" applyFont="1" applyFill="1" applyBorder="1" applyAlignment="1">
      <alignment vertical="top"/>
    </xf>
    <xf numFmtId="3" fontId="22" fillId="0" borderId="0" xfId="1734" applyNumberFormat="1" applyBorder="1" applyAlignment="1">
      <alignment vertical="top"/>
    </xf>
    <xf numFmtId="3" fontId="41" fillId="0" borderId="0" xfId="1734" applyNumberFormat="1" applyFont="1" applyFill="1" applyBorder="1" applyAlignment="1">
      <alignment vertical="top"/>
    </xf>
    <xf numFmtId="283" fontId="22" fillId="0" borderId="64" xfId="1734" applyNumberFormat="1" applyFont="1" applyFill="1" applyBorder="1" applyAlignment="1">
      <alignment vertical="top"/>
    </xf>
    <xf numFmtId="283" fontId="22" fillId="0" borderId="65" xfId="1734" quotePrefix="1" applyNumberFormat="1" applyFont="1" applyFill="1" applyBorder="1" applyAlignment="1">
      <alignment vertical="top"/>
    </xf>
    <xf numFmtId="283" fontId="22" fillId="86" borderId="67" xfId="1734" applyNumberFormat="1" applyFont="1" applyFill="1" applyBorder="1" applyAlignment="1">
      <alignment vertical="top"/>
    </xf>
    <xf numFmtId="283" fontId="22" fillId="0" borderId="67" xfId="1734" applyNumberFormat="1" applyFont="1" applyFill="1" applyBorder="1" applyAlignment="1">
      <alignment vertical="top"/>
    </xf>
    <xf numFmtId="283" fontId="22" fillId="0" borderId="70" xfId="1734" applyNumberFormat="1" applyFont="1" applyFill="1" applyBorder="1" applyAlignment="1">
      <alignment vertical="top"/>
    </xf>
    <xf numFmtId="283" fontId="22" fillId="86" borderId="64" xfId="1734" applyNumberFormat="1" applyFont="1" applyFill="1" applyBorder="1" applyAlignment="1">
      <alignment vertical="top"/>
    </xf>
    <xf numFmtId="283" fontId="22" fillId="86" borderId="70" xfId="1734" applyNumberFormat="1" applyFont="1" applyFill="1" applyBorder="1" applyAlignment="1">
      <alignment vertical="top"/>
    </xf>
    <xf numFmtId="283" fontId="22" fillId="0" borderId="73" xfId="1734" applyNumberFormat="1" applyFont="1" applyFill="1" applyBorder="1" applyAlignment="1">
      <alignment vertical="top"/>
    </xf>
    <xf numFmtId="283" fontId="22" fillId="0" borderId="74" xfId="1734" applyNumberFormat="1" applyFont="1" applyFill="1" applyBorder="1" applyAlignment="1">
      <alignment vertical="top"/>
    </xf>
    <xf numFmtId="283" fontId="22" fillId="0" borderId="75" xfId="1734" applyNumberFormat="1" applyFont="1" applyFill="1" applyBorder="1" applyAlignment="1">
      <alignment vertical="top"/>
    </xf>
    <xf numFmtId="0" fontId="180" fillId="0" borderId="165" xfId="1734" applyNumberFormat="1" applyFont="1" applyBorder="1" applyAlignment="1">
      <alignment vertical="top"/>
    </xf>
    <xf numFmtId="0" fontId="234" fillId="91" borderId="0" xfId="0" applyFont="1" applyFill="1" applyAlignment="1">
      <alignment horizontal="center"/>
    </xf>
    <xf numFmtId="0" fontId="0" fillId="91" borderId="0" xfId="0" applyFill="1"/>
    <xf numFmtId="9" fontId="0" fillId="91" borderId="0" xfId="0" applyNumberFormat="1" applyFill="1"/>
    <xf numFmtId="0" fontId="0" fillId="91" borderId="0" xfId="0" applyFill="1" applyAlignment="1">
      <alignment horizontal="center"/>
    </xf>
    <xf numFmtId="288" fontId="0" fillId="91" borderId="0" xfId="0" applyNumberFormat="1" applyFill="1"/>
    <xf numFmtId="0" fontId="0" fillId="0" borderId="0" xfId="0" pivotButton="1"/>
    <xf numFmtId="0" fontId="15" fillId="0" borderId="0" xfId="0" applyFont="1" applyAlignment="1">
      <alignment horizontal="center"/>
    </xf>
    <xf numFmtId="0" fontId="0" fillId="0" borderId="0" xfId="0" applyFill="1" applyBorder="1" applyAlignment="1">
      <alignment horizontal="left"/>
    </xf>
    <xf numFmtId="0" fontId="0" fillId="0" borderId="0" xfId="0" applyFont="1" applyAlignment="1">
      <alignment horizontal="left"/>
    </xf>
    <xf numFmtId="0" fontId="0" fillId="0" borderId="0" xfId="0" applyFill="1" applyAlignment="1">
      <alignment horizontal="left"/>
    </xf>
    <xf numFmtId="0" fontId="15" fillId="0" borderId="0" xfId="0" applyFont="1" applyAlignment="1">
      <alignment horizontal="center"/>
    </xf>
    <xf numFmtId="0" fontId="0" fillId="92" borderId="0" xfId="0" applyFill="1" applyAlignment="1">
      <alignment horizontal="center"/>
    </xf>
    <xf numFmtId="0" fontId="0" fillId="92" borderId="0" xfId="0" applyFill="1" applyAlignment="1">
      <alignment horizontal="right"/>
    </xf>
    <xf numFmtId="0" fontId="0" fillId="90" borderId="0" xfId="0" applyFill="1" applyAlignment="1">
      <alignment horizontal="right"/>
    </xf>
    <xf numFmtId="0" fontId="0" fillId="92" borderId="0" xfId="0" applyFill="1"/>
    <xf numFmtId="4" fontId="0" fillId="0" borderId="0" xfId="0" applyNumberFormat="1" applyAlignment="1">
      <alignment horizontal="center"/>
    </xf>
    <xf numFmtId="4" fontId="0" fillId="92" borderId="0" xfId="0" applyNumberFormat="1" applyFill="1"/>
    <xf numFmtId="4" fontId="15" fillId="0" borderId="0" xfId="0" applyNumberFormat="1" applyFont="1" applyAlignment="1">
      <alignment horizontal="center"/>
    </xf>
    <xf numFmtId="4" fontId="0" fillId="0" borderId="0" xfId="0" applyNumberFormat="1" applyFont="1" applyAlignment="1">
      <alignment horizontal="center"/>
    </xf>
    <xf numFmtId="4" fontId="0" fillId="0" borderId="0" xfId="0" applyNumberFormat="1" applyFill="1"/>
    <xf numFmtId="0" fontId="1" fillId="0" borderId="0" xfId="3306" applyAlignment="1" applyProtection="1">
      <alignment wrapText="1"/>
      <protection locked="0"/>
    </xf>
    <xf numFmtId="175" fontId="200" fillId="0" borderId="0" xfId="7" applyNumberFormat="1" applyFont="1" applyAlignment="1">
      <alignment horizontal="right"/>
    </xf>
    <xf numFmtId="170" fontId="200" fillId="0" borderId="0" xfId="761" applyFont="1" applyAlignment="1">
      <alignment horizontal="right"/>
    </xf>
    <xf numFmtId="0" fontId="200" fillId="0" borderId="0" xfId="7" applyFont="1" applyAlignment="1">
      <alignment wrapText="1"/>
    </xf>
    <xf numFmtId="289" fontId="200" fillId="0" borderId="0" xfId="7" applyNumberFormat="1" applyFont="1" applyAlignment="1">
      <alignment horizontal="center"/>
    </xf>
    <xf numFmtId="0" fontId="200" fillId="0" borderId="0" xfId="7" applyFont="1"/>
    <xf numFmtId="175" fontId="41" fillId="0" borderId="0" xfId="7" applyNumberFormat="1" applyFont="1" applyAlignment="1">
      <alignment horizontal="right"/>
    </xf>
    <xf numFmtId="170" fontId="41" fillId="0" borderId="0" xfId="761" applyFont="1" applyAlignment="1">
      <alignment horizontal="right"/>
    </xf>
    <xf numFmtId="0" fontId="22" fillId="0" borderId="0" xfId="7" applyAlignment="1">
      <alignment wrapText="1"/>
    </xf>
    <xf numFmtId="289" fontId="22" fillId="0" borderId="0" xfId="7" applyNumberFormat="1" applyFont="1" applyAlignment="1">
      <alignment horizontal="center"/>
    </xf>
    <xf numFmtId="0" fontId="22" fillId="0" borderId="0" xfId="7"/>
    <xf numFmtId="170" fontId="41" fillId="0" borderId="0" xfId="761" applyFont="1"/>
    <xf numFmtId="0" fontId="22" fillId="0" borderId="0" xfId="7" applyFill="1"/>
    <xf numFmtId="0" fontId="153" fillId="104" borderId="0" xfId="5602" applyFont="1" applyFill="1" applyAlignment="1">
      <alignment horizontal="center" vertical="center" wrapText="1"/>
    </xf>
    <xf numFmtId="43" fontId="153" fillId="104" borderId="0" xfId="4788" applyFont="1" applyFill="1" applyAlignment="1">
      <alignment horizontal="center" vertical="center" wrapText="1"/>
    </xf>
    <xf numFmtId="175" fontId="22" fillId="105" borderId="0" xfId="7" applyNumberFormat="1" applyFill="1"/>
    <xf numFmtId="2" fontId="41" fillId="105" borderId="0" xfId="7" applyNumberFormat="1" applyFont="1" applyFill="1"/>
    <xf numFmtId="0" fontId="0" fillId="105" borderId="0" xfId="0" applyFill="1"/>
    <xf numFmtId="0" fontId="15" fillId="105" borderId="0" xfId="0" applyFont="1" applyFill="1" applyAlignment="1">
      <alignment horizontal="center"/>
    </xf>
    <xf numFmtId="0" fontId="22" fillId="105" borderId="0" xfId="7" applyFill="1" applyAlignment="1">
      <alignment horizontal="center" wrapText="1"/>
    </xf>
    <xf numFmtId="17" fontId="15" fillId="105" borderId="0" xfId="0" applyNumberFormat="1" applyFont="1" applyFill="1"/>
    <xf numFmtId="2" fontId="22" fillId="0" borderId="0" xfId="7" applyNumberFormat="1" applyAlignment="1">
      <alignment horizontal="right"/>
    </xf>
    <xf numFmtId="43" fontId="41" fillId="0" borderId="0" xfId="4788" applyFont="1" applyAlignment="1">
      <alignment horizontal="right"/>
    </xf>
    <xf numFmtId="0" fontId="41" fillId="0" borderId="0" xfId="0" applyFont="1"/>
    <xf numFmtId="175" fontId="41" fillId="0" borderId="0" xfId="7" applyNumberFormat="1" applyFont="1" applyAlignment="1">
      <alignment horizontal="right" vertical="center"/>
    </xf>
    <xf numFmtId="43" fontId="41" fillId="0" borderId="0" xfId="4788" applyFont="1" applyAlignment="1">
      <alignment horizontal="right" vertical="center"/>
    </xf>
    <xf numFmtId="0" fontId="22" fillId="0" borderId="0" xfId="7" applyAlignment="1">
      <alignment vertical="center" wrapText="1"/>
    </xf>
    <xf numFmtId="289" fontId="22" fillId="0" borderId="0" xfId="7" applyNumberFormat="1" applyFont="1" applyAlignment="1">
      <alignment horizontal="center" vertical="center"/>
    </xf>
    <xf numFmtId="0" fontId="22" fillId="0" borderId="0" xfId="7" applyAlignment="1">
      <alignment vertical="center"/>
    </xf>
    <xf numFmtId="175" fontId="200" fillId="0" borderId="0" xfId="7" applyNumberFormat="1" applyFont="1" applyAlignment="1">
      <alignment horizontal="right" vertical="center"/>
    </xf>
    <xf numFmtId="170" fontId="200" fillId="0" borderId="0" xfId="761" applyFont="1" applyAlignment="1">
      <alignment horizontal="right" vertical="center"/>
    </xf>
    <xf numFmtId="0" fontId="200" fillId="0" borderId="0" xfId="7" applyFont="1" applyAlignment="1">
      <alignment vertical="center" wrapText="1"/>
    </xf>
    <xf numFmtId="289" fontId="200" fillId="0" borderId="0" xfId="7" applyNumberFormat="1" applyFont="1" applyAlignment="1">
      <alignment horizontal="center" vertical="center"/>
    </xf>
    <xf numFmtId="0" fontId="200" fillId="0" borderId="0" xfId="7" applyFont="1" applyAlignment="1">
      <alignment vertical="center"/>
    </xf>
    <xf numFmtId="170" fontId="41" fillId="0" borderId="0" xfId="761" applyFont="1" applyAlignment="1">
      <alignment horizontal="right" vertical="center"/>
    </xf>
    <xf numFmtId="2" fontId="22" fillId="105" borderId="0" xfId="7" applyNumberFormat="1" applyFill="1"/>
    <xf numFmtId="175" fontId="200" fillId="0" borderId="0" xfId="7" applyNumberFormat="1" applyFont="1"/>
    <xf numFmtId="170" fontId="200" fillId="0" borderId="0" xfId="761" applyFont="1"/>
    <xf numFmtId="175" fontId="41" fillId="0" borderId="0" xfId="7" applyNumberFormat="1" applyFont="1"/>
    <xf numFmtId="175" fontId="41" fillId="0" borderId="0" xfId="1795" applyNumberFormat="1" applyFont="1"/>
    <xf numFmtId="0" fontId="22" fillId="0" borderId="0" xfId="1795" applyAlignment="1">
      <alignment wrapText="1"/>
    </xf>
    <xf numFmtId="0" fontId="22" fillId="0" borderId="0" xfId="1795"/>
    <xf numFmtId="0" fontId="153" fillId="104" borderId="0" xfId="5602" applyFont="1" applyFill="1" applyAlignment="1">
      <alignment horizontal="center" vertical="center"/>
    </xf>
    <xf numFmtId="0" fontId="22" fillId="105" borderId="0" xfId="7" applyFill="1" applyAlignment="1">
      <alignment wrapText="1"/>
    </xf>
    <xf numFmtId="0" fontId="0" fillId="105" borderId="0" xfId="0" applyFill="1" applyAlignment="1">
      <alignment horizontal="center"/>
    </xf>
    <xf numFmtId="2" fontId="22" fillId="0" borderId="0" xfId="7" applyNumberFormat="1"/>
    <xf numFmtId="0" fontId="15" fillId="105" borderId="0" xfId="0" applyFont="1" applyFill="1"/>
    <xf numFmtId="0" fontId="15" fillId="0" borderId="0" xfId="0" applyFont="1" applyFill="1" applyAlignment="1">
      <alignment horizontal="center"/>
    </xf>
    <xf numFmtId="0" fontId="0" fillId="0" borderId="0" xfId="0" applyFill="1" applyAlignment="1">
      <alignment horizontal="center"/>
    </xf>
    <xf numFmtId="0" fontId="15" fillId="0" borderId="0" xfId="0" applyFont="1" applyFill="1" applyBorder="1"/>
    <xf numFmtId="0" fontId="0" fillId="106" borderId="0" xfId="0" applyFill="1"/>
    <xf numFmtId="0" fontId="215" fillId="0" borderId="0" xfId="0" applyFont="1" applyFill="1"/>
    <xf numFmtId="170" fontId="1" fillId="0" borderId="0" xfId="761" applyFont="1" applyAlignment="1">
      <alignment horizontal="right"/>
    </xf>
    <xf numFmtId="170" fontId="1" fillId="0" borderId="0" xfId="761" applyFont="1" applyBorder="1" applyAlignment="1">
      <alignment horizontal="right"/>
    </xf>
    <xf numFmtId="170" fontId="1" fillId="0" borderId="82" xfId="761" applyFont="1" applyBorder="1" applyAlignment="1">
      <alignment horizontal="right"/>
    </xf>
    <xf numFmtId="0" fontId="44" fillId="0" borderId="0" xfId="5603" applyFill="1" applyProtection="1"/>
    <xf numFmtId="0" fontId="44" fillId="0" borderId="0" xfId="5603" applyProtection="1"/>
    <xf numFmtId="10" fontId="44" fillId="0" borderId="0" xfId="5604" applyNumberFormat="1" applyFont="1" applyProtection="1"/>
    <xf numFmtId="0" fontId="0" fillId="34" borderId="159" xfId="0" applyFill="1" applyBorder="1" applyAlignment="1">
      <alignment horizontal="center"/>
    </xf>
    <xf numFmtId="0" fontId="0" fillId="34" borderId="0" xfId="0" applyFill="1"/>
    <xf numFmtId="0" fontId="216" fillId="0" borderId="0" xfId="0" applyFont="1" applyAlignment="1">
      <alignment horizontal="left"/>
    </xf>
    <xf numFmtId="209" fontId="15" fillId="0" borderId="0" xfId="0" applyNumberFormat="1" applyFont="1"/>
    <xf numFmtId="15" fontId="71" fillId="89" borderId="0" xfId="1795" applyNumberFormat="1" applyFont="1" applyFill="1" applyAlignment="1" applyProtection="1">
      <alignment horizontal="right" vertical="top"/>
      <protection locked="0"/>
    </xf>
    <xf numFmtId="0" fontId="71" fillId="0" borderId="0" xfId="5605" applyFont="1" applyAlignment="1">
      <alignment horizontal="right" vertical="top"/>
    </xf>
    <xf numFmtId="0" fontId="15" fillId="0" borderId="0" xfId="0" applyFont="1" applyAlignment="1">
      <alignment horizontal="center"/>
    </xf>
    <xf numFmtId="170" fontId="15" fillId="0" borderId="0" xfId="761" applyFont="1" applyAlignment="1">
      <alignment horizontal="right"/>
    </xf>
    <xf numFmtId="170" fontId="15" fillId="0" borderId="0" xfId="0" applyNumberFormat="1" applyFont="1" applyAlignment="1">
      <alignment horizontal="right"/>
    </xf>
    <xf numFmtId="170" fontId="0" fillId="0" borderId="0" xfId="761" applyFont="1" applyAlignment="1">
      <alignment horizontal="right"/>
    </xf>
    <xf numFmtId="170" fontId="0" fillId="0" borderId="0" xfId="0" applyNumberFormat="1" applyAlignment="1">
      <alignment horizontal="right"/>
    </xf>
    <xf numFmtId="170" fontId="0" fillId="0" borderId="0" xfId="761" applyFont="1" applyAlignment="1">
      <alignment horizontal="left"/>
    </xf>
    <xf numFmtId="170" fontId="0" fillId="0" borderId="0" xfId="0" applyNumberFormat="1" applyAlignment="1">
      <alignment horizontal="left"/>
    </xf>
    <xf numFmtId="170" fontId="15" fillId="0" borderId="0" xfId="761" applyFont="1" applyAlignment="1">
      <alignment horizontal="center"/>
    </xf>
    <xf numFmtId="170" fontId="15" fillId="0" borderId="0" xfId="0" applyNumberFormat="1" applyFont="1" applyAlignment="1">
      <alignment horizontal="center"/>
    </xf>
    <xf numFmtId="170" fontId="0" fillId="0" borderId="0" xfId="761" applyFont="1" applyAlignment="1">
      <alignment horizontal="center"/>
    </xf>
    <xf numFmtId="170" fontId="0" fillId="0" borderId="0" xfId="0" applyNumberFormat="1" applyAlignment="1">
      <alignment horizontal="center"/>
    </xf>
    <xf numFmtId="170" fontId="1" fillId="0" borderId="0" xfId="761" applyNumberFormat="1" applyFont="1" applyAlignment="1">
      <alignment horizontal="right"/>
    </xf>
    <xf numFmtId="170" fontId="15" fillId="0" borderId="0" xfId="761" applyFont="1" applyAlignment="1">
      <alignment horizontal="left"/>
    </xf>
    <xf numFmtId="170" fontId="15" fillId="0" borderId="0" xfId="0" applyNumberFormat="1" applyFont="1" applyAlignment="1">
      <alignment horizontal="left"/>
    </xf>
    <xf numFmtId="43" fontId="15" fillId="0" borderId="0" xfId="4677" applyFont="1" applyAlignment="1">
      <alignment horizontal="center"/>
    </xf>
    <xf numFmtId="43" fontId="15" fillId="0" borderId="0" xfId="0" applyNumberFormat="1" applyFont="1" applyAlignment="1">
      <alignment horizontal="center"/>
    </xf>
    <xf numFmtId="0" fontId="15" fillId="0" borderId="0" xfId="0" applyFont="1" applyAlignment="1">
      <alignment horizontal="right"/>
    </xf>
    <xf numFmtId="0" fontId="15" fillId="0" borderId="0" xfId="0" applyFont="1" applyAlignment="1">
      <alignment horizontal="left"/>
    </xf>
    <xf numFmtId="0" fontId="0" fillId="0" borderId="165" xfId="0" applyBorder="1" applyAlignment="1">
      <alignment horizontal="center" vertical="center"/>
    </xf>
    <xf numFmtId="0" fontId="15" fillId="0" borderId="165" xfId="0" applyFont="1" applyBorder="1" applyAlignment="1">
      <alignment horizontal="center" vertical="center"/>
    </xf>
    <xf numFmtId="0" fontId="0" fillId="34" borderId="165" xfId="0" applyFill="1" applyBorder="1" applyAlignment="1">
      <alignment horizontal="center" vertical="center"/>
    </xf>
    <xf numFmtId="0" fontId="0" fillId="34" borderId="165" xfId="0" applyFill="1" applyBorder="1" applyAlignment="1">
      <alignment horizontal="center" vertical="center" wrapText="1"/>
    </xf>
    <xf numFmtId="0" fontId="15" fillId="0" borderId="165" xfId="0" applyFont="1" applyFill="1" applyBorder="1" applyAlignment="1">
      <alignment horizontal="center" vertical="center"/>
    </xf>
    <xf numFmtId="173" fontId="0" fillId="0" borderId="0" xfId="5606" applyNumberFormat="1" applyFont="1" applyBorder="1"/>
    <xf numFmtId="173" fontId="15" fillId="0" borderId="0" xfId="5606" applyNumberFormat="1" applyFont="1"/>
    <xf numFmtId="173" fontId="0" fillId="34" borderId="0" xfId="5606" applyNumberFormat="1" applyFont="1" applyFill="1"/>
    <xf numFmtId="173" fontId="0" fillId="34" borderId="0" xfId="761" applyNumberFormat="1" applyFont="1" applyFill="1"/>
    <xf numFmtId="173" fontId="15" fillId="0" borderId="0" xfId="0" applyNumberFormat="1" applyFont="1"/>
    <xf numFmtId="173" fontId="0" fillId="0" borderId="0" xfId="0" applyNumberFormat="1"/>
    <xf numFmtId="0" fontId="0" fillId="0" borderId="80" xfId="0" applyBorder="1"/>
    <xf numFmtId="173" fontId="0" fillId="0" borderId="80" xfId="5606" applyNumberFormat="1" applyFont="1" applyBorder="1"/>
    <xf numFmtId="173" fontId="15" fillId="0" borderId="80" xfId="5606" applyNumberFormat="1" applyFont="1" applyBorder="1"/>
    <xf numFmtId="173" fontId="0" fillId="34" borderId="80" xfId="5606" applyNumberFormat="1" applyFont="1" applyFill="1" applyBorder="1"/>
    <xf numFmtId="0" fontId="0" fillId="0" borderId="0" xfId="3306" applyFont="1" applyAlignment="1" applyProtection="1">
      <alignment horizontal="left" wrapText="1"/>
      <protection locked="0"/>
    </xf>
    <xf numFmtId="0" fontId="1" fillId="0" borderId="0" xfId="3306" applyAlignment="1" applyProtection="1">
      <alignment horizontal="left" wrapText="1"/>
      <protection locked="0"/>
    </xf>
    <xf numFmtId="0" fontId="0" fillId="0" borderId="0" xfId="3306" applyFont="1" applyAlignment="1" applyProtection="1">
      <alignment horizontal="left" vertical="top" wrapText="1"/>
      <protection locked="0"/>
    </xf>
    <xf numFmtId="0" fontId="1" fillId="0" borderId="0" xfId="3306" applyFont="1" applyAlignment="1" applyProtection="1">
      <alignment horizontal="left" vertical="top" wrapText="1"/>
      <protection locked="0"/>
    </xf>
    <xf numFmtId="0" fontId="216" fillId="0" borderId="0" xfId="3306" applyFont="1" applyAlignment="1" applyProtection="1">
      <alignment horizontal="center" vertical="top"/>
      <protection locked="0"/>
    </xf>
    <xf numFmtId="0" fontId="0" fillId="0" borderId="0" xfId="3306" applyFont="1" applyAlignment="1" applyProtection="1">
      <alignment horizontal="left" vertical="top"/>
      <protection locked="0"/>
    </xf>
    <xf numFmtId="0" fontId="1" fillId="0" borderId="0" xfId="3306" applyFont="1" applyAlignment="1" applyProtection="1">
      <alignment horizontal="left" vertical="top"/>
      <protection locked="0"/>
    </xf>
    <xf numFmtId="49" fontId="201" fillId="0" borderId="0" xfId="853" applyNumberFormat="1" applyFont="1" applyBorder="1" applyAlignment="1" applyProtection="1">
      <alignment horizontal="left" vertical="top" wrapText="1"/>
      <protection locked="0"/>
    </xf>
    <xf numFmtId="0" fontId="213" fillId="0" borderId="0" xfId="3306" applyFont="1" applyBorder="1" applyAlignment="1" applyProtection="1">
      <alignment horizontal="center"/>
      <protection locked="0"/>
    </xf>
    <xf numFmtId="0" fontId="15" fillId="91" borderId="93" xfId="3306" applyFont="1" applyFill="1" applyBorder="1" applyAlignment="1" applyProtection="1">
      <alignment horizontal="center"/>
      <protection locked="0"/>
    </xf>
    <xf numFmtId="0" fontId="15" fillId="91" borderId="92" xfId="3306" applyFont="1" applyFill="1" applyBorder="1" applyAlignment="1" applyProtection="1">
      <alignment horizontal="center"/>
      <protection locked="0"/>
    </xf>
    <xf numFmtId="0" fontId="15" fillId="91" borderId="91" xfId="3306" applyFont="1" applyFill="1" applyBorder="1" applyAlignment="1" applyProtection="1">
      <alignment horizontal="center"/>
      <protection locked="0"/>
    </xf>
    <xf numFmtId="0" fontId="15" fillId="91" borderId="93" xfId="3306" applyFont="1" applyFill="1" applyBorder="1" applyAlignment="1" applyProtection="1">
      <alignment horizontal="center" wrapText="1"/>
      <protection locked="0"/>
    </xf>
    <xf numFmtId="0" fontId="15" fillId="91" borderId="91" xfId="3306" applyFont="1" applyFill="1" applyBorder="1" applyAlignment="1" applyProtection="1">
      <alignment horizontal="center" wrapText="1"/>
      <protection locked="0"/>
    </xf>
    <xf numFmtId="0" fontId="15" fillId="91" borderId="84" xfId="3306" applyFont="1" applyFill="1" applyBorder="1" applyAlignment="1" applyProtection="1">
      <alignment horizontal="center" wrapText="1"/>
      <protection locked="0"/>
    </xf>
    <xf numFmtId="0" fontId="15" fillId="91" borderId="83" xfId="3306" applyFont="1" applyFill="1" applyBorder="1" applyAlignment="1" applyProtection="1">
      <alignment horizontal="center" wrapText="1"/>
      <protection locked="0"/>
    </xf>
    <xf numFmtId="285" fontId="201" fillId="89" borderId="84" xfId="853" applyNumberFormat="1" applyFont="1" applyFill="1" applyBorder="1" applyAlignment="1" applyProtection="1">
      <alignment horizontal="center"/>
      <protection locked="0"/>
    </xf>
    <xf numFmtId="285" fontId="201" fillId="89" borderId="0" xfId="853" applyNumberFormat="1" applyFont="1" applyFill="1" applyBorder="1" applyAlignment="1" applyProtection="1">
      <alignment horizontal="center"/>
      <protection locked="0"/>
    </xf>
    <xf numFmtId="285" fontId="201" fillId="89" borderId="83" xfId="853" applyNumberFormat="1" applyFont="1" applyFill="1" applyBorder="1" applyAlignment="1" applyProtection="1">
      <alignment horizontal="center"/>
      <protection locked="0"/>
    </xf>
    <xf numFmtId="0" fontId="15" fillId="91" borderId="88" xfId="3306" applyFont="1" applyFill="1" applyBorder="1" applyAlignment="1" applyProtection="1">
      <alignment horizontal="center" vertical="center"/>
      <protection locked="0"/>
    </xf>
    <xf numFmtId="0" fontId="15" fillId="91" borderId="60" xfId="3306" applyFont="1" applyFill="1" applyBorder="1" applyAlignment="1" applyProtection="1">
      <alignment horizontal="center" vertical="center"/>
      <protection locked="0"/>
    </xf>
    <xf numFmtId="0" fontId="15" fillId="91" borderId="87" xfId="3306" applyFont="1" applyFill="1" applyBorder="1" applyAlignment="1" applyProtection="1">
      <alignment horizontal="center" vertical="center"/>
      <protection locked="0"/>
    </xf>
    <xf numFmtId="0" fontId="0" fillId="0" borderId="0" xfId="3306" applyFont="1" applyBorder="1" applyAlignment="1" applyProtection="1">
      <alignment horizontal="left" vertical="top" wrapText="1"/>
      <protection locked="0"/>
    </xf>
    <xf numFmtId="0" fontId="1" fillId="0" borderId="0" xfId="3306" applyFont="1" applyBorder="1" applyAlignment="1" applyProtection="1">
      <alignment horizontal="left" vertical="top" wrapText="1"/>
      <protection locked="0"/>
    </xf>
    <xf numFmtId="0" fontId="15" fillId="90" borderId="93" xfId="3306" applyFont="1" applyFill="1" applyBorder="1" applyAlignment="1" applyProtection="1">
      <alignment horizontal="center" vertical="top"/>
      <protection locked="0"/>
    </xf>
    <xf numFmtId="0" fontId="15" fillId="90" borderId="92" xfId="3306" applyFont="1" applyFill="1" applyBorder="1" applyAlignment="1" applyProtection="1">
      <alignment horizontal="center" vertical="top"/>
      <protection locked="0"/>
    </xf>
    <xf numFmtId="0" fontId="15" fillId="90" borderId="91" xfId="3306" applyFont="1" applyFill="1" applyBorder="1" applyAlignment="1" applyProtection="1">
      <alignment horizontal="center" vertical="top"/>
      <protection locked="0"/>
    </xf>
    <xf numFmtId="285" fontId="201" fillId="89" borderId="84" xfId="853" applyNumberFormat="1" applyFont="1" applyFill="1" applyBorder="1" applyAlignment="1" applyProtection="1">
      <alignment horizontal="center" vertical="top"/>
      <protection locked="0"/>
    </xf>
    <xf numFmtId="285" fontId="201" fillId="89" borderId="0" xfId="853" applyNumberFormat="1" applyFont="1" applyFill="1" applyBorder="1" applyAlignment="1" applyProtection="1">
      <alignment horizontal="center" vertical="top"/>
      <protection locked="0"/>
    </xf>
    <xf numFmtId="285" fontId="201" fillId="89" borderId="83" xfId="853" applyNumberFormat="1" applyFont="1" applyFill="1" applyBorder="1" applyAlignment="1" applyProtection="1">
      <alignment horizontal="center" vertical="top"/>
      <protection locked="0"/>
    </xf>
    <xf numFmtId="0" fontId="15" fillId="91" borderId="84" xfId="3306" applyFont="1" applyFill="1" applyBorder="1" applyAlignment="1" applyProtection="1">
      <alignment horizontal="center" vertical="top"/>
      <protection locked="0"/>
    </xf>
    <xf numFmtId="0" fontId="15" fillId="91" borderId="0" xfId="3306" applyFont="1" applyFill="1" applyBorder="1" applyAlignment="1" applyProtection="1">
      <alignment horizontal="center" vertical="top"/>
      <protection locked="0"/>
    </xf>
    <xf numFmtId="0" fontId="15" fillId="91" borderId="83" xfId="3306" applyFont="1" applyFill="1" applyBorder="1" applyAlignment="1" applyProtection="1">
      <alignment horizontal="center" vertical="top"/>
      <protection locked="0"/>
    </xf>
    <xf numFmtId="0" fontId="152" fillId="0" borderId="0" xfId="1795" applyFont="1" applyAlignment="1" applyProtection="1">
      <alignment horizontal="center"/>
      <protection locked="0"/>
    </xf>
    <xf numFmtId="0" fontId="0" fillId="0" borderId="0" xfId="3306" applyFont="1" applyFill="1" applyAlignment="1" applyProtection="1">
      <alignment horizontal="left" vertical="top" wrapText="1"/>
      <protection locked="0"/>
    </xf>
    <xf numFmtId="0" fontId="1" fillId="0" borderId="0" xfId="3306" applyFont="1" applyFill="1" applyAlignment="1" applyProtection="1">
      <alignment horizontal="left" vertical="top" wrapText="1"/>
      <protection locked="0"/>
    </xf>
    <xf numFmtId="0" fontId="15" fillId="0" borderId="0" xfId="0" applyFont="1" applyAlignment="1">
      <alignment horizontal="center"/>
    </xf>
    <xf numFmtId="0" fontId="0" fillId="0" borderId="160" xfId="0" applyBorder="1" applyAlignment="1">
      <alignment horizontal="center"/>
    </xf>
    <xf numFmtId="0" fontId="0" fillId="0" borderId="161" xfId="0" applyBorder="1" applyAlignment="1">
      <alignment horizontal="center"/>
    </xf>
    <xf numFmtId="0" fontId="0" fillId="0" borderId="162" xfId="0" applyBorder="1" applyAlignment="1">
      <alignment horizontal="center"/>
    </xf>
    <xf numFmtId="0" fontId="0" fillId="0" borderId="0" xfId="0" applyAlignment="1">
      <alignment horizontal="center" vertical="top" wrapText="1"/>
    </xf>
    <xf numFmtId="3" fontId="0" fillId="0" borderId="0" xfId="0" applyNumberFormat="1" applyBorder="1" applyAlignment="1">
      <alignment horizontal="center"/>
    </xf>
    <xf numFmtId="284" fontId="0" fillId="0" borderId="0" xfId="0" applyNumberFormat="1" applyBorder="1" applyAlignment="1">
      <alignment horizontal="left" vertical="top" wrapText="1"/>
    </xf>
    <xf numFmtId="284" fontId="0" fillId="0" borderId="0" xfId="0" applyNumberFormat="1" applyBorder="1" applyAlignment="1">
      <alignment horizontal="center" vertical="top" wrapText="1"/>
    </xf>
    <xf numFmtId="0" fontId="0" fillId="0" borderId="0" xfId="0" applyAlignment="1">
      <alignment horizontal="left" wrapText="1"/>
    </xf>
    <xf numFmtId="0" fontId="230" fillId="98" borderId="62" xfId="0" applyFont="1" applyFill="1" applyBorder="1" applyAlignment="1">
      <alignment horizontal="right" vertical="top"/>
    </xf>
    <xf numFmtId="0" fontId="230" fillId="98" borderId="59" xfId="0" applyFont="1" applyFill="1" applyBorder="1" applyAlignment="1">
      <alignment horizontal="right" vertical="top"/>
    </xf>
    <xf numFmtId="0" fontId="230" fillId="98" borderId="60" xfId="0" applyFont="1" applyFill="1" applyBorder="1" applyAlignment="1">
      <alignment horizontal="right" vertical="top"/>
    </xf>
    <xf numFmtId="0" fontId="230" fillId="98" borderId="61" xfId="0" applyFont="1" applyFill="1" applyBorder="1" applyAlignment="1">
      <alignment horizontal="right" vertical="top"/>
    </xf>
    <xf numFmtId="0" fontId="210" fillId="35" borderId="0" xfId="0" applyFont="1" applyFill="1" applyBorder="1" applyAlignment="1">
      <alignment horizontal="center"/>
    </xf>
    <xf numFmtId="0" fontId="230" fillId="99" borderId="81" xfId="0" applyFont="1" applyFill="1" applyBorder="1" applyAlignment="1">
      <alignment horizontal="center" vertical="center"/>
    </xf>
    <xf numFmtId="0" fontId="230" fillId="99" borderId="15" xfId="0" applyFont="1" applyFill="1" applyBorder="1" applyAlignment="1">
      <alignment horizontal="center" vertical="center"/>
    </xf>
    <xf numFmtId="0" fontId="230" fillId="99" borderId="62" xfId="0" applyFont="1" applyFill="1" applyBorder="1" applyAlignment="1">
      <alignment horizontal="center"/>
    </xf>
    <xf numFmtId="0" fontId="0" fillId="33" borderId="12" xfId="0" applyFill="1" applyBorder="1" applyAlignment="1">
      <alignment horizontal="center"/>
    </xf>
    <xf numFmtId="0" fontId="0" fillId="33" borderId="0" xfId="0" applyFill="1" applyAlignment="1">
      <alignment horizontal="center"/>
    </xf>
    <xf numFmtId="0" fontId="0" fillId="0" borderId="15" xfId="0" applyFont="1" applyBorder="1" applyAlignment="1">
      <alignment vertical="center"/>
    </xf>
    <xf numFmtId="0" fontId="0" fillId="0" borderId="62" xfId="0" applyFont="1" applyBorder="1"/>
    <xf numFmtId="0" fontId="0" fillId="0" borderId="0" xfId="0" applyAlignment="1">
      <alignment horizontal="left" vertical="center" wrapText="1"/>
    </xf>
    <xf numFmtId="0" fontId="203" fillId="0" borderId="0" xfId="0" applyFont="1" applyAlignment="1">
      <alignment horizontal="right" vertical="center"/>
    </xf>
    <xf numFmtId="3" fontId="229" fillId="96" borderId="108" xfId="0" applyNumberFormat="1" applyFont="1" applyFill="1" applyBorder="1" applyAlignment="1">
      <alignment horizontal="center" vertical="center"/>
    </xf>
    <xf numFmtId="3" fontId="229" fillId="96" borderId="60" xfId="0" applyNumberFormat="1" applyFont="1" applyFill="1" applyBorder="1" applyAlignment="1">
      <alignment horizontal="center" vertical="center"/>
    </xf>
    <xf numFmtId="3" fontId="229" fillId="96" borderId="107" xfId="0" applyNumberFormat="1" applyFont="1" applyFill="1" applyBorder="1" applyAlignment="1">
      <alignment horizontal="center" vertical="center"/>
    </xf>
    <xf numFmtId="0" fontId="226" fillId="94" borderId="0" xfId="0" applyFont="1" applyFill="1" applyAlignment="1">
      <alignment horizontal="left" vertical="top" wrapText="1"/>
    </xf>
    <xf numFmtId="0" fontId="225" fillId="94" borderId="0" xfId="0" applyFont="1" applyFill="1" applyAlignment="1">
      <alignment horizontal="left" vertical="top" wrapText="1"/>
    </xf>
    <xf numFmtId="0" fontId="226" fillId="0" borderId="0" xfId="0" applyFont="1" applyAlignment="1">
      <alignment horizontal="left" vertical="top" wrapText="1"/>
    </xf>
    <xf numFmtId="0" fontId="227" fillId="95" borderId="147" xfId="0" applyNumberFormat="1" applyFont="1" applyFill="1" applyBorder="1" applyAlignment="1">
      <alignment horizontal="center" vertical="center" wrapText="1"/>
    </xf>
    <xf numFmtId="0" fontId="227" fillId="95" borderId="146" xfId="0" applyNumberFormat="1" applyFont="1" applyFill="1" applyBorder="1" applyAlignment="1">
      <alignment horizontal="center" vertical="center" wrapText="1"/>
    </xf>
    <xf numFmtId="0" fontId="227" fillId="95" borderId="62" xfId="0" applyNumberFormat="1" applyFont="1" applyFill="1" applyBorder="1" applyAlignment="1">
      <alignment horizontal="center" vertical="center"/>
    </xf>
    <xf numFmtId="0" fontId="227" fillId="95" borderId="62" xfId="0" applyFont="1" applyFill="1" applyBorder="1" applyAlignment="1">
      <alignment horizontal="center" vertical="center"/>
    </xf>
    <xf numFmtId="0" fontId="227" fillId="95" borderId="149" xfId="0" applyNumberFormat="1" applyFont="1" applyFill="1" applyBorder="1" applyAlignment="1">
      <alignment horizontal="center" vertical="center" wrapText="1"/>
    </xf>
    <xf numFmtId="0" fontId="227" fillId="95" borderId="80" xfId="0" applyNumberFormat="1" applyFont="1" applyFill="1" applyBorder="1" applyAlignment="1">
      <alignment horizontal="center" vertical="center" wrapText="1"/>
    </xf>
    <xf numFmtId="0" fontId="227" fillId="95" borderId="148" xfId="0" applyNumberFormat="1" applyFont="1" applyFill="1" applyBorder="1" applyAlignment="1">
      <alignment horizontal="center" vertical="center" wrapText="1"/>
    </xf>
    <xf numFmtId="0" fontId="227" fillId="95" borderId="145" xfId="0" applyNumberFormat="1" applyFont="1" applyFill="1" applyBorder="1" applyAlignment="1">
      <alignment horizontal="center" vertical="center" wrapText="1"/>
    </xf>
    <xf numFmtId="0" fontId="227" fillId="95" borderId="106" xfId="0" applyNumberFormat="1" applyFont="1" applyFill="1" applyBorder="1" applyAlignment="1">
      <alignment horizontal="center" vertical="center" wrapText="1"/>
    </xf>
    <xf numFmtId="0" fontId="227" fillId="95" borderId="144" xfId="0" applyNumberFormat="1" applyFont="1" applyFill="1" applyBorder="1" applyAlignment="1">
      <alignment horizontal="center" vertical="center" wrapText="1"/>
    </xf>
    <xf numFmtId="0" fontId="227" fillId="95" borderId="50" xfId="0" applyNumberFormat="1" applyFont="1" applyFill="1" applyBorder="1" applyAlignment="1">
      <alignment horizontal="center" vertical="center" wrapText="1"/>
    </xf>
    <xf numFmtId="0" fontId="227" fillId="95" borderId="143" xfId="0" applyNumberFormat="1" applyFont="1" applyFill="1" applyBorder="1" applyAlignment="1">
      <alignment horizontal="center" vertical="center" wrapText="1"/>
    </xf>
    <xf numFmtId="3" fontId="227" fillId="95" borderId="50" xfId="0" applyNumberFormat="1" applyFont="1" applyFill="1" applyBorder="1" applyAlignment="1">
      <alignment horizontal="center" vertical="center" wrapText="1"/>
    </xf>
    <xf numFmtId="3" fontId="227" fillId="95" borderId="80" xfId="0" applyNumberFormat="1" applyFont="1" applyFill="1" applyBorder="1" applyAlignment="1">
      <alignment horizontal="center" vertical="center" wrapText="1"/>
    </xf>
    <xf numFmtId="3" fontId="227" fillId="95" borderId="63" xfId="0" applyNumberFormat="1" applyFont="1" applyFill="1" applyBorder="1" applyAlignment="1">
      <alignment horizontal="center" vertical="center" wrapText="1"/>
    </xf>
    <xf numFmtId="3" fontId="227" fillId="95" borderId="143" xfId="0" applyNumberFormat="1" applyFont="1" applyFill="1" applyBorder="1" applyAlignment="1">
      <alignment horizontal="center" vertical="center" wrapText="1"/>
    </xf>
    <xf numFmtId="3" fontId="227" fillId="95" borderId="106" xfId="0" applyNumberFormat="1" applyFont="1" applyFill="1" applyBorder="1" applyAlignment="1">
      <alignment horizontal="center" vertical="center" wrapText="1"/>
    </xf>
    <xf numFmtId="3" fontId="227" fillId="95" borderId="142" xfId="0" applyNumberFormat="1" applyFont="1" applyFill="1" applyBorder="1" applyAlignment="1">
      <alignment horizontal="center" vertical="center" wrapText="1"/>
    </xf>
    <xf numFmtId="0" fontId="227" fillId="95" borderId="62" xfId="0" applyNumberFormat="1" applyFont="1" applyFill="1" applyBorder="1" applyAlignment="1">
      <alignment horizontal="center" vertical="center" wrapText="1"/>
    </xf>
    <xf numFmtId="0" fontId="201" fillId="0" borderId="12" xfId="0" applyFont="1" applyBorder="1" applyAlignment="1" applyProtection="1">
      <alignment horizontal="left" wrapText="1"/>
    </xf>
    <xf numFmtId="0" fontId="216" fillId="90" borderId="59" xfId="0" applyFont="1" applyFill="1" applyBorder="1" applyAlignment="1" applyProtection="1">
      <alignment horizontal="center" vertical="center"/>
    </xf>
    <xf numFmtId="0" fontId="216" fillId="90" borderId="60" xfId="0" applyFont="1" applyFill="1" applyBorder="1" applyAlignment="1" applyProtection="1">
      <alignment horizontal="center" vertical="center"/>
    </xf>
    <xf numFmtId="0" fontId="216" fillId="90" borderId="61" xfId="0" applyFont="1" applyFill="1" applyBorder="1" applyAlignment="1" applyProtection="1">
      <alignment horizontal="center" vertical="center"/>
    </xf>
    <xf numFmtId="0" fontId="0" fillId="0" borderId="59" xfId="0" applyBorder="1" applyAlignment="1" applyProtection="1">
      <alignment horizontal="left" vertical="center" wrapText="1"/>
    </xf>
    <xf numFmtId="0" fontId="0" fillId="0" borderId="60" xfId="0" applyBorder="1" applyAlignment="1" applyProtection="1">
      <alignment horizontal="left" vertical="center" wrapText="1"/>
    </xf>
    <xf numFmtId="0" fontId="0" fillId="0" borderId="61" xfId="0" applyBorder="1" applyAlignment="1" applyProtection="1">
      <alignment horizontal="left" vertical="center" wrapText="1"/>
    </xf>
    <xf numFmtId="0" fontId="0" fillId="0" borderId="20" xfId="0" applyBorder="1" applyAlignment="1" applyProtection="1">
      <alignment horizontal="left" wrapText="1"/>
    </xf>
    <xf numFmtId="0" fontId="0" fillId="0" borderId="0" xfId="0" applyBorder="1" applyAlignment="1" applyProtection="1">
      <alignment horizontal="left" wrapText="1"/>
    </xf>
    <xf numFmtId="0" fontId="0" fillId="0" borderId="59" xfId="0" applyFill="1" applyBorder="1" applyAlignment="1" applyProtection="1">
      <alignment horizontal="left" vertical="center" wrapText="1"/>
    </xf>
    <xf numFmtId="0" fontId="0" fillId="0" borderId="60" xfId="0" applyFill="1" applyBorder="1" applyAlignment="1" applyProtection="1">
      <alignment horizontal="left" vertical="center" wrapText="1"/>
    </xf>
    <xf numFmtId="0" fontId="0" fillId="0" borderId="61" xfId="0" applyFill="1" applyBorder="1" applyAlignment="1" applyProtection="1">
      <alignment horizontal="left" vertical="center" wrapText="1"/>
    </xf>
    <xf numFmtId="0" fontId="0" fillId="0" borderId="20" xfId="0" applyBorder="1" applyAlignment="1" applyProtection="1">
      <alignment horizontal="left" vertical="center" wrapText="1"/>
    </xf>
    <xf numFmtId="0" fontId="0" fillId="0" borderId="0" xfId="0" applyBorder="1" applyAlignment="1" applyProtection="1">
      <alignment horizontal="left" vertical="center" wrapText="1"/>
    </xf>
    <xf numFmtId="0" fontId="201" fillId="0" borderId="59" xfId="0" applyFont="1" applyFill="1" applyBorder="1" applyAlignment="1" applyProtection="1">
      <alignment horizontal="left" vertical="center" wrapText="1"/>
    </xf>
    <xf numFmtId="0" fontId="201" fillId="0" borderId="60" xfId="0" applyFont="1" applyFill="1" applyBorder="1" applyAlignment="1" applyProtection="1">
      <alignment horizontal="left" vertical="center" wrapText="1"/>
    </xf>
    <xf numFmtId="0" fontId="201" fillId="0" borderId="61" xfId="0" applyFont="1" applyFill="1" applyBorder="1" applyAlignment="1" applyProtection="1">
      <alignment horizontal="left" vertical="center" wrapText="1"/>
    </xf>
    <xf numFmtId="0" fontId="216" fillId="90" borderId="50" xfId="0" applyFont="1" applyFill="1" applyBorder="1" applyAlignment="1" applyProtection="1">
      <alignment horizontal="center" vertical="center"/>
    </xf>
    <xf numFmtId="0" fontId="216" fillId="90" borderId="80" xfId="0" applyFont="1" applyFill="1" applyBorder="1" applyAlignment="1" applyProtection="1">
      <alignment horizontal="center" vertical="center"/>
    </xf>
    <xf numFmtId="0" fontId="210" fillId="0" borderId="50" xfId="0" applyFont="1" applyBorder="1" applyAlignment="1" applyProtection="1">
      <alignment horizontal="center" vertical="center" wrapText="1"/>
    </xf>
    <xf numFmtId="0" fontId="210" fillId="0" borderId="20" xfId="0" applyFont="1" applyBorder="1" applyAlignment="1" applyProtection="1">
      <alignment horizontal="center" vertical="center" wrapText="1"/>
    </xf>
    <xf numFmtId="0" fontId="210" fillId="0" borderId="78" xfId="0" applyFont="1" applyBorder="1" applyAlignment="1" applyProtection="1">
      <alignment horizontal="center" vertical="center" wrapText="1"/>
    </xf>
    <xf numFmtId="0" fontId="210" fillId="0" borderId="81" xfId="0" applyFont="1" applyBorder="1" applyAlignment="1" applyProtection="1">
      <alignment horizontal="center" vertical="center" wrapText="1"/>
    </xf>
    <xf numFmtId="0" fontId="210" fillId="0" borderId="14" xfId="0" applyFont="1" applyBorder="1" applyAlignment="1" applyProtection="1">
      <alignment horizontal="center" vertical="center" wrapText="1"/>
    </xf>
    <xf numFmtId="0" fontId="210" fillId="0" borderId="15" xfId="0" applyFont="1" applyBorder="1" applyAlignment="1" applyProtection="1">
      <alignment horizontal="center" vertical="center" wrapText="1"/>
    </xf>
    <xf numFmtId="0" fontId="210" fillId="0" borderId="80" xfId="0" applyFont="1" applyBorder="1" applyAlignment="1" applyProtection="1">
      <alignment horizontal="center" vertical="center" wrapText="1"/>
    </xf>
    <xf numFmtId="0" fontId="210" fillId="0" borderId="63" xfId="0" applyFont="1" applyBorder="1" applyAlignment="1" applyProtection="1">
      <alignment horizontal="center" vertical="center" wrapText="1"/>
    </xf>
    <xf numFmtId="0" fontId="210" fillId="0" borderId="12" xfId="0" applyFont="1" applyBorder="1" applyAlignment="1" applyProtection="1">
      <alignment horizontal="center" vertical="center" wrapText="1"/>
    </xf>
    <xf numFmtId="0" fontId="210" fillId="0" borderId="79" xfId="0" applyFont="1" applyBorder="1" applyAlignment="1" applyProtection="1">
      <alignment horizontal="center" vertical="center" wrapText="1"/>
    </xf>
    <xf numFmtId="0" fontId="219" fillId="0" borderId="50" xfId="0" applyFont="1" applyBorder="1" applyAlignment="1" applyProtection="1">
      <alignment horizontal="center" vertical="center" wrapText="1"/>
    </xf>
    <xf numFmtId="0" fontId="219" fillId="0" borderId="80" xfId="0" applyFont="1" applyBorder="1" applyAlignment="1" applyProtection="1">
      <alignment horizontal="center" vertical="center" wrapText="1"/>
    </xf>
    <xf numFmtId="0" fontId="216" fillId="0" borderId="50" xfId="0" applyFont="1" applyBorder="1" applyAlignment="1" applyProtection="1">
      <alignment horizontal="center" vertical="center" readingOrder="1"/>
    </xf>
    <xf numFmtId="0" fontId="216" fillId="0" borderId="63" xfId="0" applyFont="1" applyBorder="1" applyAlignment="1" applyProtection="1">
      <alignment horizontal="center" vertical="center" readingOrder="1"/>
    </xf>
    <xf numFmtId="0" fontId="216" fillId="0" borderId="78" xfId="0" applyFont="1" applyBorder="1" applyAlignment="1" applyProtection="1">
      <alignment horizontal="center" vertical="center" readingOrder="1"/>
    </xf>
    <xf numFmtId="0" fontId="216" fillId="0" borderId="79" xfId="0" applyFont="1" applyBorder="1" applyAlignment="1" applyProtection="1">
      <alignment horizontal="center" vertical="center" readingOrder="1"/>
    </xf>
    <xf numFmtId="0" fontId="216" fillId="0" borderId="80" xfId="0" applyFont="1" applyBorder="1" applyAlignment="1" applyProtection="1">
      <alignment horizontal="center" vertical="center" readingOrder="1"/>
    </xf>
    <xf numFmtId="0" fontId="216" fillId="0" borderId="12" xfId="0" applyFont="1" applyBorder="1" applyAlignment="1" applyProtection="1">
      <alignment horizontal="center" vertical="center" readingOrder="1"/>
    </xf>
    <xf numFmtId="0" fontId="216" fillId="0" borderId="50" xfId="0" applyFont="1" applyBorder="1" applyAlignment="1" applyProtection="1">
      <alignment horizontal="center" vertical="center" wrapText="1"/>
    </xf>
    <xf numFmtId="0" fontId="216" fillId="0" borderId="63" xfId="0" applyFont="1" applyBorder="1" applyAlignment="1" applyProtection="1">
      <alignment horizontal="center" vertical="center" wrapText="1"/>
    </xf>
    <xf numFmtId="0" fontId="216" fillId="0" borderId="78" xfId="0" applyFont="1" applyBorder="1" applyAlignment="1" applyProtection="1">
      <alignment horizontal="center" vertical="center" wrapText="1"/>
    </xf>
    <xf numFmtId="0" fontId="216" fillId="0" borderId="79" xfId="0" applyFont="1" applyBorder="1" applyAlignment="1" applyProtection="1">
      <alignment horizontal="center" vertical="center" wrapText="1"/>
    </xf>
    <xf numFmtId="0" fontId="15" fillId="0" borderId="59" xfId="0" applyFont="1" applyBorder="1" applyAlignment="1" applyProtection="1">
      <alignment horizontal="left" vertical="center"/>
    </xf>
    <xf numFmtId="0" fontId="15" fillId="0" borderId="60" xfId="0" applyFont="1" applyBorder="1" applyAlignment="1" applyProtection="1">
      <alignment horizontal="left" vertical="center"/>
    </xf>
    <xf numFmtId="0" fontId="15" fillId="0" borderId="61" xfId="0" applyFont="1" applyBorder="1" applyAlignment="1" applyProtection="1">
      <alignment horizontal="left" vertical="center"/>
    </xf>
    <xf numFmtId="0" fontId="15" fillId="0" borderId="59" xfId="0" applyFont="1" applyBorder="1" applyAlignment="1" applyProtection="1">
      <alignment horizontal="left"/>
    </xf>
    <xf numFmtId="0" fontId="15" fillId="0" borderId="60" xfId="0" applyFont="1" applyBorder="1" applyAlignment="1" applyProtection="1">
      <alignment horizontal="left"/>
    </xf>
    <xf numFmtId="0" fontId="15" fillId="0" borderId="61" xfId="0" applyFont="1" applyBorder="1" applyAlignment="1" applyProtection="1">
      <alignment horizontal="left"/>
    </xf>
    <xf numFmtId="0" fontId="0" fillId="0" borderId="50" xfId="0" applyBorder="1" applyAlignment="1" applyProtection="1">
      <alignment horizontal="center" textRotation="90"/>
    </xf>
    <xf numFmtId="0" fontId="0" fillId="0" borderId="78" xfId="0" applyBorder="1" applyAlignment="1" applyProtection="1">
      <alignment horizontal="center" textRotation="90"/>
    </xf>
    <xf numFmtId="0" fontId="15" fillId="0" borderId="81" xfId="0" applyFont="1" applyBorder="1" applyAlignment="1" applyProtection="1">
      <alignment horizontal="left" vertical="center" wrapText="1"/>
    </xf>
    <xf numFmtId="0" fontId="15" fillId="0" borderId="14" xfId="0" applyFont="1" applyBorder="1" applyAlignment="1" applyProtection="1">
      <alignment horizontal="left" vertical="center" wrapText="1"/>
    </xf>
    <xf numFmtId="0" fontId="15" fillId="0" borderId="15" xfId="0" applyFont="1" applyBorder="1" applyAlignment="1" applyProtection="1">
      <alignment horizontal="left" vertical="center" wrapText="1"/>
    </xf>
    <xf numFmtId="0" fontId="15" fillId="0" borderId="59" xfId="0" applyFont="1" applyBorder="1" applyAlignment="1" applyProtection="1">
      <alignment horizontal="left" vertical="center"/>
      <protection locked="0"/>
    </xf>
    <xf numFmtId="0" fontId="15" fillId="0" borderId="60" xfId="0" applyFont="1" applyBorder="1" applyAlignment="1" applyProtection="1">
      <alignment horizontal="left" vertical="center"/>
      <protection locked="0"/>
    </xf>
    <xf numFmtId="0" fontId="15" fillId="0" borderId="61" xfId="0" applyFont="1" applyBorder="1" applyAlignment="1" applyProtection="1">
      <alignment horizontal="left" vertical="center"/>
      <protection locked="0"/>
    </xf>
    <xf numFmtId="0" fontId="15" fillId="0" borderId="81" xfId="0" applyFont="1" applyBorder="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15" fillId="0" borderId="50" xfId="0" applyFont="1" applyBorder="1" applyAlignment="1" applyProtection="1">
      <alignment horizontal="center" vertical="center"/>
      <protection locked="0"/>
    </xf>
    <xf numFmtId="0" fontId="15" fillId="0" borderId="80" xfId="0" applyFont="1" applyBorder="1" applyAlignment="1" applyProtection="1">
      <alignment horizontal="center" vertical="center"/>
      <protection locked="0"/>
    </xf>
    <xf numFmtId="0" fontId="15" fillId="0" borderId="63" xfId="0" applyFont="1" applyBorder="1" applyAlignment="1" applyProtection="1">
      <alignment horizontal="center" vertical="center"/>
      <protection locked="0"/>
    </xf>
    <xf numFmtId="0" fontId="15" fillId="0" borderId="20"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78"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79" xfId="0" applyFont="1" applyBorder="1" applyAlignment="1" applyProtection="1">
      <alignment horizontal="center" vertical="center"/>
      <protection locked="0"/>
    </xf>
    <xf numFmtId="0" fontId="0" fillId="0" borderId="81" xfId="0" applyBorder="1" applyAlignment="1" applyProtection="1">
      <alignment horizontal="center" textRotation="90"/>
    </xf>
    <xf numFmtId="0" fontId="0" fillId="0" borderId="15" xfId="0" applyBorder="1" applyAlignment="1" applyProtection="1">
      <alignment horizontal="center" textRotation="90"/>
    </xf>
    <xf numFmtId="0" fontId="0" fillId="0" borderId="63" xfId="0" applyBorder="1" applyAlignment="1" applyProtection="1">
      <alignment horizontal="center" textRotation="90"/>
    </xf>
    <xf numFmtId="0" fontId="0" fillId="0" borderId="79" xfId="0" applyBorder="1" applyAlignment="1" applyProtection="1">
      <alignment horizontal="center" textRotation="90"/>
    </xf>
    <xf numFmtId="0" fontId="232" fillId="103" borderId="0" xfId="1773" applyNumberFormat="1" applyFont="1" applyFill="1" applyBorder="1"/>
    <xf numFmtId="0" fontId="231" fillId="100" borderId="62" xfId="1773" applyNumberFormat="1" applyFont="1" applyFill="1" applyBorder="1" applyAlignment="1">
      <alignment horizontal="center" vertical="center" wrapText="1"/>
    </xf>
    <xf numFmtId="44" fontId="231" fillId="101" borderId="59" xfId="1079" applyFont="1" applyFill="1" applyBorder="1" applyAlignment="1">
      <alignment horizontal="center" vertical="center" wrapText="1"/>
    </xf>
    <xf numFmtId="44" fontId="231" fillId="101" borderId="60" xfId="1079" applyFont="1" applyFill="1" applyBorder="1" applyAlignment="1">
      <alignment horizontal="center" vertical="center" wrapText="1"/>
    </xf>
    <xf numFmtId="44" fontId="231" fillId="101" borderId="61" xfId="1079" applyFont="1" applyFill="1" applyBorder="1" applyAlignment="1">
      <alignment horizontal="center" vertical="center" wrapText="1"/>
    </xf>
  </cellXfs>
  <cellStyles count="5607">
    <cellStyle name="-" xfId="8"/>
    <cellStyle name=" 3]_x000d__x000a_Zoomed=1_x000d__x000a_Row=0_x000d__x000a_Column=0_x000d__x000a_Height=300_x000d__x000a_Width=300_x000d__x000a_FontName=細明體_x000d__x000a_FontStyle=0_x000d__x000a_FontSize=9_x000d__x000a_PrtFontName=Co" xfId="5416"/>
    <cellStyle name="$" xfId="9"/>
    <cellStyle name="$ &amp; ¢" xfId="10"/>
    <cellStyle name="$ &amp; ¢ 2" xfId="4699"/>
    <cellStyle name="$ 2" xfId="4704"/>
    <cellStyle name="%" xfId="11"/>
    <cellStyle name="%.00" xfId="12"/>
    <cellStyle name="(Heading)" xfId="13"/>
    <cellStyle name="(Heading) 2" xfId="4469"/>
    <cellStyle name="(Lefting)" xfId="14"/>
    <cellStyle name="(Lefting) 2" xfId="4470"/>
    <cellStyle name="(z*¯_x000f_°(”,¯?À(¢,¯?Ð(°,¯?à(Â,¯?ð(Ô,¯?" xfId="15"/>
    <cellStyle name="(z*¯_x000f_°(”,¯?À(¢,¯?Ð(°,¯?à(Â,¯?ð(Ô,¯? 2" xfId="4690"/>
    <cellStyle name="******************************************" xfId="16"/>
    <cellStyle name="_CNMD_Valuation Model_20081212_v2" xfId="17"/>
    <cellStyle name="_Comma" xfId="18"/>
    <cellStyle name="_Comps 4" xfId="19"/>
    <cellStyle name="_Cont Analysis" xfId="20"/>
    <cellStyle name="_Currency" xfId="21"/>
    <cellStyle name="_Currency_Analysis" xfId="22"/>
    <cellStyle name="_Currency_Smartportfolio model" xfId="23"/>
    <cellStyle name="_Currency_Smartportfolio model_DB-merged files" xfId="24"/>
    <cellStyle name="_CurrencySpace" xfId="25"/>
    <cellStyle name="_Gamma Valuation - 8" xfId="26"/>
    <cellStyle name="_ITRN" xfId="27"/>
    <cellStyle name="-_Merger Model 17 Nov 04" xfId="28"/>
    <cellStyle name="_Merger Model_KN&amp;Fzio_v2.30 - Street" xfId="29"/>
    <cellStyle name="_Multiple" xfId="30"/>
    <cellStyle name="_Multiple_Analysis" xfId="31"/>
    <cellStyle name="_Multiple_Analysis_DB-merged files" xfId="32"/>
    <cellStyle name="_Multiple_Smartportfolio model" xfId="33"/>
    <cellStyle name="_Multiple_Smartportfolio model_DB-merged files" xfId="34"/>
    <cellStyle name="_MultipleSpace" xfId="35"/>
    <cellStyle name="_MultipleSpace_Analysis" xfId="36"/>
    <cellStyle name="_MultipleSpace_csc" xfId="37"/>
    <cellStyle name="_MultipleSpace_Smartportfolio model" xfId="38"/>
    <cellStyle name="_MultipleSpace_Smartportfolio model_DB-merged files" xfId="39"/>
    <cellStyle name="_Percent" xfId="40"/>
    <cellStyle name="_Percent_Analysis" xfId="41"/>
    <cellStyle name="_Percent_Smartportfolio model" xfId="42"/>
    <cellStyle name="_Percent_Smartportfolio model_DB-merged files" xfId="43"/>
    <cellStyle name="_PercentSpace" xfId="44"/>
    <cellStyle name="_PercentSpace_Analysis" xfId="45"/>
    <cellStyle name="_PercentSpace_Smartportfolio model" xfId="46"/>
    <cellStyle name="_Sepracor Riders_Clean" xfId="47"/>
    <cellStyle name="_SIAL_Model_5.22.09 v71" xfId="48"/>
    <cellStyle name="£ BP" xfId="49"/>
    <cellStyle name="¥ JY" xfId="50"/>
    <cellStyle name="&lt;9#_x000f_¾Èƒé1ƒÃ_x0002_;M_x0014_}$‹E_x0010_‹_x0004_ˆ…Àt_x001b_Pÿ_x0015_ x¦" xfId="51"/>
    <cellStyle name="=C:\WINNT\SYSTEM32\COMMAND.COM" xfId="5417"/>
    <cellStyle name="=C:\WINNT35\SYSTEM32\COMMAND.COM" xfId="52"/>
    <cellStyle name="0752-93035" xfId="53"/>
    <cellStyle name="1,comma" xfId="54"/>
    <cellStyle name="10Q" xfId="55"/>
    <cellStyle name="20 % - Accent1" xfId="5418"/>
    <cellStyle name="20 % - Accent2" xfId="5419"/>
    <cellStyle name="20 % - Accent3" xfId="5420"/>
    <cellStyle name="20 % - Accent4" xfId="5421"/>
    <cellStyle name="20 % - Accent5" xfId="5422"/>
    <cellStyle name="20 % - Accent6" xfId="5423"/>
    <cellStyle name="20% - Accent1" xfId="4545" builtinId="30" customBuiltin="1"/>
    <cellStyle name="20% - Accent1 2" xfId="56"/>
    <cellStyle name="20% - Accent1 2 10" xfId="57"/>
    <cellStyle name="20% - Accent1 2 11" xfId="4487"/>
    <cellStyle name="20% - Accent1 2 2" xfId="58"/>
    <cellStyle name="20% - Accent1 2 2 2" xfId="59"/>
    <cellStyle name="20% - Accent1 2 2 3" xfId="60"/>
    <cellStyle name="20% - Accent1 2 3" xfId="61"/>
    <cellStyle name="20% - Accent1 2 3 2" xfId="62"/>
    <cellStyle name="20% - Accent1 2 4" xfId="63"/>
    <cellStyle name="20% - Accent1 2 5" xfId="64"/>
    <cellStyle name="20% - Accent1 2 6" xfId="65"/>
    <cellStyle name="20% - Accent1 2 7" xfId="66"/>
    <cellStyle name="20% - Accent1 2 8" xfId="67"/>
    <cellStyle name="20% - Accent1 2 9" xfId="68"/>
    <cellStyle name="20% - Accent1 3" xfId="69"/>
    <cellStyle name="20% - Accent1 3 2" xfId="70"/>
    <cellStyle name="20% - Accent1 3 2 2" xfId="71"/>
    <cellStyle name="20% - Accent1 3 2 2 2" xfId="72"/>
    <cellStyle name="20% - Accent1 3 2 2 2 2" xfId="73"/>
    <cellStyle name="20% - Accent1 3 2 2 3" xfId="74"/>
    <cellStyle name="20% - Accent1 3 2 3" xfId="75"/>
    <cellStyle name="20% - Accent1 3 2 3 2" xfId="76"/>
    <cellStyle name="20% - Accent1 3 2 4" xfId="77"/>
    <cellStyle name="20% - Accent1 3 3" xfId="78"/>
    <cellStyle name="20% - Accent1 3 3 2" xfId="79"/>
    <cellStyle name="20% - Accent1 3 3 2 2" xfId="80"/>
    <cellStyle name="20% - Accent1 3 3 2 2 2" xfId="81"/>
    <cellStyle name="20% - Accent1 3 3 2 3" xfId="82"/>
    <cellStyle name="20% - Accent1 3 3 3" xfId="83"/>
    <cellStyle name="20% - Accent1 3 3 3 2" xfId="84"/>
    <cellStyle name="20% - Accent1 3 3 4" xfId="85"/>
    <cellStyle name="20% - Accent1 3 4" xfId="86"/>
    <cellStyle name="20% - Accent1 3 4 2" xfId="87"/>
    <cellStyle name="20% - Accent1 3 4 2 2" xfId="88"/>
    <cellStyle name="20% - Accent1 3 4 3" xfId="89"/>
    <cellStyle name="20% - Accent1 3 5" xfId="90"/>
    <cellStyle name="20% - Accent1 3 5 2" xfId="91"/>
    <cellStyle name="20% - Accent1 3 6" xfId="92"/>
    <cellStyle name="20% - Accent1 4" xfId="93"/>
    <cellStyle name="20% - Accent1 5" xfId="94"/>
    <cellStyle name="20% - Accent1 6" xfId="95"/>
    <cellStyle name="20% - Accent1 7" xfId="96"/>
    <cellStyle name="20% - Accent1 8" xfId="97"/>
    <cellStyle name="20% - Accent2" xfId="4549" builtinId="34" customBuiltin="1"/>
    <cellStyle name="20% - Accent2 2" xfId="98"/>
    <cellStyle name="20% - Accent2 2 10" xfId="99"/>
    <cellStyle name="20% - Accent2 2 11" xfId="4488"/>
    <cellStyle name="20% - Accent2 2 2" xfId="100"/>
    <cellStyle name="20% - Accent2 2 2 2" xfId="101"/>
    <cellStyle name="20% - Accent2 2 2 3" xfId="102"/>
    <cellStyle name="20% - Accent2 2 3" xfId="103"/>
    <cellStyle name="20% - Accent2 2 3 2" xfId="104"/>
    <cellStyle name="20% - Accent2 2 4" xfId="105"/>
    <cellStyle name="20% - Accent2 2 5" xfId="106"/>
    <cellStyle name="20% - Accent2 2 6" xfId="107"/>
    <cellStyle name="20% - Accent2 2 7" xfId="108"/>
    <cellStyle name="20% - Accent2 2 8" xfId="109"/>
    <cellStyle name="20% - Accent2 2 9" xfId="110"/>
    <cellStyle name="20% - Accent2 3" xfId="111"/>
    <cellStyle name="20% - Accent2 3 2" xfId="112"/>
    <cellStyle name="20% - Accent2 3 2 2" xfId="113"/>
    <cellStyle name="20% - Accent2 3 2 2 2" xfId="114"/>
    <cellStyle name="20% - Accent2 3 2 2 2 2" xfId="115"/>
    <cellStyle name="20% - Accent2 3 2 2 3" xfId="116"/>
    <cellStyle name="20% - Accent2 3 2 3" xfId="117"/>
    <cellStyle name="20% - Accent2 3 2 3 2" xfId="118"/>
    <cellStyle name="20% - Accent2 3 2 4" xfId="119"/>
    <cellStyle name="20% - Accent2 3 3" xfId="120"/>
    <cellStyle name="20% - Accent2 3 3 2" xfId="121"/>
    <cellStyle name="20% - Accent2 3 3 2 2" xfId="122"/>
    <cellStyle name="20% - Accent2 3 3 2 2 2" xfId="123"/>
    <cellStyle name="20% - Accent2 3 3 2 3" xfId="124"/>
    <cellStyle name="20% - Accent2 3 3 3" xfId="125"/>
    <cellStyle name="20% - Accent2 3 3 3 2" xfId="126"/>
    <cellStyle name="20% - Accent2 3 3 4" xfId="127"/>
    <cellStyle name="20% - Accent2 3 4" xfId="128"/>
    <cellStyle name="20% - Accent2 3 4 2" xfId="129"/>
    <cellStyle name="20% - Accent2 3 4 2 2" xfId="130"/>
    <cellStyle name="20% - Accent2 3 4 3" xfId="131"/>
    <cellStyle name="20% - Accent2 3 5" xfId="132"/>
    <cellStyle name="20% - Accent2 3 5 2" xfId="133"/>
    <cellStyle name="20% - Accent2 3 6" xfId="134"/>
    <cellStyle name="20% - Accent2 4" xfId="135"/>
    <cellStyle name="20% - Accent2 5" xfId="136"/>
    <cellStyle name="20% - Accent2 6" xfId="137"/>
    <cellStyle name="20% - Accent2 7" xfId="138"/>
    <cellStyle name="20% - Accent2 8" xfId="139"/>
    <cellStyle name="20% - Accent3" xfId="4553" builtinId="38" customBuiltin="1"/>
    <cellStyle name="20% - Accent3 2" xfId="140"/>
    <cellStyle name="20% - Accent3 2 10" xfId="141"/>
    <cellStyle name="20% - Accent3 2 11" xfId="4489"/>
    <cellStyle name="20% - Accent3 2 2" xfId="142"/>
    <cellStyle name="20% - Accent3 2 2 2" xfId="143"/>
    <cellStyle name="20% - Accent3 2 2 3" xfId="144"/>
    <cellStyle name="20% - Accent3 2 3" xfId="145"/>
    <cellStyle name="20% - Accent3 2 3 2" xfId="146"/>
    <cellStyle name="20% - Accent3 2 4" xfId="147"/>
    <cellStyle name="20% - Accent3 2 5" xfId="148"/>
    <cellStyle name="20% - Accent3 2 6" xfId="149"/>
    <cellStyle name="20% - Accent3 2 7" xfId="150"/>
    <cellStyle name="20% - Accent3 2 8" xfId="151"/>
    <cellStyle name="20% - Accent3 2 9" xfId="152"/>
    <cellStyle name="20% - Accent3 3" xfId="153"/>
    <cellStyle name="20% - Accent3 3 2" xfId="154"/>
    <cellStyle name="20% - Accent3 3 2 2" xfId="155"/>
    <cellStyle name="20% - Accent3 3 2 2 2" xfId="156"/>
    <cellStyle name="20% - Accent3 3 2 2 2 2" xfId="157"/>
    <cellStyle name="20% - Accent3 3 2 2 3" xfId="158"/>
    <cellStyle name="20% - Accent3 3 2 3" xfId="159"/>
    <cellStyle name="20% - Accent3 3 2 3 2" xfId="160"/>
    <cellStyle name="20% - Accent3 3 2 4" xfId="161"/>
    <cellStyle name="20% - Accent3 3 3" xfId="162"/>
    <cellStyle name="20% - Accent3 3 3 2" xfId="163"/>
    <cellStyle name="20% - Accent3 3 3 2 2" xfId="164"/>
    <cellStyle name="20% - Accent3 3 3 2 2 2" xfId="165"/>
    <cellStyle name="20% - Accent3 3 3 2 3" xfId="166"/>
    <cellStyle name="20% - Accent3 3 3 3" xfId="167"/>
    <cellStyle name="20% - Accent3 3 3 3 2" xfId="168"/>
    <cellStyle name="20% - Accent3 3 3 4" xfId="169"/>
    <cellStyle name="20% - Accent3 3 4" xfId="170"/>
    <cellStyle name="20% - Accent3 3 4 2" xfId="171"/>
    <cellStyle name="20% - Accent3 3 4 2 2" xfId="172"/>
    <cellStyle name="20% - Accent3 3 4 3" xfId="173"/>
    <cellStyle name="20% - Accent3 3 5" xfId="174"/>
    <cellStyle name="20% - Accent3 3 5 2" xfId="175"/>
    <cellStyle name="20% - Accent3 3 6" xfId="176"/>
    <cellStyle name="20% - Accent3 4" xfId="177"/>
    <cellStyle name="20% - Accent3 5" xfId="178"/>
    <cellStyle name="20% - Accent3 6" xfId="179"/>
    <cellStyle name="20% - Accent3 7" xfId="180"/>
    <cellStyle name="20% - Accent3 8" xfId="181"/>
    <cellStyle name="20% - Accent4" xfId="4557" builtinId="42" customBuiltin="1"/>
    <cellStyle name="20% - Accent4 2" xfId="182"/>
    <cellStyle name="20% - Accent4 2 10" xfId="183"/>
    <cellStyle name="20% - Accent4 2 11" xfId="4490"/>
    <cellStyle name="20% - Accent4 2 2" xfId="184"/>
    <cellStyle name="20% - Accent4 2 2 2" xfId="185"/>
    <cellStyle name="20% - Accent4 2 2 3" xfId="186"/>
    <cellStyle name="20% - Accent4 2 3" xfId="187"/>
    <cellStyle name="20% - Accent4 2 3 2" xfId="188"/>
    <cellStyle name="20% - Accent4 2 4" xfId="189"/>
    <cellStyle name="20% - Accent4 2 5" xfId="190"/>
    <cellStyle name="20% - Accent4 2 6" xfId="191"/>
    <cellStyle name="20% - Accent4 2 7" xfId="192"/>
    <cellStyle name="20% - Accent4 2 8" xfId="193"/>
    <cellStyle name="20% - Accent4 2 9" xfId="194"/>
    <cellStyle name="20% - Accent4 3" xfId="195"/>
    <cellStyle name="20% - Accent4 3 2" xfId="196"/>
    <cellStyle name="20% - Accent4 3 2 2" xfId="197"/>
    <cellStyle name="20% - Accent4 3 2 2 2" xfId="198"/>
    <cellStyle name="20% - Accent4 3 2 2 2 2" xfId="199"/>
    <cellStyle name="20% - Accent4 3 2 2 3" xfId="200"/>
    <cellStyle name="20% - Accent4 3 2 3" xfId="201"/>
    <cellStyle name="20% - Accent4 3 2 3 2" xfId="202"/>
    <cellStyle name="20% - Accent4 3 2 4" xfId="203"/>
    <cellStyle name="20% - Accent4 3 3" xfId="204"/>
    <cellStyle name="20% - Accent4 3 3 2" xfId="205"/>
    <cellStyle name="20% - Accent4 3 3 2 2" xfId="206"/>
    <cellStyle name="20% - Accent4 3 3 2 2 2" xfId="207"/>
    <cellStyle name="20% - Accent4 3 3 2 3" xfId="208"/>
    <cellStyle name="20% - Accent4 3 3 3" xfId="209"/>
    <cellStyle name="20% - Accent4 3 3 3 2" xfId="210"/>
    <cellStyle name="20% - Accent4 3 3 4" xfId="211"/>
    <cellStyle name="20% - Accent4 3 4" xfId="212"/>
    <cellStyle name="20% - Accent4 3 4 2" xfId="213"/>
    <cellStyle name="20% - Accent4 3 4 2 2" xfId="214"/>
    <cellStyle name="20% - Accent4 3 4 3" xfId="215"/>
    <cellStyle name="20% - Accent4 3 5" xfId="216"/>
    <cellStyle name="20% - Accent4 3 5 2" xfId="217"/>
    <cellStyle name="20% - Accent4 3 6" xfId="218"/>
    <cellStyle name="20% - Accent4 4" xfId="219"/>
    <cellStyle name="20% - Accent4 5" xfId="220"/>
    <cellStyle name="20% - Accent4 6" xfId="221"/>
    <cellStyle name="20% - Accent4 7" xfId="222"/>
    <cellStyle name="20% - Accent4 8" xfId="223"/>
    <cellStyle name="20% - Accent5" xfId="4561" builtinId="46" customBuiltin="1"/>
    <cellStyle name="20% - Accent5 2" xfId="224"/>
    <cellStyle name="20% - Accent5 2 10" xfId="225"/>
    <cellStyle name="20% - Accent5 2 11" xfId="4491"/>
    <cellStyle name="20% - Accent5 2 2" xfId="226"/>
    <cellStyle name="20% - Accent5 2 2 2" xfId="227"/>
    <cellStyle name="20% - Accent5 2 2 3" xfId="228"/>
    <cellStyle name="20% - Accent5 2 3" xfId="229"/>
    <cellStyle name="20% - Accent5 2 3 2" xfId="230"/>
    <cellStyle name="20% - Accent5 2 4" xfId="231"/>
    <cellStyle name="20% - Accent5 2 5" xfId="232"/>
    <cellStyle name="20% - Accent5 2 6" xfId="233"/>
    <cellStyle name="20% - Accent5 2 7" xfId="234"/>
    <cellStyle name="20% - Accent5 2 8" xfId="235"/>
    <cellStyle name="20% - Accent5 2 9" xfId="236"/>
    <cellStyle name="20% - Accent5 3" xfId="237"/>
    <cellStyle name="20% - Accent5 3 2" xfId="238"/>
    <cellStyle name="20% - Accent5 3 2 2" xfId="239"/>
    <cellStyle name="20% - Accent5 3 2 2 2" xfId="240"/>
    <cellStyle name="20% - Accent5 3 2 2 2 2" xfId="241"/>
    <cellStyle name="20% - Accent5 3 2 2 3" xfId="242"/>
    <cellStyle name="20% - Accent5 3 2 3" xfId="243"/>
    <cellStyle name="20% - Accent5 3 2 3 2" xfId="244"/>
    <cellStyle name="20% - Accent5 3 2 4" xfId="245"/>
    <cellStyle name="20% - Accent5 3 3" xfId="246"/>
    <cellStyle name="20% - Accent5 3 3 2" xfId="247"/>
    <cellStyle name="20% - Accent5 3 3 2 2" xfId="248"/>
    <cellStyle name="20% - Accent5 3 3 2 2 2" xfId="249"/>
    <cellStyle name="20% - Accent5 3 3 2 3" xfId="250"/>
    <cellStyle name="20% - Accent5 3 3 3" xfId="251"/>
    <cellStyle name="20% - Accent5 3 3 3 2" xfId="252"/>
    <cellStyle name="20% - Accent5 3 3 4" xfId="253"/>
    <cellStyle name="20% - Accent5 3 4" xfId="254"/>
    <cellStyle name="20% - Accent5 3 4 2" xfId="255"/>
    <cellStyle name="20% - Accent5 3 4 2 2" xfId="256"/>
    <cellStyle name="20% - Accent5 3 4 3" xfId="257"/>
    <cellStyle name="20% - Accent5 3 5" xfId="258"/>
    <cellStyle name="20% - Accent5 3 5 2" xfId="259"/>
    <cellStyle name="20% - Accent5 3 6" xfId="260"/>
    <cellStyle name="20% - Accent5 4" xfId="261"/>
    <cellStyle name="20% - Accent5 5" xfId="262"/>
    <cellStyle name="20% - Accent5 6" xfId="263"/>
    <cellStyle name="20% - Accent5 7" xfId="264"/>
    <cellStyle name="20% - Accent5 8" xfId="265"/>
    <cellStyle name="20% - Accent6" xfId="4565" builtinId="50" customBuiltin="1"/>
    <cellStyle name="20% - Accent6 2" xfId="266"/>
    <cellStyle name="20% - Accent6 2 10" xfId="267"/>
    <cellStyle name="20% - Accent6 2 11" xfId="4492"/>
    <cellStyle name="20% - Accent6 2 2" xfId="268"/>
    <cellStyle name="20% - Accent6 2 2 2" xfId="269"/>
    <cellStyle name="20% - Accent6 2 2 3" xfId="270"/>
    <cellStyle name="20% - Accent6 2 3" xfId="271"/>
    <cellStyle name="20% - Accent6 2 3 2" xfId="272"/>
    <cellStyle name="20% - Accent6 2 4" xfId="273"/>
    <cellStyle name="20% - Accent6 2 5" xfId="274"/>
    <cellStyle name="20% - Accent6 2 6" xfId="275"/>
    <cellStyle name="20% - Accent6 2 7" xfId="276"/>
    <cellStyle name="20% - Accent6 2 8" xfId="277"/>
    <cellStyle name="20% - Accent6 2 9" xfId="278"/>
    <cellStyle name="20% - Accent6 3" xfId="279"/>
    <cellStyle name="20% - Accent6 3 2" xfId="280"/>
    <cellStyle name="20% - Accent6 3 2 2" xfId="281"/>
    <cellStyle name="20% - Accent6 3 2 2 2" xfId="282"/>
    <cellStyle name="20% - Accent6 3 2 2 2 2" xfId="283"/>
    <cellStyle name="20% - Accent6 3 2 2 3" xfId="284"/>
    <cellStyle name="20% - Accent6 3 2 3" xfId="285"/>
    <cellStyle name="20% - Accent6 3 2 3 2" xfId="286"/>
    <cellStyle name="20% - Accent6 3 2 4" xfId="287"/>
    <cellStyle name="20% - Accent6 3 3" xfId="288"/>
    <cellStyle name="20% - Accent6 3 3 2" xfId="289"/>
    <cellStyle name="20% - Accent6 3 3 2 2" xfId="290"/>
    <cellStyle name="20% - Accent6 3 3 2 2 2" xfId="291"/>
    <cellStyle name="20% - Accent6 3 3 2 3" xfId="292"/>
    <cellStyle name="20% - Accent6 3 3 3" xfId="293"/>
    <cellStyle name="20% - Accent6 3 3 3 2" xfId="294"/>
    <cellStyle name="20% - Accent6 3 3 4" xfId="295"/>
    <cellStyle name="20% - Accent6 3 4" xfId="296"/>
    <cellStyle name="20% - Accent6 3 4 2" xfId="297"/>
    <cellStyle name="20% - Accent6 3 4 2 2" xfId="298"/>
    <cellStyle name="20% - Accent6 3 4 3" xfId="299"/>
    <cellStyle name="20% - Accent6 3 5" xfId="300"/>
    <cellStyle name="20% - Accent6 3 5 2" xfId="301"/>
    <cellStyle name="20% - Accent6 3 6" xfId="302"/>
    <cellStyle name="20% - Accent6 4" xfId="303"/>
    <cellStyle name="20% - Accent6 5" xfId="304"/>
    <cellStyle name="20% - Accent6 6" xfId="305"/>
    <cellStyle name="20% - Accent6 7" xfId="306"/>
    <cellStyle name="20% - Accent6 8" xfId="307"/>
    <cellStyle name="40 % - Accent1" xfId="5424"/>
    <cellStyle name="40 % - Accent2" xfId="5425"/>
    <cellStyle name="40 % - Accent3" xfId="5426"/>
    <cellStyle name="40 % - Accent4" xfId="5427"/>
    <cellStyle name="40 % - Accent5" xfId="5428"/>
    <cellStyle name="40 % - Accent6" xfId="5429"/>
    <cellStyle name="40% - Accent1" xfId="4546" builtinId="31" customBuiltin="1"/>
    <cellStyle name="40% - Accent1 2" xfId="308"/>
    <cellStyle name="40% - Accent1 2 10" xfId="309"/>
    <cellStyle name="40% - Accent1 2 11" xfId="4493"/>
    <cellStyle name="40% - Accent1 2 2" xfId="310"/>
    <cellStyle name="40% - Accent1 2 2 2" xfId="311"/>
    <cellStyle name="40% - Accent1 2 2 3" xfId="312"/>
    <cellStyle name="40% - Accent1 2 3" xfId="313"/>
    <cellStyle name="40% - Accent1 2 3 2" xfId="314"/>
    <cellStyle name="40% - Accent1 2 4" xfId="315"/>
    <cellStyle name="40% - Accent1 2 5" xfId="316"/>
    <cellStyle name="40% - Accent1 2 6" xfId="317"/>
    <cellStyle name="40% - Accent1 2 7" xfId="318"/>
    <cellStyle name="40% - Accent1 2 8" xfId="319"/>
    <cellStyle name="40% - Accent1 2 9" xfId="320"/>
    <cellStyle name="40% - Accent1 3" xfId="321"/>
    <cellStyle name="40% - Accent1 3 2" xfId="322"/>
    <cellStyle name="40% - Accent1 3 2 2" xfId="323"/>
    <cellStyle name="40% - Accent1 3 2 2 2" xfId="324"/>
    <cellStyle name="40% - Accent1 3 2 2 2 2" xfId="325"/>
    <cellStyle name="40% - Accent1 3 2 2 3" xfId="326"/>
    <cellStyle name="40% - Accent1 3 2 3" xfId="327"/>
    <cellStyle name="40% - Accent1 3 2 3 2" xfId="328"/>
    <cellStyle name="40% - Accent1 3 2 4" xfId="329"/>
    <cellStyle name="40% - Accent1 3 3" xfId="330"/>
    <cellStyle name="40% - Accent1 3 3 2" xfId="331"/>
    <cellStyle name="40% - Accent1 3 3 2 2" xfId="332"/>
    <cellStyle name="40% - Accent1 3 3 2 2 2" xfId="333"/>
    <cellStyle name="40% - Accent1 3 3 2 3" xfId="334"/>
    <cellStyle name="40% - Accent1 3 3 3" xfId="335"/>
    <cellStyle name="40% - Accent1 3 3 3 2" xfId="336"/>
    <cellStyle name="40% - Accent1 3 3 4" xfId="337"/>
    <cellStyle name="40% - Accent1 3 4" xfId="338"/>
    <cellStyle name="40% - Accent1 3 4 2" xfId="339"/>
    <cellStyle name="40% - Accent1 3 4 2 2" xfId="340"/>
    <cellStyle name="40% - Accent1 3 4 3" xfId="341"/>
    <cellStyle name="40% - Accent1 3 5" xfId="342"/>
    <cellStyle name="40% - Accent1 3 5 2" xfId="343"/>
    <cellStyle name="40% - Accent1 3 6" xfId="344"/>
    <cellStyle name="40% - Accent1 4" xfId="345"/>
    <cellStyle name="40% - Accent1 5" xfId="346"/>
    <cellStyle name="40% - Accent1 6" xfId="347"/>
    <cellStyle name="40% - Accent1 7" xfId="348"/>
    <cellStyle name="40% - Accent1 8" xfId="349"/>
    <cellStyle name="40% - Accent2" xfId="4550" builtinId="35" customBuiltin="1"/>
    <cellStyle name="40% - Accent2 2" xfId="350"/>
    <cellStyle name="40% - Accent2 2 10" xfId="351"/>
    <cellStyle name="40% - Accent2 2 11" xfId="4494"/>
    <cellStyle name="40% - Accent2 2 2" xfId="352"/>
    <cellStyle name="40% - Accent2 2 2 2" xfId="353"/>
    <cellStyle name="40% - Accent2 2 2 3" xfId="354"/>
    <cellStyle name="40% - Accent2 2 3" xfId="355"/>
    <cellStyle name="40% - Accent2 2 3 2" xfId="356"/>
    <cellStyle name="40% - Accent2 2 4" xfId="357"/>
    <cellStyle name="40% - Accent2 2 5" xfId="358"/>
    <cellStyle name="40% - Accent2 2 6" xfId="359"/>
    <cellStyle name="40% - Accent2 2 7" xfId="360"/>
    <cellStyle name="40% - Accent2 2 8" xfId="361"/>
    <cellStyle name="40% - Accent2 2 9" xfId="362"/>
    <cellStyle name="40% - Accent2 3" xfId="363"/>
    <cellStyle name="40% - Accent2 3 2" xfId="364"/>
    <cellStyle name="40% - Accent2 3 2 2" xfId="365"/>
    <cellStyle name="40% - Accent2 3 2 2 2" xfId="366"/>
    <cellStyle name="40% - Accent2 3 2 2 2 2" xfId="367"/>
    <cellStyle name="40% - Accent2 3 2 2 3" xfId="368"/>
    <cellStyle name="40% - Accent2 3 2 3" xfId="369"/>
    <cellStyle name="40% - Accent2 3 2 3 2" xfId="370"/>
    <cellStyle name="40% - Accent2 3 2 4" xfId="371"/>
    <cellStyle name="40% - Accent2 3 3" xfId="372"/>
    <cellStyle name="40% - Accent2 3 3 2" xfId="373"/>
    <cellStyle name="40% - Accent2 3 3 2 2" xfId="374"/>
    <cellStyle name="40% - Accent2 3 3 2 2 2" xfId="375"/>
    <cellStyle name="40% - Accent2 3 3 2 3" xfId="376"/>
    <cellStyle name="40% - Accent2 3 3 3" xfId="377"/>
    <cellStyle name="40% - Accent2 3 3 3 2" xfId="378"/>
    <cellStyle name="40% - Accent2 3 3 4" xfId="379"/>
    <cellStyle name="40% - Accent2 3 4" xfId="380"/>
    <cellStyle name="40% - Accent2 3 4 2" xfId="381"/>
    <cellStyle name="40% - Accent2 3 4 2 2" xfId="382"/>
    <cellStyle name="40% - Accent2 3 4 3" xfId="383"/>
    <cellStyle name="40% - Accent2 3 5" xfId="384"/>
    <cellStyle name="40% - Accent2 3 5 2" xfId="385"/>
    <cellStyle name="40% - Accent2 3 6" xfId="386"/>
    <cellStyle name="40% - Accent2 4" xfId="387"/>
    <cellStyle name="40% - Accent2 5" xfId="388"/>
    <cellStyle name="40% - Accent2 6" xfId="389"/>
    <cellStyle name="40% - Accent2 7" xfId="390"/>
    <cellStyle name="40% - Accent2 8" xfId="391"/>
    <cellStyle name="40% - Accent3" xfId="4554" builtinId="39" customBuiltin="1"/>
    <cellStyle name="40% - Accent3 2" xfId="392"/>
    <cellStyle name="40% - Accent3 2 10" xfId="393"/>
    <cellStyle name="40% - Accent3 2 11" xfId="4495"/>
    <cellStyle name="40% - Accent3 2 2" xfId="394"/>
    <cellStyle name="40% - Accent3 2 2 2" xfId="395"/>
    <cellStyle name="40% - Accent3 2 2 3" xfId="396"/>
    <cellStyle name="40% - Accent3 2 3" xfId="397"/>
    <cellStyle name="40% - Accent3 2 3 2" xfId="398"/>
    <cellStyle name="40% - Accent3 2 4" xfId="399"/>
    <cellStyle name="40% - Accent3 2 5" xfId="400"/>
    <cellStyle name="40% - Accent3 2 6" xfId="401"/>
    <cellStyle name="40% - Accent3 2 7" xfId="402"/>
    <cellStyle name="40% - Accent3 2 8" xfId="403"/>
    <cellStyle name="40% - Accent3 2 9" xfId="404"/>
    <cellStyle name="40% - Accent3 3" xfId="405"/>
    <cellStyle name="40% - Accent3 3 2" xfId="406"/>
    <cellStyle name="40% - Accent3 3 2 2" xfId="407"/>
    <cellStyle name="40% - Accent3 3 2 2 2" xfId="408"/>
    <cellStyle name="40% - Accent3 3 2 2 2 2" xfId="409"/>
    <cellStyle name="40% - Accent3 3 2 2 3" xfId="410"/>
    <cellStyle name="40% - Accent3 3 2 3" xfId="411"/>
    <cellStyle name="40% - Accent3 3 2 3 2" xfId="412"/>
    <cellStyle name="40% - Accent3 3 2 4" xfId="413"/>
    <cellStyle name="40% - Accent3 3 3" xfId="414"/>
    <cellStyle name="40% - Accent3 3 3 2" xfId="415"/>
    <cellStyle name="40% - Accent3 3 3 2 2" xfId="416"/>
    <cellStyle name="40% - Accent3 3 3 2 2 2" xfId="417"/>
    <cellStyle name="40% - Accent3 3 3 2 3" xfId="418"/>
    <cellStyle name="40% - Accent3 3 3 3" xfId="419"/>
    <cellStyle name="40% - Accent3 3 3 3 2" xfId="420"/>
    <cellStyle name="40% - Accent3 3 3 4" xfId="421"/>
    <cellStyle name="40% - Accent3 3 4" xfId="422"/>
    <cellStyle name="40% - Accent3 3 4 2" xfId="423"/>
    <cellStyle name="40% - Accent3 3 4 2 2" xfId="424"/>
    <cellStyle name="40% - Accent3 3 4 3" xfId="425"/>
    <cellStyle name="40% - Accent3 3 5" xfId="426"/>
    <cellStyle name="40% - Accent3 3 5 2" xfId="427"/>
    <cellStyle name="40% - Accent3 3 6" xfId="428"/>
    <cellStyle name="40% - Accent3 4" xfId="429"/>
    <cellStyle name="40% - Accent3 5" xfId="430"/>
    <cellStyle name="40% - Accent3 6" xfId="431"/>
    <cellStyle name="40% - Accent3 7" xfId="432"/>
    <cellStyle name="40% - Accent3 8" xfId="433"/>
    <cellStyle name="40% - Accent4" xfId="4558" builtinId="43" customBuiltin="1"/>
    <cellStyle name="40% - Accent4 2" xfId="434"/>
    <cellStyle name="40% - Accent4 2 10" xfId="435"/>
    <cellStyle name="40% - Accent4 2 11" xfId="4496"/>
    <cellStyle name="40% - Accent4 2 2" xfId="436"/>
    <cellStyle name="40% - Accent4 2 2 2" xfId="437"/>
    <cellStyle name="40% - Accent4 2 2 3" xfId="438"/>
    <cellStyle name="40% - Accent4 2 3" xfId="439"/>
    <cellStyle name="40% - Accent4 2 3 2" xfId="440"/>
    <cellStyle name="40% - Accent4 2 4" xfId="441"/>
    <cellStyle name="40% - Accent4 2 5" xfId="442"/>
    <cellStyle name="40% - Accent4 2 6" xfId="443"/>
    <cellStyle name="40% - Accent4 2 7" xfId="444"/>
    <cellStyle name="40% - Accent4 2 8" xfId="445"/>
    <cellStyle name="40% - Accent4 2 9" xfId="446"/>
    <cellStyle name="40% - Accent4 3" xfId="447"/>
    <cellStyle name="40% - Accent4 3 2" xfId="448"/>
    <cellStyle name="40% - Accent4 3 2 2" xfId="449"/>
    <cellStyle name="40% - Accent4 3 2 2 2" xfId="450"/>
    <cellStyle name="40% - Accent4 3 2 2 2 2" xfId="451"/>
    <cellStyle name="40% - Accent4 3 2 2 3" xfId="452"/>
    <cellStyle name="40% - Accent4 3 2 3" xfId="453"/>
    <cellStyle name="40% - Accent4 3 2 3 2" xfId="454"/>
    <cellStyle name="40% - Accent4 3 2 4" xfId="455"/>
    <cellStyle name="40% - Accent4 3 3" xfId="456"/>
    <cellStyle name="40% - Accent4 3 3 2" xfId="457"/>
    <cellStyle name="40% - Accent4 3 3 2 2" xfId="458"/>
    <cellStyle name="40% - Accent4 3 3 2 2 2" xfId="459"/>
    <cellStyle name="40% - Accent4 3 3 2 3" xfId="460"/>
    <cellStyle name="40% - Accent4 3 3 3" xfId="461"/>
    <cellStyle name="40% - Accent4 3 3 3 2" xfId="462"/>
    <cellStyle name="40% - Accent4 3 3 4" xfId="463"/>
    <cellStyle name="40% - Accent4 3 4" xfId="464"/>
    <cellStyle name="40% - Accent4 3 4 2" xfId="465"/>
    <cellStyle name="40% - Accent4 3 4 2 2" xfId="466"/>
    <cellStyle name="40% - Accent4 3 4 3" xfId="467"/>
    <cellStyle name="40% - Accent4 3 5" xfId="468"/>
    <cellStyle name="40% - Accent4 3 5 2" xfId="469"/>
    <cellStyle name="40% - Accent4 3 6" xfId="470"/>
    <cellStyle name="40% - Accent4 4" xfId="471"/>
    <cellStyle name="40% - Accent4 5" xfId="472"/>
    <cellStyle name="40% - Accent4 6" xfId="473"/>
    <cellStyle name="40% - Accent4 7" xfId="474"/>
    <cellStyle name="40% - Accent4 8" xfId="475"/>
    <cellStyle name="40% - Accent5" xfId="4562" builtinId="47" customBuiltin="1"/>
    <cellStyle name="40% - Accent5 2" xfId="476"/>
    <cellStyle name="40% - Accent5 2 10" xfId="477"/>
    <cellStyle name="40% - Accent5 2 11" xfId="4497"/>
    <cellStyle name="40% - Accent5 2 2" xfId="478"/>
    <cellStyle name="40% - Accent5 2 2 2" xfId="479"/>
    <cellStyle name="40% - Accent5 2 2 3" xfId="480"/>
    <cellStyle name="40% - Accent5 2 3" xfId="481"/>
    <cellStyle name="40% - Accent5 2 3 2" xfId="482"/>
    <cellStyle name="40% - Accent5 2 4" xfId="483"/>
    <cellStyle name="40% - Accent5 2 5" xfId="484"/>
    <cellStyle name="40% - Accent5 2 6" xfId="485"/>
    <cellStyle name="40% - Accent5 2 7" xfId="486"/>
    <cellStyle name="40% - Accent5 2 8" xfId="487"/>
    <cellStyle name="40% - Accent5 2 9" xfId="488"/>
    <cellStyle name="40% - Accent5 3" xfId="489"/>
    <cellStyle name="40% - Accent5 3 2" xfId="490"/>
    <cellStyle name="40% - Accent5 3 2 2" xfId="491"/>
    <cellStyle name="40% - Accent5 3 2 2 2" xfId="492"/>
    <cellStyle name="40% - Accent5 3 2 2 2 2" xfId="493"/>
    <cellStyle name="40% - Accent5 3 2 2 3" xfId="494"/>
    <cellStyle name="40% - Accent5 3 2 3" xfId="495"/>
    <cellStyle name="40% - Accent5 3 2 3 2" xfId="496"/>
    <cellStyle name="40% - Accent5 3 2 4" xfId="497"/>
    <cellStyle name="40% - Accent5 3 3" xfId="498"/>
    <cellStyle name="40% - Accent5 3 3 2" xfId="499"/>
    <cellStyle name="40% - Accent5 3 3 2 2" xfId="500"/>
    <cellStyle name="40% - Accent5 3 3 2 2 2" xfId="501"/>
    <cellStyle name="40% - Accent5 3 3 2 3" xfId="502"/>
    <cellStyle name="40% - Accent5 3 3 3" xfId="503"/>
    <cellStyle name="40% - Accent5 3 3 3 2" xfId="504"/>
    <cellStyle name="40% - Accent5 3 3 4" xfId="505"/>
    <cellStyle name="40% - Accent5 3 4" xfId="506"/>
    <cellStyle name="40% - Accent5 3 4 2" xfId="507"/>
    <cellStyle name="40% - Accent5 3 4 2 2" xfId="508"/>
    <cellStyle name="40% - Accent5 3 4 3" xfId="509"/>
    <cellStyle name="40% - Accent5 3 5" xfId="510"/>
    <cellStyle name="40% - Accent5 3 5 2" xfId="511"/>
    <cellStyle name="40% - Accent5 3 6" xfId="512"/>
    <cellStyle name="40% - Accent5 4" xfId="513"/>
    <cellStyle name="40% - Accent5 5" xfId="514"/>
    <cellStyle name="40% - Accent5 6" xfId="515"/>
    <cellStyle name="40% - Accent5 7" xfId="516"/>
    <cellStyle name="40% - Accent5 8" xfId="517"/>
    <cellStyle name="40% - Accent6" xfId="4566" builtinId="51" customBuiltin="1"/>
    <cellStyle name="40% - Accent6 2" xfId="518"/>
    <cellStyle name="40% - Accent6 2 10" xfId="519"/>
    <cellStyle name="40% - Accent6 2 11" xfId="4498"/>
    <cellStyle name="40% - Accent6 2 2" xfId="520"/>
    <cellStyle name="40% - Accent6 2 2 2" xfId="521"/>
    <cellStyle name="40% - Accent6 2 2 3" xfId="522"/>
    <cellStyle name="40% - Accent6 2 3" xfId="523"/>
    <cellStyle name="40% - Accent6 2 3 2" xfId="524"/>
    <cellStyle name="40% - Accent6 2 4" xfId="525"/>
    <cellStyle name="40% - Accent6 2 5" xfId="526"/>
    <cellStyle name="40% - Accent6 2 6" xfId="527"/>
    <cellStyle name="40% - Accent6 2 7" xfId="528"/>
    <cellStyle name="40% - Accent6 2 8" xfId="529"/>
    <cellStyle name="40% - Accent6 2 9" xfId="530"/>
    <cellStyle name="40% - Accent6 3" xfId="531"/>
    <cellStyle name="40% - Accent6 3 2" xfId="532"/>
    <cellStyle name="40% - Accent6 3 2 2" xfId="533"/>
    <cellStyle name="40% - Accent6 3 2 2 2" xfId="534"/>
    <cellStyle name="40% - Accent6 3 2 2 2 2" xfId="535"/>
    <cellStyle name="40% - Accent6 3 2 2 3" xfId="536"/>
    <cellStyle name="40% - Accent6 3 2 3" xfId="537"/>
    <cellStyle name="40% - Accent6 3 2 3 2" xfId="538"/>
    <cellStyle name="40% - Accent6 3 2 4" xfId="539"/>
    <cellStyle name="40% - Accent6 3 3" xfId="540"/>
    <cellStyle name="40% - Accent6 3 3 2" xfId="541"/>
    <cellStyle name="40% - Accent6 3 3 2 2" xfId="542"/>
    <cellStyle name="40% - Accent6 3 3 2 2 2" xfId="543"/>
    <cellStyle name="40% - Accent6 3 3 2 3" xfId="544"/>
    <cellStyle name="40% - Accent6 3 3 3" xfId="545"/>
    <cellStyle name="40% - Accent6 3 3 3 2" xfId="546"/>
    <cellStyle name="40% - Accent6 3 3 4" xfId="547"/>
    <cellStyle name="40% - Accent6 3 4" xfId="548"/>
    <cellStyle name="40% - Accent6 3 4 2" xfId="549"/>
    <cellStyle name="40% - Accent6 3 4 2 2" xfId="550"/>
    <cellStyle name="40% - Accent6 3 4 3" xfId="551"/>
    <cellStyle name="40% - Accent6 3 5" xfId="552"/>
    <cellStyle name="40% - Accent6 3 5 2" xfId="553"/>
    <cellStyle name="40% - Accent6 3 6" xfId="554"/>
    <cellStyle name="40% - Accent6 4" xfId="555"/>
    <cellStyle name="40% - Accent6 5" xfId="556"/>
    <cellStyle name="40% - Accent6 6" xfId="557"/>
    <cellStyle name="40% - Accent6 7" xfId="558"/>
    <cellStyle name="40% - Accent6 8" xfId="559"/>
    <cellStyle name="60 % - Accent1" xfId="5430"/>
    <cellStyle name="60 % - Accent2" xfId="5431"/>
    <cellStyle name="60 % - Accent3" xfId="5432"/>
    <cellStyle name="60 % - Accent4" xfId="5433"/>
    <cellStyle name="60 % - Accent5" xfId="5434"/>
    <cellStyle name="60 % - Accent6" xfId="5435"/>
    <cellStyle name="60% - Accent1" xfId="4547" builtinId="32" customBuiltin="1"/>
    <cellStyle name="60% - Accent1 2" xfId="560"/>
    <cellStyle name="60% - Accent1 2 10" xfId="4499"/>
    <cellStyle name="60% - Accent1 2 2" xfId="561"/>
    <cellStyle name="60% - Accent1 2 3" xfId="562"/>
    <cellStyle name="60% - Accent1 2 4" xfId="563"/>
    <cellStyle name="60% - Accent1 2 5" xfId="564"/>
    <cellStyle name="60% - Accent1 2 6" xfId="565"/>
    <cellStyle name="60% - Accent1 2 7" xfId="566"/>
    <cellStyle name="60% - Accent1 2 8" xfId="567"/>
    <cellStyle name="60% - Accent1 2 9" xfId="568"/>
    <cellStyle name="60% - Accent2" xfId="4551" builtinId="36" customBuiltin="1"/>
    <cellStyle name="60% - Accent2 2" xfId="569"/>
    <cellStyle name="60% - Accent2 2 10" xfId="4500"/>
    <cellStyle name="60% - Accent2 2 2" xfId="570"/>
    <cellStyle name="60% - Accent2 2 3" xfId="571"/>
    <cellStyle name="60% - Accent2 2 4" xfId="572"/>
    <cellStyle name="60% - Accent2 2 5" xfId="573"/>
    <cellStyle name="60% - Accent2 2 6" xfId="574"/>
    <cellStyle name="60% - Accent2 2 7" xfId="575"/>
    <cellStyle name="60% - Accent2 2 8" xfId="576"/>
    <cellStyle name="60% - Accent2 2 9" xfId="577"/>
    <cellStyle name="60% - Accent3" xfId="4555" builtinId="40" customBuiltin="1"/>
    <cellStyle name="60% - Accent3 2" xfId="578"/>
    <cellStyle name="60% - Accent3 2 10" xfId="4501"/>
    <cellStyle name="60% - Accent3 2 2" xfId="579"/>
    <cellStyle name="60% - Accent3 2 3" xfId="580"/>
    <cellStyle name="60% - Accent3 2 4" xfId="581"/>
    <cellStyle name="60% - Accent3 2 5" xfId="582"/>
    <cellStyle name="60% - Accent3 2 6" xfId="583"/>
    <cellStyle name="60% - Accent3 2 7" xfId="584"/>
    <cellStyle name="60% - Accent3 2 8" xfId="585"/>
    <cellStyle name="60% - Accent3 2 9" xfId="586"/>
    <cellStyle name="60% - Accent4" xfId="4559" builtinId="44" customBuiltin="1"/>
    <cellStyle name="60% - Accent4 2" xfId="587"/>
    <cellStyle name="60% - Accent4 2 10" xfId="4502"/>
    <cellStyle name="60% - Accent4 2 2" xfId="588"/>
    <cellStyle name="60% - Accent4 2 3" xfId="589"/>
    <cellStyle name="60% - Accent4 2 4" xfId="590"/>
    <cellStyle name="60% - Accent4 2 5" xfId="591"/>
    <cellStyle name="60% - Accent4 2 6" xfId="592"/>
    <cellStyle name="60% - Accent4 2 7" xfId="593"/>
    <cellStyle name="60% - Accent4 2 8" xfId="594"/>
    <cellStyle name="60% - Accent4 2 9" xfId="595"/>
    <cellStyle name="60% - Accent5" xfId="4563" builtinId="48" customBuiltin="1"/>
    <cellStyle name="60% - Accent5 2" xfId="596"/>
    <cellStyle name="60% - Accent5 2 10" xfId="4503"/>
    <cellStyle name="60% - Accent5 2 2" xfId="597"/>
    <cellStyle name="60% - Accent5 2 3" xfId="598"/>
    <cellStyle name="60% - Accent5 2 4" xfId="599"/>
    <cellStyle name="60% - Accent5 2 5" xfId="600"/>
    <cellStyle name="60% - Accent5 2 6" xfId="601"/>
    <cellStyle name="60% - Accent5 2 7" xfId="602"/>
    <cellStyle name="60% - Accent5 2 8" xfId="603"/>
    <cellStyle name="60% - Accent5 2 9" xfId="604"/>
    <cellStyle name="60% - Accent6" xfId="4567" builtinId="52" customBuiltin="1"/>
    <cellStyle name="60% - Accent6 2" xfId="605"/>
    <cellStyle name="60% - Accent6 2 10" xfId="4504"/>
    <cellStyle name="60% - Accent6 2 2" xfId="606"/>
    <cellStyle name="60% - Accent6 2 3" xfId="607"/>
    <cellStyle name="60% - Accent6 2 4" xfId="608"/>
    <cellStyle name="60% - Accent6 2 5" xfId="609"/>
    <cellStyle name="60% - Accent6 2 6" xfId="610"/>
    <cellStyle name="60% - Accent6 2 7" xfId="611"/>
    <cellStyle name="60% - Accent6 2 8" xfId="612"/>
    <cellStyle name="60% - Accent6 2 9" xfId="613"/>
    <cellStyle name="A%" xfId="614"/>
    <cellStyle name="Accent1" xfId="4544" builtinId="29" customBuiltin="1"/>
    <cellStyle name="Accent1 2" xfId="615"/>
    <cellStyle name="Accent1 2 10" xfId="4505"/>
    <cellStyle name="Accent1 2 2" xfId="616"/>
    <cellStyle name="Accent1 2 3" xfId="617"/>
    <cellStyle name="Accent1 2 4" xfId="618"/>
    <cellStyle name="Accent1 2 5" xfId="619"/>
    <cellStyle name="Accent1 2 6" xfId="620"/>
    <cellStyle name="Accent1 2 7" xfId="621"/>
    <cellStyle name="Accent1 2 8" xfId="622"/>
    <cellStyle name="Accent1 2 9" xfId="623"/>
    <cellStyle name="Accent2" xfId="4548" builtinId="33" customBuiltin="1"/>
    <cellStyle name="Accent2 2" xfId="624"/>
    <cellStyle name="Accent2 2 10" xfId="4506"/>
    <cellStyle name="Accent2 2 2" xfId="625"/>
    <cellStyle name="Accent2 2 3" xfId="626"/>
    <cellStyle name="Accent2 2 4" xfId="627"/>
    <cellStyle name="Accent2 2 5" xfId="628"/>
    <cellStyle name="Accent2 2 6" xfId="629"/>
    <cellStyle name="Accent2 2 7" xfId="630"/>
    <cellStyle name="Accent2 2 8" xfId="631"/>
    <cellStyle name="Accent2 2 9" xfId="632"/>
    <cellStyle name="Accent3" xfId="4552" builtinId="37" customBuiltin="1"/>
    <cellStyle name="Accent3 2" xfId="633"/>
    <cellStyle name="Accent3 2 10" xfId="4507"/>
    <cellStyle name="Accent3 2 2" xfId="634"/>
    <cellStyle name="Accent3 2 3" xfId="635"/>
    <cellStyle name="Accent3 2 4" xfId="636"/>
    <cellStyle name="Accent3 2 5" xfId="637"/>
    <cellStyle name="Accent3 2 6" xfId="638"/>
    <cellStyle name="Accent3 2 7" xfId="639"/>
    <cellStyle name="Accent3 2 8" xfId="640"/>
    <cellStyle name="Accent3 2 9" xfId="641"/>
    <cellStyle name="Accent4" xfId="4556" builtinId="41" customBuiltin="1"/>
    <cellStyle name="Accent4 2" xfId="642"/>
    <cellStyle name="Accent4 2 10" xfId="4508"/>
    <cellStyle name="Accent4 2 2" xfId="643"/>
    <cellStyle name="Accent4 2 3" xfId="644"/>
    <cellStyle name="Accent4 2 4" xfId="645"/>
    <cellStyle name="Accent4 2 5" xfId="646"/>
    <cellStyle name="Accent4 2 6" xfId="647"/>
    <cellStyle name="Accent4 2 7" xfId="648"/>
    <cellStyle name="Accent4 2 8" xfId="649"/>
    <cellStyle name="Accent4 2 9" xfId="650"/>
    <cellStyle name="Accent5" xfId="4560" builtinId="45" customBuiltin="1"/>
    <cellStyle name="Accent5 2" xfId="651"/>
    <cellStyle name="Accent5 2 10" xfId="4509"/>
    <cellStyle name="Accent5 2 2" xfId="652"/>
    <cellStyle name="Accent5 2 3" xfId="653"/>
    <cellStyle name="Accent5 2 4" xfId="654"/>
    <cellStyle name="Accent5 2 5" xfId="655"/>
    <cellStyle name="Accent5 2 6" xfId="656"/>
    <cellStyle name="Accent5 2 7" xfId="657"/>
    <cellStyle name="Accent5 2 8" xfId="658"/>
    <cellStyle name="Accent5 2 9" xfId="659"/>
    <cellStyle name="Accent6" xfId="4564" builtinId="49" customBuiltin="1"/>
    <cellStyle name="Accent6 2" xfId="660"/>
    <cellStyle name="Accent6 2 10" xfId="4510"/>
    <cellStyle name="Accent6 2 2" xfId="661"/>
    <cellStyle name="Accent6 2 3" xfId="662"/>
    <cellStyle name="Accent6 2 4" xfId="663"/>
    <cellStyle name="Accent6 2 5" xfId="664"/>
    <cellStyle name="Accent6 2 6" xfId="665"/>
    <cellStyle name="Accent6 2 7" xfId="666"/>
    <cellStyle name="Accent6 2 8" xfId="667"/>
    <cellStyle name="Accent6 2 9" xfId="668"/>
    <cellStyle name="Accounting w/$" xfId="669"/>
    <cellStyle name="Accounting w/$ 2" xfId="4706"/>
    <cellStyle name="Accounting w/$ Total" xfId="670"/>
    <cellStyle name="Accounting w/$ Total 2" xfId="4707"/>
    <cellStyle name="Accounting w/o $" xfId="671"/>
    <cellStyle name="Accounting w/o $ 2" xfId="4708"/>
    <cellStyle name="Acinput" xfId="672"/>
    <cellStyle name="Acinput,," xfId="673"/>
    <cellStyle name="Acinput_Merger Model_KN&amp;Fzio_v2.30 - Street" xfId="674"/>
    <cellStyle name="Acoutput" xfId="675"/>
    <cellStyle name="Acoutput,," xfId="676"/>
    <cellStyle name="Acoutput_CAScomps02" xfId="677"/>
    <cellStyle name="Actual Date" xfId="678"/>
    <cellStyle name="AFE" xfId="679"/>
    <cellStyle name="al" xfId="680"/>
    <cellStyle name="Amount_EQU_RIGH.XLS_Equity market_Preferred Securities " xfId="681"/>
    <cellStyle name="Apershare" xfId="682"/>
    <cellStyle name="Aprice" xfId="683"/>
    <cellStyle name="Aprice 2" xfId="4709"/>
    <cellStyle name="ar" xfId="684"/>
    <cellStyle name="ar 2" xfId="4471"/>
    <cellStyle name="ar 2 2" xfId="4650"/>
    <cellStyle name="Arial 10" xfId="685"/>
    <cellStyle name="Arial 12" xfId="686"/>
    <cellStyle name="Availability" xfId="687"/>
    <cellStyle name="Avertissement" xfId="5436"/>
    <cellStyle name="Bad" xfId="4534" builtinId="27" customBuiltin="1"/>
    <cellStyle name="Bad 2" xfId="688"/>
    <cellStyle name="Bad 2 10" xfId="4511"/>
    <cellStyle name="Bad 2 2" xfId="689"/>
    <cellStyle name="Bad 2 3" xfId="690"/>
    <cellStyle name="Bad 2 4" xfId="691"/>
    <cellStyle name="Bad 2 5" xfId="692"/>
    <cellStyle name="Bad 2 6" xfId="693"/>
    <cellStyle name="Bad 2 7" xfId="694"/>
    <cellStyle name="Bad 2 8" xfId="695"/>
    <cellStyle name="Bad 2 9" xfId="696"/>
    <cellStyle name="Band 2" xfId="697"/>
    <cellStyle name="Blank" xfId="698"/>
    <cellStyle name="Blue" xfId="699"/>
    <cellStyle name="Bold/Border" xfId="700"/>
    <cellStyle name="Border Heavy" xfId="701"/>
    <cellStyle name="Border Thin" xfId="702"/>
    <cellStyle name="Border, Bottom" xfId="703"/>
    <cellStyle name="Border, Left" xfId="704"/>
    <cellStyle name="Border, Right" xfId="705"/>
    <cellStyle name="Border, Top" xfId="706"/>
    <cellStyle name="Border, Top 2" xfId="4710"/>
    <cellStyle name="British Pound" xfId="707"/>
    <cellStyle name="BritPound" xfId="708"/>
    <cellStyle name="Bullet" xfId="709"/>
    <cellStyle name="Calc Currency (0)" xfId="710"/>
    <cellStyle name="Calc Currency (2)" xfId="711"/>
    <cellStyle name="Calc Percent (0)" xfId="712"/>
    <cellStyle name="Calc Percent (1)" xfId="713"/>
    <cellStyle name="Calc Percent (2)" xfId="714"/>
    <cellStyle name="Calc Units (0)" xfId="715"/>
    <cellStyle name="Calc Units (1)" xfId="716"/>
    <cellStyle name="Calc Units (2)" xfId="717"/>
    <cellStyle name="Calcul" xfId="5437"/>
    <cellStyle name="Calcul 2" xfId="5438"/>
    <cellStyle name="Calcul 3" xfId="5439"/>
    <cellStyle name="Calcul 3 2" xfId="5440"/>
    <cellStyle name="Calcul 4" xfId="5441"/>
    <cellStyle name="Calculation" xfId="4538" builtinId="22" customBuiltin="1"/>
    <cellStyle name="Calculation 2" xfId="718"/>
    <cellStyle name="Calculation 2 10" xfId="4472"/>
    <cellStyle name="Calculation 2 11" xfId="4512"/>
    <cellStyle name="Calculation 2 2" xfId="719"/>
    <cellStyle name="Calculation 2 2 2" xfId="720"/>
    <cellStyle name="Calculation 2 2 3" xfId="4473"/>
    <cellStyle name="Calculation 2 2 3 2" xfId="5442"/>
    <cellStyle name="Calculation 2 2 4" xfId="5443"/>
    <cellStyle name="Calculation 2 3" xfId="721"/>
    <cellStyle name="Calculation 2 3 2" xfId="5444"/>
    <cellStyle name="Calculation 2 3 3" xfId="5445"/>
    <cellStyle name="Calculation 2 3 3 2" xfId="5446"/>
    <cellStyle name="Calculation 2 3 4" xfId="5447"/>
    <cellStyle name="Calculation 2 4" xfId="722"/>
    <cellStyle name="Calculation 2 5" xfId="723"/>
    <cellStyle name="Calculation 2 5 2" xfId="5448"/>
    <cellStyle name="Calculation 2 6" xfId="724"/>
    <cellStyle name="Calculation 2 7" xfId="725"/>
    <cellStyle name="Calculation 2 8" xfId="726"/>
    <cellStyle name="Calculation 2 9" xfId="727"/>
    <cellStyle name="Case" xfId="728"/>
    <cellStyle name="Cellule liée" xfId="5449"/>
    <cellStyle name="Check" xfId="729"/>
    <cellStyle name="Check Cell" xfId="4540" builtinId="23" customBuiltin="1"/>
    <cellStyle name="Check Cell 2" xfId="730"/>
    <cellStyle name="Check Cell 2 10" xfId="4513"/>
    <cellStyle name="Check Cell 2 2" xfId="731"/>
    <cellStyle name="Check Cell 2 3" xfId="732"/>
    <cellStyle name="Check Cell 2 4" xfId="733"/>
    <cellStyle name="Check Cell 2 5" xfId="734"/>
    <cellStyle name="Check Cell 2 6" xfId="735"/>
    <cellStyle name="Check Cell 2 7" xfId="736"/>
    <cellStyle name="Check Cell 2 8" xfId="737"/>
    <cellStyle name="Check Cell 2 9" xfId="738"/>
    <cellStyle name="Chiffre" xfId="739"/>
    <cellStyle name="Colhead_left" xfId="740"/>
    <cellStyle name="ColHeading" xfId="741"/>
    <cellStyle name="Column Title" xfId="742"/>
    <cellStyle name="ColumnHeadings" xfId="743"/>
    <cellStyle name="ColumnHeadings2" xfId="744"/>
    <cellStyle name="Comma" xfId="4677" builtinId="3"/>
    <cellStyle name="Comma  - Style1" xfId="745"/>
    <cellStyle name="Comma  - Style2" xfId="746"/>
    <cellStyle name="Comma  - Style3" xfId="747"/>
    <cellStyle name="Comma  - Style4" xfId="748"/>
    <cellStyle name="Comma  - Style5" xfId="749"/>
    <cellStyle name="Comma  - Style6" xfId="750"/>
    <cellStyle name="Comma  - Style7" xfId="751"/>
    <cellStyle name="Comma  - Style8" xfId="752"/>
    <cellStyle name="Comma ," xfId="753"/>
    <cellStyle name="Comma , 2" xfId="4711"/>
    <cellStyle name="Comma [00]" xfId="754"/>
    <cellStyle name="Comma [1]" xfId="755"/>
    <cellStyle name="Comma [2]" xfId="756"/>
    <cellStyle name="Comma [3]" xfId="757"/>
    <cellStyle name="Comma 0" xfId="758"/>
    <cellStyle name="Comma 0*" xfId="759"/>
    <cellStyle name="Comma 0_Merger Model_KN&amp;Fzio_v2.30 - Street" xfId="760"/>
    <cellStyle name="Comma 10" xfId="761"/>
    <cellStyle name="Comma 10 2" xfId="762"/>
    <cellStyle name="Comma 10 2 2" xfId="4713"/>
    <cellStyle name="Comma 10 3" xfId="763"/>
    <cellStyle name="Comma 10 3 2" xfId="4714"/>
    <cellStyle name="Comma 10 4" xfId="764"/>
    <cellStyle name="Comma 10 4 2" xfId="4715"/>
    <cellStyle name="Comma 10 5" xfId="765"/>
    <cellStyle name="Comma 10 5 2" xfId="4716"/>
    <cellStyle name="Comma 10 6" xfId="4712"/>
    <cellStyle name="Comma 11" xfId="766"/>
    <cellStyle name="Comma 11 2" xfId="4717"/>
    <cellStyle name="Comma 12" xfId="767"/>
    <cellStyle name="Comma 12 2" xfId="4718"/>
    <cellStyle name="Comma 13" xfId="2"/>
    <cellStyle name="Comma 14" xfId="4468"/>
    <cellStyle name="Comma 15" xfId="4527"/>
    <cellStyle name="Comma 16" xfId="4569"/>
    <cellStyle name="Comma 17" xfId="4573"/>
    <cellStyle name="Comma 18" xfId="4577"/>
    <cellStyle name="Comma 19" xfId="4581"/>
    <cellStyle name="Comma 2" xfId="768"/>
    <cellStyle name="Comma 2 10" xfId="769"/>
    <cellStyle name="Comma 2 10 2" xfId="4719"/>
    <cellStyle name="Comma 2 11" xfId="770"/>
    <cellStyle name="Comma 2 11 2" xfId="771"/>
    <cellStyle name="Comma 2 11 2 2" xfId="772"/>
    <cellStyle name="Comma 2 11 2 2 2" xfId="4722"/>
    <cellStyle name="Comma 2 11 2 3" xfId="4721"/>
    <cellStyle name="Comma 2 11 3" xfId="773"/>
    <cellStyle name="Comma 2 11 3 2" xfId="4723"/>
    <cellStyle name="Comma 2 11 4" xfId="4720"/>
    <cellStyle name="Comma 2 12" xfId="774"/>
    <cellStyle name="Comma 2 12 2" xfId="775"/>
    <cellStyle name="Comma 2 12 2 2" xfId="4725"/>
    <cellStyle name="Comma 2 12 3" xfId="4724"/>
    <cellStyle name="Comma 2 13" xfId="776"/>
    <cellStyle name="Comma 2 13 2" xfId="4726"/>
    <cellStyle name="Comma 2 14" xfId="777"/>
    <cellStyle name="Comma 2 14 2" xfId="4727"/>
    <cellStyle name="Comma 2 15" xfId="778"/>
    <cellStyle name="Comma 2 15 2" xfId="4728"/>
    <cellStyle name="Comma 2 16" xfId="779"/>
    <cellStyle name="Comma 2 16 2" xfId="4729"/>
    <cellStyle name="Comma 2 17" xfId="780"/>
    <cellStyle name="Comma 2 17 2" xfId="4730"/>
    <cellStyle name="Comma 2 18" xfId="781"/>
    <cellStyle name="Comma 2 18 2" xfId="4731"/>
    <cellStyle name="Comma 2 19" xfId="782"/>
    <cellStyle name="Comma 2 2" xfId="783"/>
    <cellStyle name="Comma 2 2 10" xfId="784"/>
    <cellStyle name="Comma 2 2 11" xfId="785"/>
    <cellStyle name="Comma 2 2 2" xfId="786"/>
    <cellStyle name="Comma 2 2 2 2" xfId="787"/>
    <cellStyle name="Comma 2 2 2 2 2" xfId="4732"/>
    <cellStyle name="Comma 2 2 3" xfId="788"/>
    <cellStyle name="Comma 2 2 3 2" xfId="4733"/>
    <cellStyle name="Comma 2 2 4" xfId="789"/>
    <cellStyle name="Comma 2 2 5" xfId="790"/>
    <cellStyle name="Comma 2 2 6" xfId="791"/>
    <cellStyle name="Comma 2 2 7" xfId="792"/>
    <cellStyle name="Comma 2 2 8" xfId="793"/>
    <cellStyle name="Comma 2 2 8 2" xfId="4734"/>
    <cellStyle name="Comma 2 2 9" xfId="794"/>
    <cellStyle name="Comma 2 2 9 2" xfId="4735"/>
    <cellStyle name="Comma 2 3" xfId="795"/>
    <cellStyle name="Comma 2 3 2" xfId="796"/>
    <cellStyle name="Comma 2 3 3" xfId="797"/>
    <cellStyle name="Comma 2 3 4" xfId="798"/>
    <cellStyle name="Comma 2 3 5" xfId="799"/>
    <cellStyle name="Comma 2 3 6" xfId="800"/>
    <cellStyle name="Comma 2 3 6 2" xfId="4737"/>
    <cellStyle name="Comma 2 3 7" xfId="801"/>
    <cellStyle name="Comma 2 3 7 2" xfId="4738"/>
    <cellStyle name="Comma 2 3 8" xfId="802"/>
    <cellStyle name="Comma 2 3 8 2" xfId="4739"/>
    <cellStyle name="Comma 2 3 9" xfId="4736"/>
    <cellStyle name="Comma 2 4" xfId="803"/>
    <cellStyle name="Comma 2 4 2" xfId="804"/>
    <cellStyle name="Comma 2 4 2 2" xfId="4741"/>
    <cellStyle name="Comma 2 4 3" xfId="805"/>
    <cellStyle name="Comma 2 4 3 2" xfId="4742"/>
    <cellStyle name="Comma 2 4 4" xfId="4740"/>
    <cellStyle name="Comma 2 5" xfId="806"/>
    <cellStyle name="Comma 2 5 2" xfId="807"/>
    <cellStyle name="Comma 2 5 2 2" xfId="808"/>
    <cellStyle name="Comma 2 5 2 2 2" xfId="809"/>
    <cellStyle name="Comma 2 5 2 2 2 2" xfId="810"/>
    <cellStyle name="Comma 2 5 2 2 2 2 2" xfId="4747"/>
    <cellStyle name="Comma 2 5 2 2 2 3" xfId="4746"/>
    <cellStyle name="Comma 2 5 2 2 3" xfId="811"/>
    <cellStyle name="Comma 2 5 2 2 3 2" xfId="4748"/>
    <cellStyle name="Comma 2 5 2 2 4" xfId="4745"/>
    <cellStyle name="Comma 2 5 2 3" xfId="812"/>
    <cellStyle name="Comma 2 5 2 3 2" xfId="813"/>
    <cellStyle name="Comma 2 5 2 3 2 2" xfId="4750"/>
    <cellStyle name="Comma 2 5 2 3 3" xfId="4749"/>
    <cellStyle name="Comma 2 5 2 4" xfId="814"/>
    <cellStyle name="Comma 2 5 2 4 2" xfId="4751"/>
    <cellStyle name="Comma 2 5 2 5" xfId="4744"/>
    <cellStyle name="Comma 2 5 3" xfId="815"/>
    <cellStyle name="Comma 2 5 3 2" xfId="816"/>
    <cellStyle name="Comma 2 5 3 2 2" xfId="817"/>
    <cellStyle name="Comma 2 5 3 2 2 2" xfId="818"/>
    <cellStyle name="Comma 2 5 3 2 2 2 2" xfId="4755"/>
    <cellStyle name="Comma 2 5 3 2 2 3" xfId="4754"/>
    <cellStyle name="Comma 2 5 3 2 3" xfId="819"/>
    <cellStyle name="Comma 2 5 3 2 3 2" xfId="4756"/>
    <cellStyle name="Comma 2 5 3 2 4" xfId="4753"/>
    <cellStyle name="Comma 2 5 3 3" xfId="820"/>
    <cellStyle name="Comma 2 5 3 3 2" xfId="821"/>
    <cellStyle name="Comma 2 5 3 3 2 2" xfId="4758"/>
    <cellStyle name="Comma 2 5 3 3 3" xfId="4757"/>
    <cellStyle name="Comma 2 5 3 4" xfId="822"/>
    <cellStyle name="Comma 2 5 3 4 2" xfId="4759"/>
    <cellStyle name="Comma 2 5 3 5" xfId="4752"/>
    <cellStyle name="Comma 2 5 4" xfId="823"/>
    <cellStyle name="Comma 2 5 4 2" xfId="824"/>
    <cellStyle name="Comma 2 5 4 2 2" xfId="825"/>
    <cellStyle name="Comma 2 5 4 2 2 2" xfId="4762"/>
    <cellStyle name="Comma 2 5 4 2 3" xfId="4761"/>
    <cellStyle name="Comma 2 5 4 3" xfId="826"/>
    <cellStyle name="Comma 2 5 4 3 2" xfId="4763"/>
    <cellStyle name="Comma 2 5 4 4" xfId="4760"/>
    <cellStyle name="Comma 2 5 5" xfId="827"/>
    <cellStyle name="Comma 2 5 5 2" xfId="828"/>
    <cellStyle name="Comma 2 5 5 2 2" xfId="4765"/>
    <cellStyle name="Comma 2 5 5 3" xfId="4764"/>
    <cellStyle name="Comma 2 5 6" xfId="829"/>
    <cellStyle name="Comma 2 5 6 2" xfId="4766"/>
    <cellStyle name="Comma 2 5 7" xfId="4743"/>
    <cellStyle name="Comma 2 6" xfId="830"/>
    <cellStyle name="Comma 2 6 2" xfId="831"/>
    <cellStyle name="Comma 2 6 2 2" xfId="832"/>
    <cellStyle name="Comma 2 6 2 2 2" xfId="833"/>
    <cellStyle name="Comma 2 6 2 2 2 2" xfId="4770"/>
    <cellStyle name="Comma 2 6 2 2 3" xfId="4769"/>
    <cellStyle name="Comma 2 6 2 3" xfId="834"/>
    <cellStyle name="Comma 2 6 2 3 2" xfId="4771"/>
    <cellStyle name="Comma 2 6 2 4" xfId="4768"/>
    <cellStyle name="Comma 2 6 3" xfId="835"/>
    <cellStyle name="Comma 2 6 3 2" xfId="836"/>
    <cellStyle name="Comma 2 6 3 2 2" xfId="4773"/>
    <cellStyle name="Comma 2 6 3 3" xfId="4772"/>
    <cellStyle name="Comma 2 6 4" xfId="837"/>
    <cellStyle name="Comma 2 6 4 2" xfId="4774"/>
    <cellStyle name="Comma 2 6 5" xfId="4767"/>
    <cellStyle name="Comma 2 7" xfId="838"/>
    <cellStyle name="Comma 2 7 2" xfId="839"/>
    <cellStyle name="Comma 2 7 2 2" xfId="840"/>
    <cellStyle name="Comma 2 7 2 2 2" xfId="841"/>
    <cellStyle name="Comma 2 7 2 2 2 2" xfId="4778"/>
    <cellStyle name="Comma 2 7 2 2 3" xfId="4777"/>
    <cellStyle name="Comma 2 7 2 3" xfId="842"/>
    <cellStyle name="Comma 2 7 2 3 2" xfId="4779"/>
    <cellStyle name="Comma 2 7 2 4" xfId="4776"/>
    <cellStyle name="Comma 2 7 3" xfId="843"/>
    <cellStyle name="Comma 2 7 3 2" xfId="844"/>
    <cellStyle name="Comma 2 7 3 2 2" xfId="4781"/>
    <cellStyle name="Comma 2 7 3 3" xfId="4780"/>
    <cellStyle name="Comma 2 7 4" xfId="845"/>
    <cellStyle name="Comma 2 7 4 2" xfId="4782"/>
    <cellStyle name="Comma 2 7 5" xfId="4775"/>
    <cellStyle name="Comma 2 8" xfId="846"/>
    <cellStyle name="Comma 2 8 2" xfId="4783"/>
    <cellStyle name="Comma 2 9" xfId="847"/>
    <cellStyle name="Comma 2 9 2" xfId="848"/>
    <cellStyle name="Comma 2 9 2 2" xfId="849"/>
    <cellStyle name="Comma 2 9 2 2 2" xfId="4786"/>
    <cellStyle name="Comma 2 9 2 3" xfId="4785"/>
    <cellStyle name="Comma 2 9 3" xfId="850"/>
    <cellStyle name="Comma 2 9 3 2" xfId="4787"/>
    <cellStyle name="Comma 2 9 4" xfId="4784"/>
    <cellStyle name="Comma 2*" xfId="851"/>
    <cellStyle name="Comma 20" xfId="4585"/>
    <cellStyle name="Comma 21" xfId="4599"/>
    <cellStyle name="Comma 22" xfId="4596"/>
    <cellStyle name="Comma 23" xfId="4597"/>
    <cellStyle name="Comma 24" xfId="4594"/>
    <cellStyle name="Comma 25" xfId="4601"/>
    <cellStyle name="Comma 26" xfId="4592"/>
    <cellStyle name="Comma 27" xfId="4604"/>
    <cellStyle name="Comma 28" xfId="4590"/>
    <cellStyle name="Comma 29" xfId="4606"/>
    <cellStyle name="Comma 3" xfId="852"/>
    <cellStyle name="Comma 3 10" xfId="4788"/>
    <cellStyle name="Comma 3 2" xfId="853"/>
    <cellStyle name="Comma 3 2 2" xfId="854"/>
    <cellStyle name="Comma 3 2 2 2" xfId="4789"/>
    <cellStyle name="Comma 3 2 3" xfId="5450"/>
    <cellStyle name="Comma 3 2 4" xfId="5451"/>
    <cellStyle name="Comma 3 3" xfId="855"/>
    <cellStyle name="Comma 3 3 2" xfId="856"/>
    <cellStyle name="Comma 3 3 2 2" xfId="857"/>
    <cellStyle name="Comma 3 3 2 2 2" xfId="4791"/>
    <cellStyle name="Comma 3 3 2 3" xfId="4790"/>
    <cellStyle name="Comma 3 3 3" xfId="858"/>
    <cellStyle name="Comma 3 3 3 2" xfId="4792"/>
    <cellStyle name="Comma 3 3 4" xfId="859"/>
    <cellStyle name="Comma 3 3 4 2" xfId="4793"/>
    <cellStyle name="Comma 3 4" xfId="860"/>
    <cellStyle name="Comma 3 4 2" xfId="861"/>
    <cellStyle name="Comma 3 4 2 2" xfId="5452"/>
    <cellStyle name="Comma 3 4 2 2 2" xfId="5453"/>
    <cellStyle name="Comma 3 4 2 3" xfId="5454"/>
    <cellStyle name="Comma 3 4 2 4" xfId="5455"/>
    <cellStyle name="Comma 3 4 3" xfId="862"/>
    <cellStyle name="Comma 3 4 3 2" xfId="4795"/>
    <cellStyle name="Comma 3 4 4" xfId="4794"/>
    <cellStyle name="Comma 3 5" xfId="863"/>
    <cellStyle name="Comma 3 5 2" xfId="4796"/>
    <cellStyle name="Comma 3 6" xfId="864"/>
    <cellStyle name="Comma 3 6 2" xfId="4797"/>
    <cellStyle name="Comma 3 7" xfId="865"/>
    <cellStyle name="Comma 3 7 2" xfId="4798"/>
    <cellStyle name="Comma 3 8" xfId="866"/>
    <cellStyle name="Comma 3 8 2" xfId="4799"/>
    <cellStyle name="Comma 3 9" xfId="867"/>
    <cellStyle name="Comma 3 9 2" xfId="4800"/>
    <cellStyle name="Comma 30" xfId="4667"/>
    <cellStyle name="Comma 31" xfId="4671"/>
    <cellStyle name="Comma 32" xfId="4676"/>
    <cellStyle name="Comma 32 2" xfId="5412"/>
    <cellStyle name="Comma 33" xfId="4686"/>
    <cellStyle name="Comma 34" xfId="4685"/>
    <cellStyle name="Comma 35" xfId="4698"/>
    <cellStyle name="Comma 36" xfId="4701"/>
    <cellStyle name="Comma 37" xfId="4703"/>
    <cellStyle name="Comma 4" xfId="868"/>
    <cellStyle name="Comma 4 10" xfId="869"/>
    <cellStyle name="Comma 4 10 2" xfId="4802"/>
    <cellStyle name="Comma 4 11" xfId="870"/>
    <cellStyle name="Comma 4 11 2" xfId="4803"/>
    <cellStyle name="Comma 4 12" xfId="871"/>
    <cellStyle name="Comma 4 12 2" xfId="4804"/>
    <cellStyle name="Comma 4 13" xfId="872"/>
    <cellStyle name="Comma 4 13 2" xfId="4805"/>
    <cellStyle name="Comma 4 14" xfId="873"/>
    <cellStyle name="Comma 4 14 2" xfId="4806"/>
    <cellStyle name="Comma 4 15" xfId="4801"/>
    <cellStyle name="Comma 4 2" xfId="874"/>
    <cellStyle name="Comma 4 2 2" xfId="875"/>
    <cellStyle name="Comma 4 2 2 2" xfId="876"/>
    <cellStyle name="Comma 4 2 2 2 2" xfId="877"/>
    <cellStyle name="Comma 4 2 2 2 2 2" xfId="4810"/>
    <cellStyle name="Comma 4 2 2 2 3" xfId="4809"/>
    <cellStyle name="Comma 4 2 2 3" xfId="878"/>
    <cellStyle name="Comma 4 2 2 3 2" xfId="4811"/>
    <cellStyle name="Comma 4 2 2 4" xfId="4808"/>
    <cellStyle name="Comma 4 2 3" xfId="879"/>
    <cellStyle name="Comma 4 2 3 2" xfId="880"/>
    <cellStyle name="Comma 4 2 3 2 2" xfId="4813"/>
    <cellStyle name="Comma 4 2 3 3" xfId="4812"/>
    <cellStyle name="Comma 4 2 4" xfId="881"/>
    <cellStyle name="Comma 4 2 4 2" xfId="4814"/>
    <cellStyle name="Comma 4 2 5" xfId="882"/>
    <cellStyle name="Comma 4 2 5 2" xfId="4815"/>
    <cellStyle name="Comma 4 2 6" xfId="4807"/>
    <cellStyle name="Comma 4 3" xfId="883"/>
    <cellStyle name="Comma 4 3 2" xfId="884"/>
    <cellStyle name="Comma 4 3 2 2" xfId="885"/>
    <cellStyle name="Comma 4 3 2 2 2" xfId="886"/>
    <cellStyle name="Comma 4 3 2 2 2 2" xfId="4819"/>
    <cellStyle name="Comma 4 3 2 2 3" xfId="4818"/>
    <cellStyle name="Comma 4 3 2 3" xfId="887"/>
    <cellStyle name="Comma 4 3 2 3 2" xfId="4820"/>
    <cellStyle name="Comma 4 3 2 4" xfId="4817"/>
    <cellStyle name="Comma 4 3 3" xfId="888"/>
    <cellStyle name="Comma 4 3 3 2" xfId="889"/>
    <cellStyle name="Comma 4 3 3 2 2" xfId="4822"/>
    <cellStyle name="Comma 4 3 3 3" xfId="4821"/>
    <cellStyle name="Comma 4 3 4" xfId="890"/>
    <cellStyle name="Comma 4 3 4 2" xfId="4823"/>
    <cellStyle name="Comma 4 3 5" xfId="4816"/>
    <cellStyle name="Comma 4 4" xfId="891"/>
    <cellStyle name="Comma 4 4 2" xfId="892"/>
    <cellStyle name="Comma 4 4 2 2" xfId="893"/>
    <cellStyle name="Comma 4 4 2 2 2" xfId="894"/>
    <cellStyle name="Comma 4 4 2 2 2 2" xfId="4827"/>
    <cellStyle name="Comma 4 4 2 2 3" xfId="4826"/>
    <cellStyle name="Comma 4 4 2 3" xfId="895"/>
    <cellStyle name="Comma 4 4 2 3 2" xfId="4828"/>
    <cellStyle name="Comma 4 4 2 4" xfId="4825"/>
    <cellStyle name="Comma 4 4 3" xfId="896"/>
    <cellStyle name="Comma 4 4 3 2" xfId="897"/>
    <cellStyle name="Comma 4 4 3 2 2" xfId="4830"/>
    <cellStyle name="Comma 4 4 3 3" xfId="4829"/>
    <cellStyle name="Comma 4 4 4" xfId="898"/>
    <cellStyle name="Comma 4 4 4 2" xfId="4831"/>
    <cellStyle name="Comma 4 4 5" xfId="4824"/>
    <cellStyle name="Comma 4 5" xfId="899"/>
    <cellStyle name="Comma 4 5 2" xfId="900"/>
    <cellStyle name="Comma 4 5 2 2" xfId="901"/>
    <cellStyle name="Comma 4 5 2 2 2" xfId="4834"/>
    <cellStyle name="Comma 4 5 2 3" xfId="4833"/>
    <cellStyle name="Comma 4 5 3" xfId="902"/>
    <cellStyle name="Comma 4 5 3 2" xfId="4835"/>
    <cellStyle name="Comma 4 5 4" xfId="4832"/>
    <cellStyle name="Comma 4 6" xfId="903"/>
    <cellStyle name="Comma 4 6 2" xfId="904"/>
    <cellStyle name="Comma 4 6 2 2" xfId="905"/>
    <cellStyle name="Comma 4 6 2 2 2" xfId="4838"/>
    <cellStyle name="Comma 4 6 2 3" xfId="4837"/>
    <cellStyle name="Comma 4 6 3" xfId="906"/>
    <cellStyle name="Comma 4 6 3 2" xfId="4839"/>
    <cellStyle name="Comma 4 6 4" xfId="4836"/>
    <cellStyle name="Comma 4 7" xfId="907"/>
    <cellStyle name="Comma 4 7 2" xfId="908"/>
    <cellStyle name="Comma 4 7 2 2" xfId="4841"/>
    <cellStyle name="Comma 4 7 3" xfId="4840"/>
    <cellStyle name="Comma 4 8" xfId="909"/>
    <cellStyle name="Comma 4 8 2" xfId="4842"/>
    <cellStyle name="Comma 4 9" xfId="910"/>
    <cellStyle name="Comma 4 9 2" xfId="4843"/>
    <cellStyle name="Comma 40" xfId="5606"/>
    <cellStyle name="Comma 5" xfId="911"/>
    <cellStyle name="Comma 5 10" xfId="912"/>
    <cellStyle name="Comma 5 10 2" xfId="4845"/>
    <cellStyle name="Comma 5 11" xfId="913"/>
    <cellStyle name="Comma 5 11 2" xfId="4846"/>
    <cellStyle name="Comma 5 12" xfId="914"/>
    <cellStyle name="Comma 5 12 2" xfId="4847"/>
    <cellStyle name="Comma 5 13" xfId="4844"/>
    <cellStyle name="Comma 5 2" xfId="915"/>
    <cellStyle name="Comma 5 2 2" xfId="916"/>
    <cellStyle name="Comma 5 2 2 2" xfId="917"/>
    <cellStyle name="Comma 5 2 2 2 2" xfId="918"/>
    <cellStyle name="Comma 5 2 2 2 2 2" xfId="4851"/>
    <cellStyle name="Comma 5 2 2 2 3" xfId="4850"/>
    <cellStyle name="Comma 5 2 2 3" xfId="919"/>
    <cellStyle name="Comma 5 2 2 3 2" xfId="4852"/>
    <cellStyle name="Comma 5 2 2 4" xfId="4849"/>
    <cellStyle name="Comma 5 2 3" xfId="920"/>
    <cellStyle name="Comma 5 2 3 2" xfId="921"/>
    <cellStyle name="Comma 5 2 3 2 2" xfId="4854"/>
    <cellStyle name="Comma 5 2 3 3" xfId="4853"/>
    <cellStyle name="Comma 5 2 4" xfId="922"/>
    <cellStyle name="Comma 5 2 4 2" xfId="4855"/>
    <cellStyle name="Comma 5 2 5" xfId="4848"/>
    <cellStyle name="Comma 5 3" xfId="923"/>
    <cellStyle name="Comma 5 3 2" xfId="924"/>
    <cellStyle name="Comma 5 3 2 2" xfId="925"/>
    <cellStyle name="Comma 5 3 2 2 2" xfId="926"/>
    <cellStyle name="Comma 5 3 2 2 2 2" xfId="4859"/>
    <cellStyle name="Comma 5 3 2 2 3" xfId="4858"/>
    <cellStyle name="Comma 5 3 2 3" xfId="927"/>
    <cellStyle name="Comma 5 3 2 3 2" xfId="4860"/>
    <cellStyle name="Comma 5 3 2 4" xfId="4857"/>
    <cellStyle name="Comma 5 3 3" xfId="928"/>
    <cellStyle name="Comma 5 3 3 2" xfId="929"/>
    <cellStyle name="Comma 5 3 3 2 2" xfId="4862"/>
    <cellStyle name="Comma 5 3 3 3" xfId="4861"/>
    <cellStyle name="Comma 5 3 4" xfId="930"/>
    <cellStyle name="Comma 5 3 4 2" xfId="4863"/>
    <cellStyle name="Comma 5 3 5" xfId="4856"/>
    <cellStyle name="Comma 5 4" xfId="931"/>
    <cellStyle name="Comma 5 4 2" xfId="932"/>
    <cellStyle name="Comma 5 4 2 2" xfId="933"/>
    <cellStyle name="Comma 5 4 2 2 2" xfId="4866"/>
    <cellStyle name="Comma 5 4 2 3" xfId="4865"/>
    <cellStyle name="Comma 5 4 3" xfId="934"/>
    <cellStyle name="Comma 5 4 3 2" xfId="4867"/>
    <cellStyle name="Comma 5 4 4" xfId="4864"/>
    <cellStyle name="Comma 5 5" xfId="935"/>
    <cellStyle name="Comma 5 5 2" xfId="936"/>
    <cellStyle name="Comma 5 5 2 2" xfId="937"/>
    <cellStyle name="Comma 5 5 2 2 2" xfId="4870"/>
    <cellStyle name="Comma 5 5 2 3" xfId="4869"/>
    <cellStyle name="Comma 5 5 3" xfId="938"/>
    <cellStyle name="Comma 5 5 3 2" xfId="4871"/>
    <cellStyle name="Comma 5 5 4" xfId="4868"/>
    <cellStyle name="Comma 5 6" xfId="939"/>
    <cellStyle name="Comma 5 6 2" xfId="940"/>
    <cellStyle name="Comma 5 6 2 2" xfId="4873"/>
    <cellStyle name="Comma 5 6 3" xfId="4872"/>
    <cellStyle name="Comma 5 7" xfId="941"/>
    <cellStyle name="Comma 5 7 2" xfId="4874"/>
    <cellStyle name="Comma 5 8" xfId="942"/>
    <cellStyle name="Comma 5 8 2" xfId="4875"/>
    <cellStyle name="Comma 5 9" xfId="943"/>
    <cellStyle name="Comma 5 9 2" xfId="4876"/>
    <cellStyle name="Comma 6" xfId="944"/>
    <cellStyle name="Comma 6 2" xfId="945"/>
    <cellStyle name="Comma 6 2 2" xfId="4878"/>
    <cellStyle name="Comma 6 3" xfId="946"/>
    <cellStyle name="Comma 6 3 2" xfId="4879"/>
    <cellStyle name="Comma 6 4" xfId="947"/>
    <cellStyle name="Comma 6 4 2" xfId="4880"/>
    <cellStyle name="Comma 6 5" xfId="948"/>
    <cellStyle name="Comma 6 5 2" xfId="4881"/>
    <cellStyle name="Comma 6 6" xfId="949"/>
    <cellStyle name="Comma 6 6 2" xfId="4882"/>
    <cellStyle name="Comma 6 7" xfId="4877"/>
    <cellStyle name="Comma 7" xfId="950"/>
    <cellStyle name="Comma 7 2" xfId="951"/>
    <cellStyle name="Comma 7 2 2" xfId="952"/>
    <cellStyle name="Comma 7 2 2 2" xfId="953"/>
    <cellStyle name="Comma 7 2 2 2 2" xfId="4886"/>
    <cellStyle name="Comma 7 2 2 3" xfId="4885"/>
    <cellStyle name="Comma 7 2 3" xfId="954"/>
    <cellStyle name="Comma 7 2 3 2" xfId="4887"/>
    <cellStyle name="Comma 7 2 4" xfId="4884"/>
    <cellStyle name="Comma 7 3" xfId="955"/>
    <cellStyle name="Comma 7 3 2" xfId="956"/>
    <cellStyle name="Comma 7 3 2 2" xfId="4889"/>
    <cellStyle name="Comma 7 3 3" xfId="4888"/>
    <cellStyle name="Comma 7 4" xfId="957"/>
    <cellStyle name="Comma 7 4 2" xfId="4890"/>
    <cellStyle name="Comma 7 5" xfId="958"/>
    <cellStyle name="Comma 7 5 2" xfId="4891"/>
    <cellStyle name="Comma 7 6" xfId="959"/>
    <cellStyle name="Comma 7 6 2" xfId="4892"/>
    <cellStyle name="Comma 7 7" xfId="960"/>
    <cellStyle name="Comma 7 7 2" xfId="4893"/>
    <cellStyle name="Comma 7 8" xfId="961"/>
    <cellStyle name="Comma 7 8 2" xfId="4894"/>
    <cellStyle name="Comma 7 9" xfId="4883"/>
    <cellStyle name="Comma 8" xfId="962"/>
    <cellStyle name="Comma 8 2" xfId="963"/>
    <cellStyle name="Comma 8 2 2" xfId="964"/>
    <cellStyle name="Comma 8 2 2 2" xfId="4897"/>
    <cellStyle name="Comma 8 2 3" xfId="4896"/>
    <cellStyle name="Comma 8 3" xfId="965"/>
    <cellStyle name="Comma 8 3 2" xfId="4898"/>
    <cellStyle name="Comma 8 4" xfId="966"/>
    <cellStyle name="Comma 8 4 2" xfId="4899"/>
    <cellStyle name="Comma 8 5" xfId="967"/>
    <cellStyle name="Comma 8 5 2" xfId="4900"/>
    <cellStyle name="Comma 8 6" xfId="968"/>
    <cellStyle name="Comma 8 6 2" xfId="4901"/>
    <cellStyle name="Comma 8 7" xfId="969"/>
    <cellStyle name="Comma 8 7 2" xfId="4902"/>
    <cellStyle name="Comma 8 8" xfId="4895"/>
    <cellStyle name="Comma 9" xfId="970"/>
    <cellStyle name="Comma 9 2" xfId="971"/>
    <cellStyle name="Comma 9 2 2" xfId="4904"/>
    <cellStyle name="Comma 9 3" xfId="972"/>
    <cellStyle name="Comma 9 3 2" xfId="4905"/>
    <cellStyle name="Comma 9 4" xfId="973"/>
    <cellStyle name="Comma 9 4 2" xfId="4906"/>
    <cellStyle name="Comma 9 5" xfId="974"/>
    <cellStyle name="Comma 9 5 2" xfId="4907"/>
    <cellStyle name="Comma 9 6" xfId="4903"/>
    <cellStyle name="Comma0" xfId="975"/>
    <cellStyle name="Comma2 (0)" xfId="976"/>
    <cellStyle name="Comment" xfId="977"/>
    <cellStyle name="Commentaire" xfId="5456"/>
    <cellStyle name="Commentaire 2" xfId="5457"/>
    <cellStyle name="Commentaire 2 2" xfId="5458"/>
    <cellStyle name="Commentaire 2 2 2" xfId="5459"/>
    <cellStyle name="Commentaire 2 3" xfId="5460"/>
    <cellStyle name="Commentaire 3" xfId="5461"/>
    <cellStyle name="Commentaire 3 2" xfId="5462"/>
    <cellStyle name="Commentaire 4" xfId="5463"/>
    <cellStyle name="Company" xfId="978"/>
    <cellStyle name="CurRatio" xfId="979"/>
    <cellStyle name="Currency--" xfId="980"/>
    <cellStyle name="Currency [00]" xfId="981"/>
    <cellStyle name="Currency [1]" xfId="982"/>
    <cellStyle name="Currency [2]" xfId="983"/>
    <cellStyle name="Currency [2] 2" xfId="4474"/>
    <cellStyle name="Currency [2] 3" xfId="4908"/>
    <cellStyle name="Currency [3]" xfId="984"/>
    <cellStyle name="Currency 0" xfId="985"/>
    <cellStyle name="Currency 10" xfId="986"/>
    <cellStyle name="Currency 10 2" xfId="987"/>
    <cellStyle name="Currency 10 2 2" xfId="988"/>
    <cellStyle name="Currency 10 2 2 2" xfId="989"/>
    <cellStyle name="Currency 10 2 2 2 2" xfId="990"/>
    <cellStyle name="Currency 10 2 2 2 2 2" xfId="4913"/>
    <cellStyle name="Currency 10 2 2 2 3" xfId="4912"/>
    <cellStyle name="Currency 10 2 2 3" xfId="991"/>
    <cellStyle name="Currency 10 2 2 3 2" xfId="4914"/>
    <cellStyle name="Currency 10 2 2 4" xfId="4911"/>
    <cellStyle name="Currency 10 2 3" xfId="992"/>
    <cellStyle name="Currency 10 2 3 2" xfId="993"/>
    <cellStyle name="Currency 10 2 3 2 2" xfId="4916"/>
    <cellStyle name="Currency 10 2 3 3" xfId="4915"/>
    <cellStyle name="Currency 10 2 4" xfId="994"/>
    <cellStyle name="Currency 10 2 4 2" xfId="4917"/>
    <cellStyle name="Currency 10 2 5" xfId="4910"/>
    <cellStyle name="Currency 10 3" xfId="995"/>
    <cellStyle name="Currency 10 3 2" xfId="996"/>
    <cellStyle name="Currency 10 3 2 2" xfId="997"/>
    <cellStyle name="Currency 10 3 2 2 2" xfId="998"/>
    <cellStyle name="Currency 10 3 2 2 2 2" xfId="4921"/>
    <cellStyle name="Currency 10 3 2 2 3" xfId="4920"/>
    <cellStyle name="Currency 10 3 2 3" xfId="999"/>
    <cellStyle name="Currency 10 3 2 3 2" xfId="4922"/>
    <cellStyle name="Currency 10 3 2 4" xfId="4919"/>
    <cellStyle name="Currency 10 3 3" xfId="1000"/>
    <cellStyle name="Currency 10 3 3 2" xfId="1001"/>
    <cellStyle name="Currency 10 3 3 2 2" xfId="4924"/>
    <cellStyle name="Currency 10 3 3 3" xfId="4923"/>
    <cellStyle name="Currency 10 3 4" xfId="1002"/>
    <cellStyle name="Currency 10 3 4 2" xfId="4925"/>
    <cellStyle name="Currency 10 3 5" xfId="4918"/>
    <cellStyle name="Currency 10 4" xfId="1003"/>
    <cellStyle name="Currency 10 4 2" xfId="1004"/>
    <cellStyle name="Currency 10 4 2 2" xfId="1005"/>
    <cellStyle name="Currency 10 4 2 2 2" xfId="4928"/>
    <cellStyle name="Currency 10 4 2 3" xfId="4927"/>
    <cellStyle name="Currency 10 4 3" xfId="1006"/>
    <cellStyle name="Currency 10 4 3 2" xfId="4929"/>
    <cellStyle name="Currency 10 4 4" xfId="4926"/>
    <cellStyle name="Currency 10 5" xfId="1007"/>
    <cellStyle name="Currency 10 5 2" xfId="1008"/>
    <cellStyle name="Currency 10 5 2 2" xfId="4931"/>
    <cellStyle name="Currency 10 5 3" xfId="4930"/>
    <cellStyle name="Currency 10 6" xfId="1009"/>
    <cellStyle name="Currency 10 6 2" xfId="4932"/>
    <cellStyle name="Currency 10 7" xfId="4909"/>
    <cellStyle name="Currency 11" xfId="1010"/>
    <cellStyle name="Currency 11 2" xfId="1011"/>
    <cellStyle name="Currency 11 2 2" xfId="1012"/>
    <cellStyle name="Currency 11 2 2 2" xfId="1013"/>
    <cellStyle name="Currency 11 2 2 2 2" xfId="1014"/>
    <cellStyle name="Currency 11 2 2 2 2 2" xfId="4937"/>
    <cellStyle name="Currency 11 2 2 2 3" xfId="4936"/>
    <cellStyle name="Currency 11 2 2 3" xfId="1015"/>
    <cellStyle name="Currency 11 2 2 3 2" xfId="4938"/>
    <cellStyle name="Currency 11 2 2 4" xfId="4935"/>
    <cellStyle name="Currency 11 2 3" xfId="1016"/>
    <cellStyle name="Currency 11 2 3 2" xfId="1017"/>
    <cellStyle name="Currency 11 2 3 2 2" xfId="4940"/>
    <cellStyle name="Currency 11 2 3 3" xfId="4939"/>
    <cellStyle name="Currency 11 2 4" xfId="1018"/>
    <cellStyle name="Currency 11 2 4 2" xfId="4941"/>
    <cellStyle name="Currency 11 2 5" xfId="4934"/>
    <cellStyle name="Currency 11 3" xfId="1019"/>
    <cellStyle name="Currency 11 3 2" xfId="1020"/>
    <cellStyle name="Currency 11 3 2 2" xfId="1021"/>
    <cellStyle name="Currency 11 3 2 2 2" xfId="1022"/>
    <cellStyle name="Currency 11 3 2 2 2 2" xfId="4945"/>
    <cellStyle name="Currency 11 3 2 2 3" xfId="4944"/>
    <cellStyle name="Currency 11 3 2 3" xfId="1023"/>
    <cellStyle name="Currency 11 3 2 3 2" xfId="4946"/>
    <cellStyle name="Currency 11 3 2 4" xfId="4943"/>
    <cellStyle name="Currency 11 3 3" xfId="1024"/>
    <cellStyle name="Currency 11 3 3 2" xfId="1025"/>
    <cellStyle name="Currency 11 3 3 2 2" xfId="4948"/>
    <cellStyle name="Currency 11 3 3 3" xfId="4947"/>
    <cellStyle name="Currency 11 3 4" xfId="1026"/>
    <cellStyle name="Currency 11 3 4 2" xfId="4949"/>
    <cellStyle name="Currency 11 3 5" xfId="4942"/>
    <cellStyle name="Currency 11 4" xfId="1027"/>
    <cellStyle name="Currency 11 4 2" xfId="1028"/>
    <cellStyle name="Currency 11 4 2 2" xfId="1029"/>
    <cellStyle name="Currency 11 4 2 2 2" xfId="4952"/>
    <cellStyle name="Currency 11 4 2 3" xfId="4951"/>
    <cellStyle name="Currency 11 4 3" xfId="1030"/>
    <cellStyle name="Currency 11 4 3 2" xfId="4953"/>
    <cellStyle name="Currency 11 4 4" xfId="4950"/>
    <cellStyle name="Currency 11 5" xfId="1031"/>
    <cellStyle name="Currency 11 5 2" xfId="1032"/>
    <cellStyle name="Currency 11 5 2 2" xfId="4955"/>
    <cellStyle name="Currency 11 5 3" xfId="4954"/>
    <cellStyle name="Currency 11 6" xfId="1033"/>
    <cellStyle name="Currency 11 6 2" xfId="4956"/>
    <cellStyle name="Currency 11 7" xfId="4933"/>
    <cellStyle name="Currency 12" xfId="1034"/>
    <cellStyle name="Currency 12 2" xfId="4957"/>
    <cellStyle name="Currency 13" xfId="1035"/>
    <cellStyle name="Currency 13 2" xfId="4958"/>
    <cellStyle name="Currency 14" xfId="1036"/>
    <cellStyle name="Currency 14 2" xfId="1037"/>
    <cellStyle name="Currency 14 2 2" xfId="1038"/>
    <cellStyle name="Currency 14 2 2 2" xfId="1039"/>
    <cellStyle name="Currency 14 2 2 2 2" xfId="1040"/>
    <cellStyle name="Currency 14 2 2 2 2 2" xfId="4963"/>
    <cellStyle name="Currency 14 2 2 2 3" xfId="4962"/>
    <cellStyle name="Currency 14 2 2 3" xfId="1041"/>
    <cellStyle name="Currency 14 2 2 3 2" xfId="4964"/>
    <cellStyle name="Currency 14 2 2 4" xfId="4961"/>
    <cellStyle name="Currency 14 2 3" xfId="1042"/>
    <cellStyle name="Currency 14 2 3 2" xfId="1043"/>
    <cellStyle name="Currency 14 2 3 2 2" xfId="4966"/>
    <cellStyle name="Currency 14 2 3 3" xfId="4965"/>
    <cellStyle name="Currency 14 2 4" xfId="1044"/>
    <cellStyle name="Currency 14 2 4 2" xfId="4967"/>
    <cellStyle name="Currency 14 2 5" xfId="4960"/>
    <cellStyle name="Currency 14 3" xfId="1045"/>
    <cellStyle name="Currency 14 3 2" xfId="1046"/>
    <cellStyle name="Currency 14 3 2 2" xfId="1047"/>
    <cellStyle name="Currency 14 3 2 2 2" xfId="1048"/>
    <cellStyle name="Currency 14 3 2 2 2 2" xfId="4971"/>
    <cellStyle name="Currency 14 3 2 2 3" xfId="4970"/>
    <cellStyle name="Currency 14 3 2 3" xfId="1049"/>
    <cellStyle name="Currency 14 3 2 3 2" xfId="4972"/>
    <cellStyle name="Currency 14 3 2 4" xfId="4969"/>
    <cellStyle name="Currency 14 3 3" xfId="1050"/>
    <cellStyle name="Currency 14 3 3 2" xfId="1051"/>
    <cellStyle name="Currency 14 3 3 2 2" xfId="4974"/>
    <cellStyle name="Currency 14 3 3 3" xfId="4973"/>
    <cellStyle name="Currency 14 3 4" xfId="1052"/>
    <cellStyle name="Currency 14 3 4 2" xfId="4975"/>
    <cellStyle name="Currency 14 3 5" xfId="4968"/>
    <cellStyle name="Currency 14 4" xfId="1053"/>
    <cellStyle name="Currency 14 4 2" xfId="1054"/>
    <cellStyle name="Currency 14 4 2 2" xfId="1055"/>
    <cellStyle name="Currency 14 4 2 2 2" xfId="1056"/>
    <cellStyle name="Currency 14 4 2 2 2 2" xfId="4979"/>
    <cellStyle name="Currency 14 4 2 2 3" xfId="4978"/>
    <cellStyle name="Currency 14 4 2 3" xfId="1057"/>
    <cellStyle name="Currency 14 4 2 3 2" xfId="4980"/>
    <cellStyle name="Currency 14 4 2 4" xfId="4977"/>
    <cellStyle name="Currency 14 4 3" xfId="1058"/>
    <cellStyle name="Currency 14 4 3 2" xfId="1059"/>
    <cellStyle name="Currency 14 4 3 2 2" xfId="4982"/>
    <cellStyle name="Currency 14 4 3 3" xfId="4981"/>
    <cellStyle name="Currency 14 4 4" xfId="1060"/>
    <cellStyle name="Currency 14 4 4 2" xfId="4983"/>
    <cellStyle name="Currency 14 4 5" xfId="4976"/>
    <cellStyle name="Currency 14 5" xfId="1061"/>
    <cellStyle name="Currency 14 5 2" xfId="1062"/>
    <cellStyle name="Currency 14 5 2 2" xfId="1063"/>
    <cellStyle name="Currency 14 5 2 2 2" xfId="4986"/>
    <cellStyle name="Currency 14 5 2 3" xfId="4985"/>
    <cellStyle name="Currency 14 5 3" xfId="1064"/>
    <cellStyle name="Currency 14 5 3 2" xfId="4987"/>
    <cellStyle name="Currency 14 5 4" xfId="4984"/>
    <cellStyle name="Currency 14 6" xfId="1065"/>
    <cellStyle name="Currency 14 6 2" xfId="1066"/>
    <cellStyle name="Currency 14 6 2 2" xfId="4989"/>
    <cellStyle name="Currency 14 6 3" xfId="4988"/>
    <cellStyle name="Currency 14 7" xfId="1067"/>
    <cellStyle name="Currency 14 7 2" xfId="4990"/>
    <cellStyle name="Currency 14 8" xfId="4959"/>
    <cellStyle name="Currency 15" xfId="1068"/>
    <cellStyle name="Currency 15 2" xfId="1069"/>
    <cellStyle name="Currency 15 2 2" xfId="1070"/>
    <cellStyle name="Currency 15 2 2 2" xfId="1071"/>
    <cellStyle name="Currency 15 2 2 2 2" xfId="4994"/>
    <cellStyle name="Currency 15 2 2 3" xfId="4993"/>
    <cellStyle name="Currency 15 2 3" xfId="1072"/>
    <cellStyle name="Currency 15 2 3 2" xfId="4995"/>
    <cellStyle name="Currency 15 2 4" xfId="4992"/>
    <cellStyle name="Currency 15 3" xfId="1073"/>
    <cellStyle name="Currency 15 3 2" xfId="1074"/>
    <cellStyle name="Currency 15 3 2 2" xfId="4997"/>
    <cellStyle name="Currency 15 3 3" xfId="4996"/>
    <cellStyle name="Currency 15 4" xfId="1075"/>
    <cellStyle name="Currency 15 4 2" xfId="4998"/>
    <cellStyle name="Currency 15 5" xfId="4991"/>
    <cellStyle name="Currency 16" xfId="1076"/>
    <cellStyle name="Currency 16 2" xfId="1077"/>
    <cellStyle name="Currency 16 2 2" xfId="5000"/>
    <cellStyle name="Currency 16 3" xfId="4999"/>
    <cellStyle name="Currency 17" xfId="1078"/>
    <cellStyle name="Currency 17 2" xfId="5001"/>
    <cellStyle name="Currency 18" xfId="1079"/>
    <cellStyle name="Currency 19" xfId="1080"/>
    <cellStyle name="Currency 19 2" xfId="1081"/>
    <cellStyle name="Currency 19 2 2" xfId="1082"/>
    <cellStyle name="Currency 19 2 2 2" xfId="1083"/>
    <cellStyle name="Currency 19 2 2 2 2" xfId="1084"/>
    <cellStyle name="Currency 19 2 2 2 2 2" xfId="5006"/>
    <cellStyle name="Currency 19 2 2 2 3" xfId="5005"/>
    <cellStyle name="Currency 19 2 2 3" xfId="1085"/>
    <cellStyle name="Currency 19 2 2 3 2" xfId="5007"/>
    <cellStyle name="Currency 19 2 2 4" xfId="5004"/>
    <cellStyle name="Currency 19 2 3" xfId="1086"/>
    <cellStyle name="Currency 19 2 3 2" xfId="1087"/>
    <cellStyle name="Currency 19 2 3 2 2" xfId="5009"/>
    <cellStyle name="Currency 19 2 3 3" xfId="5008"/>
    <cellStyle name="Currency 19 2 4" xfId="1088"/>
    <cellStyle name="Currency 19 2 4 2" xfId="5010"/>
    <cellStyle name="Currency 19 2 5" xfId="5003"/>
    <cellStyle name="Currency 19 3" xfId="1089"/>
    <cellStyle name="Currency 19 3 2" xfId="1090"/>
    <cellStyle name="Currency 19 3 2 2" xfId="1091"/>
    <cellStyle name="Currency 19 3 2 2 2" xfId="1092"/>
    <cellStyle name="Currency 19 3 2 2 2 2" xfId="5014"/>
    <cellStyle name="Currency 19 3 2 2 3" xfId="5013"/>
    <cellStyle name="Currency 19 3 2 3" xfId="1093"/>
    <cellStyle name="Currency 19 3 2 3 2" xfId="5015"/>
    <cellStyle name="Currency 19 3 2 4" xfId="5012"/>
    <cellStyle name="Currency 19 3 3" xfId="1094"/>
    <cellStyle name="Currency 19 3 3 2" xfId="1095"/>
    <cellStyle name="Currency 19 3 3 2 2" xfId="5017"/>
    <cellStyle name="Currency 19 3 3 3" xfId="5016"/>
    <cellStyle name="Currency 19 3 4" xfId="1096"/>
    <cellStyle name="Currency 19 3 4 2" xfId="5018"/>
    <cellStyle name="Currency 19 3 5" xfId="5011"/>
    <cellStyle name="Currency 19 4" xfId="1097"/>
    <cellStyle name="Currency 19 4 2" xfId="1098"/>
    <cellStyle name="Currency 19 4 2 2" xfId="1099"/>
    <cellStyle name="Currency 19 4 2 2 2" xfId="5021"/>
    <cellStyle name="Currency 19 4 2 3" xfId="5020"/>
    <cellStyle name="Currency 19 4 3" xfId="1100"/>
    <cellStyle name="Currency 19 4 3 2" xfId="5022"/>
    <cellStyle name="Currency 19 4 4" xfId="5019"/>
    <cellStyle name="Currency 19 5" xfId="1101"/>
    <cellStyle name="Currency 19 5 2" xfId="1102"/>
    <cellStyle name="Currency 19 5 2 2" xfId="5024"/>
    <cellStyle name="Currency 19 5 3" xfId="5023"/>
    <cellStyle name="Currency 19 6" xfId="1103"/>
    <cellStyle name="Currency 19 6 2" xfId="5025"/>
    <cellStyle name="Currency 19 7" xfId="5002"/>
    <cellStyle name="Currency 2" xfId="1104"/>
    <cellStyle name="Currency 2 10" xfId="1105"/>
    <cellStyle name="Currency 2 10 2" xfId="1106"/>
    <cellStyle name="Currency 2 10 2 2" xfId="1107"/>
    <cellStyle name="Currency 2 10 2 2 2" xfId="5028"/>
    <cellStyle name="Currency 2 10 2 3" xfId="5027"/>
    <cellStyle name="Currency 2 10 3" xfId="1108"/>
    <cellStyle name="Currency 2 10 3 2" xfId="5029"/>
    <cellStyle name="Currency 2 10 4" xfId="5026"/>
    <cellStyle name="Currency 2 11" xfId="1109"/>
    <cellStyle name="Currency 2 11 2" xfId="5030"/>
    <cellStyle name="Currency 2 12" xfId="1110"/>
    <cellStyle name="Currency 2 12 2" xfId="5031"/>
    <cellStyle name="Currency 2 13" xfId="1111"/>
    <cellStyle name="Currency 2 13 2" xfId="5032"/>
    <cellStyle name="Currency 2 14" xfId="1112"/>
    <cellStyle name="Currency 2 14 2" xfId="5033"/>
    <cellStyle name="Currency 2 15" xfId="1113"/>
    <cellStyle name="Currency 2 15 2" xfId="5034"/>
    <cellStyle name="Currency 2 16" xfId="1114"/>
    <cellStyle name="Currency 2 16 2" xfId="5035"/>
    <cellStyle name="Currency 2 17" xfId="1115"/>
    <cellStyle name="Currency 2 17 2" xfId="5036"/>
    <cellStyle name="Currency 2 18" xfId="1116"/>
    <cellStyle name="Currency 2 2" xfId="1117"/>
    <cellStyle name="Currency 2 2 10" xfId="1118"/>
    <cellStyle name="Currency 2 2 11" xfId="1119"/>
    <cellStyle name="Currency 2 2 12" xfId="5037"/>
    <cellStyle name="Currency 2 2 2" xfId="1120"/>
    <cellStyle name="Currency 2 2 2 2" xfId="5038"/>
    <cellStyle name="Currency 2 2 3" xfId="1121"/>
    <cellStyle name="Currency 2 2 3 2" xfId="5039"/>
    <cellStyle name="Currency 2 2 4" xfId="1122"/>
    <cellStyle name="Currency 2 2 5" xfId="1123"/>
    <cellStyle name="Currency 2 2 6" xfId="1124"/>
    <cellStyle name="Currency 2 2 7" xfId="1125"/>
    <cellStyle name="Currency 2 2 8" xfId="1126"/>
    <cellStyle name="Currency 2 2 9" xfId="1127"/>
    <cellStyle name="Currency 2 2 9 2" xfId="5040"/>
    <cellStyle name="Currency 2 3" xfId="1128"/>
    <cellStyle name="Currency 2 3 2" xfId="1129"/>
    <cellStyle name="Currency 2 3 3" xfId="1130"/>
    <cellStyle name="Currency 2 3 4" xfId="1131"/>
    <cellStyle name="Currency 2 3 5" xfId="1132"/>
    <cellStyle name="Currency 2 3 6" xfId="5041"/>
    <cellStyle name="Currency 2 4" xfId="1133"/>
    <cellStyle name="Currency 2 4 2" xfId="5042"/>
    <cellStyle name="Currency 2 5" xfId="1134"/>
    <cellStyle name="Currency 2 5 2" xfId="5043"/>
    <cellStyle name="Currency 2 6" xfId="1135"/>
    <cellStyle name="Currency 2 6 2" xfId="5044"/>
    <cellStyle name="Currency 2 7" xfId="1136"/>
    <cellStyle name="Currency 2 7 2" xfId="5045"/>
    <cellStyle name="Currency 2 8" xfId="1137"/>
    <cellStyle name="Currency 2 8 2" xfId="5046"/>
    <cellStyle name="Currency 2 9" xfId="1138"/>
    <cellStyle name="Currency 2 9 2" xfId="5047"/>
    <cellStyle name="Currency 2*" xfId="1139"/>
    <cellStyle name="Currency 2_CLdcfmodel" xfId="1140"/>
    <cellStyle name="Currency 20" xfId="1141"/>
    <cellStyle name="Currency 20 2" xfId="1142"/>
    <cellStyle name="Currency 20 2 2" xfId="1143"/>
    <cellStyle name="Currency 20 2 2 2" xfId="1144"/>
    <cellStyle name="Currency 20 2 2 2 2" xfId="1145"/>
    <cellStyle name="Currency 20 2 2 2 2 2" xfId="5052"/>
    <cellStyle name="Currency 20 2 2 2 3" xfId="5051"/>
    <cellStyle name="Currency 20 2 2 3" xfId="1146"/>
    <cellStyle name="Currency 20 2 2 3 2" xfId="5053"/>
    <cellStyle name="Currency 20 2 2 4" xfId="5050"/>
    <cellStyle name="Currency 20 2 3" xfId="1147"/>
    <cellStyle name="Currency 20 2 3 2" xfId="1148"/>
    <cellStyle name="Currency 20 2 3 2 2" xfId="5055"/>
    <cellStyle name="Currency 20 2 3 3" xfId="5054"/>
    <cellStyle name="Currency 20 2 4" xfId="1149"/>
    <cellStyle name="Currency 20 2 4 2" xfId="5056"/>
    <cellStyle name="Currency 20 2 5" xfId="5049"/>
    <cellStyle name="Currency 20 3" xfId="1150"/>
    <cellStyle name="Currency 20 3 2" xfId="1151"/>
    <cellStyle name="Currency 20 3 2 2" xfId="1152"/>
    <cellStyle name="Currency 20 3 2 2 2" xfId="1153"/>
    <cellStyle name="Currency 20 3 2 2 2 2" xfId="5060"/>
    <cellStyle name="Currency 20 3 2 2 3" xfId="5059"/>
    <cellStyle name="Currency 20 3 2 3" xfId="1154"/>
    <cellStyle name="Currency 20 3 2 3 2" xfId="5061"/>
    <cellStyle name="Currency 20 3 2 4" xfId="5058"/>
    <cellStyle name="Currency 20 3 3" xfId="1155"/>
    <cellStyle name="Currency 20 3 3 2" xfId="1156"/>
    <cellStyle name="Currency 20 3 3 2 2" xfId="5063"/>
    <cellStyle name="Currency 20 3 3 3" xfId="5062"/>
    <cellStyle name="Currency 20 3 4" xfId="1157"/>
    <cellStyle name="Currency 20 3 4 2" xfId="5064"/>
    <cellStyle name="Currency 20 3 5" xfId="5057"/>
    <cellStyle name="Currency 20 4" xfId="1158"/>
    <cellStyle name="Currency 20 4 2" xfId="1159"/>
    <cellStyle name="Currency 20 4 2 2" xfId="1160"/>
    <cellStyle name="Currency 20 4 2 2 2" xfId="5067"/>
    <cellStyle name="Currency 20 4 2 3" xfId="5066"/>
    <cellStyle name="Currency 20 4 3" xfId="1161"/>
    <cellStyle name="Currency 20 4 3 2" xfId="5068"/>
    <cellStyle name="Currency 20 4 4" xfId="5065"/>
    <cellStyle name="Currency 20 5" xfId="1162"/>
    <cellStyle name="Currency 20 5 2" xfId="1163"/>
    <cellStyle name="Currency 20 5 2 2" xfId="5070"/>
    <cellStyle name="Currency 20 5 3" xfId="5069"/>
    <cellStyle name="Currency 20 6" xfId="1164"/>
    <cellStyle name="Currency 20 6 2" xfId="5071"/>
    <cellStyle name="Currency 20 7" xfId="5048"/>
    <cellStyle name="Currency 21" xfId="1165"/>
    <cellStyle name="Currency 21 2" xfId="1166"/>
    <cellStyle name="Currency 21 2 2" xfId="1167"/>
    <cellStyle name="Currency 21 2 2 2" xfId="1168"/>
    <cellStyle name="Currency 21 2 2 2 2" xfId="1169"/>
    <cellStyle name="Currency 21 2 2 2 2 2" xfId="5076"/>
    <cellStyle name="Currency 21 2 2 2 3" xfId="5075"/>
    <cellStyle name="Currency 21 2 2 3" xfId="1170"/>
    <cellStyle name="Currency 21 2 2 3 2" xfId="5077"/>
    <cellStyle name="Currency 21 2 2 4" xfId="5074"/>
    <cellStyle name="Currency 21 2 3" xfId="1171"/>
    <cellStyle name="Currency 21 2 3 2" xfId="1172"/>
    <cellStyle name="Currency 21 2 3 2 2" xfId="5079"/>
    <cellStyle name="Currency 21 2 3 3" xfId="5078"/>
    <cellStyle name="Currency 21 2 4" xfId="1173"/>
    <cellStyle name="Currency 21 2 4 2" xfId="5080"/>
    <cellStyle name="Currency 21 2 5" xfId="5073"/>
    <cellStyle name="Currency 21 3" xfId="1174"/>
    <cellStyle name="Currency 21 3 2" xfId="1175"/>
    <cellStyle name="Currency 21 3 2 2" xfId="1176"/>
    <cellStyle name="Currency 21 3 2 2 2" xfId="1177"/>
    <cellStyle name="Currency 21 3 2 2 2 2" xfId="5084"/>
    <cellStyle name="Currency 21 3 2 2 3" xfId="5083"/>
    <cellStyle name="Currency 21 3 2 3" xfId="1178"/>
    <cellStyle name="Currency 21 3 2 3 2" xfId="5085"/>
    <cellStyle name="Currency 21 3 2 4" xfId="5082"/>
    <cellStyle name="Currency 21 3 3" xfId="1179"/>
    <cellStyle name="Currency 21 3 3 2" xfId="1180"/>
    <cellStyle name="Currency 21 3 3 2 2" xfId="5087"/>
    <cellStyle name="Currency 21 3 3 3" xfId="5086"/>
    <cellStyle name="Currency 21 3 4" xfId="1181"/>
    <cellStyle name="Currency 21 3 4 2" xfId="5088"/>
    <cellStyle name="Currency 21 3 5" xfId="5081"/>
    <cellStyle name="Currency 21 4" xfId="1182"/>
    <cellStyle name="Currency 21 4 2" xfId="1183"/>
    <cellStyle name="Currency 21 4 2 2" xfId="1184"/>
    <cellStyle name="Currency 21 4 2 2 2" xfId="5091"/>
    <cellStyle name="Currency 21 4 2 3" xfId="5090"/>
    <cellStyle name="Currency 21 4 3" xfId="1185"/>
    <cellStyle name="Currency 21 4 3 2" xfId="5092"/>
    <cellStyle name="Currency 21 4 4" xfId="5089"/>
    <cellStyle name="Currency 21 5" xfId="1186"/>
    <cellStyle name="Currency 21 5 2" xfId="1187"/>
    <cellStyle name="Currency 21 5 2 2" xfId="5094"/>
    <cellStyle name="Currency 21 5 3" xfId="5093"/>
    <cellStyle name="Currency 21 6" xfId="1188"/>
    <cellStyle name="Currency 21 6 2" xfId="5095"/>
    <cellStyle name="Currency 21 7" xfId="5072"/>
    <cellStyle name="Currency 22" xfId="1189"/>
    <cellStyle name="Currency 22 2" xfId="1190"/>
    <cellStyle name="Currency 22 2 2" xfId="1191"/>
    <cellStyle name="Currency 22 2 2 2" xfId="1192"/>
    <cellStyle name="Currency 22 2 2 2 2" xfId="1193"/>
    <cellStyle name="Currency 22 2 2 2 2 2" xfId="5100"/>
    <cellStyle name="Currency 22 2 2 2 3" xfId="5099"/>
    <cellStyle name="Currency 22 2 2 3" xfId="1194"/>
    <cellStyle name="Currency 22 2 2 3 2" xfId="5101"/>
    <cellStyle name="Currency 22 2 2 4" xfId="5098"/>
    <cellStyle name="Currency 22 2 3" xfId="1195"/>
    <cellStyle name="Currency 22 2 3 2" xfId="1196"/>
    <cellStyle name="Currency 22 2 3 2 2" xfId="5103"/>
    <cellStyle name="Currency 22 2 3 3" xfId="5102"/>
    <cellStyle name="Currency 22 2 4" xfId="1197"/>
    <cellStyle name="Currency 22 2 4 2" xfId="5104"/>
    <cellStyle name="Currency 22 2 5" xfId="5097"/>
    <cellStyle name="Currency 22 3" xfId="1198"/>
    <cellStyle name="Currency 22 3 2" xfId="1199"/>
    <cellStyle name="Currency 22 3 2 2" xfId="1200"/>
    <cellStyle name="Currency 22 3 2 2 2" xfId="1201"/>
    <cellStyle name="Currency 22 3 2 2 2 2" xfId="5108"/>
    <cellStyle name="Currency 22 3 2 2 3" xfId="5107"/>
    <cellStyle name="Currency 22 3 2 3" xfId="1202"/>
    <cellStyle name="Currency 22 3 2 3 2" xfId="5109"/>
    <cellStyle name="Currency 22 3 2 4" xfId="5106"/>
    <cellStyle name="Currency 22 3 3" xfId="1203"/>
    <cellStyle name="Currency 22 3 3 2" xfId="1204"/>
    <cellStyle name="Currency 22 3 3 2 2" xfId="5111"/>
    <cellStyle name="Currency 22 3 3 3" xfId="5110"/>
    <cellStyle name="Currency 22 3 4" xfId="1205"/>
    <cellStyle name="Currency 22 3 4 2" xfId="5112"/>
    <cellStyle name="Currency 22 3 5" xfId="5105"/>
    <cellStyle name="Currency 22 4" xfId="1206"/>
    <cellStyle name="Currency 22 4 2" xfId="1207"/>
    <cellStyle name="Currency 22 4 2 2" xfId="1208"/>
    <cellStyle name="Currency 22 4 2 2 2" xfId="5115"/>
    <cellStyle name="Currency 22 4 2 3" xfId="5114"/>
    <cellStyle name="Currency 22 4 3" xfId="1209"/>
    <cellStyle name="Currency 22 4 3 2" xfId="5116"/>
    <cellStyle name="Currency 22 4 4" xfId="5113"/>
    <cellStyle name="Currency 22 5" xfId="1210"/>
    <cellStyle name="Currency 22 5 2" xfId="1211"/>
    <cellStyle name="Currency 22 5 2 2" xfId="5118"/>
    <cellStyle name="Currency 22 5 3" xfId="5117"/>
    <cellStyle name="Currency 22 6" xfId="1212"/>
    <cellStyle name="Currency 22 6 2" xfId="5119"/>
    <cellStyle name="Currency 22 7" xfId="5096"/>
    <cellStyle name="Currency 23" xfId="1213"/>
    <cellStyle name="Currency 23 2" xfId="1214"/>
    <cellStyle name="Currency 23 2 2" xfId="1215"/>
    <cellStyle name="Currency 23 2 2 2" xfId="1216"/>
    <cellStyle name="Currency 23 2 2 2 2" xfId="1217"/>
    <cellStyle name="Currency 23 2 2 2 2 2" xfId="5124"/>
    <cellStyle name="Currency 23 2 2 2 3" xfId="5123"/>
    <cellStyle name="Currency 23 2 2 3" xfId="1218"/>
    <cellStyle name="Currency 23 2 2 3 2" xfId="5125"/>
    <cellStyle name="Currency 23 2 2 4" xfId="5122"/>
    <cellStyle name="Currency 23 2 3" xfId="1219"/>
    <cellStyle name="Currency 23 2 3 2" xfId="1220"/>
    <cellStyle name="Currency 23 2 3 2 2" xfId="5127"/>
    <cellStyle name="Currency 23 2 3 3" xfId="5126"/>
    <cellStyle name="Currency 23 2 4" xfId="1221"/>
    <cellStyle name="Currency 23 2 4 2" xfId="5128"/>
    <cellStyle name="Currency 23 2 5" xfId="5121"/>
    <cellStyle name="Currency 23 3" xfId="1222"/>
    <cellStyle name="Currency 23 3 2" xfId="1223"/>
    <cellStyle name="Currency 23 3 2 2" xfId="1224"/>
    <cellStyle name="Currency 23 3 2 2 2" xfId="1225"/>
    <cellStyle name="Currency 23 3 2 2 2 2" xfId="5132"/>
    <cellStyle name="Currency 23 3 2 2 3" xfId="5131"/>
    <cellStyle name="Currency 23 3 2 3" xfId="1226"/>
    <cellStyle name="Currency 23 3 2 3 2" xfId="5133"/>
    <cellStyle name="Currency 23 3 2 4" xfId="5130"/>
    <cellStyle name="Currency 23 3 3" xfId="1227"/>
    <cellStyle name="Currency 23 3 3 2" xfId="1228"/>
    <cellStyle name="Currency 23 3 3 2 2" xfId="5135"/>
    <cellStyle name="Currency 23 3 3 3" xfId="5134"/>
    <cellStyle name="Currency 23 3 4" xfId="1229"/>
    <cellStyle name="Currency 23 3 4 2" xfId="5136"/>
    <cellStyle name="Currency 23 3 5" xfId="5129"/>
    <cellStyle name="Currency 23 4" xfId="1230"/>
    <cellStyle name="Currency 23 4 2" xfId="1231"/>
    <cellStyle name="Currency 23 4 2 2" xfId="1232"/>
    <cellStyle name="Currency 23 4 2 2 2" xfId="5139"/>
    <cellStyle name="Currency 23 4 2 3" xfId="5138"/>
    <cellStyle name="Currency 23 4 3" xfId="1233"/>
    <cellStyle name="Currency 23 4 3 2" xfId="5140"/>
    <cellStyle name="Currency 23 4 4" xfId="5137"/>
    <cellStyle name="Currency 23 5" xfId="1234"/>
    <cellStyle name="Currency 23 5 2" xfId="1235"/>
    <cellStyle name="Currency 23 5 2 2" xfId="5142"/>
    <cellStyle name="Currency 23 5 3" xfId="5141"/>
    <cellStyle name="Currency 23 6" xfId="1236"/>
    <cellStyle name="Currency 23 6 2" xfId="5143"/>
    <cellStyle name="Currency 23 7" xfId="5120"/>
    <cellStyle name="Currency 24" xfId="1237"/>
    <cellStyle name="Currency 24 2" xfId="1238"/>
    <cellStyle name="Currency 24 2 2" xfId="1239"/>
    <cellStyle name="Currency 24 2 2 2" xfId="1240"/>
    <cellStyle name="Currency 24 2 2 2 2" xfId="1241"/>
    <cellStyle name="Currency 24 2 2 2 2 2" xfId="5148"/>
    <cellStyle name="Currency 24 2 2 2 3" xfId="5147"/>
    <cellStyle name="Currency 24 2 2 3" xfId="1242"/>
    <cellStyle name="Currency 24 2 2 3 2" xfId="5149"/>
    <cellStyle name="Currency 24 2 2 4" xfId="5146"/>
    <cellStyle name="Currency 24 2 3" xfId="1243"/>
    <cellStyle name="Currency 24 2 3 2" xfId="1244"/>
    <cellStyle name="Currency 24 2 3 2 2" xfId="5151"/>
    <cellStyle name="Currency 24 2 3 3" xfId="5150"/>
    <cellStyle name="Currency 24 2 4" xfId="1245"/>
    <cellStyle name="Currency 24 2 4 2" xfId="5152"/>
    <cellStyle name="Currency 24 2 5" xfId="5145"/>
    <cellStyle name="Currency 24 3" xfId="1246"/>
    <cellStyle name="Currency 24 3 2" xfId="1247"/>
    <cellStyle name="Currency 24 3 2 2" xfId="1248"/>
    <cellStyle name="Currency 24 3 2 2 2" xfId="1249"/>
    <cellStyle name="Currency 24 3 2 2 2 2" xfId="5156"/>
    <cellStyle name="Currency 24 3 2 2 3" xfId="5155"/>
    <cellStyle name="Currency 24 3 2 3" xfId="1250"/>
    <cellStyle name="Currency 24 3 2 3 2" xfId="5157"/>
    <cellStyle name="Currency 24 3 2 4" xfId="5154"/>
    <cellStyle name="Currency 24 3 3" xfId="1251"/>
    <cellStyle name="Currency 24 3 3 2" xfId="1252"/>
    <cellStyle name="Currency 24 3 3 2 2" xfId="5159"/>
    <cellStyle name="Currency 24 3 3 3" xfId="5158"/>
    <cellStyle name="Currency 24 3 4" xfId="1253"/>
    <cellStyle name="Currency 24 3 4 2" xfId="5160"/>
    <cellStyle name="Currency 24 3 5" xfId="5153"/>
    <cellStyle name="Currency 24 4" xfId="1254"/>
    <cellStyle name="Currency 24 4 2" xfId="1255"/>
    <cellStyle name="Currency 24 4 2 2" xfId="1256"/>
    <cellStyle name="Currency 24 4 2 2 2" xfId="5163"/>
    <cellStyle name="Currency 24 4 2 3" xfId="5162"/>
    <cellStyle name="Currency 24 4 3" xfId="1257"/>
    <cellStyle name="Currency 24 4 3 2" xfId="5164"/>
    <cellStyle name="Currency 24 4 4" xfId="5161"/>
    <cellStyle name="Currency 24 5" xfId="1258"/>
    <cellStyle name="Currency 24 5 2" xfId="1259"/>
    <cellStyle name="Currency 24 5 2 2" xfId="5166"/>
    <cellStyle name="Currency 24 5 3" xfId="5165"/>
    <cellStyle name="Currency 24 6" xfId="1260"/>
    <cellStyle name="Currency 24 6 2" xfId="5167"/>
    <cellStyle name="Currency 24 7" xfId="5144"/>
    <cellStyle name="Currency 25" xfId="4570"/>
    <cellStyle name="Currency 26" xfId="1261"/>
    <cellStyle name="Currency 26 2" xfId="1262"/>
    <cellStyle name="Currency 26 2 2" xfId="1263"/>
    <cellStyle name="Currency 26 2 2 2" xfId="1264"/>
    <cellStyle name="Currency 26 2 2 2 2" xfId="1265"/>
    <cellStyle name="Currency 26 2 2 2 2 2" xfId="5172"/>
    <cellStyle name="Currency 26 2 2 2 3" xfId="5171"/>
    <cellStyle name="Currency 26 2 2 3" xfId="1266"/>
    <cellStyle name="Currency 26 2 2 3 2" xfId="5173"/>
    <cellStyle name="Currency 26 2 2 4" xfId="5170"/>
    <cellStyle name="Currency 26 2 3" xfId="1267"/>
    <cellStyle name="Currency 26 2 3 2" xfId="1268"/>
    <cellStyle name="Currency 26 2 3 2 2" xfId="5175"/>
    <cellStyle name="Currency 26 2 3 3" xfId="5174"/>
    <cellStyle name="Currency 26 2 4" xfId="1269"/>
    <cellStyle name="Currency 26 2 4 2" xfId="5176"/>
    <cellStyle name="Currency 26 2 5" xfId="5169"/>
    <cellStyle name="Currency 26 3" xfId="1270"/>
    <cellStyle name="Currency 26 3 2" xfId="1271"/>
    <cellStyle name="Currency 26 3 2 2" xfId="1272"/>
    <cellStyle name="Currency 26 3 2 2 2" xfId="1273"/>
    <cellStyle name="Currency 26 3 2 2 2 2" xfId="5180"/>
    <cellStyle name="Currency 26 3 2 2 3" xfId="5179"/>
    <cellStyle name="Currency 26 3 2 3" xfId="1274"/>
    <cellStyle name="Currency 26 3 2 3 2" xfId="5181"/>
    <cellStyle name="Currency 26 3 2 4" xfId="5178"/>
    <cellStyle name="Currency 26 3 3" xfId="1275"/>
    <cellStyle name="Currency 26 3 3 2" xfId="1276"/>
    <cellStyle name="Currency 26 3 3 2 2" xfId="5183"/>
    <cellStyle name="Currency 26 3 3 3" xfId="5182"/>
    <cellStyle name="Currency 26 3 4" xfId="1277"/>
    <cellStyle name="Currency 26 3 4 2" xfId="5184"/>
    <cellStyle name="Currency 26 3 5" xfId="5177"/>
    <cellStyle name="Currency 26 4" xfId="1278"/>
    <cellStyle name="Currency 26 4 2" xfId="1279"/>
    <cellStyle name="Currency 26 4 2 2" xfId="1280"/>
    <cellStyle name="Currency 26 4 2 2 2" xfId="5187"/>
    <cellStyle name="Currency 26 4 2 3" xfId="5186"/>
    <cellStyle name="Currency 26 4 3" xfId="1281"/>
    <cellStyle name="Currency 26 4 3 2" xfId="5188"/>
    <cellStyle name="Currency 26 4 4" xfId="5185"/>
    <cellStyle name="Currency 26 5" xfId="1282"/>
    <cellStyle name="Currency 26 5 2" xfId="1283"/>
    <cellStyle name="Currency 26 5 2 2" xfId="5190"/>
    <cellStyle name="Currency 26 5 3" xfId="5189"/>
    <cellStyle name="Currency 26 6" xfId="1284"/>
    <cellStyle name="Currency 26 6 2" xfId="5191"/>
    <cellStyle name="Currency 26 7" xfId="5168"/>
    <cellStyle name="Currency 27" xfId="1285"/>
    <cellStyle name="Currency 27 2" xfId="1286"/>
    <cellStyle name="Currency 27 2 2" xfId="1287"/>
    <cellStyle name="Currency 27 2 2 2" xfId="1288"/>
    <cellStyle name="Currency 27 2 2 2 2" xfId="1289"/>
    <cellStyle name="Currency 27 2 2 2 2 2" xfId="5196"/>
    <cellStyle name="Currency 27 2 2 2 3" xfId="5195"/>
    <cellStyle name="Currency 27 2 2 3" xfId="1290"/>
    <cellStyle name="Currency 27 2 2 3 2" xfId="5197"/>
    <cellStyle name="Currency 27 2 2 4" xfId="5194"/>
    <cellStyle name="Currency 27 2 3" xfId="1291"/>
    <cellStyle name="Currency 27 2 3 2" xfId="1292"/>
    <cellStyle name="Currency 27 2 3 2 2" xfId="5199"/>
    <cellStyle name="Currency 27 2 3 3" xfId="5198"/>
    <cellStyle name="Currency 27 2 4" xfId="1293"/>
    <cellStyle name="Currency 27 2 4 2" xfId="5200"/>
    <cellStyle name="Currency 27 2 5" xfId="5193"/>
    <cellStyle name="Currency 27 3" xfId="1294"/>
    <cellStyle name="Currency 27 3 2" xfId="1295"/>
    <cellStyle name="Currency 27 3 2 2" xfId="1296"/>
    <cellStyle name="Currency 27 3 2 2 2" xfId="1297"/>
    <cellStyle name="Currency 27 3 2 2 2 2" xfId="5204"/>
    <cellStyle name="Currency 27 3 2 2 3" xfId="5203"/>
    <cellStyle name="Currency 27 3 2 3" xfId="1298"/>
    <cellStyle name="Currency 27 3 2 3 2" xfId="5205"/>
    <cellStyle name="Currency 27 3 2 4" xfId="5202"/>
    <cellStyle name="Currency 27 3 3" xfId="1299"/>
    <cellStyle name="Currency 27 3 3 2" xfId="1300"/>
    <cellStyle name="Currency 27 3 3 2 2" xfId="5207"/>
    <cellStyle name="Currency 27 3 3 3" xfId="5206"/>
    <cellStyle name="Currency 27 3 4" xfId="1301"/>
    <cellStyle name="Currency 27 3 4 2" xfId="5208"/>
    <cellStyle name="Currency 27 3 5" xfId="5201"/>
    <cellStyle name="Currency 27 4" xfId="1302"/>
    <cellStyle name="Currency 27 4 2" xfId="1303"/>
    <cellStyle name="Currency 27 4 2 2" xfId="1304"/>
    <cellStyle name="Currency 27 4 2 2 2" xfId="5211"/>
    <cellStyle name="Currency 27 4 2 3" xfId="5210"/>
    <cellStyle name="Currency 27 4 3" xfId="1305"/>
    <cellStyle name="Currency 27 4 3 2" xfId="5212"/>
    <cellStyle name="Currency 27 4 4" xfId="5209"/>
    <cellStyle name="Currency 27 5" xfId="1306"/>
    <cellStyle name="Currency 27 5 2" xfId="1307"/>
    <cellStyle name="Currency 27 5 2 2" xfId="5214"/>
    <cellStyle name="Currency 27 5 3" xfId="5213"/>
    <cellStyle name="Currency 27 6" xfId="1308"/>
    <cellStyle name="Currency 27 6 2" xfId="5215"/>
    <cellStyle name="Currency 27 7" xfId="5192"/>
    <cellStyle name="Currency 28" xfId="1309"/>
    <cellStyle name="Currency 28 2" xfId="1310"/>
    <cellStyle name="Currency 28 2 2" xfId="1311"/>
    <cellStyle name="Currency 28 2 2 2" xfId="1312"/>
    <cellStyle name="Currency 28 2 2 2 2" xfId="1313"/>
    <cellStyle name="Currency 28 2 2 2 2 2" xfId="5220"/>
    <cellStyle name="Currency 28 2 2 2 3" xfId="5219"/>
    <cellStyle name="Currency 28 2 2 3" xfId="1314"/>
    <cellStyle name="Currency 28 2 2 3 2" xfId="5221"/>
    <cellStyle name="Currency 28 2 2 4" xfId="5218"/>
    <cellStyle name="Currency 28 2 3" xfId="1315"/>
    <cellStyle name="Currency 28 2 3 2" xfId="1316"/>
    <cellStyle name="Currency 28 2 3 2 2" xfId="5223"/>
    <cellStyle name="Currency 28 2 3 3" xfId="5222"/>
    <cellStyle name="Currency 28 2 4" xfId="1317"/>
    <cellStyle name="Currency 28 2 4 2" xfId="5224"/>
    <cellStyle name="Currency 28 2 5" xfId="5217"/>
    <cellStyle name="Currency 28 3" xfId="1318"/>
    <cellStyle name="Currency 28 3 2" xfId="1319"/>
    <cellStyle name="Currency 28 3 2 2" xfId="1320"/>
    <cellStyle name="Currency 28 3 2 2 2" xfId="1321"/>
    <cellStyle name="Currency 28 3 2 2 2 2" xfId="5228"/>
    <cellStyle name="Currency 28 3 2 2 3" xfId="5227"/>
    <cellStyle name="Currency 28 3 2 3" xfId="1322"/>
    <cellStyle name="Currency 28 3 2 3 2" xfId="5229"/>
    <cellStyle name="Currency 28 3 2 4" xfId="5226"/>
    <cellStyle name="Currency 28 3 3" xfId="1323"/>
    <cellStyle name="Currency 28 3 3 2" xfId="1324"/>
    <cellStyle name="Currency 28 3 3 2 2" xfId="5231"/>
    <cellStyle name="Currency 28 3 3 3" xfId="5230"/>
    <cellStyle name="Currency 28 3 4" xfId="1325"/>
    <cellStyle name="Currency 28 3 4 2" xfId="5232"/>
    <cellStyle name="Currency 28 3 5" xfId="5225"/>
    <cellStyle name="Currency 28 4" xfId="1326"/>
    <cellStyle name="Currency 28 4 2" xfId="1327"/>
    <cellStyle name="Currency 28 4 2 2" xfId="1328"/>
    <cellStyle name="Currency 28 4 2 2 2" xfId="5235"/>
    <cellStyle name="Currency 28 4 2 3" xfId="5234"/>
    <cellStyle name="Currency 28 4 3" xfId="1329"/>
    <cellStyle name="Currency 28 4 3 2" xfId="5236"/>
    <cellStyle name="Currency 28 4 4" xfId="5233"/>
    <cellStyle name="Currency 28 5" xfId="1330"/>
    <cellStyle name="Currency 28 5 2" xfId="1331"/>
    <cellStyle name="Currency 28 5 2 2" xfId="5238"/>
    <cellStyle name="Currency 28 5 3" xfId="5237"/>
    <cellStyle name="Currency 28 6" xfId="1332"/>
    <cellStyle name="Currency 28 6 2" xfId="5239"/>
    <cellStyle name="Currency 28 7" xfId="5216"/>
    <cellStyle name="Currency 29" xfId="1333"/>
    <cellStyle name="Currency 29 2" xfId="1334"/>
    <cellStyle name="Currency 29 2 2" xfId="1335"/>
    <cellStyle name="Currency 29 2 2 2" xfId="1336"/>
    <cellStyle name="Currency 29 2 2 2 2" xfId="1337"/>
    <cellStyle name="Currency 29 2 2 2 2 2" xfId="5244"/>
    <cellStyle name="Currency 29 2 2 2 3" xfId="5243"/>
    <cellStyle name="Currency 29 2 2 3" xfId="1338"/>
    <cellStyle name="Currency 29 2 2 3 2" xfId="5245"/>
    <cellStyle name="Currency 29 2 2 4" xfId="5242"/>
    <cellStyle name="Currency 29 2 3" xfId="1339"/>
    <cellStyle name="Currency 29 2 3 2" xfId="1340"/>
    <cellStyle name="Currency 29 2 3 2 2" xfId="5247"/>
    <cellStyle name="Currency 29 2 3 3" xfId="5246"/>
    <cellStyle name="Currency 29 2 4" xfId="1341"/>
    <cellStyle name="Currency 29 2 4 2" xfId="5248"/>
    <cellStyle name="Currency 29 2 5" xfId="5241"/>
    <cellStyle name="Currency 29 3" xfId="1342"/>
    <cellStyle name="Currency 29 3 2" xfId="1343"/>
    <cellStyle name="Currency 29 3 2 2" xfId="1344"/>
    <cellStyle name="Currency 29 3 2 2 2" xfId="1345"/>
    <cellStyle name="Currency 29 3 2 2 2 2" xfId="5252"/>
    <cellStyle name="Currency 29 3 2 2 3" xfId="5251"/>
    <cellStyle name="Currency 29 3 2 3" xfId="1346"/>
    <cellStyle name="Currency 29 3 2 3 2" xfId="5253"/>
    <cellStyle name="Currency 29 3 2 4" xfId="5250"/>
    <cellStyle name="Currency 29 3 3" xfId="1347"/>
    <cellStyle name="Currency 29 3 3 2" xfId="1348"/>
    <cellStyle name="Currency 29 3 3 2 2" xfId="5255"/>
    <cellStyle name="Currency 29 3 3 3" xfId="5254"/>
    <cellStyle name="Currency 29 3 4" xfId="1349"/>
    <cellStyle name="Currency 29 3 4 2" xfId="5256"/>
    <cellStyle name="Currency 29 3 5" xfId="5249"/>
    <cellStyle name="Currency 29 4" xfId="1350"/>
    <cellStyle name="Currency 29 4 2" xfId="1351"/>
    <cellStyle name="Currency 29 4 2 2" xfId="1352"/>
    <cellStyle name="Currency 29 4 2 2 2" xfId="5259"/>
    <cellStyle name="Currency 29 4 2 3" xfId="5258"/>
    <cellStyle name="Currency 29 4 3" xfId="1353"/>
    <cellStyle name="Currency 29 4 3 2" xfId="5260"/>
    <cellStyle name="Currency 29 4 4" xfId="5257"/>
    <cellStyle name="Currency 29 5" xfId="1354"/>
    <cellStyle name="Currency 29 5 2" xfId="1355"/>
    <cellStyle name="Currency 29 5 2 2" xfId="5262"/>
    <cellStyle name="Currency 29 5 3" xfId="5261"/>
    <cellStyle name="Currency 29 6" xfId="1356"/>
    <cellStyle name="Currency 29 6 2" xfId="5263"/>
    <cellStyle name="Currency 29 7" xfId="5240"/>
    <cellStyle name="Currency 3" xfId="1357"/>
    <cellStyle name="Currency 3 2" xfId="1358"/>
    <cellStyle name="Currency 3 2 2" xfId="1359"/>
    <cellStyle name="Currency 3 2 2 2" xfId="1360"/>
    <cellStyle name="Currency 3 2 2 2 2" xfId="5267"/>
    <cellStyle name="Currency 3 2 2 3" xfId="5266"/>
    <cellStyle name="Currency 3 2 3" xfId="1361"/>
    <cellStyle name="Currency 3 2 3 2" xfId="5268"/>
    <cellStyle name="Currency 3 2 4" xfId="1362"/>
    <cellStyle name="Currency 3 2 4 2" xfId="5269"/>
    <cellStyle name="Currency 3 2 5" xfId="1363"/>
    <cellStyle name="Currency 3 2 5 2" xfId="5270"/>
    <cellStyle name="Currency 3 2 6" xfId="5265"/>
    <cellStyle name="Currency 3 3" xfId="1364"/>
    <cellStyle name="Currency 3 3 2" xfId="5271"/>
    <cellStyle name="Currency 3 4" xfId="1365"/>
    <cellStyle name="Currency 3 5" xfId="1366"/>
    <cellStyle name="Currency 3 5 2" xfId="5272"/>
    <cellStyle name="Currency 3 6" xfId="1367"/>
    <cellStyle name="Currency 3 7" xfId="5264"/>
    <cellStyle name="Currency 30" xfId="4574"/>
    <cellStyle name="Currency 31" xfId="4578"/>
    <cellStyle name="Currency 32" xfId="4582"/>
    <cellStyle name="Currency 33" xfId="4586"/>
    <cellStyle name="Currency 34" xfId="4600"/>
    <cellStyle name="Currency 35" xfId="4595"/>
    <cellStyle name="Currency 36" xfId="4598"/>
    <cellStyle name="Currency 37" xfId="4593"/>
    <cellStyle name="Currency 38" xfId="4603"/>
    <cellStyle name="Currency 39" xfId="4591"/>
    <cellStyle name="Currency 4" xfId="1368"/>
    <cellStyle name="Currency 4 10" xfId="1369"/>
    <cellStyle name="Currency 4 10 2" xfId="5273"/>
    <cellStyle name="Currency 4 2" xfId="1370"/>
    <cellStyle name="Currency 4 2 2" xfId="1371"/>
    <cellStyle name="Currency 4 2 2 2" xfId="1372"/>
    <cellStyle name="Currency 4 2 2 2 2" xfId="1373"/>
    <cellStyle name="Currency 4 2 2 2 2 2" xfId="5277"/>
    <cellStyle name="Currency 4 2 2 2 3" xfId="5276"/>
    <cellStyle name="Currency 4 2 2 3" xfId="1374"/>
    <cellStyle name="Currency 4 2 2 3 2" xfId="5278"/>
    <cellStyle name="Currency 4 2 2 4" xfId="5275"/>
    <cellStyle name="Currency 4 2 3" xfId="1375"/>
    <cellStyle name="Currency 4 2 3 2" xfId="1376"/>
    <cellStyle name="Currency 4 2 3 2 2" xfId="5280"/>
    <cellStyle name="Currency 4 2 3 3" xfId="5279"/>
    <cellStyle name="Currency 4 2 4" xfId="1377"/>
    <cellStyle name="Currency 4 2 4 2" xfId="5281"/>
    <cellStyle name="Currency 4 2 5" xfId="5274"/>
    <cellStyle name="Currency 4 3" xfId="1378"/>
    <cellStyle name="Currency 4 3 2" xfId="1379"/>
    <cellStyle name="Currency 4 3 2 2" xfId="1380"/>
    <cellStyle name="Currency 4 3 2 2 2" xfId="1381"/>
    <cellStyle name="Currency 4 3 2 2 2 2" xfId="5285"/>
    <cellStyle name="Currency 4 3 2 2 3" xfId="5284"/>
    <cellStyle name="Currency 4 3 2 3" xfId="1382"/>
    <cellStyle name="Currency 4 3 2 3 2" xfId="5286"/>
    <cellStyle name="Currency 4 3 2 4" xfId="5283"/>
    <cellStyle name="Currency 4 3 3" xfId="1383"/>
    <cellStyle name="Currency 4 3 3 2" xfId="1384"/>
    <cellStyle name="Currency 4 3 3 2 2" xfId="5288"/>
    <cellStyle name="Currency 4 3 3 3" xfId="5287"/>
    <cellStyle name="Currency 4 3 4" xfId="1385"/>
    <cellStyle name="Currency 4 3 4 2" xfId="5289"/>
    <cellStyle name="Currency 4 3 5" xfId="5282"/>
    <cellStyle name="Currency 4 4" xfId="1386"/>
    <cellStyle name="Currency 4 4 2" xfId="1387"/>
    <cellStyle name="Currency 4 4 2 2" xfId="1388"/>
    <cellStyle name="Currency 4 4 2 2 2" xfId="5292"/>
    <cellStyle name="Currency 4 4 2 3" xfId="5291"/>
    <cellStyle name="Currency 4 4 3" xfId="1389"/>
    <cellStyle name="Currency 4 4 3 2" xfId="5293"/>
    <cellStyle name="Currency 4 4 4" xfId="5290"/>
    <cellStyle name="Currency 4 5" xfId="1390"/>
    <cellStyle name="Currency 4 5 2" xfId="1391"/>
    <cellStyle name="Currency 4 5 2 2" xfId="1392"/>
    <cellStyle name="Currency 4 5 2 2 2" xfId="5296"/>
    <cellStyle name="Currency 4 5 2 3" xfId="5295"/>
    <cellStyle name="Currency 4 5 3" xfId="1393"/>
    <cellStyle name="Currency 4 5 3 2" xfId="5297"/>
    <cellStyle name="Currency 4 5 4" xfId="5294"/>
    <cellStyle name="Currency 4 6" xfId="1394"/>
    <cellStyle name="Currency 4 6 2" xfId="1395"/>
    <cellStyle name="Currency 4 6 2 2" xfId="1396"/>
    <cellStyle name="Currency 4 6 2 2 2" xfId="5300"/>
    <cellStyle name="Currency 4 6 2 3" xfId="5299"/>
    <cellStyle name="Currency 4 6 3" xfId="1397"/>
    <cellStyle name="Currency 4 6 3 2" xfId="5301"/>
    <cellStyle name="Currency 4 6 4" xfId="5298"/>
    <cellStyle name="Currency 4 7" xfId="1398"/>
    <cellStyle name="Currency 4 7 2" xfId="1399"/>
    <cellStyle name="Currency 4 7 2 2" xfId="5303"/>
    <cellStyle name="Currency 4 7 3" xfId="5302"/>
    <cellStyle name="Currency 4 8" xfId="1400"/>
    <cellStyle name="Currency 4 8 2" xfId="5304"/>
    <cellStyle name="Currency 4 9" xfId="1401"/>
    <cellStyle name="Currency 40" xfId="4605"/>
    <cellStyle name="Currency 41" xfId="4589"/>
    <cellStyle name="Currency 42" xfId="4607"/>
    <cellStyle name="Currency 43" xfId="4687"/>
    <cellStyle name="Currency 44" xfId="4684"/>
    <cellStyle name="Currency 45" xfId="4688"/>
    <cellStyle name="Currency 46" xfId="4683"/>
    <cellStyle name="Currency 47" xfId="4689"/>
    <cellStyle name="Currency 5" xfId="1402"/>
    <cellStyle name="Currency 5 2" xfId="1403"/>
    <cellStyle name="Currency 5 2 2" xfId="1404"/>
    <cellStyle name="Currency 5 2 2 2" xfId="1405"/>
    <cellStyle name="Currency 5 2 2 2 2" xfId="1406"/>
    <cellStyle name="Currency 5 2 2 2 2 2" xfId="5309"/>
    <cellStyle name="Currency 5 2 2 2 3" xfId="5308"/>
    <cellStyle name="Currency 5 2 2 3" xfId="1407"/>
    <cellStyle name="Currency 5 2 2 3 2" xfId="5310"/>
    <cellStyle name="Currency 5 2 2 4" xfId="5307"/>
    <cellStyle name="Currency 5 2 3" xfId="1408"/>
    <cellStyle name="Currency 5 2 3 2" xfId="1409"/>
    <cellStyle name="Currency 5 2 3 2 2" xfId="5312"/>
    <cellStyle name="Currency 5 2 3 3" xfId="5311"/>
    <cellStyle name="Currency 5 2 4" xfId="1410"/>
    <cellStyle name="Currency 5 2 4 2" xfId="5313"/>
    <cellStyle name="Currency 5 2 5" xfId="5306"/>
    <cellStyle name="Currency 5 3" xfId="1411"/>
    <cellStyle name="Currency 5 3 2" xfId="1412"/>
    <cellStyle name="Currency 5 3 2 2" xfId="1413"/>
    <cellStyle name="Currency 5 3 2 2 2" xfId="1414"/>
    <cellStyle name="Currency 5 3 2 2 2 2" xfId="5317"/>
    <cellStyle name="Currency 5 3 2 2 3" xfId="5316"/>
    <cellStyle name="Currency 5 3 2 3" xfId="1415"/>
    <cellStyle name="Currency 5 3 2 3 2" xfId="5318"/>
    <cellStyle name="Currency 5 3 2 4" xfId="5315"/>
    <cellStyle name="Currency 5 3 3" xfId="1416"/>
    <cellStyle name="Currency 5 3 3 2" xfId="1417"/>
    <cellStyle name="Currency 5 3 3 2 2" xfId="5320"/>
    <cellStyle name="Currency 5 3 3 3" xfId="5319"/>
    <cellStyle name="Currency 5 3 4" xfId="1418"/>
    <cellStyle name="Currency 5 3 4 2" xfId="5321"/>
    <cellStyle name="Currency 5 3 5" xfId="5314"/>
    <cellStyle name="Currency 5 4" xfId="1419"/>
    <cellStyle name="Currency 5 4 2" xfId="1420"/>
    <cellStyle name="Currency 5 4 2 2" xfId="1421"/>
    <cellStyle name="Currency 5 4 2 2 2" xfId="5324"/>
    <cellStyle name="Currency 5 4 2 3" xfId="5323"/>
    <cellStyle name="Currency 5 4 3" xfId="1422"/>
    <cellStyle name="Currency 5 4 3 2" xfId="5325"/>
    <cellStyle name="Currency 5 4 4" xfId="5322"/>
    <cellStyle name="Currency 5 5" xfId="1423"/>
    <cellStyle name="Currency 5 5 2" xfId="1424"/>
    <cellStyle name="Currency 5 5 2 2" xfId="5327"/>
    <cellStyle name="Currency 5 5 3" xfId="5326"/>
    <cellStyle name="Currency 5 6" xfId="1425"/>
    <cellStyle name="Currency 5 6 2" xfId="5328"/>
    <cellStyle name="Currency 5 7" xfId="5305"/>
    <cellStyle name="Currency 6" xfId="1426"/>
    <cellStyle name="Currency 6 2" xfId="1427"/>
    <cellStyle name="Currency 6 2 2" xfId="1428"/>
    <cellStyle name="Currency 6 2 2 2" xfId="1429"/>
    <cellStyle name="Currency 6 2 2 2 2" xfId="1430"/>
    <cellStyle name="Currency 6 2 2 2 2 2" xfId="5333"/>
    <cellStyle name="Currency 6 2 2 2 3" xfId="5332"/>
    <cellStyle name="Currency 6 2 2 3" xfId="1431"/>
    <cellStyle name="Currency 6 2 2 3 2" xfId="5334"/>
    <cellStyle name="Currency 6 2 2 4" xfId="5331"/>
    <cellStyle name="Currency 6 2 3" xfId="1432"/>
    <cellStyle name="Currency 6 2 3 2" xfId="1433"/>
    <cellStyle name="Currency 6 2 3 2 2" xfId="5336"/>
    <cellStyle name="Currency 6 2 3 3" xfId="5335"/>
    <cellStyle name="Currency 6 2 4" xfId="1434"/>
    <cellStyle name="Currency 6 2 4 2" xfId="5337"/>
    <cellStyle name="Currency 6 2 5" xfId="5330"/>
    <cellStyle name="Currency 6 3" xfId="1435"/>
    <cellStyle name="Currency 6 3 2" xfId="1436"/>
    <cellStyle name="Currency 6 3 2 2" xfId="1437"/>
    <cellStyle name="Currency 6 3 2 2 2" xfId="1438"/>
    <cellStyle name="Currency 6 3 2 2 2 2" xfId="5341"/>
    <cellStyle name="Currency 6 3 2 2 3" xfId="5340"/>
    <cellStyle name="Currency 6 3 2 3" xfId="1439"/>
    <cellStyle name="Currency 6 3 2 3 2" xfId="5342"/>
    <cellStyle name="Currency 6 3 2 4" xfId="5339"/>
    <cellStyle name="Currency 6 3 3" xfId="1440"/>
    <cellStyle name="Currency 6 3 3 2" xfId="1441"/>
    <cellStyle name="Currency 6 3 3 2 2" xfId="5344"/>
    <cellStyle name="Currency 6 3 3 3" xfId="5343"/>
    <cellStyle name="Currency 6 3 4" xfId="1442"/>
    <cellStyle name="Currency 6 3 4 2" xfId="5345"/>
    <cellStyle name="Currency 6 3 5" xfId="5338"/>
    <cellStyle name="Currency 6 4" xfId="1443"/>
    <cellStyle name="Currency 6 4 2" xfId="1444"/>
    <cellStyle name="Currency 6 4 2 2" xfId="1445"/>
    <cellStyle name="Currency 6 4 2 2 2" xfId="5348"/>
    <cellStyle name="Currency 6 4 2 3" xfId="5347"/>
    <cellStyle name="Currency 6 4 3" xfId="1446"/>
    <cellStyle name="Currency 6 4 3 2" xfId="5349"/>
    <cellStyle name="Currency 6 4 4" xfId="5346"/>
    <cellStyle name="Currency 6 5" xfId="1447"/>
    <cellStyle name="Currency 6 5 2" xfId="1448"/>
    <cellStyle name="Currency 6 5 2 2" xfId="5351"/>
    <cellStyle name="Currency 6 5 3" xfId="5350"/>
    <cellStyle name="Currency 6 6" xfId="1449"/>
    <cellStyle name="Currency 6 6 2" xfId="5352"/>
    <cellStyle name="Currency 6 7" xfId="5329"/>
    <cellStyle name="Currency 7" xfId="1450"/>
    <cellStyle name="Currency 7 2" xfId="1451"/>
    <cellStyle name="Currency 7 2 2" xfId="5354"/>
    <cellStyle name="Currency 7 3" xfId="5353"/>
    <cellStyle name="Currency 8" xfId="1452"/>
    <cellStyle name="Currency 8 2" xfId="1453"/>
    <cellStyle name="Currency 8 2 2" xfId="1454"/>
    <cellStyle name="Currency 8 2 2 2" xfId="1455"/>
    <cellStyle name="Currency 8 2 2 2 2" xfId="1456"/>
    <cellStyle name="Currency 8 2 2 2 2 2" xfId="5359"/>
    <cellStyle name="Currency 8 2 2 2 3" xfId="5358"/>
    <cellStyle name="Currency 8 2 2 3" xfId="1457"/>
    <cellStyle name="Currency 8 2 2 3 2" xfId="5360"/>
    <cellStyle name="Currency 8 2 2 4" xfId="5357"/>
    <cellStyle name="Currency 8 2 3" xfId="1458"/>
    <cellStyle name="Currency 8 2 3 2" xfId="1459"/>
    <cellStyle name="Currency 8 2 3 2 2" xfId="5362"/>
    <cellStyle name="Currency 8 2 3 3" xfId="5361"/>
    <cellStyle name="Currency 8 2 4" xfId="1460"/>
    <cellStyle name="Currency 8 2 4 2" xfId="5363"/>
    <cellStyle name="Currency 8 2 5" xfId="5356"/>
    <cellStyle name="Currency 8 3" xfId="1461"/>
    <cellStyle name="Currency 8 3 2" xfId="1462"/>
    <cellStyle name="Currency 8 3 2 2" xfId="1463"/>
    <cellStyle name="Currency 8 3 2 2 2" xfId="1464"/>
    <cellStyle name="Currency 8 3 2 2 2 2" xfId="5367"/>
    <cellStyle name="Currency 8 3 2 2 3" xfId="5366"/>
    <cellStyle name="Currency 8 3 2 3" xfId="1465"/>
    <cellStyle name="Currency 8 3 2 3 2" xfId="5368"/>
    <cellStyle name="Currency 8 3 2 4" xfId="5365"/>
    <cellStyle name="Currency 8 3 3" xfId="1466"/>
    <cellStyle name="Currency 8 3 3 2" xfId="1467"/>
    <cellStyle name="Currency 8 3 3 2 2" xfId="5370"/>
    <cellStyle name="Currency 8 3 3 3" xfId="5369"/>
    <cellStyle name="Currency 8 3 4" xfId="1468"/>
    <cellStyle name="Currency 8 3 4 2" xfId="5371"/>
    <cellStyle name="Currency 8 3 5" xfId="5364"/>
    <cellStyle name="Currency 8 4" xfId="1469"/>
    <cellStyle name="Currency 8 4 2" xfId="1470"/>
    <cellStyle name="Currency 8 4 2 2" xfId="1471"/>
    <cellStyle name="Currency 8 4 2 2 2" xfId="5374"/>
    <cellStyle name="Currency 8 4 2 3" xfId="5373"/>
    <cellStyle name="Currency 8 4 3" xfId="1472"/>
    <cellStyle name="Currency 8 4 3 2" xfId="5375"/>
    <cellStyle name="Currency 8 4 4" xfId="5372"/>
    <cellStyle name="Currency 8 5" xfId="1473"/>
    <cellStyle name="Currency 8 5 2" xfId="1474"/>
    <cellStyle name="Currency 8 5 2 2" xfId="5377"/>
    <cellStyle name="Currency 8 5 3" xfId="5376"/>
    <cellStyle name="Currency 8 6" xfId="1475"/>
    <cellStyle name="Currency 8 6 2" xfId="5378"/>
    <cellStyle name="Currency 8 7" xfId="1476"/>
    <cellStyle name="Currency 8 7 2" xfId="5379"/>
    <cellStyle name="Currency 8 8" xfId="5355"/>
    <cellStyle name="Currency 9" xfId="1477"/>
    <cellStyle name="Currency 9 2" xfId="1478"/>
    <cellStyle name="Currency 9 2 2" xfId="1479"/>
    <cellStyle name="Currency 9 2 2 2" xfId="1480"/>
    <cellStyle name="Currency 9 2 2 2 2" xfId="1481"/>
    <cellStyle name="Currency 9 2 2 2 2 2" xfId="5384"/>
    <cellStyle name="Currency 9 2 2 2 3" xfId="5383"/>
    <cellStyle name="Currency 9 2 2 3" xfId="1482"/>
    <cellStyle name="Currency 9 2 2 3 2" xfId="5385"/>
    <cellStyle name="Currency 9 2 2 4" xfId="5382"/>
    <cellStyle name="Currency 9 2 3" xfId="1483"/>
    <cellStyle name="Currency 9 2 3 2" xfId="1484"/>
    <cellStyle name="Currency 9 2 3 2 2" xfId="5387"/>
    <cellStyle name="Currency 9 2 3 3" xfId="5386"/>
    <cellStyle name="Currency 9 2 4" xfId="1485"/>
    <cellStyle name="Currency 9 2 4 2" xfId="5388"/>
    <cellStyle name="Currency 9 2 5" xfId="5381"/>
    <cellStyle name="Currency 9 3" xfId="1486"/>
    <cellStyle name="Currency 9 3 2" xfId="1487"/>
    <cellStyle name="Currency 9 3 2 2" xfId="1488"/>
    <cellStyle name="Currency 9 3 2 2 2" xfId="1489"/>
    <cellStyle name="Currency 9 3 2 2 2 2" xfId="5392"/>
    <cellStyle name="Currency 9 3 2 2 3" xfId="5391"/>
    <cellStyle name="Currency 9 3 2 3" xfId="1490"/>
    <cellStyle name="Currency 9 3 2 3 2" xfId="5393"/>
    <cellStyle name="Currency 9 3 2 4" xfId="5390"/>
    <cellStyle name="Currency 9 3 3" xfId="1491"/>
    <cellStyle name="Currency 9 3 3 2" xfId="1492"/>
    <cellStyle name="Currency 9 3 3 2 2" xfId="5395"/>
    <cellStyle name="Currency 9 3 3 3" xfId="5394"/>
    <cellStyle name="Currency 9 3 4" xfId="1493"/>
    <cellStyle name="Currency 9 3 4 2" xfId="5396"/>
    <cellStyle name="Currency 9 3 5" xfId="5389"/>
    <cellStyle name="Currency 9 4" xfId="1494"/>
    <cellStyle name="Currency 9 4 2" xfId="1495"/>
    <cellStyle name="Currency 9 4 2 2" xfId="1496"/>
    <cellStyle name="Currency 9 4 2 2 2" xfId="5399"/>
    <cellStyle name="Currency 9 4 2 3" xfId="5398"/>
    <cellStyle name="Currency 9 4 3" xfId="1497"/>
    <cellStyle name="Currency 9 4 3 2" xfId="5400"/>
    <cellStyle name="Currency 9 4 4" xfId="5397"/>
    <cellStyle name="Currency 9 5" xfId="1498"/>
    <cellStyle name="Currency 9 5 2" xfId="1499"/>
    <cellStyle name="Currency 9 5 2 2" xfId="5402"/>
    <cellStyle name="Currency 9 5 3" xfId="5401"/>
    <cellStyle name="Currency 9 6" xfId="1500"/>
    <cellStyle name="Currency 9 6 2" xfId="5403"/>
    <cellStyle name="Currency 9 7" xfId="5380"/>
    <cellStyle name="Currency Per Share" xfId="1501"/>
    <cellStyle name="Currency0" xfId="1502"/>
    <cellStyle name="Currency2" xfId="1503"/>
    <cellStyle name="CUS.Work.Area" xfId="1504"/>
    <cellStyle name="Dash" xfId="1505"/>
    <cellStyle name="Data" xfId="1506"/>
    <cellStyle name="Data 2" xfId="1507"/>
    <cellStyle name="Data 3" xfId="1508"/>
    <cellStyle name="Date" xfId="1509"/>
    <cellStyle name="Date [mm-dd-yyyy]" xfId="1510"/>
    <cellStyle name="Date [mm-dd-yyyy] 2" xfId="1511"/>
    <cellStyle name="Date [mm-d-yyyy]" xfId="1512"/>
    <cellStyle name="Date [mmm-yyyy]" xfId="1513"/>
    <cellStyle name="Date Aligned" xfId="1514"/>
    <cellStyle name="Date Aligned*" xfId="1515"/>
    <cellStyle name="Date Aligned_comp_Integrateds" xfId="1516"/>
    <cellStyle name="Date Short" xfId="1517"/>
    <cellStyle name="date_ Pies " xfId="1518"/>
    <cellStyle name="DblLineDollarAcct" xfId="1519"/>
    <cellStyle name="DblLineDollarAcct 2" xfId="5404"/>
    <cellStyle name="DblLinePercent" xfId="1520"/>
    <cellStyle name="Dezimal [0]_A17 - 31.03.1998" xfId="1521"/>
    <cellStyle name="Dezimal_A17 - 31.03.1998" xfId="1522"/>
    <cellStyle name="Dia" xfId="1523"/>
    <cellStyle name="Dollar_ Pies " xfId="1524"/>
    <cellStyle name="DollarAccounting" xfId="1525"/>
    <cellStyle name="DollarAccounting 2" xfId="5405"/>
    <cellStyle name="Dotted Line" xfId="1526"/>
    <cellStyle name="Dotted Line 2" xfId="1527"/>
    <cellStyle name="Dotted Line 3" xfId="1528"/>
    <cellStyle name="Double Accounting" xfId="1529"/>
    <cellStyle name="Double Accounting 2" xfId="5406"/>
    <cellStyle name="Duizenden" xfId="1530"/>
    <cellStyle name="Encabez1" xfId="1531"/>
    <cellStyle name="Encabez2" xfId="1532"/>
    <cellStyle name="Enter Currency (0)" xfId="1533"/>
    <cellStyle name="Enter Currency (2)" xfId="1534"/>
    <cellStyle name="Enter Units (0)" xfId="1535"/>
    <cellStyle name="Enter Units (1)" xfId="1536"/>
    <cellStyle name="Enter Units (2)" xfId="1537"/>
    <cellStyle name="Entrée" xfId="5464"/>
    <cellStyle name="Entrée 2" xfId="5465"/>
    <cellStyle name="Entrée 3" xfId="5466"/>
    <cellStyle name="Entrée 3 2" xfId="5467"/>
    <cellStyle name="Entrée 4" xfId="5468"/>
    <cellStyle name="Euro" xfId="1538"/>
    <cellStyle name="Explanatory Text" xfId="4542" builtinId="53" customBuiltin="1"/>
    <cellStyle name="Explanatory Text 2" xfId="1539"/>
    <cellStyle name="Explanatory Text 2 10" xfId="4514"/>
    <cellStyle name="Explanatory Text 2 2" xfId="1540"/>
    <cellStyle name="Explanatory Text 2 3" xfId="1541"/>
    <cellStyle name="Explanatory Text 2 4" xfId="1542"/>
    <cellStyle name="Explanatory Text 2 5" xfId="1543"/>
    <cellStyle name="Explanatory Text 2 6" xfId="1544"/>
    <cellStyle name="Explanatory Text 2 7" xfId="1545"/>
    <cellStyle name="Explanatory Text 2 8" xfId="1546"/>
    <cellStyle name="Explanatory Text 2 9" xfId="1547"/>
    <cellStyle name="fact" xfId="1548"/>
    <cellStyle name="FieldName" xfId="1549"/>
    <cellStyle name="FieldName 2" xfId="4475"/>
    <cellStyle name="Fijo" xfId="1550"/>
    <cellStyle name="Financiero" xfId="1551"/>
    <cellStyle name="Fixed" xfId="1552"/>
    <cellStyle name="Followed Hyperlink 2" xfId="4602"/>
    <cellStyle name="Footnote" xfId="1553"/>
    <cellStyle name="Good" xfId="4533" builtinId="26" customBuiltin="1"/>
    <cellStyle name="Good 2" xfId="1554"/>
    <cellStyle name="Good 2 10" xfId="4515"/>
    <cellStyle name="Good 2 2" xfId="1555"/>
    <cellStyle name="Good 2 3" xfId="1556"/>
    <cellStyle name="Good 2 4" xfId="1557"/>
    <cellStyle name="Good 2 5" xfId="1558"/>
    <cellStyle name="Good 2 6" xfId="1559"/>
    <cellStyle name="Good 2 7" xfId="1560"/>
    <cellStyle name="Good 2 8" xfId="1561"/>
    <cellStyle name="Good 2 9" xfId="1562"/>
    <cellStyle name="Grey" xfId="1563"/>
    <cellStyle name="GWN Table Body" xfId="1564"/>
    <cellStyle name="GWN Table Header" xfId="1565"/>
    <cellStyle name="GWN Table Left Header" xfId="1566"/>
    <cellStyle name="GWN Table Note" xfId="1567"/>
    <cellStyle name="GWN Table Title" xfId="1568"/>
    <cellStyle name="hard no" xfId="1569"/>
    <cellStyle name="hard no 2" xfId="4651"/>
    <cellStyle name="Hard Percent" xfId="1570"/>
    <cellStyle name="hardno" xfId="1571"/>
    <cellStyle name="Header" xfId="1572"/>
    <cellStyle name="Header1" xfId="1573"/>
    <cellStyle name="Header2" xfId="1574"/>
    <cellStyle name="Header2 2" xfId="4652"/>
    <cellStyle name="Heading" xfId="1575"/>
    <cellStyle name="Heading 1" xfId="4529" builtinId="16" customBuiltin="1"/>
    <cellStyle name="Heading 1 2" xfId="1576"/>
    <cellStyle name="Heading 1 2 2" xfId="1577"/>
    <cellStyle name="Heading 1 2 3" xfId="1578"/>
    <cellStyle name="Heading 1 2 4" xfId="1579"/>
    <cellStyle name="Heading 1 2 5" xfId="1580"/>
    <cellStyle name="Heading 1 2 6" xfId="1581"/>
    <cellStyle name="Heading 1 2 7" xfId="4516"/>
    <cellStyle name="Heading 1 3" xfId="1582"/>
    <cellStyle name="Heading 2" xfId="4530" builtinId="17" customBuiltin="1"/>
    <cellStyle name="Heading 2 2" xfId="1583"/>
    <cellStyle name="Heading 2 2 2" xfId="1584"/>
    <cellStyle name="Heading 2 2 3" xfId="1585"/>
    <cellStyle name="Heading 2 2 4" xfId="1586"/>
    <cellStyle name="Heading 2 2 5" xfId="1587"/>
    <cellStyle name="Heading 2 2 6" xfId="1588"/>
    <cellStyle name="Heading 2 2 7" xfId="4517"/>
    <cellStyle name="Heading 2 3" xfId="1589"/>
    <cellStyle name="Heading 3" xfId="4531" builtinId="18" customBuiltin="1"/>
    <cellStyle name="Heading 3 2" xfId="1590"/>
    <cellStyle name="Heading 3 2 2" xfId="1591"/>
    <cellStyle name="Heading 3 2 3" xfId="1592"/>
    <cellStyle name="Heading 3 2 4" xfId="1593"/>
    <cellStyle name="Heading 3 2 5" xfId="1594"/>
    <cellStyle name="Heading 3 2 6" xfId="1595"/>
    <cellStyle name="Heading 3 2 7" xfId="1596"/>
    <cellStyle name="Heading 3 2 8" xfId="4518"/>
    <cellStyle name="Heading 3 3" xfId="1597"/>
    <cellStyle name="Heading 4" xfId="4532" builtinId="19" customBuiltin="1"/>
    <cellStyle name="Heading 4 2" xfId="1598"/>
    <cellStyle name="Heading 4 2 2" xfId="1599"/>
    <cellStyle name="Heading 4 2 3" xfId="4519"/>
    <cellStyle name="Heading2" xfId="1600"/>
    <cellStyle name="Heading3" xfId="1601"/>
    <cellStyle name="HeadingColumn" xfId="1602"/>
    <cellStyle name="HeadingS" xfId="1603"/>
    <cellStyle name="HeadingYear" xfId="1604"/>
    <cellStyle name="HeadlineStyle" xfId="1605"/>
    <cellStyle name="HeadlineStyleJustified" xfId="1606"/>
    <cellStyle name="Hed Side_Sheet1" xfId="1607"/>
    <cellStyle name="Hed Top" xfId="1608"/>
    <cellStyle name="Hyperlink 2" xfId="4"/>
    <cellStyle name="Hyperlink 2 10" xfId="1609"/>
    <cellStyle name="Hyperlink 2 11" xfId="1610"/>
    <cellStyle name="Hyperlink 2 12" xfId="1611"/>
    <cellStyle name="Hyperlink 2 13" xfId="1612"/>
    <cellStyle name="Hyperlink 2 14" xfId="4608"/>
    <cellStyle name="Hyperlink 2 2" xfId="1613"/>
    <cellStyle name="Hyperlink 2 2 2" xfId="1614"/>
    <cellStyle name="Hyperlink 2 3" xfId="1615"/>
    <cellStyle name="Hyperlink 2 3 2" xfId="1616"/>
    <cellStyle name="Hyperlink 2 4" xfId="1617"/>
    <cellStyle name="Hyperlink 2 5" xfId="1618"/>
    <cellStyle name="Hyperlink 2 6" xfId="1619"/>
    <cellStyle name="Hyperlink 2 7" xfId="1620"/>
    <cellStyle name="Hyperlink 2 8" xfId="1621"/>
    <cellStyle name="Hyperlink 2 9" xfId="1622"/>
    <cellStyle name="Hyperlink 3" xfId="1623"/>
    <cellStyle name="Hyperlink 3 10" xfId="1624"/>
    <cellStyle name="Hyperlink 3 11" xfId="1625"/>
    <cellStyle name="Hyperlink 3 12" xfId="1626"/>
    <cellStyle name="Hyperlink 3 2" xfId="1627"/>
    <cellStyle name="Hyperlink 3 3" xfId="1628"/>
    <cellStyle name="Hyperlink 3 4" xfId="1629"/>
    <cellStyle name="Hyperlink 3 5" xfId="1630"/>
    <cellStyle name="Hyperlink 3 6" xfId="1631"/>
    <cellStyle name="Hyperlink 3 7" xfId="1632"/>
    <cellStyle name="Hyperlink 3 8" xfId="1633"/>
    <cellStyle name="Hyperlink 3 9" xfId="1634"/>
    <cellStyle name="Hyperlink 4" xfId="1635"/>
    <cellStyle name="Hyperlink 5" xfId="1636"/>
    <cellStyle name="InLink_Acquis_CapitalCost " xfId="1637"/>
    <cellStyle name="Input" xfId="4536" builtinId="20" customBuiltin="1"/>
    <cellStyle name="Input (1dp#)_ Pies " xfId="1638"/>
    <cellStyle name="Input [yellow]" xfId="1639"/>
    <cellStyle name="Input [yellow] 2" xfId="4653"/>
    <cellStyle name="Input 2" xfId="1640"/>
    <cellStyle name="Input 2 10" xfId="4476"/>
    <cellStyle name="Input 2 11" xfId="4520"/>
    <cellStyle name="Input 2 2" xfId="1641"/>
    <cellStyle name="Input 2 2 2" xfId="1642"/>
    <cellStyle name="Input 2 2 3" xfId="4477"/>
    <cellStyle name="Input 2 2 3 2" xfId="5469"/>
    <cellStyle name="Input 2 2 4" xfId="5470"/>
    <cellStyle name="Input 2 3" xfId="1643"/>
    <cellStyle name="Input 2 3 2" xfId="5471"/>
    <cellStyle name="Input 2 3 3" xfId="5472"/>
    <cellStyle name="Input 2 3 3 2" xfId="5473"/>
    <cellStyle name="Input 2 3 4" xfId="5474"/>
    <cellStyle name="Input 2 4" xfId="1644"/>
    <cellStyle name="Input 2 5" xfId="1645"/>
    <cellStyle name="Input 2 5 2" xfId="5475"/>
    <cellStyle name="Input 2 6" xfId="1646"/>
    <cellStyle name="Input 2 7" xfId="1647"/>
    <cellStyle name="Input 2 8" xfId="1648"/>
    <cellStyle name="Input 2 9" xfId="1649"/>
    <cellStyle name="Input 3" xfId="1650"/>
    <cellStyle name="Input 4" xfId="4638"/>
    <cellStyle name="Input 5" xfId="4640"/>
    <cellStyle name="Input 6" xfId="4643"/>
    <cellStyle name="Input 7" xfId="4645"/>
    <cellStyle name="Input 8" xfId="4648"/>
    <cellStyle name="InputBlueFont" xfId="1651"/>
    <cellStyle name="InputGen" xfId="1652"/>
    <cellStyle name="InputKeepColour" xfId="1653"/>
    <cellStyle name="InputKeepPale" xfId="1654"/>
    <cellStyle name="InputVariColour" xfId="1655"/>
    <cellStyle name="Integer" xfId="1656"/>
    <cellStyle name="Invisible" xfId="1657"/>
    <cellStyle name="Item" xfId="1658"/>
    <cellStyle name="Items_Obligatory" xfId="1659"/>
    <cellStyle name="ItemTypeClass" xfId="1660"/>
    <cellStyle name="ItemTypeClass 2" xfId="4478"/>
    <cellStyle name="KP_Normal" xfId="1661"/>
    <cellStyle name="Lien hypertexte visité_index" xfId="1662"/>
    <cellStyle name="Lien hypertexte_index" xfId="1663"/>
    <cellStyle name="ligne_detail" xfId="1664"/>
    <cellStyle name="Line" xfId="1665"/>
    <cellStyle name="Link Currency (0)" xfId="1666"/>
    <cellStyle name="Link Currency (2)" xfId="1667"/>
    <cellStyle name="Link Units (0)" xfId="1668"/>
    <cellStyle name="Link Units (1)" xfId="1669"/>
    <cellStyle name="Link Units (2)" xfId="1670"/>
    <cellStyle name="Linked Cell" xfId="4539" builtinId="24" customBuiltin="1"/>
    <cellStyle name="Linked Cell 2" xfId="1671"/>
    <cellStyle name="Linked Cell 2 10" xfId="4521"/>
    <cellStyle name="Linked Cell 2 2" xfId="1672"/>
    <cellStyle name="Linked Cell 2 3" xfId="1673"/>
    <cellStyle name="Linked Cell 2 4" xfId="1674"/>
    <cellStyle name="Linked Cell 2 5" xfId="1675"/>
    <cellStyle name="Linked Cell 2 6" xfId="1676"/>
    <cellStyle name="Linked Cell 2 7" xfId="1677"/>
    <cellStyle name="Linked Cell 2 8" xfId="1678"/>
    <cellStyle name="Linked Cell 2 9" xfId="1679"/>
    <cellStyle name="m/d/yy" xfId="1680"/>
    <cellStyle name="m1" xfId="1681"/>
    <cellStyle name="Major item" xfId="1682"/>
    <cellStyle name="Margin" xfId="1683"/>
    <cellStyle name="Migliaia (0)_Sheet1" xfId="1684"/>
    <cellStyle name="Migliaia_piv_polio" xfId="1685"/>
    <cellStyle name="Millares [0]_Asset Mgmt " xfId="1686"/>
    <cellStyle name="Millares_2AV_M_M " xfId="1687"/>
    <cellStyle name="Milliers [0]_CANADA1" xfId="1688"/>
    <cellStyle name="Milliers 2" xfId="1689"/>
    <cellStyle name="Milliers_CANADA1" xfId="1690"/>
    <cellStyle name="mm/dd/yy" xfId="1691"/>
    <cellStyle name="mod1" xfId="1692"/>
    <cellStyle name="modelo1" xfId="1693"/>
    <cellStyle name="Moneda [0]_2AV_M_M " xfId="1694"/>
    <cellStyle name="Moneda_2AV_M_M " xfId="1695"/>
    <cellStyle name="Monétaire [0]_CANADA1" xfId="1696"/>
    <cellStyle name="Monétaire 2" xfId="1697"/>
    <cellStyle name="Monétaire_CANADA1" xfId="1698"/>
    <cellStyle name="Monetario" xfId="1699"/>
    <cellStyle name="MonthYears" xfId="1700"/>
    <cellStyle name="Multiple" xfId="1701"/>
    <cellStyle name="Multiple (no x)" xfId="1702"/>
    <cellStyle name="Multiple (x)" xfId="1703"/>
    <cellStyle name="Multiple [0]" xfId="1704"/>
    <cellStyle name="Multiple [1]" xfId="1705"/>
    <cellStyle name="Multiple [2]" xfId="1706"/>
    <cellStyle name="Multiple [3]" xfId="1707"/>
    <cellStyle name="Multiple_1030171N" xfId="1708"/>
    <cellStyle name="neg0.0_CapitalCost " xfId="1709"/>
    <cellStyle name="Neutral" xfId="4535" builtinId="28" customBuiltin="1"/>
    <cellStyle name="Neutral 2" xfId="1710"/>
    <cellStyle name="Neutral 2 10" xfId="4522"/>
    <cellStyle name="Neutral 2 2" xfId="1711"/>
    <cellStyle name="Neutral 2 3" xfId="1712"/>
    <cellStyle name="Neutral 2 4" xfId="1713"/>
    <cellStyle name="Neutral 2 5" xfId="1714"/>
    <cellStyle name="Neutral 2 6" xfId="1715"/>
    <cellStyle name="Neutral 2 7" xfId="1716"/>
    <cellStyle name="Neutral 2 8" xfId="1717"/>
    <cellStyle name="Neutral 2 9" xfId="1718"/>
    <cellStyle name="New" xfId="1719"/>
    <cellStyle name="Nil" xfId="1720"/>
    <cellStyle name="no dec" xfId="1721"/>
    <cellStyle name="No-definido" xfId="1722"/>
    <cellStyle name="Non_Input_Cell_Figures" xfId="1723"/>
    <cellStyle name="NonPrintingArea" xfId="1724"/>
    <cellStyle name="NORAYAS" xfId="1725"/>
    <cellStyle name="Normal" xfId="0" builtinId="0"/>
    <cellStyle name="Normal--" xfId="1726"/>
    <cellStyle name="Normal - Style1" xfId="1727"/>
    <cellStyle name="Normal [0]" xfId="1728"/>
    <cellStyle name="Normal [1]" xfId="1729"/>
    <cellStyle name="Normal [3]" xfId="1730"/>
    <cellStyle name="Normal [3] 2" xfId="1731"/>
    <cellStyle name="Normal [3] 3" xfId="1732"/>
    <cellStyle name="Normal 10" xfId="1733"/>
    <cellStyle name="Normal 10 2" xfId="1734"/>
    <cellStyle name="Normal 10 2 2" xfId="5476"/>
    <cellStyle name="Normal 10 2 3" xfId="5477"/>
    <cellStyle name="Normal 10 3" xfId="1735"/>
    <cellStyle name="Normal 10 4" xfId="1736"/>
    <cellStyle name="Normal 10 5" xfId="1737"/>
    <cellStyle name="Normal 10 6" xfId="1738"/>
    <cellStyle name="Normal 10 7" xfId="1739"/>
    <cellStyle name="Normal 11" xfId="1740"/>
    <cellStyle name="Normal 11 2" xfId="1741"/>
    <cellStyle name="Normal 11 2 2" xfId="1742"/>
    <cellStyle name="Normal 11 3" xfId="1743"/>
    <cellStyle name="Normal 11 4" xfId="1744"/>
    <cellStyle name="Normal 11 5" xfId="1745"/>
    <cellStyle name="Normal 11 6" xfId="1746"/>
    <cellStyle name="Normal 11 7" xfId="1747"/>
    <cellStyle name="Normal 12" xfId="1748"/>
    <cellStyle name="Normal 12 2" xfId="1749"/>
    <cellStyle name="Normal 12 3" xfId="1750"/>
    <cellStyle name="Normal 12 4" xfId="1751"/>
    <cellStyle name="Normal 12 5" xfId="1752"/>
    <cellStyle name="Normal 13" xfId="1753"/>
    <cellStyle name="Normal 13 2" xfId="1754"/>
    <cellStyle name="Normal 13 2 2" xfId="5478"/>
    <cellStyle name="Normal 13 2 3" xfId="5479"/>
    <cellStyle name="Normal 13 3" xfId="1755"/>
    <cellStyle name="Normal 13 4" xfId="5480"/>
    <cellStyle name="Normal 14" xfId="1756"/>
    <cellStyle name="Normal 14 2" xfId="1757"/>
    <cellStyle name="Normal 14 2 2" xfId="5481"/>
    <cellStyle name="Normal 14 2 2 2" xfId="5482"/>
    <cellStyle name="Normal 14 2 3" xfId="5483"/>
    <cellStyle name="Normal 14 2 4" xfId="5484"/>
    <cellStyle name="Normal 14 3" xfId="1758"/>
    <cellStyle name="Normal 15" xfId="1759"/>
    <cellStyle name="Normal 15 2" xfId="1760"/>
    <cellStyle name="Normal 15 2 2" xfId="1761"/>
    <cellStyle name="Normal 15 3" xfId="1762"/>
    <cellStyle name="Normal 15 4" xfId="1763"/>
    <cellStyle name="Normal 16" xfId="1764"/>
    <cellStyle name="Normal 16 2" xfId="1765"/>
    <cellStyle name="Normal 16 2 2" xfId="5485"/>
    <cellStyle name="Normal 16 3" xfId="1766"/>
    <cellStyle name="Normal 16 4" xfId="5486"/>
    <cellStyle name="Normal 17" xfId="1767"/>
    <cellStyle name="Normal 17 2" xfId="5487"/>
    <cellStyle name="Normal 17 2 2" xfId="5488"/>
    <cellStyle name="Normal 17 2 2 2" xfId="5489"/>
    <cellStyle name="Normal 17 2 3" xfId="5490"/>
    <cellStyle name="Normal 17 2 4" xfId="5491"/>
    <cellStyle name="Normal 17 3" xfId="5492"/>
    <cellStyle name="Normal 17 3 2" xfId="5493"/>
    <cellStyle name="Normal 17 4" xfId="5494"/>
    <cellStyle name="Normal 17 5" xfId="5495"/>
    <cellStyle name="Normal 18" xfId="1768"/>
    <cellStyle name="Normal 18 2" xfId="1769"/>
    <cellStyle name="Normal 18 2 2" xfId="5496"/>
    <cellStyle name="Normal 18 3" xfId="5497"/>
    <cellStyle name="Normal 18 4" xfId="5498"/>
    <cellStyle name="Normal 19" xfId="1770"/>
    <cellStyle name="Normal 2" xfId="5"/>
    <cellStyle name="Normal-- 2" xfId="1771"/>
    <cellStyle name="Normal 2 10" xfId="1772"/>
    <cellStyle name="Normal 2 10 2" xfId="1773"/>
    <cellStyle name="Normal 2 11" xfId="1774"/>
    <cellStyle name="Normal 2 11 2" xfId="1775"/>
    <cellStyle name="Normal 2 12" xfId="1776"/>
    <cellStyle name="Normal 2 12 2" xfId="1777"/>
    <cellStyle name="Normal 2 13" xfId="1778"/>
    <cellStyle name="Normal 2 13 2" xfId="1779"/>
    <cellStyle name="Normal 2 14" xfId="1780"/>
    <cellStyle name="Normal 2 14 2" xfId="1781"/>
    <cellStyle name="Normal 2 15" xfId="1782"/>
    <cellStyle name="Normal 2 15 2" xfId="1783"/>
    <cellStyle name="Normal 2 16" xfId="1784"/>
    <cellStyle name="Normal 2 16 2" xfId="1785"/>
    <cellStyle name="Normal 2 17" xfId="1786"/>
    <cellStyle name="Normal 2 17 2" xfId="1787"/>
    <cellStyle name="Normal 2 18" xfId="1788"/>
    <cellStyle name="Normal 2 18 2" xfId="1789"/>
    <cellStyle name="Normal 2 19" xfId="1790"/>
    <cellStyle name="Normal 2 19 2" xfId="1791"/>
    <cellStyle name="Normal 2 2" xfId="1792"/>
    <cellStyle name="Normal 2 2 2" xfId="1793"/>
    <cellStyle name="Normal 2 2 2 2" xfId="1794"/>
    <cellStyle name="Normal 2 2 2 2 2" xfId="1795"/>
    <cellStyle name="Normal 2 2 2 3" xfId="1796"/>
    <cellStyle name="Normal 2 2 2 4" xfId="1797"/>
    <cellStyle name="Normal 2 2 2 5" xfId="1798"/>
    <cellStyle name="Normal 2 2 2 6" xfId="1799"/>
    <cellStyle name="Normal 2 2 3" xfId="1800"/>
    <cellStyle name="Normal 2 2 4" xfId="1801"/>
    <cellStyle name="Normal 2 2 4 2" xfId="1802"/>
    <cellStyle name="Normal 2 2 4 3" xfId="1803"/>
    <cellStyle name="Normal 2 2 5" xfId="1804"/>
    <cellStyle name="Normal 2 2 6" xfId="1805"/>
    <cellStyle name="Normal 2 2 7" xfId="5603"/>
    <cellStyle name="Normal 2 20" xfId="1806"/>
    <cellStyle name="Normal 2 20 2" xfId="1807"/>
    <cellStyle name="Normal 2 21" xfId="1808"/>
    <cellStyle name="Normal 2 21 2" xfId="1809"/>
    <cellStyle name="Normal 2 22" xfId="1810"/>
    <cellStyle name="Normal 2 22 2" xfId="1811"/>
    <cellStyle name="Normal 2 23" xfId="1812"/>
    <cellStyle name="Normal 2 23 2" xfId="1813"/>
    <cellStyle name="Normal 2 24" xfId="1814"/>
    <cellStyle name="Normal 2 24 2" xfId="1815"/>
    <cellStyle name="Normal 2 24 2 2" xfId="1816"/>
    <cellStyle name="Normal 2 24 3" xfId="1817"/>
    <cellStyle name="Normal 2 24 4" xfId="1818"/>
    <cellStyle name="Normal 2 25" xfId="1819"/>
    <cellStyle name="Normal 2 25 2" xfId="1820"/>
    <cellStyle name="Normal 2 26" xfId="1821"/>
    <cellStyle name="Normal 2 26 2" xfId="1822"/>
    <cellStyle name="Normal 2 27" xfId="1823"/>
    <cellStyle name="Normal 2 27 2" xfId="1824"/>
    <cellStyle name="Normal 2 28" xfId="1825"/>
    <cellStyle name="Normal 2 28 2" xfId="1826"/>
    <cellStyle name="Normal 2 29" xfId="1827"/>
    <cellStyle name="Normal 2 29 2" xfId="1828"/>
    <cellStyle name="Normal 2 3" xfId="1829"/>
    <cellStyle name="Normal 2 3 2" xfId="1830"/>
    <cellStyle name="Normal 2 3 3" xfId="1831"/>
    <cellStyle name="Normal 2 30" xfId="1832"/>
    <cellStyle name="Normal 2 30 2" xfId="1833"/>
    <cellStyle name="Normal 2 31" xfId="1834"/>
    <cellStyle name="Normal 2 31 2" xfId="1835"/>
    <cellStyle name="Normal 2 32" xfId="1836"/>
    <cellStyle name="Normal 2 33" xfId="1837"/>
    <cellStyle name="Normal 2 34" xfId="1838"/>
    <cellStyle name="Normal 2 35" xfId="1839"/>
    <cellStyle name="Normal 2 36" xfId="1840"/>
    <cellStyle name="Normal 2 37" xfId="1841"/>
    <cellStyle name="Normal 2 38" xfId="1842"/>
    <cellStyle name="Normal 2 38 2" xfId="5499"/>
    <cellStyle name="Normal 2 39" xfId="1843"/>
    <cellStyle name="Normal 2 4" xfId="1844"/>
    <cellStyle name="Normal 2 4 2" xfId="1845"/>
    <cellStyle name="Normal 2 4 3" xfId="1846"/>
    <cellStyle name="Normal 2 4 4" xfId="1847"/>
    <cellStyle name="Normal 2 40" xfId="1848"/>
    <cellStyle name="Normal 2 41" xfId="1849"/>
    <cellStyle name="Normal 2 42" xfId="1850"/>
    <cellStyle name="Normal 2 43" xfId="1851"/>
    <cellStyle name="Normal 2 44" xfId="1852"/>
    <cellStyle name="Normal 2 45" xfId="1853"/>
    <cellStyle name="Normal 2 46" xfId="1854"/>
    <cellStyle name="Normal 2 47" xfId="1855"/>
    <cellStyle name="Normal 2 48" xfId="4486"/>
    <cellStyle name="Normal 2 49" xfId="4609"/>
    <cellStyle name="Normal 2 5" xfId="1856"/>
    <cellStyle name="Normal 2 5 2" xfId="1857"/>
    <cellStyle name="Normal 2 5 3" xfId="1858"/>
    <cellStyle name="Normal 2 50" xfId="4613"/>
    <cellStyle name="Normal 2 51" xfId="4611"/>
    <cellStyle name="Normal 2 52" xfId="4615"/>
    <cellStyle name="Normal 2 53" xfId="4618"/>
    <cellStyle name="Normal 2 54" xfId="4621"/>
    <cellStyle name="Normal 2 55" xfId="4624"/>
    <cellStyle name="Normal 2 56" xfId="4627"/>
    <cellStyle name="Normal 2 57" xfId="4630"/>
    <cellStyle name="Normal 2 58" xfId="4669"/>
    <cellStyle name="Normal 2 59" xfId="4673"/>
    <cellStyle name="Normal 2 6" xfId="1859"/>
    <cellStyle name="Normal 2 6 2" xfId="1860"/>
    <cellStyle name="Normal 2 60" xfId="4691"/>
    <cellStyle name="Normal 2 61" xfId="4682"/>
    <cellStyle name="Normal 2 62" xfId="4692"/>
    <cellStyle name="Normal 2 63" xfId="4681"/>
    <cellStyle name="Normal 2 64" xfId="4693"/>
    <cellStyle name="Normal 2 65" xfId="5605"/>
    <cellStyle name="Normal 2 7" xfId="1861"/>
    <cellStyle name="Normal 2 7 2" xfId="1862"/>
    <cellStyle name="Normal 2 8" xfId="1863"/>
    <cellStyle name="Normal 2 8 2" xfId="1864"/>
    <cellStyle name="Normal 2 9" xfId="1865"/>
    <cellStyle name="Normal 2 9 2" xfId="1866"/>
    <cellStyle name="Normal 20" xfId="1867"/>
    <cellStyle name="Normal 20 2" xfId="5500"/>
    <cellStyle name="Normal 21" xfId="1868"/>
    <cellStyle name="Normal 22" xfId="1869"/>
    <cellStyle name="Normal 23" xfId="1870"/>
    <cellStyle name="Normal 24" xfId="1871"/>
    <cellStyle name="Normal 25" xfId="1872"/>
    <cellStyle name="Normal 25 10" xfId="1873"/>
    <cellStyle name="Normal 25 100" xfId="1874"/>
    <cellStyle name="Normal 25 101" xfId="1875"/>
    <cellStyle name="Normal 25 102" xfId="1876"/>
    <cellStyle name="Normal 25 103" xfId="1877"/>
    <cellStyle name="Normal 25 104" xfId="1878"/>
    <cellStyle name="Normal 25 105" xfId="1879"/>
    <cellStyle name="Normal 25 106" xfId="1880"/>
    <cellStyle name="Normal 25 107" xfId="1881"/>
    <cellStyle name="Normal 25 108" xfId="1882"/>
    <cellStyle name="Normal 25 109" xfId="1883"/>
    <cellStyle name="Normal 25 11" xfId="1884"/>
    <cellStyle name="Normal 25 12" xfId="1885"/>
    <cellStyle name="Normal 25 13" xfId="1886"/>
    <cellStyle name="Normal 25 14" xfId="1887"/>
    <cellStyle name="Normal 25 15" xfId="1888"/>
    <cellStyle name="Normal 25 16" xfId="1889"/>
    <cellStyle name="Normal 25 17" xfId="1890"/>
    <cellStyle name="Normal 25 18" xfId="1891"/>
    <cellStyle name="Normal 25 19" xfId="1892"/>
    <cellStyle name="Normal 25 2" xfId="1893"/>
    <cellStyle name="Normal 25 20" xfId="1894"/>
    <cellStyle name="Normal 25 21" xfId="1895"/>
    <cellStyle name="Normal 25 22" xfId="1896"/>
    <cellStyle name="Normal 25 23" xfId="1897"/>
    <cellStyle name="Normal 25 24" xfId="1898"/>
    <cellStyle name="Normal 25 25" xfId="1899"/>
    <cellStyle name="Normal 25 26" xfId="1900"/>
    <cellStyle name="Normal 25 27" xfId="1901"/>
    <cellStyle name="Normal 25 28" xfId="1902"/>
    <cellStyle name="Normal 25 29" xfId="1903"/>
    <cellStyle name="Normal 25 3" xfId="1904"/>
    <cellStyle name="Normal 25 30" xfId="1905"/>
    <cellStyle name="Normal 25 31" xfId="1906"/>
    <cellStyle name="Normal 25 32" xfId="1907"/>
    <cellStyle name="Normal 25 33" xfId="1908"/>
    <cellStyle name="Normal 25 34" xfId="1909"/>
    <cellStyle name="Normal 25 35" xfId="1910"/>
    <cellStyle name="Normal 25 36" xfId="1911"/>
    <cellStyle name="Normal 25 37" xfId="1912"/>
    <cellStyle name="Normal 25 38" xfId="1913"/>
    <cellStyle name="Normal 25 39" xfId="1914"/>
    <cellStyle name="Normal 25 4" xfId="1915"/>
    <cellStyle name="Normal 25 40" xfId="1916"/>
    <cellStyle name="Normal 25 41" xfId="1917"/>
    <cellStyle name="Normal 25 42" xfId="1918"/>
    <cellStyle name="Normal 25 43" xfId="1919"/>
    <cellStyle name="Normal 25 44" xfId="1920"/>
    <cellStyle name="Normal 25 45" xfId="1921"/>
    <cellStyle name="Normal 25 46" xfId="1922"/>
    <cellStyle name="Normal 25 47" xfId="1923"/>
    <cellStyle name="Normal 25 48" xfId="1924"/>
    <cellStyle name="Normal 25 49" xfId="1925"/>
    <cellStyle name="Normal 25 5" xfId="1926"/>
    <cellStyle name="Normal 25 50" xfId="1927"/>
    <cellStyle name="Normal 25 51" xfId="1928"/>
    <cellStyle name="Normal 25 52" xfId="1929"/>
    <cellStyle name="Normal 25 53" xfId="1930"/>
    <cellStyle name="Normal 25 54" xfId="1931"/>
    <cellStyle name="Normal 25 55" xfId="1932"/>
    <cellStyle name="Normal 25 56" xfId="1933"/>
    <cellStyle name="Normal 25 57" xfId="1934"/>
    <cellStyle name="Normal 25 58" xfId="1935"/>
    <cellStyle name="Normal 25 59" xfId="1936"/>
    <cellStyle name="Normal 25 6" xfId="1937"/>
    <cellStyle name="Normal 25 60" xfId="1938"/>
    <cellStyle name="Normal 25 61" xfId="1939"/>
    <cellStyle name="Normal 25 62" xfId="1940"/>
    <cellStyle name="Normal 25 63" xfId="1941"/>
    <cellStyle name="Normal 25 64" xfId="1942"/>
    <cellStyle name="Normal 25 65" xfId="1943"/>
    <cellStyle name="Normal 25 66" xfId="1944"/>
    <cellStyle name="Normal 25 67" xfId="1945"/>
    <cellStyle name="Normal 25 68" xfId="1946"/>
    <cellStyle name="Normal 25 69" xfId="1947"/>
    <cellStyle name="Normal 25 7" xfId="1948"/>
    <cellStyle name="Normal 25 70" xfId="1949"/>
    <cellStyle name="Normal 25 71" xfId="1950"/>
    <cellStyle name="Normal 25 72" xfId="1951"/>
    <cellStyle name="Normal 25 73" xfId="1952"/>
    <cellStyle name="Normal 25 74" xfId="1953"/>
    <cellStyle name="Normal 25 75" xfId="1954"/>
    <cellStyle name="Normal 25 76" xfId="1955"/>
    <cellStyle name="Normal 25 77" xfId="1956"/>
    <cellStyle name="Normal 25 78" xfId="1957"/>
    <cellStyle name="Normal 25 79" xfId="1958"/>
    <cellStyle name="Normal 25 8" xfId="1959"/>
    <cellStyle name="Normal 25 80" xfId="1960"/>
    <cellStyle name="Normal 25 81" xfId="1961"/>
    <cellStyle name="Normal 25 82" xfId="1962"/>
    <cellStyle name="Normal 25 83" xfId="1963"/>
    <cellStyle name="Normal 25 84" xfId="1964"/>
    <cellStyle name="Normal 25 85" xfId="1965"/>
    <cellStyle name="Normal 25 86" xfId="1966"/>
    <cellStyle name="Normal 25 87" xfId="1967"/>
    <cellStyle name="Normal 25 88" xfId="1968"/>
    <cellStyle name="Normal 25 89" xfId="1969"/>
    <cellStyle name="Normal 25 9" xfId="1970"/>
    <cellStyle name="Normal 25 90" xfId="1971"/>
    <cellStyle name="Normal 25 91" xfId="1972"/>
    <cellStyle name="Normal 25 92" xfId="1973"/>
    <cellStyle name="Normal 25 93" xfId="1974"/>
    <cellStyle name="Normal 25 94" xfId="1975"/>
    <cellStyle name="Normal 25 95" xfId="1976"/>
    <cellStyle name="Normal 25 96" xfId="1977"/>
    <cellStyle name="Normal 25 97" xfId="1978"/>
    <cellStyle name="Normal 25 98" xfId="1979"/>
    <cellStyle name="Normal 25 99" xfId="1980"/>
    <cellStyle name="Normal 26" xfId="1981"/>
    <cellStyle name="Normal 26 10" xfId="1982"/>
    <cellStyle name="Normal 26 100" xfId="1983"/>
    <cellStyle name="Normal 26 101" xfId="1984"/>
    <cellStyle name="Normal 26 102" xfId="1985"/>
    <cellStyle name="Normal 26 103" xfId="1986"/>
    <cellStyle name="Normal 26 104" xfId="1987"/>
    <cellStyle name="Normal 26 105" xfId="1988"/>
    <cellStyle name="Normal 26 106" xfId="1989"/>
    <cellStyle name="Normal 26 107" xfId="1990"/>
    <cellStyle name="Normal 26 108" xfId="1991"/>
    <cellStyle name="Normal 26 109" xfId="1992"/>
    <cellStyle name="Normal 26 11" xfId="1993"/>
    <cellStyle name="Normal 26 12" xfId="1994"/>
    <cellStyle name="Normal 26 13" xfId="1995"/>
    <cellStyle name="Normal 26 14" xfId="1996"/>
    <cellStyle name="Normal 26 15" xfId="1997"/>
    <cellStyle name="Normal 26 16" xfId="1998"/>
    <cellStyle name="Normal 26 17" xfId="1999"/>
    <cellStyle name="Normal 26 18" xfId="2000"/>
    <cellStyle name="Normal 26 19" xfId="2001"/>
    <cellStyle name="Normal 26 2" xfId="2002"/>
    <cellStyle name="Normal 26 20" xfId="2003"/>
    <cellStyle name="Normal 26 21" xfId="2004"/>
    <cellStyle name="Normal 26 22" xfId="2005"/>
    <cellStyle name="Normal 26 23" xfId="2006"/>
    <cellStyle name="Normal 26 24" xfId="2007"/>
    <cellStyle name="Normal 26 25" xfId="2008"/>
    <cellStyle name="Normal 26 26" xfId="2009"/>
    <cellStyle name="Normal 26 27" xfId="2010"/>
    <cellStyle name="Normal 26 28" xfId="2011"/>
    <cellStyle name="Normal 26 29" xfId="2012"/>
    <cellStyle name="Normal 26 3" xfId="2013"/>
    <cellStyle name="Normal 26 30" xfId="2014"/>
    <cellStyle name="Normal 26 31" xfId="2015"/>
    <cellStyle name="Normal 26 32" xfId="2016"/>
    <cellStyle name="Normal 26 33" xfId="2017"/>
    <cellStyle name="Normal 26 34" xfId="2018"/>
    <cellStyle name="Normal 26 35" xfId="2019"/>
    <cellStyle name="Normal 26 36" xfId="2020"/>
    <cellStyle name="Normal 26 37" xfId="2021"/>
    <cellStyle name="Normal 26 38" xfId="2022"/>
    <cellStyle name="Normal 26 39" xfId="2023"/>
    <cellStyle name="Normal 26 4" xfId="2024"/>
    <cellStyle name="Normal 26 40" xfId="2025"/>
    <cellStyle name="Normal 26 41" xfId="2026"/>
    <cellStyle name="Normal 26 42" xfId="2027"/>
    <cellStyle name="Normal 26 43" xfId="2028"/>
    <cellStyle name="Normal 26 44" xfId="2029"/>
    <cellStyle name="Normal 26 45" xfId="2030"/>
    <cellStyle name="Normal 26 46" xfId="2031"/>
    <cellStyle name="Normal 26 47" xfId="2032"/>
    <cellStyle name="Normal 26 48" xfId="2033"/>
    <cellStyle name="Normal 26 49" xfId="2034"/>
    <cellStyle name="Normal 26 5" xfId="2035"/>
    <cellStyle name="Normal 26 50" xfId="2036"/>
    <cellStyle name="Normal 26 51" xfId="2037"/>
    <cellStyle name="Normal 26 52" xfId="2038"/>
    <cellStyle name="Normal 26 53" xfId="2039"/>
    <cellStyle name="Normal 26 54" xfId="2040"/>
    <cellStyle name="Normal 26 55" xfId="2041"/>
    <cellStyle name="Normal 26 56" xfId="2042"/>
    <cellStyle name="Normal 26 57" xfId="2043"/>
    <cellStyle name="Normal 26 58" xfId="2044"/>
    <cellStyle name="Normal 26 59" xfId="2045"/>
    <cellStyle name="Normal 26 6" xfId="2046"/>
    <cellStyle name="Normal 26 60" xfId="2047"/>
    <cellStyle name="Normal 26 61" xfId="2048"/>
    <cellStyle name="Normal 26 62" xfId="2049"/>
    <cellStyle name="Normal 26 63" xfId="2050"/>
    <cellStyle name="Normal 26 64" xfId="2051"/>
    <cellStyle name="Normal 26 65" xfId="2052"/>
    <cellStyle name="Normal 26 66" xfId="2053"/>
    <cellStyle name="Normal 26 67" xfId="2054"/>
    <cellStyle name="Normal 26 68" xfId="2055"/>
    <cellStyle name="Normal 26 69" xfId="2056"/>
    <cellStyle name="Normal 26 7" xfId="2057"/>
    <cellStyle name="Normal 26 70" xfId="2058"/>
    <cellStyle name="Normal 26 71" xfId="2059"/>
    <cellStyle name="Normal 26 72" xfId="2060"/>
    <cellStyle name="Normal 26 73" xfId="2061"/>
    <cellStyle name="Normal 26 74" xfId="2062"/>
    <cellStyle name="Normal 26 75" xfId="2063"/>
    <cellStyle name="Normal 26 76" xfId="2064"/>
    <cellStyle name="Normal 26 77" xfId="2065"/>
    <cellStyle name="Normal 26 78" xfId="2066"/>
    <cellStyle name="Normal 26 79" xfId="2067"/>
    <cellStyle name="Normal 26 8" xfId="2068"/>
    <cellStyle name="Normal 26 80" xfId="2069"/>
    <cellStyle name="Normal 26 81" xfId="2070"/>
    <cellStyle name="Normal 26 82" xfId="2071"/>
    <cellStyle name="Normal 26 83" xfId="2072"/>
    <cellStyle name="Normal 26 84" xfId="2073"/>
    <cellStyle name="Normal 26 85" xfId="2074"/>
    <cellStyle name="Normal 26 86" xfId="2075"/>
    <cellStyle name="Normal 26 87" xfId="2076"/>
    <cellStyle name="Normal 26 88" xfId="2077"/>
    <cellStyle name="Normal 26 89" xfId="2078"/>
    <cellStyle name="Normal 26 9" xfId="2079"/>
    <cellStyle name="Normal 26 90" xfId="2080"/>
    <cellStyle name="Normal 26 91" xfId="2081"/>
    <cellStyle name="Normal 26 92" xfId="2082"/>
    <cellStyle name="Normal 26 93" xfId="2083"/>
    <cellStyle name="Normal 26 94" xfId="2084"/>
    <cellStyle name="Normal 26 95" xfId="2085"/>
    <cellStyle name="Normal 26 96" xfId="2086"/>
    <cellStyle name="Normal 26 97" xfId="2087"/>
    <cellStyle name="Normal 26 98" xfId="2088"/>
    <cellStyle name="Normal 26 99" xfId="2089"/>
    <cellStyle name="Normal 27" xfId="2090"/>
    <cellStyle name="Normal 27 10" xfId="2091"/>
    <cellStyle name="Normal 27 100" xfId="2092"/>
    <cellStyle name="Normal 27 101" xfId="2093"/>
    <cellStyle name="Normal 27 102" xfId="2094"/>
    <cellStyle name="Normal 27 103" xfId="2095"/>
    <cellStyle name="Normal 27 104" xfId="2096"/>
    <cellStyle name="Normal 27 105" xfId="2097"/>
    <cellStyle name="Normal 27 106" xfId="2098"/>
    <cellStyle name="Normal 27 107" xfId="2099"/>
    <cellStyle name="Normal 27 108" xfId="2100"/>
    <cellStyle name="Normal 27 109" xfId="2101"/>
    <cellStyle name="Normal 27 11" xfId="2102"/>
    <cellStyle name="Normal 27 12" xfId="2103"/>
    <cellStyle name="Normal 27 13" xfId="2104"/>
    <cellStyle name="Normal 27 14" xfId="2105"/>
    <cellStyle name="Normal 27 15" xfId="2106"/>
    <cellStyle name="Normal 27 16" xfId="2107"/>
    <cellStyle name="Normal 27 17" xfId="2108"/>
    <cellStyle name="Normal 27 18" xfId="2109"/>
    <cellStyle name="Normal 27 19" xfId="2110"/>
    <cellStyle name="Normal 27 2" xfId="2111"/>
    <cellStyle name="Normal 27 20" xfId="2112"/>
    <cellStyle name="Normal 27 21" xfId="2113"/>
    <cellStyle name="Normal 27 22" xfId="2114"/>
    <cellStyle name="Normal 27 23" xfId="2115"/>
    <cellStyle name="Normal 27 24" xfId="2116"/>
    <cellStyle name="Normal 27 25" xfId="2117"/>
    <cellStyle name="Normal 27 26" xfId="2118"/>
    <cellStyle name="Normal 27 27" xfId="2119"/>
    <cellStyle name="Normal 27 28" xfId="2120"/>
    <cellStyle name="Normal 27 29" xfId="2121"/>
    <cellStyle name="Normal 27 3" xfId="2122"/>
    <cellStyle name="Normal 27 30" xfId="2123"/>
    <cellStyle name="Normal 27 31" xfId="2124"/>
    <cellStyle name="Normal 27 32" xfId="2125"/>
    <cellStyle name="Normal 27 33" xfId="2126"/>
    <cellStyle name="Normal 27 34" xfId="2127"/>
    <cellStyle name="Normal 27 35" xfId="2128"/>
    <cellStyle name="Normal 27 36" xfId="2129"/>
    <cellStyle name="Normal 27 37" xfId="2130"/>
    <cellStyle name="Normal 27 38" xfId="2131"/>
    <cellStyle name="Normal 27 39" xfId="2132"/>
    <cellStyle name="Normal 27 4" xfId="2133"/>
    <cellStyle name="Normal 27 40" xfId="2134"/>
    <cellStyle name="Normal 27 41" xfId="2135"/>
    <cellStyle name="Normal 27 42" xfId="2136"/>
    <cellStyle name="Normal 27 43" xfId="2137"/>
    <cellStyle name="Normal 27 44" xfId="2138"/>
    <cellStyle name="Normal 27 45" xfId="2139"/>
    <cellStyle name="Normal 27 46" xfId="2140"/>
    <cellStyle name="Normal 27 47" xfId="2141"/>
    <cellStyle name="Normal 27 48" xfId="2142"/>
    <cellStyle name="Normal 27 49" xfId="2143"/>
    <cellStyle name="Normal 27 5" xfId="2144"/>
    <cellStyle name="Normal 27 50" xfId="2145"/>
    <cellStyle name="Normal 27 51" xfId="2146"/>
    <cellStyle name="Normal 27 52" xfId="2147"/>
    <cellStyle name="Normal 27 53" xfId="2148"/>
    <cellStyle name="Normal 27 54" xfId="2149"/>
    <cellStyle name="Normal 27 55" xfId="2150"/>
    <cellStyle name="Normal 27 56" xfId="2151"/>
    <cellStyle name="Normal 27 57" xfId="2152"/>
    <cellStyle name="Normal 27 58" xfId="2153"/>
    <cellStyle name="Normal 27 59" xfId="2154"/>
    <cellStyle name="Normal 27 6" xfId="2155"/>
    <cellStyle name="Normal 27 60" xfId="2156"/>
    <cellStyle name="Normal 27 61" xfId="2157"/>
    <cellStyle name="Normal 27 62" xfId="2158"/>
    <cellStyle name="Normal 27 63" xfId="2159"/>
    <cellStyle name="Normal 27 64" xfId="2160"/>
    <cellStyle name="Normal 27 65" xfId="2161"/>
    <cellStyle name="Normal 27 66" xfId="2162"/>
    <cellStyle name="Normal 27 67" xfId="2163"/>
    <cellStyle name="Normal 27 68" xfId="2164"/>
    <cellStyle name="Normal 27 69" xfId="2165"/>
    <cellStyle name="Normal 27 7" xfId="2166"/>
    <cellStyle name="Normal 27 70" xfId="2167"/>
    <cellStyle name="Normal 27 71" xfId="2168"/>
    <cellStyle name="Normal 27 72" xfId="2169"/>
    <cellStyle name="Normal 27 73" xfId="2170"/>
    <cellStyle name="Normal 27 74" xfId="2171"/>
    <cellStyle name="Normal 27 75" xfId="2172"/>
    <cellStyle name="Normal 27 76" xfId="2173"/>
    <cellStyle name="Normal 27 77" xfId="2174"/>
    <cellStyle name="Normal 27 78" xfId="2175"/>
    <cellStyle name="Normal 27 79" xfId="2176"/>
    <cellStyle name="Normal 27 8" xfId="2177"/>
    <cellStyle name="Normal 27 80" xfId="2178"/>
    <cellStyle name="Normal 27 81" xfId="2179"/>
    <cellStyle name="Normal 27 82" xfId="2180"/>
    <cellStyle name="Normal 27 83" xfId="2181"/>
    <cellStyle name="Normal 27 84" xfId="2182"/>
    <cellStyle name="Normal 27 85" xfId="2183"/>
    <cellStyle name="Normal 27 86" xfId="2184"/>
    <cellStyle name="Normal 27 87" xfId="2185"/>
    <cellStyle name="Normal 27 88" xfId="2186"/>
    <cellStyle name="Normal 27 89" xfId="2187"/>
    <cellStyle name="Normal 27 9" xfId="2188"/>
    <cellStyle name="Normal 27 90" xfId="2189"/>
    <cellStyle name="Normal 27 91" xfId="2190"/>
    <cellStyle name="Normal 27 92" xfId="2191"/>
    <cellStyle name="Normal 27 93" xfId="2192"/>
    <cellStyle name="Normal 27 94" xfId="2193"/>
    <cellStyle name="Normal 27 95" xfId="2194"/>
    <cellStyle name="Normal 27 96" xfId="2195"/>
    <cellStyle name="Normal 27 97" xfId="2196"/>
    <cellStyle name="Normal 27 98" xfId="2197"/>
    <cellStyle name="Normal 27 99" xfId="2198"/>
    <cellStyle name="Normal 28" xfId="2199"/>
    <cellStyle name="Normal 28 10" xfId="2200"/>
    <cellStyle name="Normal 28 100" xfId="2201"/>
    <cellStyle name="Normal 28 101" xfId="2202"/>
    <cellStyle name="Normal 28 102" xfId="2203"/>
    <cellStyle name="Normal 28 103" xfId="2204"/>
    <cellStyle name="Normal 28 104" xfId="2205"/>
    <cellStyle name="Normal 28 105" xfId="2206"/>
    <cellStyle name="Normal 28 106" xfId="2207"/>
    <cellStyle name="Normal 28 107" xfId="2208"/>
    <cellStyle name="Normal 28 108" xfId="2209"/>
    <cellStyle name="Normal 28 109" xfId="2210"/>
    <cellStyle name="Normal 28 11" xfId="2211"/>
    <cellStyle name="Normal 28 12" xfId="2212"/>
    <cellStyle name="Normal 28 13" xfId="2213"/>
    <cellStyle name="Normal 28 14" xfId="2214"/>
    <cellStyle name="Normal 28 15" xfId="2215"/>
    <cellStyle name="Normal 28 16" xfId="2216"/>
    <cellStyle name="Normal 28 17" xfId="2217"/>
    <cellStyle name="Normal 28 18" xfId="2218"/>
    <cellStyle name="Normal 28 19" xfId="2219"/>
    <cellStyle name="Normal 28 2" xfId="2220"/>
    <cellStyle name="Normal 28 20" xfId="2221"/>
    <cellStyle name="Normal 28 21" xfId="2222"/>
    <cellStyle name="Normal 28 22" xfId="2223"/>
    <cellStyle name="Normal 28 23" xfId="2224"/>
    <cellStyle name="Normal 28 24" xfId="2225"/>
    <cellStyle name="Normal 28 25" xfId="2226"/>
    <cellStyle name="Normal 28 26" xfId="2227"/>
    <cellStyle name="Normal 28 27" xfId="2228"/>
    <cellStyle name="Normal 28 28" xfId="2229"/>
    <cellStyle name="Normal 28 29" xfId="2230"/>
    <cellStyle name="Normal 28 3" xfId="2231"/>
    <cellStyle name="Normal 28 30" xfId="2232"/>
    <cellStyle name="Normal 28 31" xfId="2233"/>
    <cellStyle name="Normal 28 32" xfId="2234"/>
    <cellStyle name="Normal 28 33" xfId="2235"/>
    <cellStyle name="Normal 28 34" xfId="2236"/>
    <cellStyle name="Normal 28 35" xfId="2237"/>
    <cellStyle name="Normal 28 36" xfId="2238"/>
    <cellStyle name="Normal 28 37" xfId="2239"/>
    <cellStyle name="Normal 28 38" xfId="2240"/>
    <cellStyle name="Normal 28 39" xfId="2241"/>
    <cellStyle name="Normal 28 4" xfId="2242"/>
    <cellStyle name="Normal 28 40" xfId="2243"/>
    <cellStyle name="Normal 28 41" xfId="2244"/>
    <cellStyle name="Normal 28 42" xfId="2245"/>
    <cellStyle name="Normal 28 43" xfId="2246"/>
    <cellStyle name="Normal 28 44" xfId="2247"/>
    <cellStyle name="Normal 28 45" xfId="2248"/>
    <cellStyle name="Normal 28 46" xfId="2249"/>
    <cellStyle name="Normal 28 47" xfId="2250"/>
    <cellStyle name="Normal 28 48" xfId="2251"/>
    <cellStyle name="Normal 28 49" xfId="2252"/>
    <cellStyle name="Normal 28 5" xfId="2253"/>
    <cellStyle name="Normal 28 50" xfId="2254"/>
    <cellStyle name="Normal 28 51" xfId="2255"/>
    <cellStyle name="Normal 28 52" xfId="2256"/>
    <cellStyle name="Normal 28 53" xfId="2257"/>
    <cellStyle name="Normal 28 54" xfId="2258"/>
    <cellStyle name="Normal 28 55" xfId="2259"/>
    <cellStyle name="Normal 28 56" xfId="2260"/>
    <cellStyle name="Normal 28 57" xfId="2261"/>
    <cellStyle name="Normal 28 58" xfId="2262"/>
    <cellStyle name="Normal 28 59" xfId="2263"/>
    <cellStyle name="Normal 28 6" xfId="2264"/>
    <cellStyle name="Normal 28 60" xfId="2265"/>
    <cellStyle name="Normal 28 61" xfId="2266"/>
    <cellStyle name="Normal 28 62" xfId="2267"/>
    <cellStyle name="Normal 28 63" xfId="2268"/>
    <cellStyle name="Normal 28 64" xfId="2269"/>
    <cellStyle name="Normal 28 65" xfId="2270"/>
    <cellStyle name="Normal 28 66" xfId="2271"/>
    <cellStyle name="Normal 28 67" xfId="2272"/>
    <cellStyle name="Normal 28 68" xfId="2273"/>
    <cellStyle name="Normal 28 69" xfId="2274"/>
    <cellStyle name="Normal 28 7" xfId="2275"/>
    <cellStyle name="Normal 28 70" xfId="2276"/>
    <cellStyle name="Normal 28 71" xfId="2277"/>
    <cellStyle name="Normal 28 72" xfId="2278"/>
    <cellStyle name="Normal 28 73" xfId="2279"/>
    <cellStyle name="Normal 28 74" xfId="2280"/>
    <cellStyle name="Normal 28 75" xfId="2281"/>
    <cellStyle name="Normal 28 76" xfId="2282"/>
    <cellStyle name="Normal 28 77" xfId="2283"/>
    <cellStyle name="Normal 28 78" xfId="2284"/>
    <cellStyle name="Normal 28 79" xfId="2285"/>
    <cellStyle name="Normal 28 8" xfId="2286"/>
    <cellStyle name="Normal 28 80" xfId="2287"/>
    <cellStyle name="Normal 28 81" xfId="2288"/>
    <cellStyle name="Normal 28 82" xfId="2289"/>
    <cellStyle name="Normal 28 83" xfId="2290"/>
    <cellStyle name="Normal 28 84" xfId="2291"/>
    <cellStyle name="Normal 28 85" xfId="2292"/>
    <cellStyle name="Normal 28 86" xfId="2293"/>
    <cellStyle name="Normal 28 87" xfId="2294"/>
    <cellStyle name="Normal 28 88" xfId="2295"/>
    <cellStyle name="Normal 28 89" xfId="2296"/>
    <cellStyle name="Normal 28 9" xfId="2297"/>
    <cellStyle name="Normal 28 90" xfId="2298"/>
    <cellStyle name="Normal 28 91" xfId="2299"/>
    <cellStyle name="Normal 28 92" xfId="2300"/>
    <cellStyle name="Normal 28 93" xfId="2301"/>
    <cellStyle name="Normal 28 94" xfId="2302"/>
    <cellStyle name="Normal 28 95" xfId="2303"/>
    <cellStyle name="Normal 28 96" xfId="2304"/>
    <cellStyle name="Normal 28 97" xfId="2305"/>
    <cellStyle name="Normal 28 98" xfId="2306"/>
    <cellStyle name="Normal 28 99" xfId="2307"/>
    <cellStyle name="Normal 29" xfId="2308"/>
    <cellStyle name="Normal 29 10" xfId="2309"/>
    <cellStyle name="Normal 29 100" xfId="2310"/>
    <cellStyle name="Normal 29 101" xfId="2311"/>
    <cellStyle name="Normal 29 102" xfId="2312"/>
    <cellStyle name="Normal 29 103" xfId="2313"/>
    <cellStyle name="Normal 29 104" xfId="2314"/>
    <cellStyle name="Normal 29 105" xfId="2315"/>
    <cellStyle name="Normal 29 106" xfId="2316"/>
    <cellStyle name="Normal 29 107" xfId="2317"/>
    <cellStyle name="Normal 29 108" xfId="2318"/>
    <cellStyle name="Normal 29 109" xfId="2319"/>
    <cellStyle name="Normal 29 11" xfId="2320"/>
    <cellStyle name="Normal 29 12" xfId="2321"/>
    <cellStyle name="Normal 29 13" xfId="2322"/>
    <cellStyle name="Normal 29 14" xfId="2323"/>
    <cellStyle name="Normal 29 15" xfId="2324"/>
    <cellStyle name="Normal 29 16" xfId="2325"/>
    <cellStyle name="Normal 29 17" xfId="2326"/>
    <cellStyle name="Normal 29 18" xfId="2327"/>
    <cellStyle name="Normal 29 19" xfId="2328"/>
    <cellStyle name="Normal 29 2" xfId="2329"/>
    <cellStyle name="Normal 29 20" xfId="2330"/>
    <cellStyle name="Normal 29 21" xfId="2331"/>
    <cellStyle name="Normal 29 22" xfId="2332"/>
    <cellStyle name="Normal 29 23" xfId="2333"/>
    <cellStyle name="Normal 29 24" xfId="2334"/>
    <cellStyle name="Normal 29 25" xfId="2335"/>
    <cellStyle name="Normal 29 26" xfId="2336"/>
    <cellStyle name="Normal 29 27" xfId="2337"/>
    <cellStyle name="Normal 29 28" xfId="2338"/>
    <cellStyle name="Normal 29 29" xfId="2339"/>
    <cellStyle name="Normal 29 3" xfId="2340"/>
    <cellStyle name="Normal 29 30" xfId="2341"/>
    <cellStyle name="Normal 29 31" xfId="2342"/>
    <cellStyle name="Normal 29 32" xfId="2343"/>
    <cellStyle name="Normal 29 33" xfId="2344"/>
    <cellStyle name="Normal 29 34" xfId="2345"/>
    <cellStyle name="Normal 29 35" xfId="2346"/>
    <cellStyle name="Normal 29 36" xfId="2347"/>
    <cellStyle name="Normal 29 37" xfId="2348"/>
    <cellStyle name="Normal 29 38" xfId="2349"/>
    <cellStyle name="Normal 29 39" xfId="2350"/>
    <cellStyle name="Normal 29 4" xfId="2351"/>
    <cellStyle name="Normal 29 40" xfId="2352"/>
    <cellStyle name="Normal 29 41" xfId="2353"/>
    <cellStyle name="Normal 29 42" xfId="2354"/>
    <cellStyle name="Normal 29 43" xfId="2355"/>
    <cellStyle name="Normal 29 44" xfId="2356"/>
    <cellStyle name="Normal 29 45" xfId="2357"/>
    <cellStyle name="Normal 29 46" xfId="2358"/>
    <cellStyle name="Normal 29 47" xfId="2359"/>
    <cellStyle name="Normal 29 48" xfId="2360"/>
    <cellStyle name="Normal 29 49" xfId="2361"/>
    <cellStyle name="Normal 29 5" xfId="2362"/>
    <cellStyle name="Normal 29 50" xfId="2363"/>
    <cellStyle name="Normal 29 51" xfId="2364"/>
    <cellStyle name="Normal 29 52" xfId="2365"/>
    <cellStyle name="Normal 29 53" xfId="2366"/>
    <cellStyle name="Normal 29 54" xfId="2367"/>
    <cellStyle name="Normal 29 55" xfId="2368"/>
    <cellStyle name="Normal 29 56" xfId="2369"/>
    <cellStyle name="Normal 29 57" xfId="2370"/>
    <cellStyle name="Normal 29 58" xfId="2371"/>
    <cellStyle name="Normal 29 59" xfId="2372"/>
    <cellStyle name="Normal 29 6" xfId="2373"/>
    <cellStyle name="Normal 29 60" xfId="2374"/>
    <cellStyle name="Normal 29 61" xfId="2375"/>
    <cellStyle name="Normal 29 62" xfId="2376"/>
    <cellStyle name="Normal 29 63" xfId="2377"/>
    <cellStyle name="Normal 29 64" xfId="2378"/>
    <cellStyle name="Normal 29 65" xfId="2379"/>
    <cellStyle name="Normal 29 66" xfId="2380"/>
    <cellStyle name="Normal 29 67" xfId="2381"/>
    <cellStyle name="Normal 29 68" xfId="2382"/>
    <cellStyle name="Normal 29 69" xfId="2383"/>
    <cellStyle name="Normal 29 7" xfId="2384"/>
    <cellStyle name="Normal 29 70" xfId="2385"/>
    <cellStyle name="Normal 29 71" xfId="2386"/>
    <cellStyle name="Normal 29 72" xfId="2387"/>
    <cellStyle name="Normal 29 73" xfId="2388"/>
    <cellStyle name="Normal 29 74" xfId="2389"/>
    <cellStyle name="Normal 29 75" xfId="2390"/>
    <cellStyle name="Normal 29 76" xfId="2391"/>
    <cellStyle name="Normal 29 77" xfId="2392"/>
    <cellStyle name="Normal 29 78" xfId="2393"/>
    <cellStyle name="Normal 29 79" xfId="2394"/>
    <cellStyle name="Normal 29 8" xfId="2395"/>
    <cellStyle name="Normal 29 80" xfId="2396"/>
    <cellStyle name="Normal 29 81" xfId="2397"/>
    <cellStyle name="Normal 29 82" xfId="2398"/>
    <cellStyle name="Normal 29 83" xfId="2399"/>
    <cellStyle name="Normal 29 84" xfId="2400"/>
    <cellStyle name="Normal 29 85" xfId="2401"/>
    <cellStyle name="Normal 29 86" xfId="2402"/>
    <cellStyle name="Normal 29 87" xfId="2403"/>
    <cellStyle name="Normal 29 88" xfId="2404"/>
    <cellStyle name="Normal 29 89" xfId="2405"/>
    <cellStyle name="Normal 29 9" xfId="2406"/>
    <cellStyle name="Normal 29 90" xfId="2407"/>
    <cellStyle name="Normal 29 91" xfId="2408"/>
    <cellStyle name="Normal 29 92" xfId="2409"/>
    <cellStyle name="Normal 29 93" xfId="2410"/>
    <cellStyle name="Normal 29 94" xfId="2411"/>
    <cellStyle name="Normal 29 95" xfId="2412"/>
    <cellStyle name="Normal 29 96" xfId="2413"/>
    <cellStyle name="Normal 29 97" xfId="2414"/>
    <cellStyle name="Normal 29 98" xfId="2415"/>
    <cellStyle name="Normal 29 99" xfId="2416"/>
    <cellStyle name="Normal 3" xfId="1"/>
    <cellStyle name="Normal-- 3" xfId="2417"/>
    <cellStyle name="Normal 3 10" xfId="2418"/>
    <cellStyle name="Normal 3 11" xfId="2419"/>
    <cellStyle name="Normal 3 12" xfId="2420"/>
    <cellStyle name="Normal 3 13" xfId="2421"/>
    <cellStyle name="Normal 3 14" xfId="2422"/>
    <cellStyle name="Normal 3 15" xfId="2423"/>
    <cellStyle name="Normal 3 16" xfId="2424"/>
    <cellStyle name="Normal 3 17" xfId="2425"/>
    <cellStyle name="Normal 3 18" xfId="2426"/>
    <cellStyle name="Normal 3 19" xfId="2427"/>
    <cellStyle name="Normal 3 2" xfId="7"/>
    <cellStyle name="Normal 3 2 2" xfId="2428"/>
    <cellStyle name="Normal 3 2 2 2" xfId="2429"/>
    <cellStyle name="Normal 3 2 3" xfId="2430"/>
    <cellStyle name="Normal 3 2 4" xfId="2431"/>
    <cellStyle name="Normal 3 20" xfId="2432"/>
    <cellStyle name="Normal 3 21" xfId="2433"/>
    <cellStyle name="Normal 3 22" xfId="2434"/>
    <cellStyle name="Normal 3 22 2" xfId="2435"/>
    <cellStyle name="Normal 3 22 2 2" xfId="2436"/>
    <cellStyle name="Normal 3 22 2 2 2" xfId="2437"/>
    <cellStyle name="Normal 3 22 2 3" xfId="2438"/>
    <cellStyle name="Normal 3 22 3" xfId="2439"/>
    <cellStyle name="Normal 3 22 3 2" xfId="2440"/>
    <cellStyle name="Normal 3 22 4" xfId="2441"/>
    <cellStyle name="Normal 3 23" xfId="2442"/>
    <cellStyle name="Normal 3 24" xfId="2443"/>
    <cellStyle name="Normal 3 24 2" xfId="2444"/>
    <cellStyle name="Normal 3 24 2 2" xfId="2445"/>
    <cellStyle name="Normal 3 24 3" xfId="2446"/>
    <cellStyle name="Normal 3 25" xfId="2447"/>
    <cellStyle name="Normal 3 26" xfId="2448"/>
    <cellStyle name="Normal 3 27" xfId="2449"/>
    <cellStyle name="Normal 3 28" xfId="2450"/>
    <cellStyle name="Normal 3 29" xfId="2451"/>
    <cellStyle name="Normal 3 3" xfId="2452"/>
    <cellStyle name="Normal 3 3 2" xfId="2453"/>
    <cellStyle name="Normal 3 3 3" xfId="2454"/>
    <cellStyle name="Normal 3 3 4" xfId="2455"/>
    <cellStyle name="Normal 3 30" xfId="2456"/>
    <cellStyle name="Normal 3 31" xfId="2457"/>
    <cellStyle name="Normal 3 32" xfId="2458"/>
    <cellStyle name="Normal 3 33" xfId="2459"/>
    <cellStyle name="Normal 3 34" xfId="2460"/>
    <cellStyle name="Normal 3 35" xfId="2461"/>
    <cellStyle name="Normal 3 36" xfId="2462"/>
    <cellStyle name="Normal 3 37" xfId="2463"/>
    <cellStyle name="Normal 3 38" xfId="2464"/>
    <cellStyle name="Normal 3 39" xfId="2465"/>
    <cellStyle name="Normal 3 39 2" xfId="2466"/>
    <cellStyle name="Normal 3 4" xfId="2467"/>
    <cellStyle name="Normal 3 4 2" xfId="2468"/>
    <cellStyle name="Normal 3 4 3" xfId="2469"/>
    <cellStyle name="Normal 3 40" xfId="2470"/>
    <cellStyle name="Normal 3 41" xfId="2471"/>
    <cellStyle name="Normal 3 42" xfId="2472"/>
    <cellStyle name="Normal 3 43" xfId="2473"/>
    <cellStyle name="Normal 3 44" xfId="2474"/>
    <cellStyle name="Normal 3 45" xfId="2475"/>
    <cellStyle name="Normal 3 46" xfId="2476"/>
    <cellStyle name="Normal 3 47" xfId="2477"/>
    <cellStyle name="Normal 3 48" xfId="2478"/>
    <cellStyle name="Normal 3 49" xfId="2479"/>
    <cellStyle name="Normal 3 5" xfId="2480"/>
    <cellStyle name="Normal 3 5 2" xfId="2481"/>
    <cellStyle name="Normal 3 50" xfId="2482"/>
    <cellStyle name="Normal 3 51" xfId="2483"/>
    <cellStyle name="Normal 3 52" xfId="2484"/>
    <cellStyle name="Normal 3 53" xfId="2485"/>
    <cellStyle name="Normal 3 54" xfId="4668"/>
    <cellStyle name="Normal 3 55" xfId="4672"/>
    <cellStyle name="Normal 3 6" xfId="2486"/>
    <cellStyle name="Normal 3 7" xfId="2487"/>
    <cellStyle name="Normal 3 8" xfId="2488"/>
    <cellStyle name="Normal 3 9" xfId="2489"/>
    <cellStyle name="Normal 30" xfId="2490"/>
    <cellStyle name="Normal 30 10" xfId="2491"/>
    <cellStyle name="Normal 30 100" xfId="2492"/>
    <cellStyle name="Normal 30 101" xfId="2493"/>
    <cellStyle name="Normal 30 102" xfId="2494"/>
    <cellStyle name="Normal 30 103" xfId="2495"/>
    <cellStyle name="Normal 30 104" xfId="2496"/>
    <cellStyle name="Normal 30 105" xfId="2497"/>
    <cellStyle name="Normal 30 106" xfId="2498"/>
    <cellStyle name="Normal 30 107" xfId="2499"/>
    <cellStyle name="Normal 30 108" xfId="2500"/>
    <cellStyle name="Normal 30 109" xfId="2501"/>
    <cellStyle name="Normal 30 11" xfId="2502"/>
    <cellStyle name="Normal 30 12" xfId="2503"/>
    <cellStyle name="Normal 30 13" xfId="2504"/>
    <cellStyle name="Normal 30 14" xfId="2505"/>
    <cellStyle name="Normal 30 15" xfId="2506"/>
    <cellStyle name="Normal 30 16" xfId="2507"/>
    <cellStyle name="Normal 30 17" xfId="2508"/>
    <cellStyle name="Normal 30 18" xfId="2509"/>
    <cellStyle name="Normal 30 19" xfId="2510"/>
    <cellStyle name="Normal 30 2" xfId="2511"/>
    <cellStyle name="Normal 30 20" xfId="2512"/>
    <cellStyle name="Normal 30 21" xfId="2513"/>
    <cellStyle name="Normal 30 22" xfId="2514"/>
    <cellStyle name="Normal 30 23" xfId="2515"/>
    <cellStyle name="Normal 30 24" xfId="2516"/>
    <cellStyle name="Normal 30 25" xfId="2517"/>
    <cellStyle name="Normal 30 26" xfId="2518"/>
    <cellStyle name="Normal 30 27" xfId="2519"/>
    <cellStyle name="Normal 30 28" xfId="2520"/>
    <cellStyle name="Normal 30 29" xfId="2521"/>
    <cellStyle name="Normal 30 3" xfId="2522"/>
    <cellStyle name="Normal 30 30" xfId="2523"/>
    <cellStyle name="Normal 30 31" xfId="2524"/>
    <cellStyle name="Normal 30 32" xfId="2525"/>
    <cellStyle name="Normal 30 33" xfId="2526"/>
    <cellStyle name="Normal 30 34" xfId="2527"/>
    <cellStyle name="Normal 30 35" xfId="2528"/>
    <cellStyle name="Normal 30 36" xfId="2529"/>
    <cellStyle name="Normal 30 37" xfId="2530"/>
    <cellStyle name="Normal 30 38" xfId="2531"/>
    <cellStyle name="Normal 30 39" xfId="2532"/>
    <cellStyle name="Normal 30 4" xfId="2533"/>
    <cellStyle name="Normal 30 40" xfId="2534"/>
    <cellStyle name="Normal 30 41" xfId="2535"/>
    <cellStyle name="Normal 30 42" xfId="2536"/>
    <cellStyle name="Normal 30 43" xfId="2537"/>
    <cellStyle name="Normal 30 44" xfId="2538"/>
    <cellStyle name="Normal 30 45" xfId="2539"/>
    <cellStyle name="Normal 30 46" xfId="2540"/>
    <cellStyle name="Normal 30 47" xfId="2541"/>
    <cellStyle name="Normal 30 48" xfId="2542"/>
    <cellStyle name="Normal 30 49" xfId="2543"/>
    <cellStyle name="Normal 30 5" xfId="2544"/>
    <cellStyle name="Normal 30 50" xfId="2545"/>
    <cellStyle name="Normal 30 51" xfId="2546"/>
    <cellStyle name="Normal 30 52" xfId="2547"/>
    <cellStyle name="Normal 30 53" xfId="2548"/>
    <cellStyle name="Normal 30 54" xfId="2549"/>
    <cellStyle name="Normal 30 55" xfId="2550"/>
    <cellStyle name="Normal 30 56" xfId="2551"/>
    <cellStyle name="Normal 30 57" xfId="2552"/>
    <cellStyle name="Normal 30 58" xfId="2553"/>
    <cellStyle name="Normal 30 59" xfId="2554"/>
    <cellStyle name="Normal 30 6" xfId="2555"/>
    <cellStyle name="Normal 30 60" xfId="2556"/>
    <cellStyle name="Normal 30 61" xfId="2557"/>
    <cellStyle name="Normal 30 62" xfId="2558"/>
    <cellStyle name="Normal 30 63" xfId="2559"/>
    <cellStyle name="Normal 30 64" xfId="2560"/>
    <cellStyle name="Normal 30 65" xfId="2561"/>
    <cellStyle name="Normal 30 66" xfId="2562"/>
    <cellStyle name="Normal 30 67" xfId="2563"/>
    <cellStyle name="Normal 30 68" xfId="2564"/>
    <cellStyle name="Normal 30 69" xfId="2565"/>
    <cellStyle name="Normal 30 7" xfId="2566"/>
    <cellStyle name="Normal 30 70" xfId="2567"/>
    <cellStyle name="Normal 30 71" xfId="2568"/>
    <cellStyle name="Normal 30 72" xfId="2569"/>
    <cellStyle name="Normal 30 73" xfId="2570"/>
    <cellStyle name="Normal 30 74" xfId="2571"/>
    <cellStyle name="Normal 30 75" xfId="2572"/>
    <cellStyle name="Normal 30 76" xfId="2573"/>
    <cellStyle name="Normal 30 77" xfId="2574"/>
    <cellStyle name="Normal 30 78" xfId="2575"/>
    <cellStyle name="Normal 30 79" xfId="2576"/>
    <cellStyle name="Normal 30 8" xfId="2577"/>
    <cellStyle name="Normal 30 80" xfId="2578"/>
    <cellStyle name="Normal 30 81" xfId="2579"/>
    <cellStyle name="Normal 30 82" xfId="2580"/>
    <cellStyle name="Normal 30 83" xfId="2581"/>
    <cellStyle name="Normal 30 84" xfId="2582"/>
    <cellStyle name="Normal 30 85" xfId="2583"/>
    <cellStyle name="Normal 30 86" xfId="2584"/>
    <cellStyle name="Normal 30 87" xfId="2585"/>
    <cellStyle name="Normal 30 88" xfId="2586"/>
    <cellStyle name="Normal 30 89" xfId="2587"/>
    <cellStyle name="Normal 30 9" xfId="2588"/>
    <cellStyle name="Normal 30 90" xfId="2589"/>
    <cellStyle name="Normal 30 91" xfId="2590"/>
    <cellStyle name="Normal 30 92" xfId="2591"/>
    <cellStyle name="Normal 30 93" xfId="2592"/>
    <cellStyle name="Normal 30 94" xfId="2593"/>
    <cellStyle name="Normal 30 95" xfId="2594"/>
    <cellStyle name="Normal 30 96" xfId="2595"/>
    <cellStyle name="Normal 30 97" xfId="2596"/>
    <cellStyle name="Normal 30 98" xfId="2597"/>
    <cellStyle name="Normal 30 99" xfId="2598"/>
    <cellStyle name="Normal 31" xfId="2599"/>
    <cellStyle name="Normal 31 10" xfId="2600"/>
    <cellStyle name="Normal 31 100" xfId="2601"/>
    <cellStyle name="Normal 31 101" xfId="2602"/>
    <cellStyle name="Normal 31 102" xfId="2603"/>
    <cellStyle name="Normal 31 103" xfId="2604"/>
    <cellStyle name="Normal 31 104" xfId="2605"/>
    <cellStyle name="Normal 31 105" xfId="2606"/>
    <cellStyle name="Normal 31 106" xfId="2607"/>
    <cellStyle name="Normal 31 107" xfId="2608"/>
    <cellStyle name="Normal 31 108" xfId="2609"/>
    <cellStyle name="Normal 31 109" xfId="2610"/>
    <cellStyle name="Normal 31 11" xfId="2611"/>
    <cellStyle name="Normal 31 12" xfId="2612"/>
    <cellStyle name="Normal 31 13" xfId="2613"/>
    <cellStyle name="Normal 31 14" xfId="2614"/>
    <cellStyle name="Normal 31 15" xfId="2615"/>
    <cellStyle name="Normal 31 16" xfId="2616"/>
    <cellStyle name="Normal 31 17" xfId="2617"/>
    <cellStyle name="Normal 31 18" xfId="2618"/>
    <cellStyle name="Normal 31 19" xfId="2619"/>
    <cellStyle name="Normal 31 2" xfId="2620"/>
    <cellStyle name="Normal 31 20" xfId="2621"/>
    <cellStyle name="Normal 31 21" xfId="2622"/>
    <cellStyle name="Normal 31 22" xfId="2623"/>
    <cellStyle name="Normal 31 23" xfId="2624"/>
    <cellStyle name="Normal 31 24" xfId="2625"/>
    <cellStyle name="Normal 31 25" xfId="2626"/>
    <cellStyle name="Normal 31 26" xfId="2627"/>
    <cellStyle name="Normal 31 27" xfId="2628"/>
    <cellStyle name="Normal 31 28" xfId="2629"/>
    <cellStyle name="Normal 31 29" xfId="2630"/>
    <cellStyle name="Normal 31 3" xfId="2631"/>
    <cellStyle name="Normal 31 30" xfId="2632"/>
    <cellStyle name="Normal 31 31" xfId="2633"/>
    <cellStyle name="Normal 31 32" xfId="2634"/>
    <cellStyle name="Normal 31 33" xfId="2635"/>
    <cellStyle name="Normal 31 34" xfId="2636"/>
    <cellStyle name="Normal 31 35" xfId="2637"/>
    <cellStyle name="Normal 31 36" xfId="2638"/>
    <cellStyle name="Normal 31 37" xfId="2639"/>
    <cellStyle name="Normal 31 38" xfId="2640"/>
    <cellStyle name="Normal 31 39" xfId="2641"/>
    <cellStyle name="Normal 31 4" xfId="2642"/>
    <cellStyle name="Normal 31 40" xfId="2643"/>
    <cellStyle name="Normal 31 41" xfId="2644"/>
    <cellStyle name="Normal 31 42" xfId="2645"/>
    <cellStyle name="Normal 31 43" xfId="2646"/>
    <cellStyle name="Normal 31 44" xfId="2647"/>
    <cellStyle name="Normal 31 45" xfId="2648"/>
    <cellStyle name="Normal 31 46" xfId="2649"/>
    <cellStyle name="Normal 31 47" xfId="2650"/>
    <cellStyle name="Normal 31 48" xfId="2651"/>
    <cellStyle name="Normal 31 49" xfId="2652"/>
    <cellStyle name="Normal 31 5" xfId="2653"/>
    <cellStyle name="Normal 31 50" xfId="2654"/>
    <cellStyle name="Normal 31 51" xfId="2655"/>
    <cellStyle name="Normal 31 52" xfId="2656"/>
    <cellStyle name="Normal 31 53" xfId="2657"/>
    <cellStyle name="Normal 31 54" xfId="2658"/>
    <cellStyle name="Normal 31 55" xfId="2659"/>
    <cellStyle name="Normal 31 56" xfId="2660"/>
    <cellStyle name="Normal 31 57" xfId="2661"/>
    <cellStyle name="Normal 31 58" xfId="2662"/>
    <cellStyle name="Normal 31 59" xfId="2663"/>
    <cellStyle name="Normal 31 6" xfId="2664"/>
    <cellStyle name="Normal 31 60" xfId="2665"/>
    <cellStyle name="Normal 31 61" xfId="2666"/>
    <cellStyle name="Normal 31 62" xfId="2667"/>
    <cellStyle name="Normal 31 63" xfId="2668"/>
    <cellStyle name="Normal 31 64" xfId="2669"/>
    <cellStyle name="Normal 31 65" xfId="2670"/>
    <cellStyle name="Normal 31 66" xfId="2671"/>
    <cellStyle name="Normal 31 67" xfId="2672"/>
    <cellStyle name="Normal 31 68" xfId="2673"/>
    <cellStyle name="Normal 31 69" xfId="2674"/>
    <cellStyle name="Normal 31 7" xfId="2675"/>
    <cellStyle name="Normal 31 70" xfId="2676"/>
    <cellStyle name="Normal 31 71" xfId="2677"/>
    <cellStyle name="Normal 31 72" xfId="2678"/>
    <cellStyle name="Normal 31 73" xfId="2679"/>
    <cellStyle name="Normal 31 74" xfId="2680"/>
    <cellStyle name="Normal 31 75" xfId="2681"/>
    <cellStyle name="Normal 31 76" xfId="2682"/>
    <cellStyle name="Normal 31 77" xfId="2683"/>
    <cellStyle name="Normal 31 78" xfId="2684"/>
    <cellStyle name="Normal 31 79" xfId="2685"/>
    <cellStyle name="Normal 31 8" xfId="2686"/>
    <cellStyle name="Normal 31 80" xfId="2687"/>
    <cellStyle name="Normal 31 81" xfId="2688"/>
    <cellStyle name="Normal 31 82" xfId="2689"/>
    <cellStyle name="Normal 31 83" xfId="2690"/>
    <cellStyle name="Normal 31 84" xfId="2691"/>
    <cellStyle name="Normal 31 85" xfId="2692"/>
    <cellStyle name="Normal 31 86" xfId="2693"/>
    <cellStyle name="Normal 31 87" xfId="2694"/>
    <cellStyle name="Normal 31 88" xfId="2695"/>
    <cellStyle name="Normal 31 89" xfId="2696"/>
    <cellStyle name="Normal 31 9" xfId="2697"/>
    <cellStyle name="Normal 31 90" xfId="2698"/>
    <cellStyle name="Normal 31 91" xfId="2699"/>
    <cellStyle name="Normal 31 92" xfId="2700"/>
    <cellStyle name="Normal 31 93" xfId="2701"/>
    <cellStyle name="Normal 31 94" xfId="2702"/>
    <cellStyle name="Normal 31 95" xfId="2703"/>
    <cellStyle name="Normal 31 96" xfId="2704"/>
    <cellStyle name="Normal 31 97" xfId="2705"/>
    <cellStyle name="Normal 31 98" xfId="2706"/>
    <cellStyle name="Normal 31 99" xfId="2707"/>
    <cellStyle name="Normal 32" xfId="2708"/>
    <cellStyle name="Normal 32 2" xfId="2709"/>
    <cellStyle name="Normal 33" xfId="2710"/>
    <cellStyle name="Normal 33 2" xfId="2711"/>
    <cellStyle name="Normal 34" xfId="2712"/>
    <cellStyle name="Normal 35" xfId="2713"/>
    <cellStyle name="Normal 35 10" xfId="2714"/>
    <cellStyle name="Normal 35 100" xfId="2715"/>
    <cellStyle name="Normal 35 101" xfId="2716"/>
    <cellStyle name="Normal 35 102" xfId="2717"/>
    <cellStyle name="Normal 35 103" xfId="2718"/>
    <cellStyle name="Normal 35 104" xfId="2719"/>
    <cellStyle name="Normal 35 105" xfId="2720"/>
    <cellStyle name="Normal 35 106" xfId="2721"/>
    <cellStyle name="Normal 35 107" xfId="2722"/>
    <cellStyle name="Normal 35 108" xfId="2723"/>
    <cellStyle name="Normal 35 109" xfId="2724"/>
    <cellStyle name="Normal 35 11" xfId="2725"/>
    <cellStyle name="Normal 35 12" xfId="2726"/>
    <cellStyle name="Normal 35 13" xfId="2727"/>
    <cellStyle name="Normal 35 14" xfId="2728"/>
    <cellStyle name="Normal 35 15" xfId="2729"/>
    <cellStyle name="Normal 35 16" xfId="2730"/>
    <cellStyle name="Normal 35 17" xfId="2731"/>
    <cellStyle name="Normal 35 18" xfId="2732"/>
    <cellStyle name="Normal 35 19" xfId="2733"/>
    <cellStyle name="Normal 35 2" xfId="2734"/>
    <cellStyle name="Normal 35 20" xfId="2735"/>
    <cellStyle name="Normal 35 21" xfId="2736"/>
    <cellStyle name="Normal 35 22" xfId="2737"/>
    <cellStyle name="Normal 35 23" xfId="2738"/>
    <cellStyle name="Normal 35 24" xfId="2739"/>
    <cellStyle name="Normal 35 25" xfId="2740"/>
    <cellStyle name="Normal 35 26" xfId="2741"/>
    <cellStyle name="Normal 35 27" xfId="2742"/>
    <cellStyle name="Normal 35 28" xfId="2743"/>
    <cellStyle name="Normal 35 29" xfId="2744"/>
    <cellStyle name="Normal 35 3" xfId="2745"/>
    <cellStyle name="Normal 35 30" xfId="2746"/>
    <cellStyle name="Normal 35 31" xfId="2747"/>
    <cellStyle name="Normal 35 32" xfId="2748"/>
    <cellStyle name="Normal 35 33" xfId="2749"/>
    <cellStyle name="Normal 35 34" xfId="2750"/>
    <cellStyle name="Normal 35 35" xfId="2751"/>
    <cellStyle name="Normal 35 36" xfId="2752"/>
    <cellStyle name="Normal 35 37" xfId="2753"/>
    <cellStyle name="Normal 35 38" xfId="2754"/>
    <cellStyle name="Normal 35 39" xfId="2755"/>
    <cellStyle name="Normal 35 4" xfId="2756"/>
    <cellStyle name="Normal 35 40" xfId="2757"/>
    <cellStyle name="Normal 35 41" xfId="2758"/>
    <cellStyle name="Normal 35 42" xfId="2759"/>
    <cellStyle name="Normal 35 43" xfId="2760"/>
    <cellStyle name="Normal 35 44" xfId="2761"/>
    <cellStyle name="Normal 35 45" xfId="2762"/>
    <cellStyle name="Normal 35 46" xfId="2763"/>
    <cellStyle name="Normal 35 47" xfId="2764"/>
    <cellStyle name="Normal 35 48" xfId="2765"/>
    <cellStyle name="Normal 35 49" xfId="2766"/>
    <cellStyle name="Normal 35 5" xfId="2767"/>
    <cellStyle name="Normal 35 50" xfId="2768"/>
    <cellStyle name="Normal 35 51" xfId="2769"/>
    <cellStyle name="Normal 35 52" xfId="2770"/>
    <cellStyle name="Normal 35 53" xfId="2771"/>
    <cellStyle name="Normal 35 54" xfId="2772"/>
    <cellStyle name="Normal 35 55" xfId="2773"/>
    <cellStyle name="Normal 35 56" xfId="2774"/>
    <cellStyle name="Normal 35 57" xfId="2775"/>
    <cellStyle name="Normal 35 58" xfId="2776"/>
    <cellStyle name="Normal 35 59" xfId="2777"/>
    <cellStyle name="Normal 35 6" xfId="2778"/>
    <cellStyle name="Normal 35 60" xfId="2779"/>
    <cellStyle name="Normal 35 61" xfId="2780"/>
    <cellStyle name="Normal 35 62" xfId="2781"/>
    <cellStyle name="Normal 35 63" xfId="2782"/>
    <cellStyle name="Normal 35 64" xfId="2783"/>
    <cellStyle name="Normal 35 65" xfId="2784"/>
    <cellStyle name="Normal 35 66" xfId="2785"/>
    <cellStyle name="Normal 35 67" xfId="2786"/>
    <cellStyle name="Normal 35 68" xfId="2787"/>
    <cellStyle name="Normal 35 69" xfId="2788"/>
    <cellStyle name="Normal 35 7" xfId="2789"/>
    <cellStyle name="Normal 35 70" xfId="2790"/>
    <cellStyle name="Normal 35 71" xfId="2791"/>
    <cellStyle name="Normal 35 72" xfId="2792"/>
    <cellStyle name="Normal 35 73" xfId="2793"/>
    <cellStyle name="Normal 35 74" xfId="2794"/>
    <cellStyle name="Normal 35 75" xfId="2795"/>
    <cellStyle name="Normal 35 76" xfId="2796"/>
    <cellStyle name="Normal 35 77" xfId="2797"/>
    <cellStyle name="Normal 35 78" xfId="2798"/>
    <cellStyle name="Normal 35 79" xfId="2799"/>
    <cellStyle name="Normal 35 8" xfId="2800"/>
    <cellStyle name="Normal 35 80" xfId="2801"/>
    <cellStyle name="Normal 35 81" xfId="2802"/>
    <cellStyle name="Normal 35 82" xfId="2803"/>
    <cellStyle name="Normal 35 83" xfId="2804"/>
    <cellStyle name="Normal 35 84" xfId="2805"/>
    <cellStyle name="Normal 35 85" xfId="2806"/>
    <cellStyle name="Normal 35 86" xfId="2807"/>
    <cellStyle name="Normal 35 87" xfId="2808"/>
    <cellStyle name="Normal 35 88" xfId="2809"/>
    <cellStyle name="Normal 35 89" xfId="2810"/>
    <cellStyle name="Normal 35 9" xfId="2811"/>
    <cellStyle name="Normal 35 90" xfId="2812"/>
    <cellStyle name="Normal 35 91" xfId="2813"/>
    <cellStyle name="Normal 35 92" xfId="2814"/>
    <cellStyle name="Normal 35 93" xfId="2815"/>
    <cellStyle name="Normal 35 94" xfId="2816"/>
    <cellStyle name="Normal 35 95" xfId="2817"/>
    <cellStyle name="Normal 35 96" xfId="2818"/>
    <cellStyle name="Normal 35 97" xfId="2819"/>
    <cellStyle name="Normal 35 98" xfId="2820"/>
    <cellStyle name="Normal 35 99" xfId="2821"/>
    <cellStyle name="Normal 36" xfId="2822"/>
    <cellStyle name="Normal 36 10" xfId="2823"/>
    <cellStyle name="Normal 36 100" xfId="2824"/>
    <cellStyle name="Normal 36 101" xfId="2825"/>
    <cellStyle name="Normal 36 102" xfId="2826"/>
    <cellStyle name="Normal 36 103" xfId="2827"/>
    <cellStyle name="Normal 36 104" xfId="2828"/>
    <cellStyle name="Normal 36 105" xfId="2829"/>
    <cellStyle name="Normal 36 106" xfId="2830"/>
    <cellStyle name="Normal 36 107" xfId="2831"/>
    <cellStyle name="Normal 36 108" xfId="2832"/>
    <cellStyle name="Normal 36 109" xfId="2833"/>
    <cellStyle name="Normal 36 11" xfId="2834"/>
    <cellStyle name="Normal 36 12" xfId="2835"/>
    <cellStyle name="Normal 36 13" xfId="2836"/>
    <cellStyle name="Normal 36 14" xfId="2837"/>
    <cellStyle name="Normal 36 15" xfId="2838"/>
    <cellStyle name="Normal 36 16" xfId="2839"/>
    <cellStyle name="Normal 36 17" xfId="2840"/>
    <cellStyle name="Normal 36 18" xfId="2841"/>
    <cellStyle name="Normal 36 19" xfId="2842"/>
    <cellStyle name="Normal 36 2" xfId="2843"/>
    <cellStyle name="Normal 36 20" xfId="2844"/>
    <cellStyle name="Normal 36 21" xfId="2845"/>
    <cellStyle name="Normal 36 22" xfId="2846"/>
    <cellStyle name="Normal 36 23" xfId="2847"/>
    <cellStyle name="Normal 36 24" xfId="2848"/>
    <cellStyle name="Normal 36 25" xfId="2849"/>
    <cellStyle name="Normal 36 26" xfId="2850"/>
    <cellStyle name="Normal 36 27" xfId="2851"/>
    <cellStyle name="Normal 36 28" xfId="2852"/>
    <cellStyle name="Normal 36 29" xfId="2853"/>
    <cellStyle name="Normal 36 3" xfId="2854"/>
    <cellStyle name="Normal 36 30" xfId="2855"/>
    <cellStyle name="Normal 36 31" xfId="2856"/>
    <cellStyle name="Normal 36 32" xfId="2857"/>
    <cellStyle name="Normal 36 33" xfId="2858"/>
    <cellStyle name="Normal 36 34" xfId="2859"/>
    <cellStyle name="Normal 36 35" xfId="2860"/>
    <cellStyle name="Normal 36 36" xfId="2861"/>
    <cellStyle name="Normal 36 37" xfId="2862"/>
    <cellStyle name="Normal 36 38" xfId="2863"/>
    <cellStyle name="Normal 36 39" xfId="2864"/>
    <cellStyle name="Normal 36 4" xfId="2865"/>
    <cellStyle name="Normal 36 40" xfId="2866"/>
    <cellStyle name="Normal 36 41" xfId="2867"/>
    <cellStyle name="Normal 36 42" xfId="2868"/>
    <cellStyle name="Normal 36 43" xfId="2869"/>
    <cellStyle name="Normal 36 44" xfId="2870"/>
    <cellStyle name="Normal 36 45" xfId="2871"/>
    <cellStyle name="Normal 36 46" xfId="2872"/>
    <cellStyle name="Normal 36 47" xfId="2873"/>
    <cellStyle name="Normal 36 48" xfId="2874"/>
    <cellStyle name="Normal 36 49" xfId="2875"/>
    <cellStyle name="Normal 36 5" xfId="2876"/>
    <cellStyle name="Normal 36 50" xfId="2877"/>
    <cellStyle name="Normal 36 51" xfId="2878"/>
    <cellStyle name="Normal 36 52" xfId="2879"/>
    <cellStyle name="Normal 36 53" xfId="2880"/>
    <cellStyle name="Normal 36 54" xfId="2881"/>
    <cellStyle name="Normal 36 55" xfId="2882"/>
    <cellStyle name="Normal 36 56" xfId="2883"/>
    <cellStyle name="Normal 36 57" xfId="2884"/>
    <cellStyle name="Normal 36 58" xfId="2885"/>
    <cellStyle name="Normal 36 59" xfId="2886"/>
    <cellStyle name="Normal 36 6" xfId="2887"/>
    <cellStyle name="Normal 36 60" xfId="2888"/>
    <cellStyle name="Normal 36 61" xfId="2889"/>
    <cellStyle name="Normal 36 62" xfId="2890"/>
    <cellStyle name="Normal 36 63" xfId="2891"/>
    <cellStyle name="Normal 36 64" xfId="2892"/>
    <cellStyle name="Normal 36 65" xfId="2893"/>
    <cellStyle name="Normal 36 66" xfId="2894"/>
    <cellStyle name="Normal 36 67" xfId="2895"/>
    <cellStyle name="Normal 36 68" xfId="2896"/>
    <cellStyle name="Normal 36 69" xfId="2897"/>
    <cellStyle name="Normal 36 7" xfId="2898"/>
    <cellStyle name="Normal 36 70" xfId="2899"/>
    <cellStyle name="Normal 36 71" xfId="2900"/>
    <cellStyle name="Normal 36 72" xfId="2901"/>
    <cellStyle name="Normal 36 73" xfId="2902"/>
    <cellStyle name="Normal 36 74" xfId="2903"/>
    <cellStyle name="Normal 36 75" xfId="2904"/>
    <cellStyle name="Normal 36 76" xfId="2905"/>
    <cellStyle name="Normal 36 77" xfId="2906"/>
    <cellStyle name="Normal 36 78" xfId="2907"/>
    <cellStyle name="Normal 36 79" xfId="2908"/>
    <cellStyle name="Normal 36 8" xfId="2909"/>
    <cellStyle name="Normal 36 80" xfId="2910"/>
    <cellStyle name="Normal 36 81" xfId="2911"/>
    <cellStyle name="Normal 36 82" xfId="2912"/>
    <cellStyle name="Normal 36 83" xfId="2913"/>
    <cellStyle name="Normal 36 84" xfId="2914"/>
    <cellStyle name="Normal 36 85" xfId="2915"/>
    <cellStyle name="Normal 36 86" xfId="2916"/>
    <cellStyle name="Normal 36 87" xfId="2917"/>
    <cellStyle name="Normal 36 88" xfId="2918"/>
    <cellStyle name="Normal 36 89" xfId="2919"/>
    <cellStyle name="Normal 36 9" xfId="2920"/>
    <cellStyle name="Normal 36 90" xfId="2921"/>
    <cellStyle name="Normal 36 91" xfId="2922"/>
    <cellStyle name="Normal 36 92" xfId="2923"/>
    <cellStyle name="Normal 36 93" xfId="2924"/>
    <cellStyle name="Normal 36 94" xfId="2925"/>
    <cellStyle name="Normal 36 95" xfId="2926"/>
    <cellStyle name="Normal 36 96" xfId="2927"/>
    <cellStyle name="Normal 36 97" xfId="2928"/>
    <cellStyle name="Normal 36 98" xfId="2929"/>
    <cellStyle name="Normal 36 99" xfId="2930"/>
    <cellStyle name="Normal 37" xfId="2931"/>
    <cellStyle name="Normal 38" xfId="2932"/>
    <cellStyle name="Normal 39" xfId="2933"/>
    <cellStyle name="Normal 4" xfId="2934"/>
    <cellStyle name="Normal-- 4" xfId="2935"/>
    <cellStyle name="Normal 4 10" xfId="2936"/>
    <cellStyle name="Normal 4 10 2" xfId="2937"/>
    <cellStyle name="Normal 4 100" xfId="2938"/>
    <cellStyle name="Normal 4 101" xfId="2939"/>
    <cellStyle name="Normal 4 102" xfId="2940"/>
    <cellStyle name="Normal 4 103" xfId="2941"/>
    <cellStyle name="Normal 4 104" xfId="2942"/>
    <cellStyle name="Normal 4 105" xfId="2943"/>
    <cellStyle name="Normal 4 106" xfId="2944"/>
    <cellStyle name="Normal 4 107" xfId="2945"/>
    <cellStyle name="Normal 4 108" xfId="2946"/>
    <cellStyle name="Normal 4 109" xfId="2947"/>
    <cellStyle name="Normal 4 109 2" xfId="5501"/>
    <cellStyle name="Normal 4 109 2 2" xfId="5502"/>
    <cellStyle name="Normal 4 109 3" xfId="5503"/>
    <cellStyle name="Normal 4 109 4" xfId="5504"/>
    <cellStyle name="Normal 4 11" xfId="2948"/>
    <cellStyle name="Normal 4 11 2" xfId="2949"/>
    <cellStyle name="Normal 4 110" xfId="2950"/>
    <cellStyle name="Normal 4 111" xfId="2951"/>
    <cellStyle name="Normal 4 112" xfId="2952"/>
    <cellStyle name="Normal 4 113" xfId="2953"/>
    <cellStyle name="Normal 4 114" xfId="2954"/>
    <cellStyle name="Normal 4 115" xfId="2955"/>
    <cellStyle name="Normal 4 116" xfId="2956"/>
    <cellStyle name="Normal 4 117" xfId="2957"/>
    <cellStyle name="Normal 4 118" xfId="2958"/>
    <cellStyle name="Normal 4 119" xfId="2959"/>
    <cellStyle name="Normal 4 12" xfId="2960"/>
    <cellStyle name="Normal 4 12 2" xfId="2961"/>
    <cellStyle name="Normal 4 120" xfId="2962"/>
    <cellStyle name="Normal 4 121" xfId="4670"/>
    <cellStyle name="Normal 4 122" xfId="4674"/>
    <cellStyle name="Normal 4 13" xfId="2963"/>
    <cellStyle name="Normal 4 13 2" xfId="2964"/>
    <cellStyle name="Normal 4 14" xfId="2965"/>
    <cellStyle name="Normal 4 14 2" xfId="2966"/>
    <cellStyle name="Normal 4 15" xfId="2967"/>
    <cellStyle name="Normal 4 15 2" xfId="2968"/>
    <cellStyle name="Normal 4 16" xfId="2969"/>
    <cellStyle name="Normal 4 16 2" xfId="2970"/>
    <cellStyle name="Normal 4 17" xfId="2971"/>
    <cellStyle name="Normal 4 17 2" xfId="2972"/>
    <cellStyle name="Normal 4 18" xfId="2973"/>
    <cellStyle name="Normal 4 18 2" xfId="2974"/>
    <cellStyle name="Normal 4 19" xfId="2975"/>
    <cellStyle name="Normal 4 19 2" xfId="2976"/>
    <cellStyle name="Normal 4 2" xfId="2977"/>
    <cellStyle name="Normal 4 2 2" xfId="2978"/>
    <cellStyle name="Normal 4 2 2 2" xfId="5505"/>
    <cellStyle name="Normal 4 2 2 2 2" xfId="5506"/>
    <cellStyle name="Normal 4 2 2 3" xfId="5507"/>
    <cellStyle name="Normal 4 2 2 4" xfId="5508"/>
    <cellStyle name="Normal 4 2 3" xfId="2979"/>
    <cellStyle name="Normal 4 2 4" xfId="2980"/>
    <cellStyle name="Normal 4 2 5" xfId="2981"/>
    <cellStyle name="Normal 4 2 6" xfId="2982"/>
    <cellStyle name="Normal 4 2 7" xfId="2983"/>
    <cellStyle name="Normal 4 2 8" xfId="2984"/>
    <cellStyle name="Normal 4 2 9" xfId="2985"/>
    <cellStyle name="Normal 4 20" xfId="2986"/>
    <cellStyle name="Normal 4 20 2" xfId="2987"/>
    <cellStyle name="Normal 4 21" xfId="2988"/>
    <cellStyle name="Normal 4 21 2" xfId="2989"/>
    <cellStyle name="Normal 4 21 2 2" xfId="2990"/>
    <cellStyle name="Normal 4 21 2 2 2" xfId="2991"/>
    <cellStyle name="Normal 4 21 2 2 2 2" xfId="2992"/>
    <cellStyle name="Normal 4 21 2 2 3" xfId="2993"/>
    <cellStyle name="Normal 4 21 2 3" xfId="2994"/>
    <cellStyle name="Normal 4 21 2 3 2" xfId="2995"/>
    <cellStyle name="Normal 4 21 2 4" xfId="2996"/>
    <cellStyle name="Normal 4 21 3" xfId="2997"/>
    <cellStyle name="Normal 4 21 3 2" xfId="2998"/>
    <cellStyle name="Normal 4 21 3 2 2" xfId="2999"/>
    <cellStyle name="Normal 4 21 3 2 2 2" xfId="3000"/>
    <cellStyle name="Normal 4 21 3 2 3" xfId="3001"/>
    <cellStyle name="Normal 4 21 3 3" xfId="3002"/>
    <cellStyle name="Normal 4 21 3 3 2" xfId="3003"/>
    <cellStyle name="Normal 4 21 3 4" xfId="3004"/>
    <cellStyle name="Normal 4 21 4" xfId="3005"/>
    <cellStyle name="Normal 4 21 4 2" xfId="3006"/>
    <cellStyle name="Normal 4 21 4 2 2" xfId="3007"/>
    <cellStyle name="Normal 4 21 4 2 2 2" xfId="3008"/>
    <cellStyle name="Normal 4 21 4 2 3" xfId="3009"/>
    <cellStyle name="Normal 4 21 4 3" xfId="3010"/>
    <cellStyle name="Normal 4 21 4 3 2" xfId="3011"/>
    <cellStyle name="Normal 4 21 4 4" xfId="3012"/>
    <cellStyle name="Normal 4 21 5" xfId="3013"/>
    <cellStyle name="Normal 4 21 5 2" xfId="3014"/>
    <cellStyle name="Normal 4 21 5 2 2" xfId="3015"/>
    <cellStyle name="Normal 4 21 5 3" xfId="3016"/>
    <cellStyle name="Normal 4 21 6" xfId="3017"/>
    <cellStyle name="Normal 4 21 6 2" xfId="3018"/>
    <cellStyle name="Normal 4 21 7" xfId="3019"/>
    <cellStyle name="Normal 4 21 8" xfId="3020"/>
    <cellStyle name="Normal 4 22" xfId="3021"/>
    <cellStyle name="Normal 4 22 2" xfId="3022"/>
    <cellStyle name="Normal 4 22 2 2" xfId="3023"/>
    <cellStyle name="Normal 4 22 2 2 2" xfId="3024"/>
    <cellStyle name="Normal 4 22 2 3" xfId="3025"/>
    <cellStyle name="Normal 4 22 3" xfId="3026"/>
    <cellStyle name="Normal 4 22 3 2" xfId="3027"/>
    <cellStyle name="Normal 4 22 4" xfId="3028"/>
    <cellStyle name="Normal 4 22 5" xfId="3029"/>
    <cellStyle name="Normal 4 23" xfId="3030"/>
    <cellStyle name="Normal 4 23 2" xfId="3031"/>
    <cellStyle name="Normal 4 23 2 2" xfId="3032"/>
    <cellStyle name="Normal 4 23 2 2 2" xfId="3033"/>
    <cellStyle name="Normal 4 23 2 3" xfId="3034"/>
    <cellStyle name="Normal 4 23 3" xfId="3035"/>
    <cellStyle name="Normal 4 23 3 2" xfId="3036"/>
    <cellStyle name="Normal 4 23 4" xfId="3037"/>
    <cellStyle name="Normal 4 23 5" xfId="3038"/>
    <cellStyle name="Normal 4 24" xfId="3039"/>
    <cellStyle name="Normal 4 24 2" xfId="3040"/>
    <cellStyle name="Normal 4 24 2 2" xfId="3041"/>
    <cellStyle name="Normal 4 24 2 2 2" xfId="3042"/>
    <cellStyle name="Normal 4 24 2 3" xfId="3043"/>
    <cellStyle name="Normal 4 24 3" xfId="3044"/>
    <cellStyle name="Normal 4 24 3 2" xfId="3045"/>
    <cellStyle name="Normal 4 24 4" xfId="3046"/>
    <cellStyle name="Normal 4 24 5" xfId="3047"/>
    <cellStyle name="Normal 4 25" xfId="3048"/>
    <cellStyle name="Normal 4 25 2" xfId="3049"/>
    <cellStyle name="Normal 4 25 2 2" xfId="3050"/>
    <cellStyle name="Normal 4 25 3" xfId="3051"/>
    <cellStyle name="Normal 4 25 4" xfId="3052"/>
    <cellStyle name="Normal 4 26" xfId="3053"/>
    <cellStyle name="Normal 4 26 2" xfId="3054"/>
    <cellStyle name="Normal 4 27" xfId="3055"/>
    <cellStyle name="Normal 4 27 2" xfId="3056"/>
    <cellStyle name="Normal 4 27 2 2" xfId="3057"/>
    <cellStyle name="Normal 4 27 3" xfId="3058"/>
    <cellStyle name="Normal 4 27 4" xfId="3059"/>
    <cellStyle name="Normal 4 28" xfId="3060"/>
    <cellStyle name="Normal 4 28 2" xfId="3061"/>
    <cellStyle name="Normal 4 28 3" xfId="3062"/>
    <cellStyle name="Normal 4 29" xfId="3063"/>
    <cellStyle name="Normal 4 29 2" xfId="3064"/>
    <cellStyle name="Normal 4 3" xfId="3065"/>
    <cellStyle name="Normal 4 3 2" xfId="3066"/>
    <cellStyle name="Normal 4 3 2 2" xfId="3067"/>
    <cellStyle name="Normal 4 3 2 2 2" xfId="3068"/>
    <cellStyle name="Normal 4 3 2 3" xfId="3069"/>
    <cellStyle name="Normal 4 3 2 4" xfId="3070"/>
    <cellStyle name="Normal 4 3 3" xfId="3071"/>
    <cellStyle name="Normal 4 3 4" xfId="3072"/>
    <cellStyle name="Normal 4 30" xfId="3073"/>
    <cellStyle name="Normal 4 30 2" xfId="3074"/>
    <cellStyle name="Normal 4 31" xfId="3075"/>
    <cellStyle name="Normal 4 31 2" xfId="3076"/>
    <cellStyle name="Normal 4 32" xfId="3077"/>
    <cellStyle name="Normal 4 32 2" xfId="3078"/>
    <cellStyle name="Normal 4 33" xfId="3079"/>
    <cellStyle name="Normal 4 33 2" xfId="3080"/>
    <cellStyle name="Normal 4 34" xfId="3081"/>
    <cellStyle name="Normal 4 35" xfId="3082"/>
    <cellStyle name="Normal 4 36" xfId="3083"/>
    <cellStyle name="Normal 4 37" xfId="3084"/>
    <cellStyle name="Normal 4 38" xfId="3085"/>
    <cellStyle name="Normal 4 39" xfId="3086"/>
    <cellStyle name="Normal 4 4" xfId="3087"/>
    <cellStyle name="Normal 4 4 2" xfId="3088"/>
    <cellStyle name="Normal 4 4 3" xfId="3089"/>
    <cellStyle name="Normal 4 4 4" xfId="3090"/>
    <cellStyle name="Normal 4 40" xfId="3091"/>
    <cellStyle name="Normal 4 41" xfId="3092"/>
    <cellStyle name="Normal 4 42" xfId="3093"/>
    <cellStyle name="Normal 4 43" xfId="3094"/>
    <cellStyle name="Normal 4 44" xfId="3095"/>
    <cellStyle name="Normal 4 45" xfId="3096"/>
    <cellStyle name="Normal 4 46" xfId="3097"/>
    <cellStyle name="Normal 4 47" xfId="3098"/>
    <cellStyle name="Normal 4 48" xfId="3099"/>
    <cellStyle name="Normal 4 49" xfId="3100"/>
    <cellStyle name="Normal 4 5" xfId="3101"/>
    <cellStyle name="Normal 4 5 2" xfId="3102"/>
    <cellStyle name="Normal 4 50" xfId="3103"/>
    <cellStyle name="Normal 4 51" xfId="3104"/>
    <cellStyle name="Normal 4 52" xfId="3105"/>
    <cellStyle name="Normal 4 53" xfId="3106"/>
    <cellStyle name="Normal 4 54" xfId="3107"/>
    <cellStyle name="Normal 4 55" xfId="3108"/>
    <cellStyle name="Normal 4 56" xfId="3109"/>
    <cellStyle name="Normal 4 57" xfId="3110"/>
    <cellStyle name="Normal 4 58" xfId="3111"/>
    <cellStyle name="Normal 4 59" xfId="3112"/>
    <cellStyle name="Normal 4 6" xfId="3113"/>
    <cellStyle name="Normal 4 6 2" xfId="3114"/>
    <cellStyle name="Normal 4 60" xfId="3115"/>
    <cellStyle name="Normal 4 61" xfId="3116"/>
    <cellStyle name="Normal 4 62" xfId="3117"/>
    <cellStyle name="Normal 4 63" xfId="3118"/>
    <cellStyle name="Normal 4 64" xfId="3119"/>
    <cellStyle name="Normal 4 65" xfId="3120"/>
    <cellStyle name="Normal 4 66" xfId="3121"/>
    <cellStyle name="Normal 4 67" xfId="3122"/>
    <cellStyle name="Normal 4 68" xfId="3123"/>
    <cellStyle name="Normal 4 69" xfId="3124"/>
    <cellStyle name="Normal 4 7" xfId="3125"/>
    <cellStyle name="Normal 4 7 2" xfId="3126"/>
    <cellStyle name="Normal 4 70" xfId="3127"/>
    <cellStyle name="Normal 4 71" xfId="3128"/>
    <cellStyle name="Normal 4 72" xfId="3129"/>
    <cellStyle name="Normal 4 73" xfId="3130"/>
    <cellStyle name="Normal 4 74" xfId="3131"/>
    <cellStyle name="Normal 4 75" xfId="3132"/>
    <cellStyle name="Normal 4 76" xfId="3133"/>
    <cellStyle name="Normal 4 77" xfId="3134"/>
    <cellStyle name="Normal 4 78" xfId="3135"/>
    <cellStyle name="Normal 4 79" xfId="3136"/>
    <cellStyle name="Normal 4 8" xfId="3137"/>
    <cellStyle name="Normal 4 8 2" xfId="3138"/>
    <cellStyle name="Normal 4 80" xfId="3139"/>
    <cellStyle name="Normal 4 81" xfId="3140"/>
    <cellStyle name="Normal 4 82" xfId="3141"/>
    <cellStyle name="Normal 4 83" xfId="3142"/>
    <cellStyle name="Normal 4 84" xfId="3143"/>
    <cellStyle name="Normal 4 85" xfId="3144"/>
    <cellStyle name="Normal 4 86" xfId="3145"/>
    <cellStyle name="Normal 4 87" xfId="3146"/>
    <cellStyle name="Normal 4 88" xfId="3147"/>
    <cellStyle name="Normal 4 89" xfId="3148"/>
    <cellStyle name="Normal 4 9" xfId="3149"/>
    <cellStyle name="Normal 4 9 2" xfId="3150"/>
    <cellStyle name="Normal 4 90" xfId="3151"/>
    <cellStyle name="Normal 4 91" xfId="3152"/>
    <cellStyle name="Normal 4 92" xfId="3153"/>
    <cellStyle name="Normal 4 93" xfId="3154"/>
    <cellStyle name="Normal 4 94" xfId="3155"/>
    <cellStyle name="Normal 4 95" xfId="3156"/>
    <cellStyle name="Normal 4 96" xfId="3157"/>
    <cellStyle name="Normal 4 97" xfId="3158"/>
    <cellStyle name="Normal 4 98" xfId="3159"/>
    <cellStyle name="Normal 4 99" xfId="3160"/>
    <cellStyle name="Normal 40" xfId="3161"/>
    <cellStyle name="Normal 41" xfId="3162"/>
    <cellStyle name="Normal 42" xfId="3163"/>
    <cellStyle name="Normal 43" xfId="3164"/>
    <cellStyle name="Normal 44" xfId="3165"/>
    <cellStyle name="Normal 45" xfId="3166"/>
    <cellStyle name="Normal 46" xfId="3167"/>
    <cellStyle name="Normal 47" xfId="3168"/>
    <cellStyle name="Normal 47 10" xfId="3169"/>
    <cellStyle name="Normal 47 11" xfId="3170"/>
    <cellStyle name="Normal 47 11 2" xfId="3171"/>
    <cellStyle name="Normal 47 11 3" xfId="3172"/>
    <cellStyle name="Normal 47 11 4" xfId="3173"/>
    <cellStyle name="Normal 47 11 5" xfId="3174"/>
    <cellStyle name="Normal 47 11 6" xfId="3175"/>
    <cellStyle name="Normal 47 11 7" xfId="3176"/>
    <cellStyle name="Normal 47 11 8" xfId="3177"/>
    <cellStyle name="Normal 47 12" xfId="3178"/>
    <cellStyle name="Normal 47 13" xfId="3179"/>
    <cellStyle name="Normal 47 14" xfId="3180"/>
    <cellStyle name="Normal 47 15" xfId="3181"/>
    <cellStyle name="Normal 47 16" xfId="3182"/>
    <cellStyle name="Normal 47 17" xfId="3183"/>
    <cellStyle name="Normal 47 2" xfId="3184"/>
    <cellStyle name="Normal 47 3" xfId="3185"/>
    <cellStyle name="Normal 47 3 2" xfId="3186"/>
    <cellStyle name="Normal 47 3 3" xfId="3187"/>
    <cellStyle name="Normal 47 3 4" xfId="3188"/>
    <cellStyle name="Normal 47 3 5" xfId="3189"/>
    <cellStyle name="Normal 47 3 6" xfId="3190"/>
    <cellStyle name="Normal 47 3 7" xfId="3191"/>
    <cellStyle name="Normal 47 3 8" xfId="3192"/>
    <cellStyle name="Normal 47 4" xfId="3193"/>
    <cellStyle name="Normal 47 4 2" xfId="3194"/>
    <cellStyle name="Normal 47 4 3" xfId="3195"/>
    <cellStyle name="Normal 47 4 4" xfId="3196"/>
    <cellStyle name="Normal 47 4 5" xfId="3197"/>
    <cellStyle name="Normal 47 4 6" xfId="3198"/>
    <cellStyle name="Normal 47 4 7" xfId="3199"/>
    <cellStyle name="Normal 47 4 8" xfId="3200"/>
    <cellStyle name="Normal 47 5" xfId="3201"/>
    <cellStyle name="Normal 47 5 2" xfId="3202"/>
    <cellStyle name="Normal 47 5 3" xfId="3203"/>
    <cellStyle name="Normal 47 5 4" xfId="3204"/>
    <cellStyle name="Normal 47 5 5" xfId="3205"/>
    <cellStyle name="Normal 47 5 6" xfId="3206"/>
    <cellStyle name="Normal 47 5 7" xfId="3207"/>
    <cellStyle name="Normal 47 5 8" xfId="3208"/>
    <cellStyle name="Normal 47 6" xfId="3209"/>
    <cellStyle name="Normal 47 6 2" xfId="3210"/>
    <cellStyle name="Normal 47 6 3" xfId="3211"/>
    <cellStyle name="Normal 47 6 4" xfId="3212"/>
    <cellStyle name="Normal 47 6 5" xfId="3213"/>
    <cellStyle name="Normal 47 6 6" xfId="3214"/>
    <cellStyle name="Normal 47 6 7" xfId="3215"/>
    <cellStyle name="Normal 47 6 8" xfId="3216"/>
    <cellStyle name="Normal 47 7" xfId="3217"/>
    <cellStyle name="Normal 47 7 2" xfId="3218"/>
    <cellStyle name="Normal 47 7 3" xfId="3219"/>
    <cellStyle name="Normal 47 7 4" xfId="3220"/>
    <cellStyle name="Normal 47 7 5" xfId="3221"/>
    <cellStyle name="Normal 47 7 6" xfId="3222"/>
    <cellStyle name="Normal 47 7 7" xfId="3223"/>
    <cellStyle name="Normal 47 7 8" xfId="3224"/>
    <cellStyle name="Normal 47 8" xfId="3225"/>
    <cellStyle name="Normal 47 8 2" xfId="3226"/>
    <cellStyle name="Normal 47 8 3" xfId="3227"/>
    <cellStyle name="Normal 47 8 4" xfId="3228"/>
    <cellStyle name="Normal 47 8 5" xfId="3229"/>
    <cellStyle name="Normal 47 8 6" xfId="3230"/>
    <cellStyle name="Normal 47 8 7" xfId="3231"/>
    <cellStyle name="Normal 47 8 8" xfId="3232"/>
    <cellStyle name="Normal 47 9" xfId="3233"/>
    <cellStyle name="Normal 48" xfId="3234"/>
    <cellStyle name="Normal 49" xfId="3235"/>
    <cellStyle name="Normal 49 2" xfId="3236"/>
    <cellStyle name="Normal 49 2 2" xfId="3237"/>
    <cellStyle name="Normal 49 2 2 2" xfId="3238"/>
    <cellStyle name="Normal 49 2 2 2 2" xfId="3239"/>
    <cellStyle name="Normal 49 2 2 3" xfId="3240"/>
    <cellStyle name="Normal 49 2 3" xfId="3241"/>
    <cellStyle name="Normal 49 2 3 2" xfId="3242"/>
    <cellStyle name="Normal 49 2 4" xfId="3243"/>
    <cellStyle name="Normal 49 3" xfId="3244"/>
    <cellStyle name="Normal 49 3 2" xfId="3245"/>
    <cellStyle name="Normal 49 3 2 2" xfId="3246"/>
    <cellStyle name="Normal 49 3 2 2 2" xfId="3247"/>
    <cellStyle name="Normal 49 3 2 3" xfId="3248"/>
    <cellStyle name="Normal 49 3 3" xfId="3249"/>
    <cellStyle name="Normal 49 3 3 2" xfId="3250"/>
    <cellStyle name="Normal 49 3 4" xfId="3251"/>
    <cellStyle name="Normal 49 4" xfId="3252"/>
    <cellStyle name="Normal 49 4 2" xfId="3253"/>
    <cellStyle name="Normal 49 4 2 2" xfId="3254"/>
    <cellStyle name="Normal 49 4 2 2 2" xfId="3255"/>
    <cellStyle name="Normal 49 4 2 3" xfId="3256"/>
    <cellStyle name="Normal 49 4 3" xfId="3257"/>
    <cellStyle name="Normal 49 4 3 2" xfId="3258"/>
    <cellStyle name="Normal 49 4 4" xfId="3259"/>
    <cellStyle name="Normal 49 5" xfId="3260"/>
    <cellStyle name="Normal 49 5 2" xfId="3261"/>
    <cellStyle name="Normal 49 5 2 2" xfId="3262"/>
    <cellStyle name="Normal 49 5 3" xfId="3263"/>
    <cellStyle name="Normal 49 6" xfId="3264"/>
    <cellStyle name="Normal 49 6 2" xfId="3265"/>
    <cellStyle name="Normal 49 7" xfId="3266"/>
    <cellStyle name="Normal 49 8" xfId="3267"/>
    <cellStyle name="Normal 5" xfId="3268"/>
    <cellStyle name="Normal-- 5" xfId="3269"/>
    <cellStyle name="Normal 5 10" xfId="3270"/>
    <cellStyle name="Normal 5 10 2" xfId="3271"/>
    <cellStyle name="Normal 5 100" xfId="3272"/>
    <cellStyle name="Normal 5 101" xfId="3273"/>
    <cellStyle name="Normal 5 102" xfId="3274"/>
    <cellStyle name="Normal 5 103" xfId="3275"/>
    <cellStyle name="Normal 5 104" xfId="3276"/>
    <cellStyle name="Normal 5 105" xfId="3277"/>
    <cellStyle name="Normal 5 106" xfId="3278"/>
    <cellStyle name="Normal 5 107" xfId="3279"/>
    <cellStyle name="Normal 5 108" xfId="3280"/>
    <cellStyle name="Normal 5 109" xfId="3281"/>
    <cellStyle name="Normal 5 11" xfId="3282"/>
    <cellStyle name="Normal 5 11 2" xfId="3283"/>
    <cellStyle name="Normal 5 110" xfId="3284"/>
    <cellStyle name="Normal 5 111" xfId="3285"/>
    <cellStyle name="Normal 5 112" xfId="3286"/>
    <cellStyle name="Normal 5 113" xfId="3287"/>
    <cellStyle name="Normal 5 12" xfId="3288"/>
    <cellStyle name="Normal 5 12 2" xfId="3289"/>
    <cellStyle name="Normal 5 13" xfId="3290"/>
    <cellStyle name="Normal 5 13 2" xfId="3291"/>
    <cellStyle name="Normal 5 14" xfId="3292"/>
    <cellStyle name="Normal 5 14 2" xfId="3293"/>
    <cellStyle name="Normal 5 15" xfId="3294"/>
    <cellStyle name="Normal 5 15 2" xfId="3295"/>
    <cellStyle name="Normal 5 16" xfId="3296"/>
    <cellStyle name="Normal 5 16 2" xfId="3297"/>
    <cellStyle name="Normal 5 17" xfId="3298"/>
    <cellStyle name="Normal 5 17 2" xfId="3299"/>
    <cellStyle name="Normal 5 18" xfId="3300"/>
    <cellStyle name="Normal 5 18 2" xfId="3301"/>
    <cellStyle name="Normal 5 19" xfId="3302"/>
    <cellStyle name="Normal 5 19 2" xfId="3303"/>
    <cellStyle name="Normal 5 2" xfId="3304"/>
    <cellStyle name="Normal 5 2 2" xfId="3305"/>
    <cellStyle name="Normal 5 2 3" xfId="3306"/>
    <cellStyle name="Normal 5 2 4" xfId="3307"/>
    <cellStyle name="Normal 5 2 5" xfId="3308"/>
    <cellStyle name="Normal 5 20" xfId="3309"/>
    <cellStyle name="Normal 5 20 2" xfId="3310"/>
    <cellStyle name="Normal 5 21" xfId="3311"/>
    <cellStyle name="Normal 5 21 2" xfId="3312"/>
    <cellStyle name="Normal 5 22" xfId="3313"/>
    <cellStyle name="Normal 5 22 2" xfId="3314"/>
    <cellStyle name="Normal 5 22 2 2" xfId="3315"/>
    <cellStyle name="Normal 5 22 3" xfId="3316"/>
    <cellStyle name="Normal 5 22 4" xfId="3317"/>
    <cellStyle name="Normal 5 23" xfId="3318"/>
    <cellStyle name="Normal 5 23 2" xfId="3319"/>
    <cellStyle name="Normal 5 24" xfId="3320"/>
    <cellStyle name="Normal 5 24 2" xfId="3321"/>
    <cellStyle name="Normal 5 25" xfId="3322"/>
    <cellStyle name="Normal 5 25 2" xfId="3323"/>
    <cellStyle name="Normal 5 26" xfId="3324"/>
    <cellStyle name="Normal 5 26 2" xfId="3325"/>
    <cellStyle name="Normal 5 27" xfId="3326"/>
    <cellStyle name="Normal 5 27 2" xfId="3327"/>
    <cellStyle name="Normal 5 28" xfId="3328"/>
    <cellStyle name="Normal 5 28 2" xfId="3329"/>
    <cellStyle name="Normal 5 29" xfId="3330"/>
    <cellStyle name="Normal 5 29 2" xfId="3331"/>
    <cellStyle name="Normal 5 3" xfId="3332"/>
    <cellStyle name="Normal 5 3 2" xfId="3333"/>
    <cellStyle name="Normal 5 30" xfId="3334"/>
    <cellStyle name="Normal 5 30 2" xfId="3335"/>
    <cellStyle name="Normal 5 31" xfId="3336"/>
    <cellStyle name="Normal 5 31 2" xfId="3337"/>
    <cellStyle name="Normal 5 32" xfId="3338"/>
    <cellStyle name="Normal 5 32 2" xfId="3339"/>
    <cellStyle name="Normal 5 33" xfId="3340"/>
    <cellStyle name="Normal 5 33 2" xfId="3341"/>
    <cellStyle name="Normal 5 34" xfId="3342"/>
    <cellStyle name="Normal 5 34 2" xfId="3343"/>
    <cellStyle name="Normal 5 35" xfId="3344"/>
    <cellStyle name="Normal 5 35 2" xfId="3345"/>
    <cellStyle name="Normal 5 36" xfId="3346"/>
    <cellStyle name="Normal 5 36 2" xfId="3347"/>
    <cellStyle name="Normal 5 37" xfId="3348"/>
    <cellStyle name="Normal 5 37 2" xfId="3349"/>
    <cellStyle name="Normal 5 38" xfId="3350"/>
    <cellStyle name="Normal 5 39" xfId="3351"/>
    <cellStyle name="Normal 5 4" xfId="3352"/>
    <cellStyle name="Normal 5 4 2" xfId="3353"/>
    <cellStyle name="Normal 5 40" xfId="3354"/>
    <cellStyle name="Normal 5 41" xfId="3355"/>
    <cellStyle name="Normal 5 42" xfId="3356"/>
    <cellStyle name="Normal 5 43" xfId="3357"/>
    <cellStyle name="Normal 5 44" xfId="3358"/>
    <cellStyle name="Normal 5 45" xfId="3359"/>
    <cellStyle name="Normal 5 46" xfId="3360"/>
    <cellStyle name="Normal 5 47" xfId="3361"/>
    <cellStyle name="Normal 5 48" xfId="3362"/>
    <cellStyle name="Normal 5 49" xfId="3363"/>
    <cellStyle name="Normal 5 5" xfId="3364"/>
    <cellStyle name="Normal 5 5 2" xfId="3365"/>
    <cellStyle name="Normal 5 50" xfId="3366"/>
    <cellStyle name="Normal 5 51" xfId="3367"/>
    <cellStyle name="Normal 5 52" xfId="3368"/>
    <cellStyle name="Normal 5 53" xfId="3369"/>
    <cellStyle name="Normal 5 54" xfId="3370"/>
    <cellStyle name="Normal 5 55" xfId="3371"/>
    <cellStyle name="Normal 5 56" xfId="3372"/>
    <cellStyle name="Normal 5 57" xfId="3373"/>
    <cellStyle name="Normal 5 58" xfId="3374"/>
    <cellStyle name="Normal 5 59" xfId="3375"/>
    <cellStyle name="Normal 5 6" xfId="3376"/>
    <cellStyle name="Normal 5 6 2" xfId="3377"/>
    <cellStyle name="Normal 5 60" xfId="3378"/>
    <cellStyle name="Normal 5 61" xfId="3379"/>
    <cellStyle name="Normal 5 62" xfId="3380"/>
    <cellStyle name="Normal 5 63" xfId="3381"/>
    <cellStyle name="Normal 5 64" xfId="3382"/>
    <cellStyle name="Normal 5 65" xfId="3383"/>
    <cellStyle name="Normal 5 66" xfId="3384"/>
    <cellStyle name="Normal 5 67" xfId="3385"/>
    <cellStyle name="Normal 5 68" xfId="3386"/>
    <cellStyle name="Normal 5 69" xfId="3387"/>
    <cellStyle name="Normal 5 7" xfId="3388"/>
    <cellStyle name="Normal 5 7 2" xfId="3389"/>
    <cellStyle name="Normal 5 70" xfId="3390"/>
    <cellStyle name="Normal 5 71" xfId="3391"/>
    <cellStyle name="Normal 5 72" xfId="3392"/>
    <cellStyle name="Normal 5 73" xfId="3393"/>
    <cellStyle name="Normal 5 74" xfId="3394"/>
    <cellStyle name="Normal 5 75" xfId="3395"/>
    <cellStyle name="Normal 5 76" xfId="3396"/>
    <cellStyle name="Normal 5 77" xfId="3397"/>
    <cellStyle name="Normal 5 78" xfId="3398"/>
    <cellStyle name="Normal 5 79" xfId="3399"/>
    <cellStyle name="Normal 5 8" xfId="3400"/>
    <cellStyle name="Normal 5 8 2" xfId="3401"/>
    <cellStyle name="Normal 5 80" xfId="3402"/>
    <cellStyle name="Normal 5 81" xfId="3403"/>
    <cellStyle name="Normal 5 82" xfId="3404"/>
    <cellStyle name="Normal 5 83" xfId="3405"/>
    <cellStyle name="Normal 5 84" xfId="3406"/>
    <cellStyle name="Normal 5 85" xfId="3407"/>
    <cellStyle name="Normal 5 86" xfId="3408"/>
    <cellStyle name="Normal 5 87" xfId="3409"/>
    <cellStyle name="Normal 5 88" xfId="3410"/>
    <cellStyle name="Normal 5 89" xfId="3411"/>
    <cellStyle name="Normal 5 9" xfId="3412"/>
    <cellStyle name="Normal 5 9 2" xfId="3413"/>
    <cellStyle name="Normal 5 90" xfId="3414"/>
    <cellStyle name="Normal 5 91" xfId="3415"/>
    <cellStyle name="Normal 5 92" xfId="3416"/>
    <cellStyle name="Normal 5 93" xfId="3417"/>
    <cellStyle name="Normal 5 94" xfId="3418"/>
    <cellStyle name="Normal 5 95" xfId="3419"/>
    <cellStyle name="Normal 5 96" xfId="3420"/>
    <cellStyle name="Normal 5 97" xfId="3421"/>
    <cellStyle name="Normal 5 98" xfId="3422"/>
    <cellStyle name="Normal 5 99" xfId="3423"/>
    <cellStyle name="Normal 50" xfId="3424"/>
    <cellStyle name="Normal 50 2" xfId="3425"/>
    <cellStyle name="Normal 50 3" xfId="3426"/>
    <cellStyle name="Normal 50 4" xfId="3427"/>
    <cellStyle name="Normal 50 5" xfId="3428"/>
    <cellStyle name="Normal 50 6" xfId="3429"/>
    <cellStyle name="Normal 50 7" xfId="3430"/>
    <cellStyle name="Normal 50 8" xfId="3431"/>
    <cellStyle name="Normal 51" xfId="3432"/>
    <cellStyle name="Normal 51 2" xfId="3433"/>
    <cellStyle name="Normal 51 2 2" xfId="3434"/>
    <cellStyle name="Normal 51 2 2 2" xfId="3435"/>
    <cellStyle name="Normal 51 2 2 2 2" xfId="3436"/>
    <cellStyle name="Normal 51 2 2 3" xfId="3437"/>
    <cellStyle name="Normal 51 2 3" xfId="3438"/>
    <cellStyle name="Normal 51 2 3 2" xfId="3439"/>
    <cellStyle name="Normal 51 2 4" xfId="3440"/>
    <cellStyle name="Normal 51 3" xfId="3441"/>
    <cellStyle name="Normal 51 3 2" xfId="3442"/>
    <cellStyle name="Normal 51 3 2 2" xfId="3443"/>
    <cellStyle name="Normal 51 3 3" xfId="3444"/>
    <cellStyle name="Normal 51 4" xfId="3445"/>
    <cellStyle name="Normal 51 4 2" xfId="3446"/>
    <cellStyle name="Normal 51 5" xfId="3447"/>
    <cellStyle name="Normal 51 6" xfId="3448"/>
    <cellStyle name="Normal 51 7" xfId="3449"/>
    <cellStyle name="Normal 51 8" xfId="3450"/>
    <cellStyle name="Normal 52" xfId="3451"/>
    <cellStyle name="Normal 52 2" xfId="3452"/>
    <cellStyle name="Normal 52 2 2" xfId="3453"/>
    <cellStyle name="Normal 52 3" xfId="3454"/>
    <cellStyle name="Normal 52 4" xfId="3455"/>
    <cellStyle name="Normal 52 5" xfId="3456"/>
    <cellStyle name="Normal 52 6" xfId="3457"/>
    <cellStyle name="Normal 52 7" xfId="3458"/>
    <cellStyle name="Normal 52 8" xfId="3459"/>
    <cellStyle name="Normal 53" xfId="3460"/>
    <cellStyle name="Normal 53 2" xfId="3461"/>
    <cellStyle name="Normal 53 2 2" xfId="3462"/>
    <cellStyle name="Normal 53 2 2 2" xfId="3463"/>
    <cellStyle name="Normal 53 2 3" xfId="3464"/>
    <cellStyle name="Normal 53 3" xfId="3465"/>
    <cellStyle name="Normal 53 3 2" xfId="3466"/>
    <cellStyle name="Normal 53 4" xfId="3467"/>
    <cellStyle name="Normal 53 5" xfId="3468"/>
    <cellStyle name="Normal 53 6" xfId="3469"/>
    <cellStyle name="Normal 53 7" xfId="3470"/>
    <cellStyle name="Normal 53 8" xfId="3471"/>
    <cellStyle name="Normal 54" xfId="3472"/>
    <cellStyle name="Normal 54 2" xfId="3473"/>
    <cellStyle name="Normal 54 3" xfId="3474"/>
    <cellStyle name="Normal 54 4" xfId="3475"/>
    <cellStyle name="Normal 54 5" xfId="3476"/>
    <cellStyle name="Normal 54 6" xfId="3477"/>
    <cellStyle name="Normal 54 7" xfId="3478"/>
    <cellStyle name="Normal 54 8" xfId="3479"/>
    <cellStyle name="Normal 55" xfId="3480"/>
    <cellStyle name="Normal 55 2" xfId="3481"/>
    <cellStyle name="Normal 55 3" xfId="3482"/>
    <cellStyle name="Normal 55 4" xfId="3483"/>
    <cellStyle name="Normal 55 5" xfId="3484"/>
    <cellStyle name="Normal 55 6" xfId="3485"/>
    <cellStyle name="Normal 55 7" xfId="3486"/>
    <cellStyle name="Normal 55 8" xfId="3487"/>
    <cellStyle name="Normal 56" xfId="3488"/>
    <cellStyle name="Normal 56 2" xfId="3489"/>
    <cellStyle name="Normal 56 3" xfId="3490"/>
    <cellStyle name="Normal 56 4" xfId="3491"/>
    <cellStyle name="Normal 56 5" xfId="3492"/>
    <cellStyle name="Normal 56 6" xfId="3493"/>
    <cellStyle name="Normal 56 7" xfId="3494"/>
    <cellStyle name="Normal 56 8" xfId="3495"/>
    <cellStyle name="Normal 57" xfId="3496"/>
    <cellStyle name="Normal 57 2" xfId="3497"/>
    <cellStyle name="Normal 57 3" xfId="3498"/>
    <cellStyle name="Normal 57 4" xfId="3499"/>
    <cellStyle name="Normal 57 5" xfId="3500"/>
    <cellStyle name="Normal 57 6" xfId="3501"/>
    <cellStyle name="Normal 57 7" xfId="3502"/>
    <cellStyle name="Normal 57 8" xfId="3503"/>
    <cellStyle name="Normal 58" xfId="3504"/>
    <cellStyle name="Normal 58 2" xfId="3505"/>
    <cellStyle name="Normal 58 3" xfId="3506"/>
    <cellStyle name="Normal 58 4" xfId="3507"/>
    <cellStyle name="Normal 58 5" xfId="3508"/>
    <cellStyle name="Normal 58 6" xfId="3509"/>
    <cellStyle name="Normal 58 7" xfId="3510"/>
    <cellStyle name="Normal 58 8" xfId="3511"/>
    <cellStyle name="Normal 59" xfId="3512"/>
    <cellStyle name="Normal 59 2" xfId="3513"/>
    <cellStyle name="Normal 59 3" xfId="3514"/>
    <cellStyle name="Normal 59 4" xfId="3515"/>
    <cellStyle name="Normal 59 5" xfId="3516"/>
    <cellStyle name="Normal 59 6" xfId="3517"/>
    <cellStyle name="Normal 59 7" xfId="3518"/>
    <cellStyle name="Normal 59 8" xfId="3519"/>
    <cellStyle name="Normal 6" xfId="3520"/>
    <cellStyle name="Normal-- 6" xfId="3521"/>
    <cellStyle name="Normal 6 10" xfId="3522"/>
    <cellStyle name="Normal 6 10 2" xfId="3523"/>
    <cellStyle name="Normal 6 100" xfId="3524"/>
    <cellStyle name="Normal 6 101" xfId="3525"/>
    <cellStyle name="Normal 6 102" xfId="3526"/>
    <cellStyle name="Normal 6 103" xfId="3527"/>
    <cellStyle name="Normal 6 104" xfId="3528"/>
    <cellStyle name="Normal 6 105" xfId="3529"/>
    <cellStyle name="Normal 6 106" xfId="3530"/>
    <cellStyle name="Normal 6 107" xfId="3531"/>
    <cellStyle name="Normal 6 108" xfId="3532"/>
    <cellStyle name="Normal 6 109" xfId="3533"/>
    <cellStyle name="Normal 6 11" xfId="3534"/>
    <cellStyle name="Normal 6 11 2" xfId="3535"/>
    <cellStyle name="Normal 6 110" xfId="3536"/>
    <cellStyle name="Normal 6 111" xfId="3537"/>
    <cellStyle name="Normal 6 112" xfId="3538"/>
    <cellStyle name="Normal 6 113" xfId="3539"/>
    <cellStyle name="Normal 6 114" xfId="3540"/>
    <cellStyle name="Normal 6 115" xfId="3541"/>
    <cellStyle name="Normal 6 116" xfId="3542"/>
    <cellStyle name="Normal 6 117" xfId="3543"/>
    <cellStyle name="Normal 6 12" xfId="3544"/>
    <cellStyle name="Normal 6 12 2" xfId="3545"/>
    <cellStyle name="Normal 6 13" xfId="3546"/>
    <cellStyle name="Normal 6 13 2" xfId="3547"/>
    <cellStyle name="Normal 6 14" xfId="3548"/>
    <cellStyle name="Normal 6 14 2" xfId="3549"/>
    <cellStyle name="Normal 6 15" xfId="3550"/>
    <cellStyle name="Normal 6 15 2" xfId="3551"/>
    <cellStyle name="Normal 6 16" xfId="3552"/>
    <cellStyle name="Normal 6 16 2" xfId="3553"/>
    <cellStyle name="Normal 6 17" xfId="3554"/>
    <cellStyle name="Normal 6 17 2" xfId="3555"/>
    <cellStyle name="Normal 6 18" xfId="3556"/>
    <cellStyle name="Normal 6 18 2" xfId="3557"/>
    <cellStyle name="Normal 6 19" xfId="3558"/>
    <cellStyle name="Normal 6 19 2" xfId="3559"/>
    <cellStyle name="Normal 6 2" xfId="3"/>
    <cellStyle name="Normal 6 2 2" xfId="3560"/>
    <cellStyle name="Normal 6 2 2 2" xfId="5509"/>
    <cellStyle name="Normal 6 2 2 2 2" xfId="5510"/>
    <cellStyle name="Normal 6 2 2 3" xfId="5511"/>
    <cellStyle name="Normal 6 2 2 4" xfId="5512"/>
    <cellStyle name="Normal 6 2 3" xfId="3561"/>
    <cellStyle name="Normal 6 2 4" xfId="3562"/>
    <cellStyle name="Normal 6 2 5" xfId="3563"/>
    <cellStyle name="Normal 6 20" xfId="3564"/>
    <cellStyle name="Normal 6 20 2" xfId="3565"/>
    <cellStyle name="Normal 6 21" xfId="3566"/>
    <cellStyle name="Normal 6 21 2" xfId="3567"/>
    <cellStyle name="Normal 6 21 2 2" xfId="3568"/>
    <cellStyle name="Normal 6 21 3" xfId="3569"/>
    <cellStyle name="Normal 6 21 4" xfId="3570"/>
    <cellStyle name="Normal 6 22" xfId="3571"/>
    <cellStyle name="Normal 6 22 2" xfId="3572"/>
    <cellStyle name="Normal 6 22 2 2" xfId="3573"/>
    <cellStyle name="Normal 6 22 3" xfId="3574"/>
    <cellStyle name="Normal 6 22 4" xfId="3575"/>
    <cellStyle name="Normal 6 23" xfId="3576"/>
    <cellStyle name="Normal 6 23 2" xfId="3577"/>
    <cellStyle name="Normal 6 24" xfId="3578"/>
    <cellStyle name="Normal 6 24 2" xfId="3579"/>
    <cellStyle name="Normal 6 25" xfId="3580"/>
    <cellStyle name="Normal 6 25 2" xfId="3581"/>
    <cellStyle name="Normal 6 26" xfId="3582"/>
    <cellStyle name="Normal 6 26 2" xfId="3583"/>
    <cellStyle name="Normal 6 27" xfId="3584"/>
    <cellStyle name="Normal 6 27 2" xfId="3585"/>
    <cellStyle name="Normal 6 28" xfId="3586"/>
    <cellStyle name="Normal 6 28 2" xfId="3587"/>
    <cellStyle name="Normal 6 29" xfId="3588"/>
    <cellStyle name="Normal 6 29 2" xfId="3589"/>
    <cellStyle name="Normal 6 3" xfId="3590"/>
    <cellStyle name="Normal 6 3 2" xfId="3591"/>
    <cellStyle name="Normal 6 3 3" xfId="3592"/>
    <cellStyle name="Normal 6 3 4" xfId="3593"/>
    <cellStyle name="Normal 6 30" xfId="3594"/>
    <cellStyle name="Normal 6 31" xfId="3595"/>
    <cellStyle name="Normal 6 32" xfId="3596"/>
    <cellStyle name="Normal 6 33" xfId="3597"/>
    <cellStyle name="Normal 6 34" xfId="3598"/>
    <cellStyle name="Normal 6 35" xfId="3599"/>
    <cellStyle name="Normal 6 36" xfId="3600"/>
    <cellStyle name="Normal 6 37" xfId="3601"/>
    <cellStyle name="Normal 6 38" xfId="3602"/>
    <cellStyle name="Normal 6 39" xfId="3603"/>
    <cellStyle name="Normal 6 4" xfId="3604"/>
    <cellStyle name="Normal 6 4 2" xfId="3605"/>
    <cellStyle name="Normal 6 40" xfId="3606"/>
    <cellStyle name="Normal 6 41" xfId="3607"/>
    <cellStyle name="Normal 6 42" xfId="3608"/>
    <cellStyle name="Normal 6 43" xfId="3609"/>
    <cellStyle name="Normal 6 44" xfId="3610"/>
    <cellStyle name="Normal 6 45" xfId="3611"/>
    <cellStyle name="Normal 6 46" xfId="3612"/>
    <cellStyle name="Normal 6 47" xfId="3613"/>
    <cellStyle name="Normal 6 48" xfId="3614"/>
    <cellStyle name="Normal 6 49" xfId="3615"/>
    <cellStyle name="Normal 6 5" xfId="3616"/>
    <cellStyle name="Normal 6 5 2" xfId="3617"/>
    <cellStyle name="Normal 6 50" xfId="3618"/>
    <cellStyle name="Normal 6 51" xfId="3619"/>
    <cellStyle name="Normal 6 52" xfId="3620"/>
    <cellStyle name="Normal 6 53" xfId="3621"/>
    <cellStyle name="Normal 6 54" xfId="3622"/>
    <cellStyle name="Normal 6 55" xfId="3623"/>
    <cellStyle name="Normal 6 56" xfId="3624"/>
    <cellStyle name="Normal 6 57" xfId="3625"/>
    <cellStyle name="Normal 6 58" xfId="3626"/>
    <cellStyle name="Normal 6 59" xfId="3627"/>
    <cellStyle name="Normal 6 6" xfId="3628"/>
    <cellStyle name="Normal 6 6 2" xfId="3629"/>
    <cellStyle name="Normal 6 60" xfId="3630"/>
    <cellStyle name="Normal 6 61" xfId="3631"/>
    <cellStyle name="Normal 6 62" xfId="3632"/>
    <cellStyle name="Normal 6 63" xfId="3633"/>
    <cellStyle name="Normal 6 64" xfId="3634"/>
    <cellStyle name="Normal 6 65" xfId="3635"/>
    <cellStyle name="Normal 6 66" xfId="3636"/>
    <cellStyle name="Normal 6 67" xfId="3637"/>
    <cellStyle name="Normal 6 68" xfId="3638"/>
    <cellStyle name="Normal 6 69" xfId="3639"/>
    <cellStyle name="Normal 6 7" xfId="3640"/>
    <cellStyle name="Normal 6 7 2" xfId="3641"/>
    <cellStyle name="Normal 6 70" xfId="3642"/>
    <cellStyle name="Normal 6 71" xfId="3643"/>
    <cellStyle name="Normal 6 72" xfId="3644"/>
    <cellStyle name="Normal 6 73" xfId="3645"/>
    <cellStyle name="Normal 6 74" xfId="3646"/>
    <cellStyle name="Normal 6 75" xfId="3647"/>
    <cellStyle name="Normal 6 76" xfId="3648"/>
    <cellStyle name="Normal 6 77" xfId="3649"/>
    <cellStyle name="Normal 6 78" xfId="3650"/>
    <cellStyle name="Normal 6 79" xfId="3651"/>
    <cellStyle name="Normal 6 8" xfId="3652"/>
    <cellStyle name="Normal 6 8 2" xfId="3653"/>
    <cellStyle name="Normal 6 80" xfId="3654"/>
    <cellStyle name="Normal 6 81" xfId="3655"/>
    <cellStyle name="Normal 6 82" xfId="3656"/>
    <cellStyle name="Normal 6 83" xfId="3657"/>
    <cellStyle name="Normal 6 84" xfId="3658"/>
    <cellStyle name="Normal 6 85" xfId="3659"/>
    <cellStyle name="Normal 6 86" xfId="3660"/>
    <cellStyle name="Normal 6 87" xfId="3661"/>
    <cellStyle name="Normal 6 88" xfId="3662"/>
    <cellStyle name="Normal 6 89" xfId="3663"/>
    <cellStyle name="Normal 6 9" xfId="3664"/>
    <cellStyle name="Normal 6 9 2" xfId="3665"/>
    <cellStyle name="Normal 6 90" xfId="3666"/>
    <cellStyle name="Normal 6 91" xfId="3667"/>
    <cellStyle name="Normal 6 92" xfId="3668"/>
    <cellStyle name="Normal 6 93" xfId="3669"/>
    <cellStyle name="Normal 6 94" xfId="3670"/>
    <cellStyle name="Normal 6 95" xfId="3671"/>
    <cellStyle name="Normal 6 96" xfId="3672"/>
    <cellStyle name="Normal 6 97" xfId="3673"/>
    <cellStyle name="Normal 6 98" xfId="3674"/>
    <cellStyle name="Normal 6 99" xfId="3675"/>
    <cellStyle name="Normal 60" xfId="4568"/>
    <cellStyle name="Normal 60 2" xfId="3676"/>
    <cellStyle name="Normal 60 3" xfId="3677"/>
    <cellStyle name="Normal 60 4" xfId="3678"/>
    <cellStyle name="Normal 60 5" xfId="3679"/>
    <cellStyle name="Normal 60 6" xfId="3680"/>
    <cellStyle name="Normal 60 7" xfId="3681"/>
    <cellStyle name="Normal 60 8" xfId="3682"/>
    <cellStyle name="Normal 61" xfId="4572"/>
    <cellStyle name="Normal 61 2" xfId="3683"/>
    <cellStyle name="Normal 61 3" xfId="3684"/>
    <cellStyle name="Normal 61 4" xfId="3685"/>
    <cellStyle name="Normal 61 5" xfId="3686"/>
    <cellStyle name="Normal 61 6" xfId="3687"/>
    <cellStyle name="Normal 61 7" xfId="3688"/>
    <cellStyle name="Normal 61 8" xfId="3689"/>
    <cellStyle name="Normal 62" xfId="4576"/>
    <cellStyle name="Normal 62 2" xfId="3690"/>
    <cellStyle name="Normal 62 3" xfId="3691"/>
    <cellStyle name="Normal 62 4" xfId="3692"/>
    <cellStyle name="Normal 62 5" xfId="3693"/>
    <cellStyle name="Normal 62 6" xfId="3694"/>
    <cellStyle name="Normal 62 7" xfId="3695"/>
    <cellStyle name="Normal 62 8" xfId="3696"/>
    <cellStyle name="Normal 63" xfId="4580"/>
    <cellStyle name="Normal 63 2" xfId="3697"/>
    <cellStyle name="Normal 63 3" xfId="3698"/>
    <cellStyle name="Normal 63 4" xfId="3699"/>
    <cellStyle name="Normal 63 5" xfId="3700"/>
    <cellStyle name="Normal 63 6" xfId="3701"/>
    <cellStyle name="Normal 63 7" xfId="3702"/>
    <cellStyle name="Normal 63 8" xfId="3703"/>
    <cellStyle name="Normal 64" xfId="4584"/>
    <cellStyle name="Normal 64 2" xfId="3704"/>
    <cellStyle name="Normal 64 3" xfId="3705"/>
    <cellStyle name="Normal 64 4" xfId="3706"/>
    <cellStyle name="Normal 64 5" xfId="3707"/>
    <cellStyle name="Normal 64 6" xfId="3708"/>
    <cellStyle name="Normal 64 7" xfId="3709"/>
    <cellStyle name="Normal 64 8" xfId="3710"/>
    <cellStyle name="Normal 65" xfId="3711"/>
    <cellStyle name="Normal 65 2" xfId="3712"/>
    <cellStyle name="Normal 65 3" xfId="3713"/>
    <cellStyle name="Normal 65 4" xfId="3714"/>
    <cellStyle name="Normal 65 5" xfId="3715"/>
    <cellStyle name="Normal 65 6" xfId="3716"/>
    <cellStyle name="Normal 65 7" xfId="3717"/>
    <cellStyle name="Normal 65 8" xfId="3718"/>
    <cellStyle name="Normal 66" xfId="4588"/>
    <cellStyle name="Normal 67" xfId="4612"/>
    <cellStyle name="Normal 67 2" xfId="3719"/>
    <cellStyle name="Normal 67 3" xfId="3720"/>
    <cellStyle name="Normal 67 4" xfId="3721"/>
    <cellStyle name="Normal 67 5" xfId="3722"/>
    <cellStyle name="Normal 67 6" xfId="3723"/>
    <cellStyle name="Normal 67 7" xfId="3724"/>
    <cellStyle name="Normal 67 8" xfId="3725"/>
    <cellStyle name="Normal 68" xfId="4616"/>
    <cellStyle name="Normal 69" xfId="4619"/>
    <cellStyle name="Normal 69 2" xfId="3726"/>
    <cellStyle name="Normal 69 3" xfId="3727"/>
    <cellStyle name="Normal 69 4" xfId="3728"/>
    <cellStyle name="Normal 69 5" xfId="3729"/>
    <cellStyle name="Normal 69 6" xfId="3730"/>
    <cellStyle name="Normal 69 7" xfId="3731"/>
    <cellStyle name="Normal 69 8" xfId="3732"/>
    <cellStyle name="Normal 7" xfId="3733"/>
    <cellStyle name="Normal-- 7" xfId="3734"/>
    <cellStyle name="Normal 7 10" xfId="3735"/>
    <cellStyle name="Normal 7 11" xfId="3736"/>
    <cellStyle name="Normal 7 12" xfId="3737"/>
    <cellStyle name="Normal 7 13" xfId="3738"/>
    <cellStyle name="Normal 7 14" xfId="3739"/>
    <cellStyle name="Normal 7 15" xfId="3740"/>
    <cellStyle name="Normal 7 16" xfId="3741"/>
    <cellStyle name="Normal 7 17" xfId="3742"/>
    <cellStyle name="Normal 7 18" xfId="3743"/>
    <cellStyle name="Normal 7 19" xfId="3744"/>
    <cellStyle name="Normal 7 2" xfId="3745"/>
    <cellStyle name="Normal 7 2 2" xfId="3746"/>
    <cellStyle name="Normal 7 2 3" xfId="3747"/>
    <cellStyle name="Normal 7 2 4" xfId="3748"/>
    <cellStyle name="Normal 7 20" xfId="3749"/>
    <cellStyle name="Normal 7 21" xfId="3750"/>
    <cellStyle name="Normal 7 22" xfId="3751"/>
    <cellStyle name="Normal 7 23" xfId="3752"/>
    <cellStyle name="Normal 7 24" xfId="3753"/>
    <cellStyle name="Normal 7 25" xfId="3754"/>
    <cellStyle name="Normal 7 26" xfId="3755"/>
    <cellStyle name="Normal 7 27" xfId="3756"/>
    <cellStyle name="Normal 7 28" xfId="3757"/>
    <cellStyle name="Normal 7 29" xfId="3758"/>
    <cellStyle name="Normal 7 3" xfId="3759"/>
    <cellStyle name="Normal 7 3 2" xfId="5513"/>
    <cellStyle name="Normal 7 3 2 2" xfId="5514"/>
    <cellStyle name="Normal 7 3 3" xfId="5515"/>
    <cellStyle name="Normal 7 3 4" xfId="5516"/>
    <cellStyle name="Normal 7 30" xfId="3760"/>
    <cellStyle name="Normal 7 31" xfId="3761"/>
    <cellStyle name="Normal 7 32" xfId="3762"/>
    <cellStyle name="Normal 7 33" xfId="3763"/>
    <cellStyle name="Normal 7 34" xfId="3764"/>
    <cellStyle name="Normal 7 35" xfId="3765"/>
    <cellStyle name="Normal 7 36" xfId="3766"/>
    <cellStyle name="Normal 7 37" xfId="3767"/>
    <cellStyle name="Normal 7 38" xfId="3768"/>
    <cellStyle name="Normal 7 4" xfId="3769"/>
    <cellStyle name="Normal 7 5" xfId="3770"/>
    <cellStyle name="Normal 7 5 2" xfId="5517"/>
    <cellStyle name="Normal 7 6" xfId="3771"/>
    <cellStyle name="Normal 7 7" xfId="3772"/>
    <cellStyle name="Normal 7 8" xfId="3773"/>
    <cellStyle name="Normal 7 9" xfId="3774"/>
    <cellStyle name="Normal 70" xfId="4622"/>
    <cellStyle name="Normal 70 2" xfId="3775"/>
    <cellStyle name="Normal 70 3" xfId="3776"/>
    <cellStyle name="Normal 70 4" xfId="3777"/>
    <cellStyle name="Normal 70 5" xfId="3778"/>
    <cellStyle name="Normal 70 6" xfId="3779"/>
    <cellStyle name="Normal 70 7" xfId="3780"/>
    <cellStyle name="Normal 70 8" xfId="3781"/>
    <cellStyle name="Normal 71" xfId="4625"/>
    <cellStyle name="Normal 71 2" xfId="3782"/>
    <cellStyle name="Normal 71 3" xfId="3783"/>
    <cellStyle name="Normal 71 4" xfId="3784"/>
    <cellStyle name="Normal 71 5" xfId="3785"/>
    <cellStyle name="Normal 71 6" xfId="3786"/>
    <cellStyle name="Normal 71 7" xfId="3787"/>
    <cellStyle name="Normal 71 8" xfId="3788"/>
    <cellStyle name="Normal 72" xfId="4628"/>
    <cellStyle name="Normal 72 2" xfId="3789"/>
    <cellStyle name="Normal 72 3" xfId="3790"/>
    <cellStyle name="Normal 72 4" xfId="3791"/>
    <cellStyle name="Normal 72 5" xfId="3792"/>
    <cellStyle name="Normal 72 6" xfId="3793"/>
    <cellStyle name="Normal 72 7" xfId="3794"/>
    <cellStyle name="Normal 72 8" xfId="3795"/>
    <cellStyle name="Normal 73" xfId="4631"/>
    <cellStyle name="Normal 73 2" xfId="3796"/>
    <cellStyle name="Normal 73 3" xfId="3797"/>
    <cellStyle name="Normal 73 4" xfId="3798"/>
    <cellStyle name="Normal 73 5" xfId="3799"/>
    <cellStyle name="Normal 73 6" xfId="3800"/>
    <cellStyle name="Normal 73 7" xfId="3801"/>
    <cellStyle name="Normal 73 8" xfId="3802"/>
    <cellStyle name="Normal 74" xfId="4633"/>
    <cellStyle name="Normal 74 2" xfId="3803"/>
    <cellStyle name="Normal 74 3" xfId="3804"/>
    <cellStyle name="Normal 74 4" xfId="3805"/>
    <cellStyle name="Normal 74 5" xfId="3806"/>
    <cellStyle name="Normal 74 6" xfId="3807"/>
    <cellStyle name="Normal 74 7" xfId="3808"/>
    <cellStyle name="Normal 74 8" xfId="3809"/>
    <cellStyle name="Normal 75" xfId="4635"/>
    <cellStyle name="Normal 75 2" xfId="3810"/>
    <cellStyle name="Normal 75 3" xfId="3811"/>
    <cellStyle name="Normal 75 4" xfId="3812"/>
    <cellStyle name="Normal 75 5" xfId="3813"/>
    <cellStyle name="Normal 75 6" xfId="3814"/>
    <cellStyle name="Normal 75 7" xfId="3815"/>
    <cellStyle name="Normal 75 8" xfId="3816"/>
    <cellStyle name="Normal 76" xfId="3817"/>
    <cellStyle name="Normal 77" xfId="3818"/>
    <cellStyle name="Normal 78" xfId="4637"/>
    <cellStyle name="Normal 79" xfId="4636"/>
    <cellStyle name="Normal 8" xfId="3819"/>
    <cellStyle name="Normal-- 8" xfId="3820"/>
    <cellStyle name="Normal 8 10" xfId="3821"/>
    <cellStyle name="Normal 8 11" xfId="3822"/>
    <cellStyle name="Normal 8 12" xfId="3823"/>
    <cellStyle name="Normal 8 13" xfId="3824"/>
    <cellStyle name="Normal 8 14" xfId="3825"/>
    <cellStyle name="Normal 8 15" xfId="3826"/>
    <cellStyle name="Normal 8 16" xfId="3827"/>
    <cellStyle name="Normal 8 17" xfId="3828"/>
    <cellStyle name="Normal 8 18" xfId="3829"/>
    <cellStyle name="Normal 8 19" xfId="3830"/>
    <cellStyle name="Normal 8 2" xfId="3831"/>
    <cellStyle name="Normal 8 2 2" xfId="3832"/>
    <cellStyle name="Normal 8 2 2 2" xfId="5518"/>
    <cellStyle name="Normal 8 2 2 2 2" xfId="5519"/>
    <cellStyle name="Normal 8 2 2 3" xfId="5520"/>
    <cellStyle name="Normal 8 2 2 4" xfId="5521"/>
    <cellStyle name="Normal 8 2 3" xfId="5522"/>
    <cellStyle name="Normal 8 20" xfId="3833"/>
    <cellStyle name="Normal 8 21" xfId="3834"/>
    <cellStyle name="Normal 8 21 2" xfId="3835"/>
    <cellStyle name="Normal 8 21 2 2" xfId="3836"/>
    <cellStyle name="Normal 8 21 2 2 2" xfId="3837"/>
    <cellStyle name="Normal 8 21 2 3" xfId="3838"/>
    <cellStyle name="Normal 8 21 3" xfId="3839"/>
    <cellStyle name="Normal 8 21 3 2" xfId="3840"/>
    <cellStyle name="Normal 8 21 4" xfId="3841"/>
    <cellStyle name="Normal 8 22" xfId="3842"/>
    <cellStyle name="Normal 8 22 2" xfId="3843"/>
    <cellStyle name="Normal 8 22 2 2" xfId="3844"/>
    <cellStyle name="Normal 8 22 2 2 2" xfId="3845"/>
    <cellStyle name="Normal 8 22 2 3" xfId="3846"/>
    <cellStyle name="Normal 8 22 3" xfId="3847"/>
    <cellStyle name="Normal 8 22 3 2" xfId="3848"/>
    <cellStyle name="Normal 8 22 4" xfId="3849"/>
    <cellStyle name="Normal 8 23" xfId="3850"/>
    <cellStyle name="Normal 8 23 2" xfId="3851"/>
    <cellStyle name="Normal 8 23 2 2" xfId="3852"/>
    <cellStyle name="Normal 8 23 3" xfId="3853"/>
    <cellStyle name="Normal 8 24" xfId="3854"/>
    <cellStyle name="Normal 8 24 2" xfId="3855"/>
    <cellStyle name="Normal 8 25" xfId="3856"/>
    <cellStyle name="Normal 8 26" xfId="3857"/>
    <cellStyle name="Normal 8 27" xfId="3858"/>
    <cellStyle name="Normal 8 28" xfId="3859"/>
    <cellStyle name="Normal 8 29" xfId="3860"/>
    <cellStyle name="Normal 8 3" xfId="3861"/>
    <cellStyle name="Normal 8 3 2" xfId="3862"/>
    <cellStyle name="Normal 8 30" xfId="3863"/>
    <cellStyle name="Normal 8 31" xfId="3864"/>
    <cellStyle name="Normal 8 32" xfId="3865"/>
    <cellStyle name="Normal 8 33" xfId="3866"/>
    <cellStyle name="Normal 8 34" xfId="3867"/>
    <cellStyle name="Normal 8 35" xfId="3868"/>
    <cellStyle name="Normal 8 36" xfId="3869"/>
    <cellStyle name="Normal 8 37" xfId="3870"/>
    <cellStyle name="Normal 8 38" xfId="3871"/>
    <cellStyle name="Normal 8 39" xfId="3872"/>
    <cellStyle name="Normal 8 4" xfId="3873"/>
    <cellStyle name="Normal 8 40" xfId="3874"/>
    <cellStyle name="Normal 8 41" xfId="3875"/>
    <cellStyle name="Normal 8 42" xfId="3876"/>
    <cellStyle name="Normal 8 5" xfId="3877"/>
    <cellStyle name="Normal 8 6" xfId="3878"/>
    <cellStyle name="Normal 8 7" xfId="3879"/>
    <cellStyle name="Normal 8 8" xfId="3880"/>
    <cellStyle name="Normal 8 9" xfId="3881"/>
    <cellStyle name="Normal 80" xfId="4642"/>
    <cellStyle name="Normal 81" xfId="4647"/>
    <cellStyle name="Normal 82" xfId="4675"/>
    <cellStyle name="Normal 82 2" xfId="5413"/>
    <cellStyle name="Normal 83" xfId="4678"/>
    <cellStyle name="Normal 84" xfId="4697"/>
    <cellStyle name="Normal 85" xfId="4700"/>
    <cellStyle name="Normal 86" xfId="4702"/>
    <cellStyle name="Normal 87" xfId="4705"/>
    <cellStyle name="Normal 9" xfId="3882"/>
    <cellStyle name="Normal 9 2" xfId="3883"/>
    <cellStyle name="Normal 9 2 2" xfId="3884"/>
    <cellStyle name="Normal 9 3" xfId="3885"/>
    <cellStyle name="Normal 9 4" xfId="3886"/>
    <cellStyle name="Normal 9 5" xfId="3887"/>
    <cellStyle name="Normal 9 6" xfId="3888"/>
    <cellStyle name="Normal_Example 1" xfId="5415"/>
    <cellStyle name="Normal_Sheet1" xfId="5602"/>
    <cellStyle name="Normal2" xfId="3889"/>
    <cellStyle name="Normale_97.98.us" xfId="3890"/>
    <cellStyle name="NormalGB" xfId="3891"/>
    <cellStyle name="Normalx" xfId="3892"/>
    <cellStyle name="Note 2" xfId="3893"/>
    <cellStyle name="Note 2 10" xfId="3894"/>
    <cellStyle name="Note 2 11" xfId="3895"/>
    <cellStyle name="Note 2 12" xfId="4479"/>
    <cellStyle name="Note 2 13" xfId="4523"/>
    <cellStyle name="Note 2 2" xfId="3896"/>
    <cellStyle name="Note 2 2 2" xfId="3897"/>
    <cellStyle name="Note 2 2 2 2" xfId="3898"/>
    <cellStyle name="Note 2 2 2 2 2" xfId="5523"/>
    <cellStyle name="Note 2 2 2 3" xfId="3899"/>
    <cellStyle name="Note 2 2 3" xfId="3900"/>
    <cellStyle name="Note 2 2 3 2" xfId="5524"/>
    <cellStyle name="Note 2 2 4" xfId="3901"/>
    <cellStyle name="Note 2 2 5" xfId="4480"/>
    <cellStyle name="Note 2 3" xfId="3902"/>
    <cellStyle name="Note 2 3 2" xfId="3903"/>
    <cellStyle name="Note 2 3 2 2" xfId="5525"/>
    <cellStyle name="Note 2 3 2 2 2" xfId="5526"/>
    <cellStyle name="Note 2 3 2 3" xfId="5527"/>
    <cellStyle name="Note 2 3 3" xfId="5528"/>
    <cellStyle name="Note 2 3 3 2" xfId="5529"/>
    <cellStyle name="Note 2 3 4" xfId="5530"/>
    <cellStyle name="Note 2 4" xfId="3904"/>
    <cellStyle name="Note 2 4 2" xfId="5531"/>
    <cellStyle name="Note 2 4 2 2" xfId="5532"/>
    <cellStyle name="Note 2 4 3" xfId="5533"/>
    <cellStyle name="Note 2 5" xfId="3905"/>
    <cellStyle name="Note 2 5 2" xfId="5534"/>
    <cellStyle name="Note 2 6" xfId="3906"/>
    <cellStyle name="Note 2 7" xfId="3907"/>
    <cellStyle name="Note 2 8" xfId="3908"/>
    <cellStyle name="Note 2 9" xfId="3909"/>
    <cellStyle name="Note 3" xfId="3910"/>
    <cellStyle name="Note 3 2" xfId="3911"/>
    <cellStyle name="Note 3 3" xfId="3912"/>
    <cellStyle name="Note 4" xfId="3913"/>
    <cellStyle name="Note 4 2" xfId="3914"/>
    <cellStyle name="Note 5" xfId="3915"/>
    <cellStyle name="Note 5 2" xfId="3916"/>
    <cellStyle name="Note 6" xfId="3917"/>
    <cellStyle name="Note 6 2" xfId="3918"/>
    <cellStyle name="Note 7" xfId="3919"/>
    <cellStyle name="Note 7 2" xfId="3920"/>
    <cellStyle name="Note 8" xfId="3921"/>
    <cellStyle name="Note 8 2" xfId="3922"/>
    <cellStyle name="Note 8 2 2" xfId="3923"/>
    <cellStyle name="Note 8 2 2 2" xfId="3924"/>
    <cellStyle name="Note 8 2 2 2 2" xfId="3925"/>
    <cellStyle name="Note 8 2 2 3" xfId="3926"/>
    <cellStyle name="Note 8 2 3" xfId="3927"/>
    <cellStyle name="Note 8 2 3 2" xfId="3928"/>
    <cellStyle name="Note 8 2 4" xfId="3929"/>
    <cellStyle name="Note 8 3" xfId="3930"/>
    <cellStyle name="Note 8 3 2" xfId="3931"/>
    <cellStyle name="Note 8 3 2 2" xfId="3932"/>
    <cellStyle name="Note 8 3 2 2 2" xfId="3933"/>
    <cellStyle name="Note 8 3 2 3" xfId="3934"/>
    <cellStyle name="Note 8 3 3" xfId="3935"/>
    <cellStyle name="Note 8 3 3 2" xfId="3936"/>
    <cellStyle name="Note 8 3 4" xfId="3937"/>
    <cellStyle name="Note 8 4" xfId="3938"/>
    <cellStyle name="Note 8 4 2" xfId="3939"/>
    <cellStyle name="Note 8 4 2 2" xfId="3940"/>
    <cellStyle name="Note 8 4 3" xfId="3941"/>
    <cellStyle name="Note 8 5" xfId="3942"/>
    <cellStyle name="Note 8 5 2" xfId="3943"/>
    <cellStyle name="Note 8 6" xfId="3944"/>
    <cellStyle name="Nr 0 dec" xfId="3945"/>
    <cellStyle name="Nr 0 dec - Input" xfId="3946"/>
    <cellStyle name="Nr 0 dec - Subtotal" xfId="3947"/>
    <cellStyle name="Nr 0 dec - Subtotal 2" xfId="4654"/>
    <cellStyle name="Nr 0 dec_Data" xfId="3948"/>
    <cellStyle name="Nr 1 dec" xfId="3949"/>
    <cellStyle name="Nr 1 dec - Input" xfId="3950"/>
    <cellStyle name="Nr, 0 dec" xfId="3951"/>
    <cellStyle name="number" xfId="3952"/>
    <cellStyle name="Number, 1 dec" xfId="3953"/>
    <cellStyle name="Output" xfId="4537" builtinId="21" customBuiltin="1"/>
    <cellStyle name="Output (1dp#)" xfId="3954"/>
    <cellStyle name="Output (1dpx)_ Pies " xfId="3955"/>
    <cellStyle name="Output 2" xfId="3956"/>
    <cellStyle name="Output 2 10" xfId="4481"/>
    <cellStyle name="Output 2 11" xfId="4524"/>
    <cellStyle name="Output 2 2" xfId="3957"/>
    <cellStyle name="Output 2 2 2" xfId="3958"/>
    <cellStyle name="Output 2 2 3" xfId="4482"/>
    <cellStyle name="Output 2 2 3 2" xfId="5535"/>
    <cellStyle name="Output 2 2 4" xfId="5536"/>
    <cellStyle name="Output 2 3" xfId="3959"/>
    <cellStyle name="Output 2 3 2" xfId="5537"/>
    <cellStyle name="Output 2 3 3" xfId="5538"/>
    <cellStyle name="Output 2 3 3 2" xfId="5539"/>
    <cellStyle name="Output 2 3 4" xfId="5540"/>
    <cellStyle name="Output 2 4" xfId="3960"/>
    <cellStyle name="Output 2 5" xfId="3961"/>
    <cellStyle name="Output 2 5 2" xfId="5541"/>
    <cellStyle name="Output 2 6" xfId="3962"/>
    <cellStyle name="Output 2 7" xfId="3963"/>
    <cellStyle name="Output 2 8" xfId="3964"/>
    <cellStyle name="Output 2 9" xfId="3965"/>
    <cellStyle name="Output 3" xfId="4639"/>
    <cellStyle name="Output 4" xfId="4641"/>
    <cellStyle name="Output 5" xfId="4644"/>
    <cellStyle name="Output 6" xfId="4646"/>
    <cellStyle name="Output 7" xfId="4649"/>
    <cellStyle name="Page Heading" xfId="3966"/>
    <cellStyle name="Page Heading Large" xfId="3967"/>
    <cellStyle name="Page Heading Small" xfId="3968"/>
    <cellStyle name="Page Number" xfId="3969"/>
    <cellStyle name="pb_page_heading_LS" xfId="3970"/>
    <cellStyle name="Per aandeel" xfId="3971"/>
    <cellStyle name="Percent" xfId="4666" builtinId="5"/>
    <cellStyle name="Percent (1)" xfId="3972"/>
    <cellStyle name="Percent [0]" xfId="3973"/>
    <cellStyle name="Percent [00]" xfId="3974"/>
    <cellStyle name="Percent [1]" xfId="3975"/>
    <cellStyle name="Percent [1] 2" xfId="4655"/>
    <cellStyle name="Percent [2]" xfId="3976"/>
    <cellStyle name="Percent [2] 2" xfId="3977"/>
    <cellStyle name="Percent [2] 3" xfId="3978"/>
    <cellStyle name="Percent 1 dec" xfId="3979"/>
    <cellStyle name="Percent 1 dec - Input" xfId="3980"/>
    <cellStyle name="Percent 1 dec_Data" xfId="3981"/>
    <cellStyle name="Percent 10" xfId="3982"/>
    <cellStyle name="Percent 11" xfId="4571"/>
    <cellStyle name="Percent 12" xfId="4575"/>
    <cellStyle name="Percent 13" xfId="4579"/>
    <cellStyle name="Percent 14" xfId="4583"/>
    <cellStyle name="Percent 15" xfId="4587"/>
    <cellStyle name="Percent 16" xfId="4610"/>
    <cellStyle name="Percent 17" xfId="4614"/>
    <cellStyle name="Percent 18" xfId="4617"/>
    <cellStyle name="Percent 19" xfId="4620"/>
    <cellStyle name="Percent 2" xfId="3983"/>
    <cellStyle name="Percent 2 10" xfId="3984"/>
    <cellStyle name="Percent 2 10 2" xfId="3985"/>
    <cellStyle name="Percent 2 10 2 2" xfId="3986"/>
    <cellStyle name="Percent 2 10 3" xfId="3987"/>
    <cellStyle name="Percent 2 11" xfId="3988"/>
    <cellStyle name="Percent 2 12" xfId="3989"/>
    <cellStyle name="Percent 2 12 2" xfId="3990"/>
    <cellStyle name="Percent 2 12 2 2" xfId="3991"/>
    <cellStyle name="Percent 2 12 3" xfId="3992"/>
    <cellStyle name="Percent 2 13" xfId="3993"/>
    <cellStyle name="Percent 2 13 2" xfId="3994"/>
    <cellStyle name="Percent 2 14" xfId="3995"/>
    <cellStyle name="Percent 2 15" xfId="3996"/>
    <cellStyle name="Percent 2 16" xfId="3997"/>
    <cellStyle name="Percent 2 17" xfId="3998"/>
    <cellStyle name="Percent 2 18" xfId="3999"/>
    <cellStyle name="Percent 2 19" xfId="4000"/>
    <cellStyle name="Percent 2 2" xfId="4001"/>
    <cellStyle name="Percent 2 2 2" xfId="4002"/>
    <cellStyle name="Percent 2 2 3" xfId="4003"/>
    <cellStyle name="Percent 2 2 4" xfId="4004"/>
    <cellStyle name="Percent 2 2 4 2" xfId="4005"/>
    <cellStyle name="Percent 2 2 4 2 2" xfId="4006"/>
    <cellStyle name="Percent 2 2 4 2 2 2" xfId="4007"/>
    <cellStyle name="Percent 2 2 4 2 3" xfId="4008"/>
    <cellStyle name="Percent 2 2 4 3" xfId="4009"/>
    <cellStyle name="Percent 2 2 4 3 2" xfId="4010"/>
    <cellStyle name="Percent 2 2 4 4" xfId="4011"/>
    <cellStyle name="Percent 2 2 5" xfId="4012"/>
    <cellStyle name="Percent 2 2 6" xfId="4013"/>
    <cellStyle name="Percent 2 3" xfId="4014"/>
    <cellStyle name="Percent 2 3 2" xfId="5542"/>
    <cellStyle name="Percent 2 4" xfId="4015"/>
    <cellStyle name="Percent 2 5" xfId="4016"/>
    <cellStyle name="Percent 2 5 2" xfId="4017"/>
    <cellStyle name="Percent 2 5 2 2" xfId="4018"/>
    <cellStyle name="Percent 2 5 2 2 2" xfId="4019"/>
    <cellStyle name="Percent 2 5 2 2 2 2" xfId="4020"/>
    <cellStyle name="Percent 2 5 2 2 3" xfId="4021"/>
    <cellStyle name="Percent 2 5 2 3" xfId="4022"/>
    <cellStyle name="Percent 2 5 2 3 2" xfId="4023"/>
    <cellStyle name="Percent 2 5 2 4" xfId="4024"/>
    <cellStyle name="Percent 2 5 3" xfId="4025"/>
    <cellStyle name="Percent 2 5 3 2" xfId="4026"/>
    <cellStyle name="Percent 2 5 3 2 2" xfId="4027"/>
    <cellStyle name="Percent 2 5 3 2 2 2" xfId="4028"/>
    <cellStyle name="Percent 2 5 3 2 3" xfId="4029"/>
    <cellStyle name="Percent 2 5 3 3" xfId="4030"/>
    <cellStyle name="Percent 2 5 3 3 2" xfId="4031"/>
    <cellStyle name="Percent 2 5 3 4" xfId="4032"/>
    <cellStyle name="Percent 2 5 4" xfId="4033"/>
    <cellStyle name="Percent 2 5 4 2" xfId="4034"/>
    <cellStyle name="Percent 2 5 4 2 2" xfId="4035"/>
    <cellStyle name="Percent 2 5 4 3" xfId="4036"/>
    <cellStyle name="Percent 2 5 5" xfId="4037"/>
    <cellStyle name="Percent 2 5 5 2" xfId="4038"/>
    <cellStyle name="Percent 2 5 6" xfId="4039"/>
    <cellStyle name="Percent 2 6" xfId="4040"/>
    <cellStyle name="Percent 2 6 2" xfId="4041"/>
    <cellStyle name="Percent 2 6 2 2" xfId="4042"/>
    <cellStyle name="Percent 2 6 2 2 2" xfId="4043"/>
    <cellStyle name="Percent 2 6 2 2 2 2" xfId="4044"/>
    <cellStyle name="Percent 2 6 2 2 3" xfId="4045"/>
    <cellStyle name="Percent 2 6 2 3" xfId="4046"/>
    <cellStyle name="Percent 2 6 2 3 2" xfId="4047"/>
    <cellStyle name="Percent 2 6 2 4" xfId="4048"/>
    <cellStyle name="Percent 2 6 3" xfId="4049"/>
    <cellStyle name="Percent 2 6 3 2" xfId="4050"/>
    <cellStyle name="Percent 2 6 3 2 2" xfId="4051"/>
    <cellStyle name="Percent 2 6 3 2 2 2" xfId="4052"/>
    <cellStyle name="Percent 2 6 3 2 3" xfId="4053"/>
    <cellStyle name="Percent 2 6 3 3" xfId="4054"/>
    <cellStyle name="Percent 2 6 3 3 2" xfId="4055"/>
    <cellStyle name="Percent 2 6 3 4" xfId="4056"/>
    <cellStyle name="Percent 2 6 4" xfId="4057"/>
    <cellStyle name="Percent 2 6 4 2" xfId="4058"/>
    <cellStyle name="Percent 2 6 4 2 2" xfId="4059"/>
    <cellStyle name="Percent 2 6 4 3" xfId="4060"/>
    <cellStyle name="Percent 2 6 5" xfId="4061"/>
    <cellStyle name="Percent 2 6 5 2" xfId="4062"/>
    <cellStyle name="Percent 2 6 6" xfId="4063"/>
    <cellStyle name="Percent 2 7" xfId="4064"/>
    <cellStyle name="Percent 2 7 2" xfId="4065"/>
    <cellStyle name="Percent 2 7 3" xfId="4066"/>
    <cellStyle name="Percent 2 7 4" xfId="4067"/>
    <cellStyle name="Percent 2 7 4 2" xfId="4068"/>
    <cellStyle name="Percent 2 7 4 2 2" xfId="4069"/>
    <cellStyle name="Percent 2 7 4 3" xfId="4070"/>
    <cellStyle name="Percent 2 7 5" xfId="4071"/>
    <cellStyle name="Percent 2 7 5 2" xfId="4072"/>
    <cellStyle name="Percent 2 7 6" xfId="4073"/>
    <cellStyle name="Percent 2 8" xfId="4074"/>
    <cellStyle name="Percent 2 8 2" xfId="4075"/>
    <cellStyle name="Percent 2 8 2 2" xfId="4076"/>
    <cellStyle name="Percent 2 8 2 2 2" xfId="4077"/>
    <cellStyle name="Percent 2 8 2 3" xfId="4078"/>
    <cellStyle name="Percent 2 8 3" xfId="4079"/>
    <cellStyle name="Percent 2 8 3 2" xfId="4080"/>
    <cellStyle name="Percent 2 8 4" xfId="4081"/>
    <cellStyle name="Percent 2 9" xfId="4082"/>
    <cellStyle name="Percent 20" xfId="4623"/>
    <cellStyle name="Percent 21" xfId="4626"/>
    <cellStyle name="Percent 22" xfId="4629"/>
    <cellStyle name="Percent 23" xfId="4632"/>
    <cellStyle name="Percent 24" xfId="4634"/>
    <cellStyle name="Percent 25" xfId="4694"/>
    <cellStyle name="Percent 26" xfId="4680"/>
    <cellStyle name="Percent 27" xfId="4695"/>
    <cellStyle name="Percent 28" xfId="4679"/>
    <cellStyle name="Percent 29" xfId="4696"/>
    <cellStyle name="Percent 3" xfId="4083"/>
    <cellStyle name="Percent 3 2" xfId="4084"/>
    <cellStyle name="Percent 3 2 2" xfId="4085"/>
    <cellStyle name="Percent 3 2 2 2" xfId="4086"/>
    <cellStyle name="Percent 3 2 3" xfId="4087"/>
    <cellStyle name="Percent 3 2 4" xfId="4088"/>
    <cellStyle name="Percent 3 3" xfId="4089"/>
    <cellStyle name="Percent 3 4" xfId="4090"/>
    <cellStyle name="Percent 4" xfId="4091"/>
    <cellStyle name="Percent 4 2" xfId="4092"/>
    <cellStyle name="Percent 4 2 2" xfId="4093"/>
    <cellStyle name="Percent 4 2 2 2" xfId="5543"/>
    <cellStyle name="Percent 4 2 2 2 2" xfId="5544"/>
    <cellStyle name="Percent 4 2 2 3" xfId="5545"/>
    <cellStyle name="Percent 4 2 2 4" xfId="5546"/>
    <cellStyle name="Percent 4 2 3" xfId="5547"/>
    <cellStyle name="Percent 4 3" xfId="4094"/>
    <cellStyle name="Percent 4 3 2" xfId="4095"/>
    <cellStyle name="Percent 4 3 2 2" xfId="4096"/>
    <cellStyle name="Percent 4 3 3" xfId="4097"/>
    <cellStyle name="Percent 4 4" xfId="5548"/>
    <cellStyle name="Percent 5" xfId="4098"/>
    <cellStyle name="Percent 5 2" xfId="4099"/>
    <cellStyle name="Percent 5 2 2" xfId="4100"/>
    <cellStyle name="Percent 5 2 2 2" xfId="4101"/>
    <cellStyle name="Percent 5 2 2 2 2" xfId="5549"/>
    <cellStyle name="Percent 5 2 2 3" xfId="5550"/>
    <cellStyle name="Percent 5 2 2 4" xfId="5551"/>
    <cellStyle name="Percent 5 2 3" xfId="4102"/>
    <cellStyle name="Percent 6" xfId="4103"/>
    <cellStyle name="Percent 6 2" xfId="4104"/>
    <cellStyle name="Percent 6 2 2" xfId="4105"/>
    <cellStyle name="Percent 6 2 2 2" xfId="4106"/>
    <cellStyle name="Percent 6 2 3" xfId="4107"/>
    <cellStyle name="Percent 6 2 4" xfId="5552"/>
    <cellStyle name="Percent 6 3" xfId="4108"/>
    <cellStyle name="Percent 6 3 2" xfId="4109"/>
    <cellStyle name="Percent 6 3 2 2" xfId="4110"/>
    <cellStyle name="Percent 6 3 3" xfId="4111"/>
    <cellStyle name="Percent 7" xfId="4112"/>
    <cellStyle name="Percent 7 2" xfId="4113"/>
    <cellStyle name="Percent 7 2 2" xfId="4114"/>
    <cellStyle name="Percent 7 2 2 2" xfId="4115"/>
    <cellStyle name="Percent 7 2 3" xfId="4116"/>
    <cellStyle name="Percent 7 3" xfId="4117"/>
    <cellStyle name="Percent 7 3 2" xfId="4118"/>
    <cellStyle name="Percent 7 4" xfId="4119"/>
    <cellStyle name="Percent 7 5" xfId="5604"/>
    <cellStyle name="Percent 8" xfId="4120"/>
    <cellStyle name="Percent 8 2" xfId="5553"/>
    <cellStyle name="Percent 8 2 2" xfId="5554"/>
    <cellStyle name="Percent 8 3" xfId="5555"/>
    <cellStyle name="Percent 8 4" xfId="5556"/>
    <cellStyle name="Percent 9" xfId="4121"/>
    <cellStyle name="Percent 9 2" xfId="5557"/>
    <cellStyle name="Percent 9 2 2" xfId="5558"/>
    <cellStyle name="Percent 9 3" xfId="5559"/>
    <cellStyle name="Percent 9 4" xfId="5560"/>
    <cellStyle name="Percent Hard" xfId="4122"/>
    <cellStyle name="percentage" xfId="4123"/>
    <cellStyle name="PercentChange" xfId="4124"/>
    <cellStyle name="PLAN1" xfId="4125"/>
    <cellStyle name="Porcentaje" xfId="4126"/>
    <cellStyle name="Pourcentage_Profit &amp; Loss" xfId="4127"/>
    <cellStyle name="PrePop Currency (0)" xfId="4128"/>
    <cellStyle name="PrePop Currency (2)" xfId="4129"/>
    <cellStyle name="PrePop Units (0)" xfId="4130"/>
    <cellStyle name="PrePop Units (1)" xfId="4131"/>
    <cellStyle name="PrePop Units (2)" xfId="4132"/>
    <cellStyle name="Procenten" xfId="4133"/>
    <cellStyle name="Procenten estimate" xfId="4134"/>
    <cellStyle name="Procenten_EMI" xfId="4135"/>
    <cellStyle name="Profit figure" xfId="4136"/>
    <cellStyle name="Protected" xfId="4137"/>
    <cellStyle name="ProtectedDates" xfId="4138"/>
    <cellStyle name="PSChar" xfId="4139"/>
    <cellStyle name="PSDate" xfId="4140"/>
    <cellStyle name="PSDec" xfId="4141"/>
    <cellStyle name="PSHeading" xfId="4142"/>
    <cellStyle name="PSInt" xfId="4143"/>
    <cellStyle name="PSSpacer" xfId="4144"/>
    <cellStyle name="RatioX" xfId="4145"/>
    <cellStyle name="Red font" xfId="4146"/>
    <cellStyle name="ref" xfId="4147"/>
    <cellStyle name="Right" xfId="4148"/>
    <cellStyle name="Salomon Logo" xfId="4149"/>
    <cellStyle name="ScripFactor" xfId="4150"/>
    <cellStyle name="SectionHeading" xfId="4151"/>
    <cellStyle name="SectionHeading 2" xfId="4656"/>
    <cellStyle name="Shade" xfId="4152"/>
    <cellStyle name="Shaded" xfId="4153"/>
    <cellStyle name="Single Accounting" xfId="4154"/>
    <cellStyle name="Single Accounting 2" xfId="5407"/>
    <cellStyle name="SingleLineAcctgn" xfId="4155"/>
    <cellStyle name="SingleLineAcctgn 2" xfId="5408"/>
    <cellStyle name="SingleLinePercent" xfId="4156"/>
    <cellStyle name="Source Superscript" xfId="4157"/>
    <cellStyle name="Source Text" xfId="4158"/>
    <cellStyle name="ssp " xfId="4159"/>
    <cellStyle name="Standard" xfId="4160"/>
    <cellStyle name="Style 1" xfId="4161"/>
    <cellStyle name="Style 10" xfId="4162"/>
    <cellStyle name="Style 100" xfId="4163"/>
    <cellStyle name="Style 101" xfId="4164"/>
    <cellStyle name="Style 102" xfId="4165"/>
    <cellStyle name="Style 103" xfId="4166"/>
    <cellStyle name="Style 104" xfId="4167"/>
    <cellStyle name="Style 105" xfId="4168"/>
    <cellStyle name="Style 106" xfId="4169"/>
    <cellStyle name="Style 107" xfId="4170"/>
    <cellStyle name="Style 108" xfId="4171"/>
    <cellStyle name="Style 109" xfId="4172"/>
    <cellStyle name="Style 11" xfId="4173"/>
    <cellStyle name="Style 110" xfId="4174"/>
    <cellStyle name="Style 111" xfId="4175"/>
    <cellStyle name="Style 112" xfId="4176"/>
    <cellStyle name="Style 113" xfId="4177"/>
    <cellStyle name="Style 114" xfId="4178"/>
    <cellStyle name="Style 115" xfId="4179"/>
    <cellStyle name="Style 116" xfId="4180"/>
    <cellStyle name="Style 117" xfId="4181"/>
    <cellStyle name="Style 118" xfId="4182"/>
    <cellStyle name="Style 119" xfId="4183"/>
    <cellStyle name="Style 12" xfId="4184"/>
    <cellStyle name="Style 120" xfId="4185"/>
    <cellStyle name="Style 121" xfId="4186"/>
    <cellStyle name="Style 122" xfId="4187"/>
    <cellStyle name="Style 123" xfId="4188"/>
    <cellStyle name="Style 124" xfId="4189"/>
    <cellStyle name="Style 125" xfId="4190"/>
    <cellStyle name="Style 126" xfId="4191"/>
    <cellStyle name="Style 127" xfId="4192"/>
    <cellStyle name="Style 128" xfId="4193"/>
    <cellStyle name="Style 129" xfId="4194"/>
    <cellStyle name="Style 13" xfId="4195"/>
    <cellStyle name="Style 130" xfId="4196"/>
    <cellStyle name="Style 131" xfId="4197"/>
    <cellStyle name="Style 132" xfId="4198"/>
    <cellStyle name="Style 133" xfId="4199"/>
    <cellStyle name="Style 134" xfId="4200"/>
    <cellStyle name="Style 135" xfId="4201"/>
    <cellStyle name="Style 136" xfId="4202"/>
    <cellStyle name="Style 137" xfId="4203"/>
    <cellStyle name="Style 138" xfId="4204"/>
    <cellStyle name="Style 139" xfId="4205"/>
    <cellStyle name="Style 14" xfId="4206"/>
    <cellStyle name="Style 140" xfId="4207"/>
    <cellStyle name="Style 141" xfId="4208"/>
    <cellStyle name="Style 142" xfId="4209"/>
    <cellStyle name="Style 143" xfId="4210"/>
    <cellStyle name="Style 144" xfId="4211"/>
    <cellStyle name="Style 145" xfId="4212"/>
    <cellStyle name="Style 146" xfId="4213"/>
    <cellStyle name="Style 147" xfId="4214"/>
    <cellStyle name="Style 148" xfId="4215"/>
    <cellStyle name="Style 149" xfId="4216"/>
    <cellStyle name="Style 15" xfId="4217"/>
    <cellStyle name="Style 150" xfId="4218"/>
    <cellStyle name="Style 151" xfId="4219"/>
    <cellStyle name="Style 152" xfId="4220"/>
    <cellStyle name="Style 153" xfId="4221"/>
    <cellStyle name="Style 154" xfId="4222"/>
    <cellStyle name="Style 155" xfId="4223"/>
    <cellStyle name="Style 156" xfId="4224"/>
    <cellStyle name="Style 157" xfId="4225"/>
    <cellStyle name="Style 158" xfId="4226"/>
    <cellStyle name="Style 159" xfId="4227"/>
    <cellStyle name="Style 16" xfId="4228"/>
    <cellStyle name="Style 160" xfId="4229"/>
    <cellStyle name="Style 161" xfId="4230"/>
    <cellStyle name="Style 162" xfId="4231"/>
    <cellStyle name="Style 163" xfId="4232"/>
    <cellStyle name="Style 164" xfId="4233"/>
    <cellStyle name="Style 165" xfId="4234"/>
    <cellStyle name="Style 166" xfId="4235"/>
    <cellStyle name="Style 167" xfId="4236"/>
    <cellStyle name="Style 168" xfId="4237"/>
    <cellStyle name="Style 168 2" xfId="5409"/>
    <cellStyle name="Style 169" xfId="4238"/>
    <cellStyle name="Style 17" xfId="4239"/>
    <cellStyle name="Style 170" xfId="4240"/>
    <cellStyle name="Style 171" xfId="4241"/>
    <cellStyle name="Style 172" xfId="4242"/>
    <cellStyle name="Style 173" xfId="4243"/>
    <cellStyle name="Style 174" xfId="4244"/>
    <cellStyle name="Style 175" xfId="4245"/>
    <cellStyle name="Style 176" xfId="4246"/>
    <cellStyle name="Style 177" xfId="4247"/>
    <cellStyle name="Style 178" xfId="4248"/>
    <cellStyle name="Style 179" xfId="4249"/>
    <cellStyle name="Style 18" xfId="4250"/>
    <cellStyle name="Style 180" xfId="4251"/>
    <cellStyle name="Style 181" xfId="4252"/>
    <cellStyle name="Style 182" xfId="4253"/>
    <cellStyle name="Style 183" xfId="4254"/>
    <cellStyle name="Style 184" xfId="4255"/>
    <cellStyle name="Style 185" xfId="4256"/>
    <cellStyle name="Style 186" xfId="4257"/>
    <cellStyle name="Style 187" xfId="4258"/>
    <cellStyle name="Style 188" xfId="4259"/>
    <cellStyle name="Style 189" xfId="4260"/>
    <cellStyle name="Style 19" xfId="4261"/>
    <cellStyle name="Style 190" xfId="4262"/>
    <cellStyle name="Style 191" xfId="4263"/>
    <cellStyle name="Style 192" xfId="4264"/>
    <cellStyle name="Style 193" xfId="4265"/>
    <cellStyle name="Style 194" xfId="4266"/>
    <cellStyle name="Style 195" xfId="4267"/>
    <cellStyle name="Style 196" xfId="4268"/>
    <cellStyle name="Style 197" xfId="4269"/>
    <cellStyle name="Style 198" xfId="4270"/>
    <cellStyle name="Style 199" xfId="4271"/>
    <cellStyle name="Style 2" xfId="4272"/>
    <cellStyle name="Style 2 2" xfId="5410"/>
    <cellStyle name="Style 20" xfId="4273"/>
    <cellStyle name="Style 200" xfId="4274"/>
    <cellStyle name="Style 201" xfId="4275"/>
    <cellStyle name="Style 202" xfId="4276"/>
    <cellStyle name="Style 203" xfId="4277"/>
    <cellStyle name="Style 204" xfId="4278"/>
    <cellStyle name="Style 205" xfId="4279"/>
    <cellStyle name="Style 206" xfId="4280"/>
    <cellStyle name="Style 207" xfId="4281"/>
    <cellStyle name="Style 208" xfId="4282"/>
    <cellStyle name="Style 209" xfId="4283"/>
    <cellStyle name="Style 21" xfId="4284"/>
    <cellStyle name="Style 21 2" xfId="4285"/>
    <cellStyle name="Style 21 2 2" xfId="5561"/>
    <cellStyle name="Style 21 2 3" xfId="5562"/>
    <cellStyle name="Style 21 3" xfId="4657"/>
    <cellStyle name="Style 21 4" xfId="5563"/>
    <cellStyle name="Style 22" xfId="4286"/>
    <cellStyle name="Style 22 2" xfId="4287"/>
    <cellStyle name="Style 22 2 2" xfId="5564"/>
    <cellStyle name="Style 22 2 2 2" xfId="5565"/>
    <cellStyle name="Style 22 2 2 3" xfId="5566"/>
    <cellStyle name="Style 22 2 3" xfId="5567"/>
    <cellStyle name="Style 22 2 4" xfId="5568"/>
    <cellStyle name="Style 22 3" xfId="4288"/>
    <cellStyle name="Style 22 3 2" xfId="5569"/>
    <cellStyle name="Style 22 3 2 2" xfId="5570"/>
    <cellStyle name="Style 22 3 2 3" xfId="5571"/>
    <cellStyle name="Style 22 3 3" xfId="5572"/>
    <cellStyle name="Style 22 3 4" xfId="5573"/>
    <cellStyle name="Style 22 4" xfId="4289"/>
    <cellStyle name="Style 22 4 2" xfId="5574"/>
    <cellStyle name="Style 22 4 3" xfId="5575"/>
    <cellStyle name="Style 22 5" xfId="4658"/>
    <cellStyle name="Style 22 6" xfId="5576"/>
    <cellStyle name="Style 23" xfId="4290"/>
    <cellStyle name="Style 23 2" xfId="4291"/>
    <cellStyle name="Style 23 2 2" xfId="4660"/>
    <cellStyle name="Style 23 2 2 2" xfId="5577"/>
    <cellStyle name="Style 23 2 2 3" xfId="5578"/>
    <cellStyle name="Style 23 2 3" xfId="5579"/>
    <cellStyle name="Style 23 2 4" xfId="5580"/>
    <cellStyle name="Style 23 3" xfId="4292"/>
    <cellStyle name="Style 23 3 2" xfId="5581"/>
    <cellStyle name="Style 23 3 3" xfId="5582"/>
    <cellStyle name="Style 23 4" xfId="4659"/>
    <cellStyle name="Style 23 5" xfId="5583"/>
    <cellStyle name="Style 24" xfId="4293"/>
    <cellStyle name="Style 24 2" xfId="4294"/>
    <cellStyle name="Style 24 2 2" xfId="5584"/>
    <cellStyle name="Style 24 2 3" xfId="5585"/>
    <cellStyle name="Style 24 3" xfId="4295"/>
    <cellStyle name="Style 24 4" xfId="4296"/>
    <cellStyle name="Style 24 5" xfId="4661"/>
    <cellStyle name="Style 25" xfId="4297"/>
    <cellStyle name="Style 25 2" xfId="4298"/>
    <cellStyle name="Style 25 2 2" xfId="4663"/>
    <cellStyle name="Style 25 2 2 2" xfId="5586"/>
    <cellStyle name="Style 25 2 2 3" xfId="5587"/>
    <cellStyle name="Style 25 2 3" xfId="5588"/>
    <cellStyle name="Style 25 2 4" xfId="5589"/>
    <cellStyle name="Style 25 3" xfId="4299"/>
    <cellStyle name="Style 25 3 2" xfId="5590"/>
    <cellStyle name="Style 25 3 3" xfId="5591"/>
    <cellStyle name="Style 25 4" xfId="4662"/>
    <cellStyle name="Style 25 5" xfId="5592"/>
    <cellStyle name="Style 26" xfId="4300"/>
    <cellStyle name="Style 26 2" xfId="4301"/>
    <cellStyle name="Style 26 2 2" xfId="5593"/>
    <cellStyle name="Style 26 2 3" xfId="5594"/>
    <cellStyle name="Style 26 3" xfId="4302"/>
    <cellStyle name="Style 26 4" xfId="4303"/>
    <cellStyle name="Style 26 5" xfId="4664"/>
    <cellStyle name="Style 27" xfId="4304"/>
    <cellStyle name="Style 28" xfId="4305"/>
    <cellStyle name="Style 29" xfId="4306"/>
    <cellStyle name="Style 3" xfId="4307"/>
    <cellStyle name="Style 30" xfId="4308"/>
    <cellStyle name="Style 31" xfId="4309"/>
    <cellStyle name="Style 32" xfId="4310"/>
    <cellStyle name="Style 33" xfId="4311"/>
    <cellStyle name="Style 34" xfId="4312"/>
    <cellStyle name="Style 35" xfId="4313"/>
    <cellStyle name="Style 36" xfId="4314"/>
    <cellStyle name="Style 37" xfId="4315"/>
    <cellStyle name="Style 38" xfId="4316"/>
    <cellStyle name="Style 39" xfId="4317"/>
    <cellStyle name="Style 4" xfId="4318"/>
    <cellStyle name="Style 40" xfId="4319"/>
    <cellStyle name="Style 41" xfId="4320"/>
    <cellStyle name="Style 42" xfId="4321"/>
    <cellStyle name="Style 43" xfId="4322"/>
    <cellStyle name="Style 44" xfId="4323"/>
    <cellStyle name="Style 45" xfId="4324"/>
    <cellStyle name="Style 46" xfId="4325"/>
    <cellStyle name="Style 47" xfId="4326"/>
    <cellStyle name="Style 48" xfId="4327"/>
    <cellStyle name="Style 49" xfId="4328"/>
    <cellStyle name="Style 5" xfId="4329"/>
    <cellStyle name="Style 5 2" xfId="5411"/>
    <cellStyle name="Style 50" xfId="4330"/>
    <cellStyle name="Style 51" xfId="4331"/>
    <cellStyle name="Style 52" xfId="4332"/>
    <cellStyle name="Style 53" xfId="4333"/>
    <cellStyle name="Style 54" xfId="4334"/>
    <cellStyle name="Style 55" xfId="4335"/>
    <cellStyle name="Style 56" xfId="4336"/>
    <cellStyle name="Style 57" xfId="4337"/>
    <cellStyle name="Style 58" xfId="4338"/>
    <cellStyle name="Style 59" xfId="4339"/>
    <cellStyle name="Style 6" xfId="4340"/>
    <cellStyle name="Style 60" xfId="4341"/>
    <cellStyle name="Style 61" xfId="4342"/>
    <cellStyle name="Style 62" xfId="4343"/>
    <cellStyle name="Style 63" xfId="4344"/>
    <cellStyle name="Style 64" xfId="4345"/>
    <cellStyle name="Style 65" xfId="4346"/>
    <cellStyle name="Style 66" xfId="4347"/>
    <cellStyle name="Style 67" xfId="4348"/>
    <cellStyle name="Style 68" xfId="4349"/>
    <cellStyle name="Style 69" xfId="4350"/>
    <cellStyle name="Style 7" xfId="4351"/>
    <cellStyle name="Style 70" xfId="4352"/>
    <cellStyle name="Style 71" xfId="4353"/>
    <cellStyle name="Style 72" xfId="4354"/>
    <cellStyle name="Style 73" xfId="4355"/>
    <cellStyle name="Style 74" xfId="4356"/>
    <cellStyle name="Style 75" xfId="4357"/>
    <cellStyle name="Style 76" xfId="4358"/>
    <cellStyle name="Style 77" xfId="4359"/>
    <cellStyle name="Style 78" xfId="4360"/>
    <cellStyle name="Style 79" xfId="4361"/>
    <cellStyle name="Style 8" xfId="4362"/>
    <cellStyle name="Style 80" xfId="4363"/>
    <cellStyle name="Style 81" xfId="4364"/>
    <cellStyle name="Style 82" xfId="4365"/>
    <cellStyle name="Style 83" xfId="4366"/>
    <cellStyle name="Style 84" xfId="4367"/>
    <cellStyle name="Style 85" xfId="4368"/>
    <cellStyle name="Style 86" xfId="4369"/>
    <cellStyle name="Style 87" xfId="4370"/>
    <cellStyle name="Style 88" xfId="4371"/>
    <cellStyle name="Style 89" xfId="4372"/>
    <cellStyle name="Style 9" xfId="4373"/>
    <cellStyle name="Style 90" xfId="4374"/>
    <cellStyle name="Style 91" xfId="4375"/>
    <cellStyle name="Style 92" xfId="4376"/>
    <cellStyle name="Style 93" xfId="4377"/>
    <cellStyle name="Style 94" xfId="4378"/>
    <cellStyle name="Style 95" xfId="4379"/>
    <cellStyle name="Style 96" xfId="4380"/>
    <cellStyle name="Style 97" xfId="4381"/>
    <cellStyle name="Style 98" xfId="4382"/>
    <cellStyle name="Style 99" xfId="4383"/>
    <cellStyle name="STYLE1" xfId="4384"/>
    <cellStyle name="STYLE2" xfId="4385"/>
    <cellStyle name="STYLE3" xfId="4386"/>
    <cellStyle name="Subhead" xfId="4387"/>
    <cellStyle name="Subtotal_left" xfId="4388"/>
    <cellStyle name="SwitchCell" xfId="4389"/>
    <cellStyle name="t" xfId="4390"/>
    <cellStyle name="Table Col Head" xfId="4391"/>
    <cellStyle name="Table Head" xfId="4392"/>
    <cellStyle name="Table Head Aligned" xfId="4393"/>
    <cellStyle name="Table Head Blue" xfId="4394"/>
    <cellStyle name="Table Head Green" xfId="4395"/>
    <cellStyle name="Table Head_Val_Sum_Graph" xfId="4396"/>
    <cellStyle name="Table Sub Head" xfId="4397"/>
    <cellStyle name="Table Text" xfId="4398"/>
    <cellStyle name="Table Title" xfId="4399"/>
    <cellStyle name="Table Units" xfId="4400"/>
    <cellStyle name="Table_Header" xfId="4401"/>
    <cellStyle name="TableBorder" xfId="4402"/>
    <cellStyle name="TableColumnHeader" xfId="4403"/>
    <cellStyle name="TableColumnHeader 2" xfId="4483"/>
    <cellStyle name="TableHeading" xfId="4404"/>
    <cellStyle name="TableHighlight" xfId="4405"/>
    <cellStyle name="TableNote" xfId="4406"/>
    <cellStyle name="test a style" xfId="4407"/>
    <cellStyle name="Text 1" xfId="4408"/>
    <cellStyle name="Text Head 1" xfId="4409"/>
    <cellStyle name="Text Indent A" xfId="4410"/>
    <cellStyle name="Text Indent B" xfId="4411"/>
    <cellStyle name="Text Indent C" xfId="4412"/>
    <cellStyle name="Text Wrap" xfId="4413"/>
    <cellStyle name="Time" xfId="4414"/>
    <cellStyle name="Times 10" xfId="4415"/>
    <cellStyle name="Times 12" xfId="4416"/>
    <cellStyle name="Times New Roman" xfId="4417"/>
    <cellStyle name="Title" xfId="4528" builtinId="15" customBuiltin="1"/>
    <cellStyle name="Title 2" xfId="4418"/>
    <cellStyle name="Title 2 2" xfId="4419"/>
    <cellStyle name="Title 3" xfId="4420"/>
    <cellStyle name="title1" xfId="4421"/>
    <cellStyle name="title2" xfId="4422"/>
    <cellStyle name="Title-2" xfId="4423"/>
    <cellStyle name="Titles" xfId="4424"/>
    <cellStyle name="titre_col" xfId="4425"/>
    <cellStyle name="TOC" xfId="4426"/>
    <cellStyle name="Total" xfId="4543" builtinId="25" customBuiltin="1"/>
    <cellStyle name="Total 2" xfId="4427"/>
    <cellStyle name="Total 2 10" xfId="4428"/>
    <cellStyle name="Total 2 11" xfId="4484"/>
    <cellStyle name="Total 2 12" xfId="4525"/>
    <cellStyle name="Total 2 2" xfId="4429"/>
    <cellStyle name="Total 2 2 2" xfId="4430"/>
    <cellStyle name="Total 2 2 3" xfId="4485"/>
    <cellStyle name="Total 2 2 3 2" xfId="5595"/>
    <cellStyle name="Total 2 2 4" xfId="5596"/>
    <cellStyle name="Total 2 3" xfId="4431"/>
    <cellStyle name="Total 2 3 2" xfId="5597"/>
    <cellStyle name="Total 2 3 3" xfId="5598"/>
    <cellStyle name="Total 2 3 3 2" xfId="5599"/>
    <cellStyle name="Total 2 3 4" xfId="5600"/>
    <cellStyle name="Total 2 4" xfId="4432"/>
    <cellStyle name="Total 2 5" xfId="4433"/>
    <cellStyle name="Total 2 5 2" xfId="5601"/>
    <cellStyle name="Total 2 6" xfId="4434"/>
    <cellStyle name="Total 2 7" xfId="4435"/>
    <cellStyle name="Total 2 8" xfId="4436"/>
    <cellStyle name="Total 2 9" xfId="4437"/>
    <cellStyle name="Total 3" xfId="4438"/>
    <cellStyle name="Total Bold" xfId="4439"/>
    <cellStyle name="Total Bold 2" xfId="5414"/>
    <cellStyle name="Totals" xfId="4440"/>
    <cellStyle name="Totals 2" xfId="4665"/>
    <cellStyle name="Underline_Single" xfId="4441"/>
    <cellStyle name="UnProtectedCalc" xfId="4442"/>
    <cellStyle name="Valuta (0)_Sheet1" xfId="4443"/>
    <cellStyle name="Valuta_piv_polio" xfId="4444"/>
    <cellStyle name="Währung [0]_A17 - 31.03.1998" xfId="4445"/>
    <cellStyle name="Währung_A17 - 31.03.1998" xfId="4446"/>
    <cellStyle name="Warburg" xfId="4447"/>
    <cellStyle name="Warning Text" xfId="4541" builtinId="11" customBuiltin="1"/>
    <cellStyle name="Warning Text 2" xfId="4448"/>
    <cellStyle name="Warning Text 2 10" xfId="4526"/>
    <cellStyle name="Warning Text 2 2" xfId="4449"/>
    <cellStyle name="Warning Text 2 3" xfId="4450"/>
    <cellStyle name="Warning Text 2 4" xfId="4451"/>
    <cellStyle name="Warning Text 2 5" xfId="4452"/>
    <cellStyle name="Warning Text 2 6" xfId="4453"/>
    <cellStyle name="Warning Text 2 7" xfId="4454"/>
    <cellStyle name="Warning Text 2 8" xfId="4455"/>
    <cellStyle name="Warning Text 2 9" xfId="4456"/>
    <cellStyle name="wild guess" xfId="4457"/>
    <cellStyle name="Wildguess" xfId="4458"/>
    <cellStyle name="Year" xfId="4459"/>
    <cellStyle name="Year Estimate" xfId="4460"/>
    <cellStyle name="Year, Actual" xfId="4461"/>
    <cellStyle name="YearE_ Pies " xfId="4462"/>
    <cellStyle name="YearFormat" xfId="4463"/>
    <cellStyle name="Yen" xfId="4464"/>
    <cellStyle name="YesNo" xfId="4465"/>
    <cellStyle name="쬞\?1@" xfId="4466"/>
    <cellStyle name="常规 2" xfId="6"/>
    <cellStyle name="標準_car_JP" xfId="4467"/>
  </cellStyles>
  <dxfs count="19">
    <dxf>
      <font>
        <condense val="0"/>
        <extend val="0"/>
        <color rgb="FF9C0006"/>
      </font>
      <fill>
        <patternFill>
          <bgColor rgb="FFFFC7CE"/>
        </patternFill>
      </fill>
    </dxf>
    <dxf>
      <font>
        <condense val="0"/>
        <extend val="0"/>
        <color rgb="FF006100"/>
      </font>
      <fill>
        <patternFill>
          <bgColor rgb="FFC6EFCE"/>
        </patternFill>
      </fill>
    </dxf>
    <dxf>
      <numFmt numFmtId="4" formatCode="#,##0.00"/>
    </dxf>
    <dxf>
      <numFmt numFmtId="4" formatCode="#,##0.00"/>
    </dxf>
    <dxf>
      <numFmt numFmtId="4" formatCode="#,##0.00"/>
    </dxf>
    <dxf>
      <numFmt numFmtId="4" formatCode="#,##0.00"/>
    </dxf>
    <dxf>
      <numFmt numFmtId="4" formatCode="#,##0.00"/>
    </dxf>
    <dxf>
      <numFmt numFmtId="4" formatCode="#,##0.00"/>
    </dxf>
    <dxf>
      <fill>
        <patternFill patternType="none">
          <bgColor auto="1"/>
        </patternFill>
      </fill>
    </dxf>
    <dxf>
      <fill>
        <patternFill patternType="none">
          <bgColor auto="1"/>
        </patternFill>
      </fill>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sharedStrings" Target="sharedStrings.xml"/></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tilities%20Kingston%20Conservation\2016-2020%20Utilities%20Kingston%20Conservation\2015-2020%20Conservation%20Plan%20-%20EBQ\FINAL%20-%202015-2020%20Kingston%20Hydro%20Conservation%20Plan\150806%20-%20Kingston%20Hydro%202015-2020%20CE%20Too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sottile\Downloads\2016_Filing_Requirements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tilities%20Kingston%20Conservation\2011-2015%20Electricity%20Conservation\2011-2014%20Kingston%20Hydro%20CDM\Annual%20&amp;%20Quarterly%20Reports\2012\PAB\2012%20PAB%20Report%20Submission%20-%20Kingston%20Hydro\130417%20-%202012%20PAB%20Report%20-%20Kingston%20Hydr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tilities%20Kingston%20Conservation\2011-2015%20Electricity%20Conservation\2011-2014%20Kingston%20Hydro%20CDM\LRAM\Copy%20of%202006-2010%20Final%20OPA%20CDM%20Results%20Kingston%20Hydro%20Corpor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PROGRAMS\Portfolio%20of%20Programs%20-%20Consolidated%20View\Reports\LDC%20Quarterly%20Report%20Template\Results%20by%20LD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ssottile\AppData\Local\Microsoft\Windows\INetCache\Content.Outlook\POA158EQ\150903%20-%20Kingston%20Hydro%20CDM%20Data%20For%20Rate%20Application%20IRs-update%20for%20IR's-Sept%20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ssottile\AppData\Local\Microsoft\Windows\INetCache\Content.Outlook\POA158EQ\150908%20-%20Revised%20Evidence%20-%20Ex4s6att1%20-%20LRAMVA%20Table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IngLi\AppData\Local\Temp\3-VECC-22\150807%20-%20Kingston%20Hydro%20CDM%20Plan%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ARCHITECTURE"/>
      <sheetName val="CDM Plan Summary"/>
      <sheetName val="OPA ADMIN ONLY"/>
      <sheetName val="Detailed CDM Plan Summary"/>
      <sheetName val="PROGRAM DESIGN &gt;&gt;"/>
      <sheetName val="Custom Measure Input"/>
      <sheetName val="Measure Selection &amp; CE Results"/>
      <sheetName val="Program Budget Input"/>
      <sheetName val="External Inputs"/>
      <sheetName val="RESULTS &gt;&gt;"/>
      <sheetName val="Program Portfolio CE Results"/>
      <sheetName val="Measure Savings Results"/>
      <sheetName val="Summary CE Results"/>
      <sheetName val="ADMIN INPUT &gt;&gt;"/>
      <sheetName val="ADMIN OPTIONS"/>
      <sheetName val="CE Parameters"/>
      <sheetName val="Rates Table"/>
      <sheetName val="Avoided Cost Table"/>
      <sheetName val="DEFINED INPUTS &gt;&gt;"/>
      <sheetName val="Custom Load Profile Input"/>
      <sheetName val="Formatted Load Profiles"/>
      <sheetName val="Formatted Measure List"/>
      <sheetName val="CALCULATION &gt;&gt;"/>
      <sheetName val="Levelized Rates Table"/>
      <sheetName val="Levelized Avoided Cost Table"/>
      <sheetName val="Measure CE Results"/>
      <sheetName val="VBA References"/>
      <sheetName val="Revision Histo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6">
          <cell r="F6">
            <v>2015</v>
          </cell>
        </row>
        <row r="7">
          <cell r="F7">
            <v>0.04</v>
          </cell>
        </row>
        <row r="8">
          <cell r="F8">
            <v>0.04</v>
          </cell>
        </row>
        <row r="9">
          <cell r="F9">
            <v>0.02</v>
          </cell>
        </row>
      </sheetData>
      <sheetData sheetId="17"/>
      <sheetData sheetId="18"/>
      <sheetData sheetId="19"/>
      <sheetData sheetId="20"/>
      <sheetData sheetId="21">
        <row r="5">
          <cell r="O5" t="str">
            <v>Summer Peak Demand</v>
          </cell>
          <cell r="P5" t="str">
            <v>Winter Peak Demand</v>
          </cell>
        </row>
      </sheetData>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16">
          <cell r="E1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Information"/>
      <sheetName val="Consumer Program"/>
      <sheetName val="C&amp;I Program"/>
      <sheetName val="LDCNAME"/>
      <sheetName val="Industrial Program"/>
      <sheetName val="Low Income Program"/>
    </sheetNames>
    <sheetDataSet>
      <sheetData sheetId="0" refreshError="1"/>
      <sheetData sheetId="1">
        <row r="14">
          <cell r="B14" t="str">
            <v>Kingston Hydro Corporation</v>
          </cell>
        </row>
      </sheetData>
      <sheetData sheetId="2" refreshError="1"/>
      <sheetData sheetId="3" refreshError="1"/>
      <sheetData sheetId="4">
        <row r="2">
          <cell r="B2" t="str">
            <v xml:space="preserve"> </v>
          </cell>
        </row>
        <row r="3">
          <cell r="B3" t="str">
            <v>Algoma Power Inc</v>
          </cell>
        </row>
        <row r="4">
          <cell r="B4" t="str">
            <v>Atikokan Hydro Inc.</v>
          </cell>
        </row>
        <row r="5">
          <cell r="B5" t="str">
            <v>Bluewater Power Distribution Corporation</v>
          </cell>
        </row>
        <row r="6">
          <cell r="B6" t="str">
            <v>Brant County Power Inc.</v>
          </cell>
        </row>
        <row r="7">
          <cell r="B7" t="str">
            <v>Brantford Power Inc.</v>
          </cell>
        </row>
        <row r="8">
          <cell r="B8" t="str">
            <v>Burlington Hydro Inc.</v>
          </cell>
        </row>
        <row r="9">
          <cell r="B9" t="str">
            <v>Cambridge and North Dumfries Hydro Inc.</v>
          </cell>
        </row>
        <row r="10">
          <cell r="B10" t="str">
            <v>Canadian Niagara Power Inc.</v>
          </cell>
        </row>
        <row r="11">
          <cell r="B11" t="str">
            <v>Centre Wellington Hydro Ltd.</v>
          </cell>
        </row>
        <row r="12">
          <cell r="B12" t="str">
            <v>Chatham-Kent Hydro Inc.</v>
          </cell>
        </row>
        <row r="13">
          <cell r="B13" t="str">
            <v>Clinton Power Corporation</v>
          </cell>
        </row>
        <row r="14">
          <cell r="B14" t="str">
            <v>COLLUS Power Corp.</v>
          </cell>
        </row>
        <row r="15">
          <cell r="B15" t="str">
            <v>Cooperative Hydro Embrun Inc.</v>
          </cell>
        </row>
        <row r="16">
          <cell r="B16" t="str">
            <v>E.L.K. Energy Inc.</v>
          </cell>
        </row>
        <row r="17">
          <cell r="B17" t="str">
            <v>Enersource Hydro Mississauga Inc.</v>
          </cell>
        </row>
        <row r="18">
          <cell r="B18" t="str">
            <v>EnWin Utilities Ltd.</v>
          </cell>
        </row>
        <row r="19">
          <cell r="B19" t="str">
            <v>Entegrus Inc.</v>
          </cell>
        </row>
        <row r="20">
          <cell r="B20" t="str">
            <v>Erie Thames Powerlines Corporation</v>
          </cell>
        </row>
        <row r="21">
          <cell r="B21" t="str">
            <v>Espanola Regional Hydro Distribution Corporation</v>
          </cell>
        </row>
        <row r="22">
          <cell r="B22" t="str">
            <v>Essex Powerlines Corporation</v>
          </cell>
        </row>
        <row r="23">
          <cell r="B23" t="str">
            <v>Festival Hydro Inc.</v>
          </cell>
        </row>
        <row r="24">
          <cell r="B24" t="str">
            <v>Fort Frances Power Corporation</v>
          </cell>
        </row>
        <row r="25">
          <cell r="B25" t="str">
            <v>Greater Sudbury Hydro Inc.</v>
          </cell>
        </row>
        <row r="26">
          <cell r="B26" t="str">
            <v>Grimsby Power Incorporated</v>
          </cell>
        </row>
        <row r="27">
          <cell r="B27" t="str">
            <v>Guelph Hydro Electric Systems Inc.</v>
          </cell>
        </row>
        <row r="28">
          <cell r="B28" t="str">
            <v>Haldimand County Hydro Inc.</v>
          </cell>
        </row>
        <row r="29">
          <cell r="B29" t="str">
            <v>Halton Hills Hydro Inc.</v>
          </cell>
        </row>
        <row r="30">
          <cell r="B30" t="str">
            <v>Horizon Utilities Corporation</v>
          </cell>
        </row>
        <row r="31">
          <cell r="B31" t="str">
            <v>Hydro One Brampton Networks Inc.</v>
          </cell>
        </row>
        <row r="32">
          <cell r="B32" t="str">
            <v>Hydro One Networks Inc.</v>
          </cell>
        </row>
        <row r="33">
          <cell r="B33" t="str">
            <v>Hydro Ottawa Limited</v>
          </cell>
        </row>
        <row r="34">
          <cell r="B34" t="str">
            <v>Innisfil Hydro Distribution Systems Limited</v>
          </cell>
        </row>
        <row r="35">
          <cell r="B35" t="str">
            <v>Kenora Hydro Electric Corporation Ltd.</v>
          </cell>
        </row>
        <row r="36">
          <cell r="B36" t="str">
            <v>Kingston Hydro Corporation</v>
          </cell>
        </row>
        <row r="37">
          <cell r="B37" t="str">
            <v>Kitchener-Wilmot Hydro Inc.</v>
          </cell>
        </row>
        <row r="38">
          <cell r="B38" t="str">
            <v>Lakefront Utilities Inc.</v>
          </cell>
        </row>
        <row r="39">
          <cell r="B39" t="str">
            <v>Lakeland Power Distribution Ltd.</v>
          </cell>
        </row>
        <row r="40">
          <cell r="B40" t="str">
            <v>LDC Four</v>
          </cell>
        </row>
        <row r="41">
          <cell r="B41" t="str">
            <v>London Hydro Inc.</v>
          </cell>
        </row>
        <row r="42">
          <cell r="B42" t="str">
            <v>Middlesex Power Distribution Corporation</v>
          </cell>
        </row>
        <row r="43">
          <cell r="B43" t="str">
            <v>Midland Power Utility Corporation</v>
          </cell>
        </row>
        <row r="44">
          <cell r="B44" t="str">
            <v>Milton Hydro Distribution Inc.</v>
          </cell>
        </row>
        <row r="45">
          <cell r="B45" t="str">
            <v>Newmarket - Tay Power Distribution Ltd.</v>
          </cell>
        </row>
        <row r="46">
          <cell r="B46" t="str">
            <v>Niagara Peninsula Energy Inc.</v>
          </cell>
        </row>
        <row r="47">
          <cell r="B47" t="str">
            <v>Niagara-on-the-Lake Hydro Inc.</v>
          </cell>
        </row>
        <row r="48">
          <cell r="B48" t="str">
            <v>Norfolk Power Distribution Inc.</v>
          </cell>
        </row>
        <row r="49">
          <cell r="B49" t="str">
            <v>North Bay Hydro Distribution Limited</v>
          </cell>
        </row>
        <row r="50">
          <cell r="B50" t="str">
            <v>Northern Ontario Wires Inc.</v>
          </cell>
        </row>
        <row r="51">
          <cell r="B51" t="str">
            <v>Oakville Hydro Electricity Distribution Inc.</v>
          </cell>
        </row>
        <row r="52">
          <cell r="B52" t="str">
            <v>Orangeville Hydro Limited</v>
          </cell>
        </row>
        <row r="53">
          <cell r="B53" t="str">
            <v>Orillia Power Distribution Corporation</v>
          </cell>
        </row>
        <row r="54">
          <cell r="B54" t="str">
            <v>Oshawa PUC Networks Inc.</v>
          </cell>
        </row>
        <row r="55">
          <cell r="B55" t="str">
            <v>Ottawa River Power Corporation</v>
          </cell>
        </row>
        <row r="56">
          <cell r="B56" t="str">
            <v>Parry Sound Power Corporation</v>
          </cell>
        </row>
        <row r="57">
          <cell r="B57" t="str">
            <v>Peterborough Distribution Incorporated</v>
          </cell>
        </row>
        <row r="58">
          <cell r="B58" t="str">
            <v>PowerStream Inc.</v>
          </cell>
        </row>
        <row r="59">
          <cell r="B59" t="str">
            <v>PUC Distribution Inc.</v>
          </cell>
        </row>
        <row r="60">
          <cell r="B60" t="str">
            <v>Renfrew Hydro Inc.</v>
          </cell>
        </row>
        <row r="61">
          <cell r="B61" t="str">
            <v>Rideau St. Lawrence Distribution Inc.</v>
          </cell>
        </row>
        <row r="62">
          <cell r="B62" t="str">
            <v>Sioux Lookout Hydro Inc.</v>
          </cell>
        </row>
        <row r="63">
          <cell r="B63" t="str">
            <v>St. Thomas Energy Inc.</v>
          </cell>
        </row>
        <row r="64">
          <cell r="B64" t="str">
            <v>Thunder Bay Hydro Electricity Distribution Inc.</v>
          </cell>
        </row>
        <row r="65">
          <cell r="B65" t="str">
            <v>Tillsonburg Hydro Inc.</v>
          </cell>
        </row>
        <row r="66">
          <cell r="B66" t="str">
            <v>Toronto Hydro-Electric System Limited</v>
          </cell>
        </row>
        <row r="67">
          <cell r="B67" t="str">
            <v>Veridian Connections Inc.</v>
          </cell>
        </row>
        <row r="68">
          <cell r="B68" t="str">
            <v>Wasaga Distribution Inc.</v>
          </cell>
        </row>
        <row r="69">
          <cell r="B69" t="str">
            <v>Waterloo North Hydro Inc.</v>
          </cell>
        </row>
        <row r="70">
          <cell r="B70" t="str">
            <v>Welland Hydro-Electric System Corp.</v>
          </cell>
        </row>
        <row r="71">
          <cell r="B71" t="str">
            <v>Wellington North Power Inc.</v>
          </cell>
        </row>
        <row r="72">
          <cell r="B72" t="str">
            <v>West Cost Huron Energy Inc.</v>
          </cell>
        </row>
        <row r="73">
          <cell r="B73" t="str">
            <v>West Perth Power Inc.</v>
          </cell>
        </row>
        <row r="74">
          <cell r="B74" t="str">
            <v>Westario Power Inc.</v>
          </cell>
        </row>
        <row r="75">
          <cell r="B75" t="str">
            <v>Whitby Hydro Electric Corporation</v>
          </cell>
        </row>
        <row r="76">
          <cell r="B76" t="str">
            <v>Woodstock Hydro Services Inc.</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Filter"/>
      <sheetName val="Allocation Methodology"/>
      <sheetName val="Summary - LDC"/>
      <sheetName val="Summary - Prov"/>
      <sheetName val="Annual Net Demand Savings - LDC"/>
      <sheetName val="Annual Net Energy Savings - LDC"/>
      <sheetName val="Annual Net Demand Savings -Prov"/>
      <sheetName val="Annual Net Energy Savings -Prov"/>
      <sheetName val="Initiative Level - LDC"/>
      <sheetName val="Initiative Level - Prov"/>
      <sheetName val="Measures - LDC"/>
      <sheetName val="Measures - Prov"/>
      <sheetName val="Local Distribution Companies"/>
    </sheetNames>
    <sheetDataSet>
      <sheetData sheetId="0"/>
      <sheetData sheetId="1">
        <row r="5">
          <cell r="A5">
            <v>1</v>
          </cell>
          <cell r="B5" t="str">
            <v>Secondary Refrigerator Retirement Pilot</v>
          </cell>
          <cell r="C5" t="str">
            <v>Consumer</v>
          </cell>
          <cell r="D5">
            <v>2006</v>
          </cell>
          <cell r="E5" t="str">
            <v>Final</v>
          </cell>
        </row>
        <row r="6">
          <cell r="A6">
            <v>2</v>
          </cell>
          <cell r="B6" t="str">
            <v>Cool &amp; Hot Savings Rebate</v>
          </cell>
          <cell r="C6" t="str">
            <v>Consumer</v>
          </cell>
          <cell r="D6">
            <v>2006</v>
          </cell>
          <cell r="E6" t="str">
            <v>Final</v>
          </cell>
        </row>
        <row r="7">
          <cell r="A7">
            <v>3</v>
          </cell>
          <cell r="B7" t="str">
            <v>Every Kilowatt Counts</v>
          </cell>
          <cell r="C7" t="str">
            <v>Consumer</v>
          </cell>
          <cell r="D7">
            <v>2006</v>
          </cell>
          <cell r="E7" t="str">
            <v>Final</v>
          </cell>
        </row>
        <row r="8">
          <cell r="A8">
            <v>4</v>
          </cell>
          <cell r="B8" t="str">
            <v>Demand Response 1</v>
          </cell>
          <cell r="C8" t="str">
            <v>Business, Industrial</v>
          </cell>
          <cell r="D8">
            <v>2006</v>
          </cell>
          <cell r="E8" t="str">
            <v>Final</v>
          </cell>
        </row>
        <row r="9">
          <cell r="A9">
            <v>5</v>
          </cell>
          <cell r="B9" t="str">
            <v>Loblaw &amp; York Region Demand Response</v>
          </cell>
          <cell r="C9" t="str">
            <v>Business, Industrial</v>
          </cell>
          <cell r="D9">
            <v>2006</v>
          </cell>
          <cell r="E9" t="str">
            <v>Final</v>
          </cell>
        </row>
        <row r="10">
          <cell r="A10">
            <v>6</v>
          </cell>
          <cell r="B10" t="str">
            <v>Great Refrigerator Roundup</v>
          </cell>
          <cell r="C10" t="str">
            <v>Consumer</v>
          </cell>
          <cell r="D10">
            <v>2007</v>
          </cell>
          <cell r="E10" t="str">
            <v>Final</v>
          </cell>
        </row>
        <row r="11">
          <cell r="A11">
            <v>7</v>
          </cell>
          <cell r="B11" t="str">
            <v>Cool &amp; Hot Savings Rebate</v>
          </cell>
          <cell r="C11" t="str">
            <v>Consumer</v>
          </cell>
          <cell r="D11">
            <v>2007</v>
          </cell>
          <cell r="E11" t="str">
            <v>Final</v>
          </cell>
        </row>
        <row r="12">
          <cell r="A12">
            <v>8</v>
          </cell>
          <cell r="B12" t="str">
            <v>Every Kilowatt Counts</v>
          </cell>
          <cell r="C12" t="str">
            <v>Consumer</v>
          </cell>
          <cell r="D12">
            <v>2007</v>
          </cell>
          <cell r="E12" t="str">
            <v>Final</v>
          </cell>
        </row>
        <row r="13">
          <cell r="A13">
            <v>9</v>
          </cell>
          <cell r="B13" t="str">
            <v>peaksaver®</v>
          </cell>
          <cell r="C13" t="str">
            <v>Consumer, Business</v>
          </cell>
          <cell r="D13">
            <v>2007</v>
          </cell>
          <cell r="E13" t="str">
            <v>Final</v>
          </cell>
        </row>
        <row r="14">
          <cell r="A14">
            <v>10</v>
          </cell>
          <cell r="B14" t="str">
            <v>Summer Savings</v>
          </cell>
          <cell r="C14" t="str">
            <v>Consumer</v>
          </cell>
          <cell r="D14">
            <v>2007</v>
          </cell>
          <cell r="E14" t="str">
            <v>Final</v>
          </cell>
        </row>
        <row r="15">
          <cell r="A15">
            <v>11</v>
          </cell>
          <cell r="B15" t="str">
            <v>Aboriginal</v>
          </cell>
          <cell r="C15" t="str">
            <v>Consumer</v>
          </cell>
          <cell r="D15">
            <v>2007</v>
          </cell>
          <cell r="E15" t="str">
            <v>Final</v>
          </cell>
        </row>
        <row r="16">
          <cell r="A16">
            <v>12</v>
          </cell>
          <cell r="B16" t="str">
            <v>Affordable Housing Pilot</v>
          </cell>
          <cell r="C16" t="str">
            <v>Consumer Low-Income</v>
          </cell>
          <cell r="D16">
            <v>2007</v>
          </cell>
          <cell r="E16" t="str">
            <v>Final</v>
          </cell>
        </row>
        <row r="17">
          <cell r="A17">
            <v>13</v>
          </cell>
          <cell r="B17" t="str">
            <v>Social Housing Pilot</v>
          </cell>
          <cell r="C17" t="str">
            <v>Consumer Low-Income</v>
          </cell>
          <cell r="D17">
            <v>2007</v>
          </cell>
          <cell r="E17" t="str">
            <v>Final</v>
          </cell>
        </row>
        <row r="18">
          <cell r="A18">
            <v>14</v>
          </cell>
          <cell r="B18" t="str">
            <v>Energy Efficiency Assistance for Houses Pilot</v>
          </cell>
          <cell r="C18" t="str">
            <v>Consumer Low-Income</v>
          </cell>
          <cell r="D18">
            <v>2007</v>
          </cell>
          <cell r="E18" t="str">
            <v>Final</v>
          </cell>
        </row>
        <row r="19">
          <cell r="A19">
            <v>15</v>
          </cell>
          <cell r="B19" t="str">
            <v>Electricity Retrofit Incentive</v>
          </cell>
          <cell r="C19" t="str">
            <v>Business</v>
          </cell>
          <cell r="D19">
            <v>2007</v>
          </cell>
          <cell r="E19" t="str">
            <v>Final</v>
          </cell>
        </row>
        <row r="20">
          <cell r="A20">
            <v>16</v>
          </cell>
          <cell r="B20" t="str">
            <v>Toronto Comprehensive</v>
          </cell>
          <cell r="C20" t="str">
            <v>Business</v>
          </cell>
          <cell r="D20">
            <v>2007</v>
          </cell>
          <cell r="E20" t="str">
            <v>Final</v>
          </cell>
        </row>
        <row r="21">
          <cell r="A21">
            <v>17</v>
          </cell>
          <cell r="B21" t="str">
            <v>Demand Response 1</v>
          </cell>
          <cell r="C21" t="str">
            <v>Business, Industrial</v>
          </cell>
          <cell r="D21">
            <v>2007</v>
          </cell>
          <cell r="E21" t="str">
            <v>Final</v>
          </cell>
        </row>
        <row r="22">
          <cell r="A22">
            <v>18</v>
          </cell>
          <cell r="B22" t="str">
            <v>Loblaw &amp; York Region Demand Response</v>
          </cell>
          <cell r="C22" t="str">
            <v>Business, Industrial</v>
          </cell>
          <cell r="D22">
            <v>2007</v>
          </cell>
          <cell r="E22" t="str">
            <v>Final</v>
          </cell>
        </row>
        <row r="23">
          <cell r="A23">
            <v>19</v>
          </cell>
          <cell r="B23" t="str">
            <v>Renewable Energy Standard Offer</v>
          </cell>
          <cell r="C23" t="str">
            <v>Consumer, Business, Industrial</v>
          </cell>
          <cell r="D23">
            <v>2007</v>
          </cell>
          <cell r="E23" t="str">
            <v>Final</v>
          </cell>
        </row>
        <row r="24">
          <cell r="A24">
            <v>20</v>
          </cell>
          <cell r="B24" t="str">
            <v>Great Refrigerator Roundup</v>
          </cell>
          <cell r="C24" t="str">
            <v>Consumer</v>
          </cell>
          <cell r="D24">
            <v>2008</v>
          </cell>
          <cell r="E24" t="str">
            <v>Final</v>
          </cell>
        </row>
        <row r="25">
          <cell r="A25">
            <v>21</v>
          </cell>
          <cell r="B25" t="str">
            <v>Cool Savings Rebate</v>
          </cell>
          <cell r="C25" t="str">
            <v>Consumer</v>
          </cell>
          <cell r="D25">
            <v>2008</v>
          </cell>
          <cell r="E25" t="str">
            <v>Final</v>
          </cell>
        </row>
        <row r="26">
          <cell r="A26">
            <v>22</v>
          </cell>
          <cell r="B26" t="str">
            <v>Every Kilowatt Counts Power Savings Event</v>
          </cell>
          <cell r="C26" t="str">
            <v>Consumer</v>
          </cell>
          <cell r="D26">
            <v>2008</v>
          </cell>
          <cell r="E26" t="str">
            <v>Final</v>
          </cell>
        </row>
        <row r="27">
          <cell r="A27">
            <v>23</v>
          </cell>
          <cell r="B27" t="str">
            <v>peaksaver®</v>
          </cell>
          <cell r="C27" t="str">
            <v>Consumer, Business</v>
          </cell>
          <cell r="D27">
            <v>2008</v>
          </cell>
          <cell r="E27" t="str">
            <v>Final</v>
          </cell>
        </row>
        <row r="28">
          <cell r="A28">
            <v>24</v>
          </cell>
          <cell r="B28" t="str">
            <v>Summer Sweepstakes</v>
          </cell>
          <cell r="C28" t="str">
            <v>Consumer</v>
          </cell>
          <cell r="D28">
            <v>2008</v>
          </cell>
          <cell r="E28" t="str">
            <v>Final</v>
          </cell>
        </row>
        <row r="29">
          <cell r="A29">
            <v>25</v>
          </cell>
          <cell r="B29" t="str">
            <v>Electricity Retrofit Incentive</v>
          </cell>
          <cell r="C29" t="str">
            <v>Consumer, Business</v>
          </cell>
          <cell r="D29">
            <v>2008</v>
          </cell>
          <cell r="E29" t="str">
            <v>Final</v>
          </cell>
        </row>
        <row r="30">
          <cell r="A30">
            <v>26</v>
          </cell>
          <cell r="B30" t="str">
            <v>Toronto Comprehensive</v>
          </cell>
          <cell r="C30" t="str">
            <v>Consumer, Consumer Low-Income, Business</v>
          </cell>
          <cell r="D30">
            <v>2008</v>
          </cell>
          <cell r="E30" t="str">
            <v>Final</v>
          </cell>
        </row>
        <row r="31">
          <cell r="A31">
            <v>27</v>
          </cell>
          <cell r="B31" t="str">
            <v>High Performance New Construction</v>
          </cell>
          <cell r="C31" t="str">
            <v>Business</v>
          </cell>
          <cell r="D31">
            <v>2008</v>
          </cell>
          <cell r="E31" t="str">
            <v>Final</v>
          </cell>
        </row>
        <row r="32">
          <cell r="A32">
            <v>28</v>
          </cell>
          <cell r="B32" t="str">
            <v>Power Savings Blitz</v>
          </cell>
          <cell r="C32" t="str">
            <v>Business</v>
          </cell>
          <cell r="D32">
            <v>2008</v>
          </cell>
          <cell r="E32" t="str">
            <v>Final</v>
          </cell>
        </row>
        <row r="33">
          <cell r="A33">
            <v>29</v>
          </cell>
          <cell r="B33" t="str">
            <v>Demand Response 1</v>
          </cell>
          <cell r="C33" t="str">
            <v>Business, Industrial</v>
          </cell>
          <cell r="D33">
            <v>2008</v>
          </cell>
          <cell r="E33" t="str">
            <v>Final</v>
          </cell>
        </row>
        <row r="34">
          <cell r="A34">
            <v>30</v>
          </cell>
          <cell r="B34" t="str">
            <v>Demand Response 3</v>
          </cell>
          <cell r="C34" t="str">
            <v>Business, Industrial</v>
          </cell>
          <cell r="D34">
            <v>2008</v>
          </cell>
          <cell r="E34" t="str">
            <v>Final</v>
          </cell>
        </row>
        <row r="35">
          <cell r="A35">
            <v>31</v>
          </cell>
          <cell r="B35" t="str">
            <v>Loblaw &amp; York Region Demand Response</v>
          </cell>
          <cell r="C35" t="str">
            <v>Business, Industrial</v>
          </cell>
          <cell r="D35">
            <v>2008</v>
          </cell>
          <cell r="E35" t="str">
            <v>Final</v>
          </cell>
        </row>
        <row r="36">
          <cell r="A36">
            <v>32</v>
          </cell>
          <cell r="B36" t="str">
            <v>Renewable Energy Standard Offer</v>
          </cell>
          <cell r="C36" t="str">
            <v>Consumer, Business</v>
          </cell>
          <cell r="D36">
            <v>2008</v>
          </cell>
          <cell r="E36" t="str">
            <v>Final</v>
          </cell>
        </row>
        <row r="37">
          <cell r="A37">
            <v>33</v>
          </cell>
          <cell r="B37" t="str">
            <v>Other Customer Based Generation</v>
          </cell>
          <cell r="C37" t="str">
            <v>Business</v>
          </cell>
          <cell r="D37">
            <v>2008</v>
          </cell>
          <cell r="E37" t="str">
            <v>Final</v>
          </cell>
        </row>
        <row r="38">
          <cell r="A38">
            <v>34</v>
          </cell>
          <cell r="B38" t="str">
            <v>LDC Custom - Hydro One Networks Inc. - Double Return</v>
          </cell>
          <cell r="C38" t="str">
            <v>Business, Industrial</v>
          </cell>
          <cell r="D38">
            <v>2008</v>
          </cell>
          <cell r="E38" t="str">
            <v>Final</v>
          </cell>
        </row>
        <row r="39">
          <cell r="A39">
            <v>35</v>
          </cell>
          <cell r="B39" t="str">
            <v>Great Refrigerator Roundup</v>
          </cell>
          <cell r="C39" t="str">
            <v>Consumer</v>
          </cell>
          <cell r="D39">
            <v>2009</v>
          </cell>
          <cell r="E39" t="str">
            <v>Final</v>
          </cell>
        </row>
        <row r="40">
          <cell r="A40">
            <v>36</v>
          </cell>
          <cell r="B40" t="str">
            <v>Cool Savings Rebate</v>
          </cell>
          <cell r="C40" t="str">
            <v>Consumer</v>
          </cell>
          <cell r="D40">
            <v>2009</v>
          </cell>
          <cell r="E40" t="str">
            <v>Final</v>
          </cell>
        </row>
        <row r="41">
          <cell r="A41">
            <v>37</v>
          </cell>
          <cell r="B41" t="str">
            <v>Every Kilowatt Counts Power Savings Event</v>
          </cell>
          <cell r="C41" t="str">
            <v>Consumer</v>
          </cell>
          <cell r="D41">
            <v>2009</v>
          </cell>
          <cell r="E41" t="str">
            <v>Final</v>
          </cell>
        </row>
        <row r="42">
          <cell r="A42">
            <v>38</v>
          </cell>
          <cell r="B42" t="str">
            <v>peaksaver®</v>
          </cell>
          <cell r="C42" t="str">
            <v>Consumer, Business</v>
          </cell>
          <cell r="D42">
            <v>2009</v>
          </cell>
          <cell r="E42" t="str">
            <v>Final</v>
          </cell>
        </row>
        <row r="43">
          <cell r="A43">
            <v>39</v>
          </cell>
          <cell r="B43" t="str">
            <v>Electricity Retrofit Incentive</v>
          </cell>
          <cell r="C43" t="str">
            <v>Consumer, Business</v>
          </cell>
          <cell r="D43">
            <v>2009</v>
          </cell>
          <cell r="E43" t="str">
            <v>Final</v>
          </cell>
        </row>
        <row r="44">
          <cell r="A44">
            <v>40</v>
          </cell>
          <cell r="B44" t="str">
            <v>Toronto Comprehensive</v>
          </cell>
          <cell r="C44" t="str">
            <v>Consumer, Consumer Low-Income, Business, Industrial</v>
          </cell>
          <cell r="D44">
            <v>2009</v>
          </cell>
          <cell r="E44" t="str">
            <v>Final</v>
          </cell>
        </row>
        <row r="45">
          <cell r="A45">
            <v>41</v>
          </cell>
          <cell r="B45" t="str">
            <v>High Performance New Construction</v>
          </cell>
          <cell r="C45" t="str">
            <v>Business</v>
          </cell>
          <cell r="D45">
            <v>2009</v>
          </cell>
          <cell r="E45" t="str">
            <v>Final</v>
          </cell>
        </row>
        <row r="46">
          <cell r="A46">
            <v>42</v>
          </cell>
          <cell r="B46" t="str">
            <v>Power Savings Blitz</v>
          </cell>
          <cell r="C46" t="str">
            <v>Business</v>
          </cell>
          <cell r="D46">
            <v>2009</v>
          </cell>
          <cell r="E46" t="str">
            <v>Final</v>
          </cell>
        </row>
        <row r="47">
          <cell r="A47">
            <v>43</v>
          </cell>
          <cell r="B47" t="str">
            <v>Multi-Family Energy Efficiency Rebates</v>
          </cell>
          <cell r="C47" t="str">
            <v>Consumer, Consumer Low-Income</v>
          </cell>
          <cell r="D47">
            <v>2009</v>
          </cell>
          <cell r="E47" t="str">
            <v>Final</v>
          </cell>
        </row>
        <row r="48">
          <cell r="A48">
            <v>44</v>
          </cell>
          <cell r="B48" t="str">
            <v>Demand Response 1</v>
          </cell>
          <cell r="C48" t="str">
            <v>Business, Industrial</v>
          </cell>
          <cell r="D48">
            <v>2009</v>
          </cell>
          <cell r="E48" t="str">
            <v>Final</v>
          </cell>
        </row>
        <row r="49">
          <cell r="A49">
            <v>45</v>
          </cell>
          <cell r="B49" t="str">
            <v>Demand Response 2</v>
          </cell>
          <cell r="C49" t="str">
            <v>Business, Industrial</v>
          </cell>
          <cell r="D49">
            <v>2009</v>
          </cell>
          <cell r="E49" t="str">
            <v>Final</v>
          </cell>
        </row>
        <row r="50">
          <cell r="A50">
            <v>46</v>
          </cell>
          <cell r="B50" t="str">
            <v>Demand Response 3</v>
          </cell>
          <cell r="C50" t="str">
            <v>Business, Industrial</v>
          </cell>
          <cell r="D50">
            <v>2009</v>
          </cell>
          <cell r="E50" t="str">
            <v>Final</v>
          </cell>
        </row>
        <row r="51">
          <cell r="A51">
            <v>47</v>
          </cell>
          <cell r="B51" t="str">
            <v>Loblaw &amp; York Region Demand Response</v>
          </cell>
          <cell r="C51" t="str">
            <v>Business, Industrial</v>
          </cell>
          <cell r="D51">
            <v>2009</v>
          </cell>
          <cell r="E51" t="str">
            <v>Final</v>
          </cell>
        </row>
        <row r="52">
          <cell r="A52">
            <v>48</v>
          </cell>
          <cell r="B52" t="str">
            <v>LDC Custom - Thunder Bay Hydro - Phantom Load</v>
          </cell>
          <cell r="C52" t="str">
            <v>Consumer</v>
          </cell>
          <cell r="D52">
            <v>2009</v>
          </cell>
          <cell r="E52" t="str">
            <v>Final</v>
          </cell>
        </row>
        <row r="53">
          <cell r="A53">
            <v>49</v>
          </cell>
          <cell r="B53" t="str">
            <v>LDC Custom - Toronto Hydro - Summer Challenge</v>
          </cell>
          <cell r="C53" t="str">
            <v>Consumer</v>
          </cell>
          <cell r="D53">
            <v>2009</v>
          </cell>
          <cell r="E53" t="str">
            <v>Final</v>
          </cell>
        </row>
        <row r="54">
          <cell r="A54">
            <v>50</v>
          </cell>
          <cell r="B54" t="str">
            <v>LDC Custom - PowerStream - Data Centers</v>
          </cell>
          <cell r="C54" t="str">
            <v>Business</v>
          </cell>
          <cell r="D54">
            <v>2009</v>
          </cell>
          <cell r="E54" t="str">
            <v>Final</v>
          </cell>
        </row>
        <row r="55">
          <cell r="A55">
            <v>51</v>
          </cell>
          <cell r="B55" t="str">
            <v>Toronto Comprehensive Adjustment</v>
          </cell>
          <cell r="C55" t="str">
            <v>Consumer, Business</v>
          </cell>
          <cell r="D55">
            <v>2008</v>
          </cell>
          <cell r="E55" t="str">
            <v>Final</v>
          </cell>
        </row>
        <row r="56">
          <cell r="A56">
            <v>52</v>
          </cell>
          <cell r="B56" t="str">
            <v>LDC Custom - Hydro One Networks Inc. - Double Return Adjustment</v>
          </cell>
          <cell r="C56" t="str">
            <v>Business, Industrial</v>
          </cell>
          <cell r="D56">
            <v>2008</v>
          </cell>
          <cell r="E56" t="str">
            <v>Final</v>
          </cell>
        </row>
        <row r="57">
          <cell r="A57">
            <v>53</v>
          </cell>
          <cell r="B57" t="str">
            <v>Great Refrigerator Roundup</v>
          </cell>
          <cell r="C57" t="str">
            <v>Consumer</v>
          </cell>
          <cell r="D57">
            <v>2010</v>
          </cell>
          <cell r="E57" t="str">
            <v>Final</v>
          </cell>
        </row>
        <row r="58">
          <cell r="A58">
            <v>54</v>
          </cell>
          <cell r="B58" t="str">
            <v>Cool Savings Rebate</v>
          </cell>
          <cell r="C58" t="str">
            <v>Consumer</v>
          </cell>
          <cell r="D58">
            <v>2010</v>
          </cell>
          <cell r="E58" t="str">
            <v>Final</v>
          </cell>
        </row>
        <row r="59">
          <cell r="A59">
            <v>55</v>
          </cell>
          <cell r="B59" t="str">
            <v>Every Kilowatt Counts Power Savings Event</v>
          </cell>
          <cell r="C59" t="str">
            <v>Consumer</v>
          </cell>
          <cell r="D59">
            <v>2010</v>
          </cell>
          <cell r="E59" t="str">
            <v>Final</v>
          </cell>
        </row>
        <row r="60">
          <cell r="A60">
            <v>56</v>
          </cell>
          <cell r="B60" t="str">
            <v>peaksaver®</v>
          </cell>
          <cell r="C60" t="str">
            <v>Consumer, Business</v>
          </cell>
          <cell r="D60">
            <v>2010</v>
          </cell>
          <cell r="E60" t="str">
            <v>Final</v>
          </cell>
        </row>
        <row r="61">
          <cell r="A61">
            <v>57</v>
          </cell>
          <cell r="B61" t="str">
            <v>Electricity Retrofit Incentive</v>
          </cell>
          <cell r="C61" t="str">
            <v>Consumer, Business</v>
          </cell>
          <cell r="D61">
            <v>2010</v>
          </cell>
          <cell r="E61" t="str">
            <v>Final</v>
          </cell>
        </row>
        <row r="62">
          <cell r="A62">
            <v>58</v>
          </cell>
          <cell r="B62" t="str">
            <v>Toronto Comprehensive</v>
          </cell>
          <cell r="C62" t="str">
            <v>Consumer, Consumer Low-Income, Business, Industrial</v>
          </cell>
          <cell r="D62">
            <v>2010</v>
          </cell>
          <cell r="E62" t="str">
            <v>Final</v>
          </cell>
        </row>
        <row r="63">
          <cell r="A63">
            <v>59</v>
          </cell>
          <cell r="B63" t="str">
            <v>High Performance New Construction</v>
          </cell>
          <cell r="C63" t="str">
            <v>Business</v>
          </cell>
          <cell r="D63">
            <v>2010</v>
          </cell>
          <cell r="E63" t="str">
            <v>Final</v>
          </cell>
        </row>
        <row r="64">
          <cell r="A64">
            <v>60</v>
          </cell>
          <cell r="B64" t="str">
            <v>Power Savings Blitz</v>
          </cell>
          <cell r="C64" t="str">
            <v>Business</v>
          </cell>
          <cell r="D64">
            <v>2010</v>
          </cell>
          <cell r="E64" t="str">
            <v>Final</v>
          </cell>
        </row>
        <row r="65">
          <cell r="A65">
            <v>61</v>
          </cell>
          <cell r="B65" t="str">
            <v>Multi-Family Energy Efficiency Rebates</v>
          </cell>
          <cell r="C65" t="str">
            <v>Consumer, Consumer Low-Income</v>
          </cell>
          <cell r="D65">
            <v>2010</v>
          </cell>
          <cell r="E65" t="str">
            <v>Final</v>
          </cell>
        </row>
        <row r="66">
          <cell r="A66">
            <v>62</v>
          </cell>
          <cell r="B66" t="str">
            <v>Demand Response 2</v>
          </cell>
          <cell r="C66" t="str">
            <v>Business, Industrial</v>
          </cell>
          <cell r="D66">
            <v>2010</v>
          </cell>
          <cell r="E66" t="str">
            <v>Final</v>
          </cell>
        </row>
        <row r="67">
          <cell r="A67">
            <v>63</v>
          </cell>
          <cell r="B67" t="str">
            <v>Demand Response 3</v>
          </cell>
          <cell r="C67" t="str">
            <v>Business, Industrial</v>
          </cell>
          <cell r="D67">
            <v>2010</v>
          </cell>
          <cell r="E67" t="str">
            <v>Final</v>
          </cell>
        </row>
        <row r="68">
          <cell r="A68">
            <v>64</v>
          </cell>
          <cell r="B68" t="str">
            <v>Loblaw &amp; York Region Demand Response</v>
          </cell>
          <cell r="C68" t="str">
            <v>Business, Industrial</v>
          </cell>
          <cell r="D68">
            <v>2010</v>
          </cell>
          <cell r="E68" t="str">
            <v>Final</v>
          </cell>
        </row>
        <row r="69">
          <cell r="A69">
            <v>65</v>
          </cell>
          <cell r="B69" t="str">
            <v>LDC Custom - Hydro Ottawa - Small Commercial Demand Response</v>
          </cell>
          <cell r="C69" t="str">
            <v>Consumer</v>
          </cell>
          <cell r="D69">
            <v>2010</v>
          </cell>
          <cell r="E69" t="str">
            <v>Final</v>
          </cell>
        </row>
      </sheetData>
      <sheetData sheetId="2"/>
      <sheetData sheetId="3"/>
      <sheetData sheetId="4" refreshError="1"/>
      <sheetData sheetId="5" refreshError="1"/>
      <sheetData sheetId="6" refreshError="1"/>
      <sheetData sheetId="7" refreshError="1"/>
      <sheetData sheetId="8"/>
      <sheetData sheetId="9"/>
      <sheetData sheetId="10"/>
      <sheetData sheetId="11"/>
      <sheetData sheetId="12">
        <row r="9">
          <cell r="B9" t="str">
            <v>Algoma Power Inc.</v>
          </cell>
        </row>
        <row r="10">
          <cell r="B10" t="str">
            <v>Atikokan Hydro Inc.</v>
          </cell>
        </row>
        <row r="11">
          <cell r="B11" t="str">
            <v>Attawapiskat Power Corporation</v>
          </cell>
        </row>
        <row r="12">
          <cell r="B12" t="str">
            <v>Bluewater Power Distribution Corporation</v>
          </cell>
        </row>
        <row r="13">
          <cell r="B13" t="str">
            <v>Brant County Power Inc.</v>
          </cell>
        </row>
        <row r="14">
          <cell r="B14" t="str">
            <v>Brantford Power Inc.</v>
          </cell>
        </row>
        <row r="15">
          <cell r="B15" t="str">
            <v>Burlington Hydro Inc.</v>
          </cell>
        </row>
        <row r="16">
          <cell r="B16" t="str">
            <v>COLLUS Power Corporation</v>
          </cell>
        </row>
        <row r="17">
          <cell r="B17" t="str">
            <v>Cambridge and North Dumfries Hydro Inc.</v>
          </cell>
        </row>
        <row r="18">
          <cell r="B18" t="str">
            <v>Canadian Niagara Power Inc.</v>
          </cell>
        </row>
        <row r="19">
          <cell r="B19" t="str">
            <v>Centre Wellington Hydro Ltd.</v>
          </cell>
        </row>
        <row r="20">
          <cell r="B20" t="str">
            <v>Chapleau Public Utilities Corporation</v>
          </cell>
        </row>
        <row r="21">
          <cell r="B21" t="str">
            <v>Chatham-Kent Hydro Inc.</v>
          </cell>
        </row>
        <row r="22">
          <cell r="B22" t="str">
            <v>Clinton Power Corporation</v>
          </cell>
        </row>
        <row r="23">
          <cell r="B23" t="str">
            <v>Cooperative Hydro Embrun Inc.</v>
          </cell>
        </row>
        <row r="24">
          <cell r="B24" t="str">
            <v>E.L.K. Energy Inc.</v>
          </cell>
        </row>
        <row r="25">
          <cell r="B25" t="str">
            <v>ENWIN Utilities Ltd.</v>
          </cell>
        </row>
        <row r="26">
          <cell r="B26" t="str">
            <v>Enersource Hydro Mississauga Inc.</v>
          </cell>
        </row>
        <row r="27">
          <cell r="B27" t="str">
            <v>Erie Thames Powerlines Corporation</v>
          </cell>
        </row>
        <row r="28">
          <cell r="B28" t="str">
            <v>Espanola Regional Hydro Distribution Corporation</v>
          </cell>
        </row>
        <row r="29">
          <cell r="B29" t="str">
            <v>Essex Powerlines Corporation</v>
          </cell>
        </row>
        <row r="30">
          <cell r="B30" t="str">
            <v>Festival Hydro Inc.</v>
          </cell>
        </row>
        <row r="31">
          <cell r="B31" t="str">
            <v>Fort Albany Power Corporation</v>
          </cell>
        </row>
        <row r="32">
          <cell r="B32" t="str">
            <v>Fort Frances Power Corporation</v>
          </cell>
        </row>
        <row r="33">
          <cell r="B33" t="str">
            <v>Greater Sudbury Hydro Inc.</v>
          </cell>
        </row>
        <row r="34">
          <cell r="B34" t="str">
            <v>Grimsby Power Inc.</v>
          </cell>
        </row>
        <row r="35">
          <cell r="B35" t="str">
            <v>Guelph Hydro Electric Systems Inc.</v>
          </cell>
        </row>
        <row r="36">
          <cell r="B36" t="str">
            <v>Haldimand County Hydro Inc.</v>
          </cell>
        </row>
        <row r="37">
          <cell r="B37" t="str">
            <v>Halton Hills Hydro Inc.</v>
          </cell>
        </row>
        <row r="38">
          <cell r="B38" t="str">
            <v>Hearst Power Distribution Company Limited</v>
          </cell>
        </row>
        <row r="39">
          <cell r="B39" t="str">
            <v>Horizon Utilities Corporation</v>
          </cell>
        </row>
        <row r="40">
          <cell r="B40" t="str">
            <v>Hydro 2000 Inc.</v>
          </cell>
        </row>
        <row r="41">
          <cell r="B41" t="str">
            <v>Hydro Hawkesbury Inc.</v>
          </cell>
        </row>
        <row r="42">
          <cell r="B42" t="str">
            <v>Hydro One Brampton Networks Inc.</v>
          </cell>
        </row>
        <row r="43">
          <cell r="B43" t="str">
            <v>Hydro One Networks Inc.</v>
          </cell>
        </row>
        <row r="44">
          <cell r="B44" t="str">
            <v>Hydro Ottawa Limited</v>
          </cell>
        </row>
        <row r="45">
          <cell r="B45" t="str">
            <v>Innisfil Hydro Distribution Systems Limited</v>
          </cell>
        </row>
        <row r="46">
          <cell r="B46" t="str">
            <v>Kashechewan Power Corporation</v>
          </cell>
        </row>
        <row r="47">
          <cell r="B47" t="str">
            <v>Kenora Hydro Electric Corporation Ltd.</v>
          </cell>
        </row>
        <row r="48">
          <cell r="B48" t="str">
            <v>Kingston Hydro Corporation</v>
          </cell>
        </row>
        <row r="49">
          <cell r="B49" t="str">
            <v>Kitchener-Wilmot Hydro Inc.</v>
          </cell>
        </row>
        <row r="50">
          <cell r="B50" t="str">
            <v>Lakefront Utilities Inc.</v>
          </cell>
        </row>
        <row r="51">
          <cell r="B51" t="str">
            <v>Lakeland Power Distribution Ltd.</v>
          </cell>
        </row>
        <row r="52">
          <cell r="B52" t="str">
            <v>London Hydro Inc.</v>
          </cell>
        </row>
        <row r="53">
          <cell r="B53" t="str">
            <v>Middlesex Power Distribution Corporation</v>
          </cell>
        </row>
        <row r="54">
          <cell r="B54" t="str">
            <v>Midland Power Utility Corporation</v>
          </cell>
        </row>
        <row r="55">
          <cell r="B55" t="str">
            <v>Milton Hydro Distribution Inc.</v>
          </cell>
        </row>
        <row r="56">
          <cell r="B56" t="str">
            <v>Newmarket - Tay Power Distribution Ltd.</v>
          </cell>
        </row>
        <row r="57">
          <cell r="B57" t="str">
            <v>Niagara Peninsula Energy Inc.</v>
          </cell>
        </row>
        <row r="58">
          <cell r="B58" t="str">
            <v>Niagara-on-the-Lake Hydro Inc.</v>
          </cell>
        </row>
        <row r="59">
          <cell r="B59" t="str">
            <v>Norfolk Power Distribution Inc.</v>
          </cell>
        </row>
        <row r="60">
          <cell r="B60" t="str">
            <v>North Bay Hydro Distribution Limited</v>
          </cell>
        </row>
        <row r="61">
          <cell r="B61" t="str">
            <v>Northern Ontario Wires Inc.</v>
          </cell>
        </row>
        <row r="62">
          <cell r="B62" t="str">
            <v>Oakville Hydro Electricity Distribution Inc.</v>
          </cell>
        </row>
        <row r="63">
          <cell r="B63" t="str">
            <v>Orangeville Hydro Limited</v>
          </cell>
        </row>
        <row r="64">
          <cell r="B64" t="str">
            <v>Orillia Power Distribution Corporation</v>
          </cell>
        </row>
        <row r="65">
          <cell r="B65" t="str">
            <v>Oshawa PUC Networks Inc.</v>
          </cell>
        </row>
        <row r="66">
          <cell r="B66" t="str">
            <v>Ottawa River Power Corporation</v>
          </cell>
        </row>
        <row r="67">
          <cell r="B67" t="str">
            <v>PUC Distribution Inc.</v>
          </cell>
        </row>
        <row r="68">
          <cell r="B68" t="str">
            <v>Parry Sound Power Corporation</v>
          </cell>
        </row>
        <row r="69">
          <cell r="B69" t="str">
            <v>Peterborough Distribution Incorporated</v>
          </cell>
        </row>
        <row r="70">
          <cell r="B70" t="str">
            <v>Port Colborne Hydro Inc.</v>
          </cell>
        </row>
        <row r="71">
          <cell r="B71" t="str">
            <v>PowerStream Inc.</v>
          </cell>
        </row>
        <row r="72">
          <cell r="B72" t="str">
            <v>Renfrew Hydro Inc.</v>
          </cell>
        </row>
        <row r="73">
          <cell r="B73" t="str">
            <v>Rideau St. Lawrence Distribution Inc.</v>
          </cell>
        </row>
        <row r="74">
          <cell r="B74" t="str">
            <v>Sioux Lookout Hydro Inc.</v>
          </cell>
        </row>
        <row r="75">
          <cell r="B75" t="str">
            <v>St. Thomas Energy Inc.</v>
          </cell>
        </row>
        <row r="76">
          <cell r="B76" t="str">
            <v>Thunder Bay Hydro Electricity Distribution Inc.</v>
          </cell>
        </row>
        <row r="77">
          <cell r="B77" t="str">
            <v>Tillsonburg Hydro Inc.</v>
          </cell>
        </row>
        <row r="78">
          <cell r="B78" t="str">
            <v>Toronto Hydro-Electric System Limited</v>
          </cell>
        </row>
        <row r="79">
          <cell r="B79" t="str">
            <v>Veridian Connections Inc.</v>
          </cell>
        </row>
        <row r="80">
          <cell r="B80" t="str">
            <v>Wasaga Distribution Inc.</v>
          </cell>
        </row>
        <row r="81">
          <cell r="B81" t="str">
            <v>Waterloo North Hydro Inc.</v>
          </cell>
        </row>
        <row r="82">
          <cell r="B82" t="str">
            <v>Welland Hydro-Electric System Corp.</v>
          </cell>
        </row>
        <row r="83">
          <cell r="B83" t="str">
            <v>Wellington North Power Inc.</v>
          </cell>
        </row>
        <row r="84">
          <cell r="B84" t="str">
            <v>West Coast Huron Energy Inc.</v>
          </cell>
        </row>
        <row r="85">
          <cell r="B85" t="str">
            <v>West Perth Power Inc.</v>
          </cell>
        </row>
        <row r="86">
          <cell r="B86" t="str">
            <v>Westario Power Inc.</v>
          </cell>
        </row>
        <row r="87">
          <cell r="B87" t="str">
            <v>Whitby Hydro Electric Corporation</v>
          </cell>
        </row>
        <row r="88">
          <cell r="B88"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C3"/>
      <sheetName val="C6"/>
      <sheetName val="B17"/>
      <sheetName val="LDC Targets"/>
      <sheetName val="Notes"/>
      <sheetName val="All Programs"/>
      <sheetName val="Savings Calculation"/>
      <sheetName val="Sheet2"/>
    </sheetNames>
    <sheetDataSet>
      <sheetData sheetId="0" refreshError="1"/>
      <sheetData sheetId="1" refreshError="1"/>
      <sheetData sheetId="2" refreshError="1"/>
      <sheetData sheetId="3" refreshError="1"/>
      <sheetData sheetId="4" refreshError="1">
        <row r="3">
          <cell r="A3" t="str">
            <v xml:space="preserve">Algoma Power Inc.   </v>
          </cell>
          <cell r="B3">
            <v>1</v>
          </cell>
          <cell r="C3">
            <v>1.28</v>
          </cell>
          <cell r="D3">
            <v>7.37</v>
          </cell>
        </row>
        <row r="4">
          <cell r="A4" t="str">
            <v xml:space="preserve">Atikokan Hydro Inc.   </v>
          </cell>
          <cell r="B4">
            <v>2</v>
          </cell>
          <cell r="C4">
            <v>0.2</v>
          </cell>
          <cell r="D4">
            <v>1.1599999999999999</v>
          </cell>
        </row>
        <row r="5">
          <cell r="A5" t="str">
            <v xml:space="preserve">Attawapiskat Power Corporation   </v>
          </cell>
          <cell r="B5">
            <v>3</v>
          </cell>
          <cell r="C5">
            <v>7.0000000000000007E-2</v>
          </cell>
          <cell r="D5">
            <v>0.28999999999999998</v>
          </cell>
        </row>
        <row r="6">
          <cell r="A6" t="str">
            <v xml:space="preserve">Bluewater Power Distribution Corporation  </v>
          </cell>
          <cell r="B6">
            <v>4</v>
          </cell>
          <cell r="C6">
            <v>10.65</v>
          </cell>
          <cell r="D6">
            <v>53.73</v>
          </cell>
        </row>
        <row r="7">
          <cell r="A7" t="str">
            <v xml:space="preserve">Brant County Power Inc.  </v>
          </cell>
          <cell r="B7">
            <v>5</v>
          </cell>
          <cell r="C7">
            <v>3.3</v>
          </cell>
          <cell r="D7">
            <v>9.85</v>
          </cell>
        </row>
        <row r="8">
          <cell r="A8" t="str">
            <v xml:space="preserve">Brantford Power Inc.   </v>
          </cell>
          <cell r="B8">
            <v>6</v>
          </cell>
          <cell r="C8">
            <v>11.38</v>
          </cell>
          <cell r="D8">
            <v>48.92</v>
          </cell>
        </row>
        <row r="9">
          <cell r="A9" t="str">
            <v xml:space="preserve">Burlington Hydro Inc.   </v>
          </cell>
          <cell r="B9">
            <v>7</v>
          </cell>
          <cell r="C9">
            <v>21.95</v>
          </cell>
          <cell r="D9">
            <v>82.37</v>
          </cell>
        </row>
        <row r="10">
          <cell r="A10" t="str">
            <v xml:space="preserve">COLLUS Power Corporation   </v>
          </cell>
          <cell r="B10">
            <v>8</v>
          </cell>
          <cell r="C10">
            <v>3.14</v>
          </cell>
          <cell r="D10">
            <v>14.97</v>
          </cell>
        </row>
        <row r="11">
          <cell r="A11" t="str">
            <v>Cambridge and North Dumfries Hydro Inc.</v>
          </cell>
          <cell r="B11">
            <v>9</v>
          </cell>
          <cell r="C11">
            <v>17.68</v>
          </cell>
          <cell r="D11">
            <v>73.66</v>
          </cell>
        </row>
        <row r="12">
          <cell r="A12" t="str">
            <v xml:space="preserve">Canadian Niagara Power Inc.  </v>
          </cell>
          <cell r="B12">
            <v>10</v>
          </cell>
          <cell r="C12">
            <v>4.07</v>
          </cell>
          <cell r="D12">
            <v>15.81</v>
          </cell>
        </row>
        <row r="13">
          <cell r="A13" t="str">
            <v xml:space="preserve">Centre Wellington Hydro Ltd.  </v>
          </cell>
          <cell r="B13">
            <v>11</v>
          </cell>
          <cell r="C13">
            <v>1.64</v>
          </cell>
          <cell r="D13">
            <v>7.81</v>
          </cell>
        </row>
        <row r="14">
          <cell r="A14" t="str">
            <v xml:space="preserve">Chapleau Public Utilities Corporation  </v>
          </cell>
          <cell r="B14">
            <v>12</v>
          </cell>
          <cell r="C14">
            <v>0.17</v>
          </cell>
          <cell r="D14">
            <v>1.21</v>
          </cell>
        </row>
        <row r="15">
          <cell r="A15" t="str">
            <v xml:space="preserve">Chatham-Kent Hydro Inc.   </v>
          </cell>
          <cell r="B15">
            <v>13</v>
          </cell>
          <cell r="C15">
            <v>9.67</v>
          </cell>
          <cell r="D15">
            <v>37.28</v>
          </cell>
        </row>
        <row r="16">
          <cell r="A16" t="str">
            <v xml:space="preserve">Clinton Power Corporation   </v>
          </cell>
          <cell r="B16">
            <v>14</v>
          </cell>
          <cell r="C16">
            <v>0.32</v>
          </cell>
          <cell r="D16">
            <v>1.38</v>
          </cell>
        </row>
        <row r="17">
          <cell r="A17" t="str">
            <v xml:space="preserve">Cooperative Hydro Embrun Inc.  </v>
          </cell>
          <cell r="B17">
            <v>15</v>
          </cell>
          <cell r="C17">
            <v>0.34</v>
          </cell>
          <cell r="D17">
            <v>1.1200000000000001</v>
          </cell>
        </row>
        <row r="18">
          <cell r="A18" t="str">
            <v xml:space="preserve">E.L.K. Energy Inc.   </v>
          </cell>
          <cell r="B18">
            <v>16</v>
          </cell>
          <cell r="C18">
            <v>2.69</v>
          </cell>
          <cell r="D18">
            <v>8.25</v>
          </cell>
        </row>
        <row r="19">
          <cell r="A19" t="str">
            <v xml:space="preserve">ENWIN Utilities Ltd.   </v>
          </cell>
          <cell r="B19">
            <v>17</v>
          </cell>
          <cell r="C19">
            <v>26.81</v>
          </cell>
          <cell r="D19">
            <v>117.89</v>
          </cell>
        </row>
        <row r="20">
          <cell r="A20" t="str">
            <v xml:space="preserve">Enersource Hydro Mississauga Inc.  </v>
          </cell>
          <cell r="B20">
            <v>18</v>
          </cell>
          <cell r="C20">
            <v>92.98</v>
          </cell>
          <cell r="D20">
            <v>417.22</v>
          </cell>
        </row>
        <row r="21">
          <cell r="A21" t="str">
            <v xml:space="preserve">Erie Thames Powerlines Corporation  </v>
          </cell>
          <cell r="B21">
            <v>19</v>
          </cell>
          <cell r="C21">
            <v>4.28</v>
          </cell>
          <cell r="D21">
            <v>18.600000000000001</v>
          </cell>
        </row>
        <row r="22">
          <cell r="A22" t="str">
            <v xml:space="preserve">Espanola Regional Hydro Distribution Corporation </v>
          </cell>
          <cell r="B22">
            <v>20</v>
          </cell>
          <cell r="C22">
            <v>0.52</v>
          </cell>
          <cell r="D22">
            <v>2.76</v>
          </cell>
        </row>
        <row r="23">
          <cell r="A23" t="str">
            <v xml:space="preserve">Essex Powerlines Corporation   </v>
          </cell>
          <cell r="B23">
            <v>21</v>
          </cell>
          <cell r="C23">
            <v>7.19</v>
          </cell>
          <cell r="D23">
            <v>21.54</v>
          </cell>
        </row>
        <row r="24">
          <cell r="A24" t="str">
            <v xml:space="preserve">Festival Hydro Inc.   </v>
          </cell>
          <cell r="B24">
            <v>22</v>
          </cell>
          <cell r="C24">
            <v>6.23</v>
          </cell>
          <cell r="D24">
            <v>29.25</v>
          </cell>
        </row>
        <row r="25">
          <cell r="A25" t="str">
            <v xml:space="preserve">Fort Albany Power Corporation  </v>
          </cell>
          <cell r="B25">
            <v>23</v>
          </cell>
          <cell r="C25">
            <v>0.05</v>
          </cell>
          <cell r="D25">
            <v>0.24</v>
          </cell>
        </row>
        <row r="26">
          <cell r="A26" t="str">
            <v xml:space="preserve">Fort Frances Power Corporation  </v>
          </cell>
          <cell r="B26">
            <v>24</v>
          </cell>
          <cell r="C26">
            <v>0.61</v>
          </cell>
          <cell r="D26">
            <v>3.64</v>
          </cell>
        </row>
        <row r="27">
          <cell r="A27" t="str">
            <v xml:space="preserve">Greater Sudbury Hydro Inc.  </v>
          </cell>
          <cell r="B27">
            <v>25</v>
          </cell>
          <cell r="C27">
            <v>8.2200000000000006</v>
          </cell>
          <cell r="D27">
            <v>43.71</v>
          </cell>
        </row>
        <row r="28">
          <cell r="A28" t="str">
            <v xml:space="preserve">Grimsby Power Inc.   </v>
          </cell>
          <cell r="B28">
            <v>26</v>
          </cell>
          <cell r="C28">
            <v>2.06</v>
          </cell>
          <cell r="D28">
            <v>7.76</v>
          </cell>
        </row>
        <row r="29">
          <cell r="A29" t="str">
            <v xml:space="preserve">Guelph Hydro Electric Systems Inc. </v>
          </cell>
          <cell r="B29">
            <v>27</v>
          </cell>
          <cell r="C29">
            <v>16.71</v>
          </cell>
          <cell r="D29">
            <v>79.53</v>
          </cell>
        </row>
        <row r="30">
          <cell r="A30" t="str">
            <v xml:space="preserve">Haldimand County Hydro Inc.  </v>
          </cell>
          <cell r="B30">
            <v>28</v>
          </cell>
          <cell r="C30">
            <v>2.85</v>
          </cell>
          <cell r="D30">
            <v>13.3</v>
          </cell>
        </row>
        <row r="31">
          <cell r="A31" t="str">
            <v xml:space="preserve">Halton Hills Hydro Inc.  </v>
          </cell>
          <cell r="B31">
            <v>29</v>
          </cell>
          <cell r="C31">
            <v>6.15</v>
          </cell>
          <cell r="D31">
            <v>22.48</v>
          </cell>
        </row>
        <row r="32">
          <cell r="A32" t="str">
            <v xml:space="preserve">Hearst Power Distribution Company Limited </v>
          </cell>
          <cell r="B32">
            <v>30</v>
          </cell>
          <cell r="C32">
            <v>0.68</v>
          </cell>
          <cell r="D32">
            <v>3.91</v>
          </cell>
        </row>
        <row r="33">
          <cell r="A33" t="str">
            <v xml:space="preserve">Horizon Utilities Corporation   </v>
          </cell>
          <cell r="B33">
            <v>31</v>
          </cell>
          <cell r="C33">
            <v>60.36</v>
          </cell>
          <cell r="D33">
            <v>281.42</v>
          </cell>
        </row>
        <row r="34">
          <cell r="A34" t="str">
            <v xml:space="preserve">Hydro 2000 Inc.   </v>
          </cell>
          <cell r="B34">
            <v>32</v>
          </cell>
          <cell r="C34">
            <v>0.19</v>
          </cell>
          <cell r="D34">
            <v>1.04</v>
          </cell>
        </row>
        <row r="35">
          <cell r="A35" t="str">
            <v xml:space="preserve">Hydro Hawkesbury Inc.   </v>
          </cell>
          <cell r="B35">
            <v>33</v>
          </cell>
          <cell r="C35">
            <v>1.82</v>
          </cell>
          <cell r="D35">
            <v>9.2799999999999994</v>
          </cell>
        </row>
        <row r="36">
          <cell r="A36" t="str">
            <v xml:space="preserve">Hydro One Brampton Networks Inc. </v>
          </cell>
          <cell r="B36">
            <v>34</v>
          </cell>
          <cell r="C36">
            <v>45.61</v>
          </cell>
          <cell r="D36">
            <v>189.54</v>
          </cell>
        </row>
        <row r="37">
          <cell r="A37" t="str">
            <v xml:space="preserve">Hydro One Networks Inc.  </v>
          </cell>
          <cell r="B37">
            <v>35</v>
          </cell>
          <cell r="C37">
            <v>213.66</v>
          </cell>
          <cell r="D37">
            <v>1130.21</v>
          </cell>
        </row>
        <row r="38">
          <cell r="A38" t="str">
            <v xml:space="preserve">Hydro Ottawa Limited   </v>
          </cell>
          <cell r="B38">
            <v>36</v>
          </cell>
          <cell r="C38">
            <v>85.26</v>
          </cell>
          <cell r="D38">
            <v>374.73</v>
          </cell>
        </row>
        <row r="39">
          <cell r="A39" t="str">
            <v xml:space="preserve">Innisfil Hydro Distribution Systems Limited </v>
          </cell>
          <cell r="B39">
            <v>37</v>
          </cell>
          <cell r="C39">
            <v>2.5</v>
          </cell>
          <cell r="D39">
            <v>9.1999999999999993</v>
          </cell>
        </row>
        <row r="40">
          <cell r="A40" t="str">
            <v xml:space="preserve">Kashechewan Power Corporation   </v>
          </cell>
          <cell r="B40">
            <v>38</v>
          </cell>
          <cell r="C40">
            <v>7.0000000000000007E-2</v>
          </cell>
          <cell r="D40">
            <v>0.33</v>
          </cell>
        </row>
        <row r="41">
          <cell r="A41" t="str">
            <v xml:space="preserve">Kenora Hydro Electric Corporation Ltd. </v>
          </cell>
          <cell r="B41">
            <v>39</v>
          </cell>
          <cell r="C41">
            <v>0.86</v>
          </cell>
          <cell r="D41">
            <v>5.22</v>
          </cell>
        </row>
        <row r="42">
          <cell r="A42" t="str">
            <v xml:space="preserve">Kingston Hydro Corporation   </v>
          </cell>
          <cell r="B42">
            <v>40</v>
          </cell>
          <cell r="C42">
            <v>6.63</v>
          </cell>
          <cell r="D42">
            <v>37.159999999999997</v>
          </cell>
        </row>
        <row r="43">
          <cell r="A43" t="str">
            <v xml:space="preserve">Kitchener-Wilmot Hydro Inc.   </v>
          </cell>
          <cell r="B43">
            <v>41</v>
          </cell>
          <cell r="C43">
            <v>21.56</v>
          </cell>
          <cell r="D43">
            <v>90.29</v>
          </cell>
        </row>
        <row r="44">
          <cell r="A44" t="str">
            <v xml:space="preserve">Lakefront Utilities Inc.   </v>
          </cell>
          <cell r="B44">
            <v>42</v>
          </cell>
          <cell r="C44">
            <v>2.77</v>
          </cell>
          <cell r="D44">
            <v>13.59</v>
          </cell>
        </row>
        <row r="45">
          <cell r="A45" t="str">
            <v xml:space="preserve">Lakeland Power Distribution Ltd.  </v>
          </cell>
          <cell r="B45">
            <v>43</v>
          </cell>
          <cell r="C45">
            <v>2.3199999999999998</v>
          </cell>
          <cell r="D45">
            <v>10.18</v>
          </cell>
        </row>
        <row r="46">
          <cell r="A46" t="str">
            <v xml:space="preserve">London Hydro Inc.   </v>
          </cell>
          <cell r="B46">
            <v>44</v>
          </cell>
          <cell r="C46">
            <v>41.44</v>
          </cell>
          <cell r="D46">
            <v>156.63999999999999</v>
          </cell>
        </row>
        <row r="47">
          <cell r="A47" t="str">
            <v xml:space="preserve">Middlesex Power Distribution Corporation  </v>
          </cell>
          <cell r="B47">
            <v>45</v>
          </cell>
          <cell r="C47">
            <v>2.4500000000000002</v>
          </cell>
          <cell r="D47">
            <v>9.25</v>
          </cell>
        </row>
        <row r="48">
          <cell r="A48" t="str">
            <v xml:space="preserve">Midland Power Utility Corporation  </v>
          </cell>
          <cell r="B48">
            <v>46</v>
          </cell>
          <cell r="C48">
            <v>2.39</v>
          </cell>
          <cell r="D48">
            <v>10.82</v>
          </cell>
        </row>
        <row r="49">
          <cell r="A49" t="str">
            <v xml:space="preserve">Milton Hydro Distribution Inc.  </v>
          </cell>
          <cell r="B49">
            <v>47</v>
          </cell>
          <cell r="C49">
            <v>8.0500000000000007</v>
          </cell>
          <cell r="D49">
            <v>33.5</v>
          </cell>
        </row>
        <row r="50">
          <cell r="A50" t="str">
            <v>Newmarket - Tay Power Distribution Ltd.</v>
          </cell>
          <cell r="B50">
            <v>48</v>
          </cell>
          <cell r="C50">
            <v>8.76</v>
          </cell>
          <cell r="D50">
            <v>33.049999999999997</v>
          </cell>
        </row>
        <row r="51">
          <cell r="A51" t="str">
            <v xml:space="preserve">Niagara Peninsula Energy Inc.  </v>
          </cell>
          <cell r="B51">
            <v>49</v>
          </cell>
          <cell r="C51">
            <v>15.49</v>
          </cell>
          <cell r="D51">
            <v>58.04</v>
          </cell>
        </row>
        <row r="52">
          <cell r="A52" t="str">
            <v xml:space="preserve">Niagara-on-the-Lake Hydro Inc.   </v>
          </cell>
          <cell r="B52">
            <v>50</v>
          </cell>
          <cell r="C52">
            <v>2.42</v>
          </cell>
          <cell r="D52">
            <v>8.27</v>
          </cell>
        </row>
        <row r="53">
          <cell r="A53" t="str">
            <v xml:space="preserve">Norfolk Power Distribution Inc.  </v>
          </cell>
          <cell r="B53">
            <v>51</v>
          </cell>
          <cell r="C53">
            <v>4.25</v>
          </cell>
          <cell r="D53">
            <v>15.68</v>
          </cell>
        </row>
        <row r="54">
          <cell r="A54" t="str">
            <v xml:space="preserve">North Bay Hydro Distribution Limited </v>
          </cell>
          <cell r="B54">
            <v>52</v>
          </cell>
          <cell r="C54">
            <v>5.05</v>
          </cell>
          <cell r="D54">
            <v>26.1</v>
          </cell>
        </row>
        <row r="55">
          <cell r="A55" t="str">
            <v xml:space="preserve">Northern Ontario Wires Inc.  </v>
          </cell>
          <cell r="B55">
            <v>53</v>
          </cell>
          <cell r="C55">
            <v>1.06</v>
          </cell>
          <cell r="D55">
            <v>5.88</v>
          </cell>
        </row>
        <row r="56">
          <cell r="A56" t="str">
            <v xml:space="preserve">Oakville Hydro Electricity Distribution Inc. </v>
          </cell>
          <cell r="B56">
            <v>54</v>
          </cell>
          <cell r="C56">
            <v>20.7</v>
          </cell>
          <cell r="D56">
            <v>74.06</v>
          </cell>
        </row>
        <row r="57">
          <cell r="A57" t="str">
            <v xml:space="preserve">Orangeville Hydro Limited   </v>
          </cell>
          <cell r="B57">
            <v>55</v>
          </cell>
          <cell r="C57">
            <v>2.78</v>
          </cell>
          <cell r="D57">
            <v>11.82</v>
          </cell>
        </row>
        <row r="58">
          <cell r="A58" t="str">
            <v xml:space="preserve">Orillia Power Distribution Corporation  </v>
          </cell>
          <cell r="B58">
            <v>56</v>
          </cell>
          <cell r="C58">
            <v>3.07</v>
          </cell>
          <cell r="D58">
            <v>15.05</v>
          </cell>
        </row>
        <row r="59">
          <cell r="A59" t="str">
            <v xml:space="preserve">Oshawa PUC Networks Inc.  </v>
          </cell>
          <cell r="B59">
            <v>57</v>
          </cell>
          <cell r="C59">
            <v>12.52</v>
          </cell>
          <cell r="D59">
            <v>52.24</v>
          </cell>
        </row>
        <row r="60">
          <cell r="A60" t="str">
            <v xml:space="preserve">Ottawa River Power Corporation  </v>
          </cell>
          <cell r="B60">
            <v>58</v>
          </cell>
          <cell r="C60">
            <v>1.61</v>
          </cell>
          <cell r="D60">
            <v>8.9700000000000006</v>
          </cell>
        </row>
        <row r="61">
          <cell r="A61" t="str">
            <v xml:space="preserve">PUC Distribution Inc.   </v>
          </cell>
          <cell r="B61">
            <v>59</v>
          </cell>
          <cell r="C61">
            <v>5.58</v>
          </cell>
          <cell r="D61">
            <v>30.83</v>
          </cell>
        </row>
        <row r="62">
          <cell r="A62" t="str">
            <v xml:space="preserve">Parry Sound Power Corporation  </v>
          </cell>
          <cell r="B62">
            <v>60</v>
          </cell>
          <cell r="C62">
            <v>0.74</v>
          </cell>
          <cell r="D62">
            <v>4.16</v>
          </cell>
        </row>
        <row r="63">
          <cell r="A63" t="str">
            <v xml:space="preserve">Peterborough Distribution Incorporated   </v>
          </cell>
          <cell r="B63">
            <v>61</v>
          </cell>
          <cell r="C63">
            <v>8.7200000000000006</v>
          </cell>
          <cell r="D63">
            <v>38.450000000000003</v>
          </cell>
        </row>
        <row r="64">
          <cell r="A64" t="str">
            <v xml:space="preserve">Port Colborne Hydro Inc.  </v>
          </cell>
          <cell r="B64">
            <v>62</v>
          </cell>
          <cell r="C64">
            <v>2.33</v>
          </cell>
          <cell r="D64">
            <v>9.27</v>
          </cell>
        </row>
        <row r="65">
          <cell r="A65" t="str">
            <v xml:space="preserve">PowerStream Inc.    </v>
          </cell>
          <cell r="B65">
            <v>63</v>
          </cell>
          <cell r="C65">
            <v>95.57</v>
          </cell>
          <cell r="D65">
            <v>407.34</v>
          </cell>
        </row>
        <row r="66">
          <cell r="A66" t="str">
            <v xml:space="preserve">Renfrew Hydro Inc.   </v>
          </cell>
          <cell r="B66">
            <v>64</v>
          </cell>
          <cell r="C66">
            <v>1.05</v>
          </cell>
          <cell r="D66">
            <v>4.8600000000000003</v>
          </cell>
        </row>
        <row r="67">
          <cell r="A67" t="str">
            <v xml:space="preserve">Rideau St. Lawrence Distribution Inc. </v>
          </cell>
          <cell r="B67">
            <v>65</v>
          </cell>
          <cell r="C67">
            <v>1.22</v>
          </cell>
          <cell r="D67">
            <v>5.0999999999999996</v>
          </cell>
        </row>
        <row r="68">
          <cell r="A68" t="str">
            <v xml:space="preserve">Sioux Lookout Hydro Inc.  </v>
          </cell>
          <cell r="B68">
            <v>66</v>
          </cell>
          <cell r="C68">
            <v>0.51</v>
          </cell>
          <cell r="D68">
            <v>3.32</v>
          </cell>
        </row>
        <row r="69">
          <cell r="A69" t="str">
            <v xml:space="preserve">St. Thomas Energy Inc.  </v>
          </cell>
          <cell r="B69">
            <v>67</v>
          </cell>
          <cell r="C69">
            <v>3.94</v>
          </cell>
          <cell r="D69">
            <v>14.92</v>
          </cell>
        </row>
        <row r="70">
          <cell r="A70" t="str">
            <v>Thunder Bay Hydro Electricity Distribution Inc.</v>
          </cell>
          <cell r="B70">
            <v>68</v>
          </cell>
          <cell r="C70">
            <v>8.48</v>
          </cell>
          <cell r="D70">
            <v>47.38</v>
          </cell>
        </row>
        <row r="71">
          <cell r="A71" t="str">
            <v xml:space="preserve">Tillsonburg Hydro Inc.   </v>
          </cell>
          <cell r="B71">
            <v>69</v>
          </cell>
          <cell r="C71">
            <v>2.29</v>
          </cell>
          <cell r="D71">
            <v>10.25</v>
          </cell>
        </row>
        <row r="72">
          <cell r="A72" t="str">
            <v xml:space="preserve">Toronto Hydro-Electric System Limited  </v>
          </cell>
          <cell r="B72">
            <v>70</v>
          </cell>
          <cell r="C72">
            <v>286.27</v>
          </cell>
          <cell r="D72">
            <v>1303.99</v>
          </cell>
        </row>
        <row r="73">
          <cell r="A73" t="str">
            <v xml:space="preserve">Veridian Connections Inc.   </v>
          </cell>
          <cell r="B73">
            <v>71</v>
          </cell>
          <cell r="C73">
            <v>29.05</v>
          </cell>
          <cell r="D73">
            <v>115.74</v>
          </cell>
        </row>
        <row r="74">
          <cell r="A74" t="str">
            <v xml:space="preserve">Wasaga Distribution Inc.   </v>
          </cell>
          <cell r="B74">
            <v>72</v>
          </cell>
          <cell r="C74">
            <v>1.34</v>
          </cell>
          <cell r="D74">
            <v>4.01</v>
          </cell>
        </row>
        <row r="75">
          <cell r="A75" t="str">
            <v xml:space="preserve">Waterloo North Hydro Inc.  </v>
          </cell>
          <cell r="B75">
            <v>73</v>
          </cell>
          <cell r="C75">
            <v>15.79</v>
          </cell>
          <cell r="D75">
            <v>66.489999999999995</v>
          </cell>
        </row>
        <row r="76">
          <cell r="A76" t="str">
            <v xml:space="preserve">Welland Hydro-Electric System Corp.  </v>
          </cell>
          <cell r="B76">
            <v>74</v>
          </cell>
          <cell r="C76">
            <v>5.56</v>
          </cell>
          <cell r="D76">
            <v>20.6</v>
          </cell>
        </row>
        <row r="77">
          <cell r="A77" t="str">
            <v xml:space="preserve">Wellington North Power Inc.  </v>
          </cell>
          <cell r="B77">
            <v>75</v>
          </cell>
          <cell r="C77">
            <v>0.93</v>
          </cell>
          <cell r="D77">
            <v>4.5199999999999996</v>
          </cell>
        </row>
        <row r="78">
          <cell r="A78" t="str">
            <v xml:space="preserve">West Coast Huron Energy Inc. </v>
          </cell>
          <cell r="B78">
            <v>76</v>
          </cell>
          <cell r="C78">
            <v>0.88</v>
          </cell>
          <cell r="D78">
            <v>8.2799999999999994</v>
          </cell>
        </row>
        <row r="79">
          <cell r="A79" t="str">
            <v xml:space="preserve">West Perth Power Inc.  </v>
          </cell>
          <cell r="B79">
            <v>77</v>
          </cell>
          <cell r="C79">
            <v>0.62</v>
          </cell>
          <cell r="D79">
            <v>2.99</v>
          </cell>
        </row>
        <row r="80">
          <cell r="A80" t="str">
            <v xml:space="preserve">Westario Power Inc.   </v>
          </cell>
          <cell r="B80">
            <v>78</v>
          </cell>
          <cell r="C80">
            <v>4.24</v>
          </cell>
          <cell r="D80">
            <v>20.95</v>
          </cell>
        </row>
        <row r="81">
          <cell r="A81" t="str">
            <v xml:space="preserve">Whitby Hydro Electric Corporation  </v>
          </cell>
          <cell r="B81">
            <v>79</v>
          </cell>
          <cell r="C81">
            <v>10.9</v>
          </cell>
          <cell r="D81">
            <v>39.07</v>
          </cell>
        </row>
        <row r="82">
          <cell r="A82" t="str">
            <v xml:space="preserve">Woodstock Hydro Services Inc.  </v>
          </cell>
          <cell r="B82">
            <v>80</v>
          </cell>
          <cell r="C82">
            <v>4.49</v>
          </cell>
          <cell r="D82">
            <v>18.88</v>
          </cell>
        </row>
        <row r="83">
          <cell r="B83" t="str">
            <v>Total</v>
          </cell>
          <cell r="C83">
            <v>1330.04</v>
          </cell>
          <cell r="D83">
            <v>5999.9699999999984</v>
          </cell>
        </row>
      </sheetData>
      <sheetData sheetId="5" refreshError="1"/>
      <sheetData sheetId="6" refreshError="1"/>
      <sheetData sheetId="7" refreshError="1"/>
      <sheetData sheetId="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rying Charges 2014"/>
      <sheetName val="Carrying Charges 2013"/>
      <sheetName val="Carrying Charges 2012"/>
      <sheetName val="Carrying Charges 2011"/>
      <sheetName val="2011-14 LRAMVA Summary"/>
      <sheetName val="Ch. 2 App 2-I 2016 COS"/>
      <sheetName val="KH MW Persistence Table"/>
      <sheetName val="KH MW Savings Pivot"/>
      <sheetName val="KH MWh Persistence Table"/>
      <sheetName val="KH MWh Savings Pivot"/>
      <sheetName val="Allocation to Rate Classes"/>
      <sheetName val="CDM kWh by Rate Class 2009-15"/>
      <sheetName val="KH 2011-2014 Rates"/>
      <sheetName val="2015-2020 LRAMVA Projections"/>
      <sheetName val="Kingston Hydro - Summary"/>
      <sheetName val="Kingston Hydro - Results (Net)"/>
      <sheetName val="Kingston Hydro - NTGs"/>
      <sheetName val="2006-10 KH Net MW MWh"/>
      <sheetName val="KH 2015-2020 CDM Plan Milestone"/>
      <sheetName val="2015-20 Measure Savings Results"/>
      <sheetName val="2015-20 Measures-CE Results"/>
    </sheetNames>
    <sheetDataSet>
      <sheetData sheetId="0"/>
      <sheetData sheetId="1"/>
      <sheetData sheetId="2"/>
      <sheetData sheetId="3"/>
      <sheetData sheetId="4">
        <row r="26">
          <cell r="O26">
            <v>8478.6597155280033</v>
          </cell>
        </row>
        <row r="36">
          <cell r="O36">
            <v>29267.53192465306</v>
          </cell>
        </row>
        <row r="46">
          <cell r="O46">
            <v>58724.370076271647</v>
          </cell>
        </row>
        <row r="56">
          <cell r="O56">
            <v>89789.778344181876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 MW Persistence Table"/>
      <sheetName val="KH MW Savings Pivot"/>
      <sheetName val="KH MWh Persistence Table"/>
      <sheetName val="KH MWh Savings Pivot"/>
      <sheetName val="Allocation to Rate Classes"/>
      <sheetName val="CDM kWh by Rate Class 2009-15"/>
      <sheetName val="KH 2011-2014 Rates"/>
      <sheetName val="2011-14 LRAMVA Summary"/>
      <sheetName val="Carrying Charges 2011"/>
      <sheetName val="Carrying Charges 2012"/>
      <sheetName val="Carrying Charges 2013"/>
      <sheetName val="Carrying Charges 2014"/>
      <sheetName val="KH LRAMVA Account"/>
      <sheetName val="2015-2020 LRAMVA Projections"/>
      <sheetName val="Kingston Hydro - Summary"/>
      <sheetName val="Kingston Hydro - Results (Net)"/>
      <sheetName val="Kingston Hydro - NTGs"/>
      <sheetName val="KH 2015-2020 CDM Plan Milestone"/>
      <sheetName val="2015-20 Measure Savings Results"/>
      <sheetName val="2015-20 Measures-CE Result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1">
          <cell r="O21">
            <v>3628.453061611805</v>
          </cell>
        </row>
        <row r="22">
          <cell r="O22">
            <v>3359.5600412636568</v>
          </cell>
        </row>
        <row r="23">
          <cell r="O23">
            <v>778.71451631015952</v>
          </cell>
        </row>
        <row r="24">
          <cell r="O24">
            <v>711.93209634238144</v>
          </cell>
        </row>
        <row r="31">
          <cell r="O31">
            <v>10245.449772819022</v>
          </cell>
        </row>
        <row r="32">
          <cell r="O32">
            <v>13196.752886885697</v>
          </cell>
        </row>
        <row r="33">
          <cell r="O33">
            <v>3756.7116687661955</v>
          </cell>
        </row>
        <row r="34">
          <cell r="O34">
            <v>1903.7527739103657</v>
          </cell>
        </row>
        <row r="35">
          <cell r="O35">
            <v>164.86482227178084</v>
          </cell>
        </row>
        <row r="41">
          <cell r="O41">
            <v>16587.208978034352</v>
          </cell>
        </row>
        <row r="42">
          <cell r="O42">
            <v>21807.448249760713</v>
          </cell>
        </row>
        <row r="43">
          <cell r="O43">
            <v>7076.1967916669782</v>
          </cell>
        </row>
        <row r="44">
          <cell r="O44">
            <v>2384.8531755558733</v>
          </cell>
        </row>
        <row r="45">
          <cell r="O45">
            <v>10868.662881253727</v>
          </cell>
        </row>
        <row r="51">
          <cell r="O51">
            <v>28324.208711180094</v>
          </cell>
        </row>
        <row r="52">
          <cell r="O52">
            <v>27706.116800971846</v>
          </cell>
        </row>
        <row r="53">
          <cell r="O53">
            <v>9613.333904828407</v>
          </cell>
        </row>
        <row r="54">
          <cell r="O54">
            <v>2440.5038172467366</v>
          </cell>
        </row>
        <row r="55">
          <cell r="O55">
            <v>21705.615109954801</v>
          </cell>
        </row>
      </sheetData>
      <sheetData sheetId="8">
        <row r="6">
          <cell r="M6">
            <v>8478.6597155280033</v>
          </cell>
        </row>
        <row r="12">
          <cell r="M12">
            <v>62.830352872767506</v>
          </cell>
        </row>
        <row r="15">
          <cell r="M15">
            <v>3628.453061611805</v>
          </cell>
        </row>
        <row r="17">
          <cell r="M17">
            <v>26.88832833163729</v>
          </cell>
        </row>
        <row r="18">
          <cell r="M18">
            <v>3359.5600412636568</v>
          </cell>
        </row>
        <row r="20">
          <cell r="M20">
            <v>24.895720546876543</v>
          </cell>
        </row>
        <row r="21">
          <cell r="M21">
            <v>778.71451631015952</v>
          </cell>
        </row>
        <row r="23">
          <cell r="M23">
            <v>5.7705945855225194</v>
          </cell>
        </row>
        <row r="24">
          <cell r="M24">
            <v>711.93209634238144</v>
          </cell>
        </row>
        <row r="26">
          <cell r="M26">
            <v>5.27570940873116</v>
          </cell>
        </row>
      </sheetData>
      <sheetData sheetId="9">
        <row r="3">
          <cell r="B3">
            <v>31</v>
          </cell>
          <cell r="C3">
            <v>28</v>
          </cell>
          <cell r="D3">
            <v>31</v>
          </cell>
          <cell r="E3">
            <v>30</v>
          </cell>
          <cell r="F3">
            <v>31</v>
          </cell>
          <cell r="G3">
            <v>30</v>
          </cell>
          <cell r="H3">
            <v>31</v>
          </cell>
          <cell r="I3">
            <v>31</v>
          </cell>
          <cell r="J3">
            <v>30</v>
          </cell>
          <cell r="K3">
            <v>31</v>
          </cell>
          <cell r="L3">
            <v>30</v>
          </cell>
          <cell r="M3">
            <v>31</v>
          </cell>
        </row>
        <row r="4">
          <cell r="B4">
            <v>1.47E-2</v>
          </cell>
          <cell r="C4">
            <v>1.47E-2</v>
          </cell>
          <cell r="D4">
            <v>1.47E-2</v>
          </cell>
          <cell r="E4">
            <v>1.47E-2</v>
          </cell>
          <cell r="F4">
            <v>1.47E-2</v>
          </cell>
          <cell r="G4">
            <v>1.47E-2</v>
          </cell>
          <cell r="H4">
            <v>1.47E-2</v>
          </cell>
          <cell r="I4">
            <v>1.47E-2</v>
          </cell>
          <cell r="J4">
            <v>1.47E-2</v>
          </cell>
          <cell r="K4">
            <v>1.47E-2</v>
          </cell>
          <cell r="L4">
            <v>1.47E-2</v>
          </cell>
          <cell r="M4">
            <v>1.47E-2</v>
          </cell>
        </row>
        <row r="9">
          <cell r="M9">
            <v>37746.191640181059</v>
          </cell>
        </row>
        <row r="13">
          <cell r="M13">
            <v>404.35109000555406</v>
          </cell>
        </row>
        <row r="18">
          <cell r="M18">
            <v>13873.902834430826</v>
          </cell>
        </row>
        <row r="20">
          <cell r="M20">
            <v>156.14958161273051</v>
          </cell>
        </row>
        <row r="21">
          <cell r="M21">
            <v>16556.312928149353</v>
          </cell>
        </row>
        <row r="22">
          <cell r="B22">
            <v>4.1943877008324613</v>
          </cell>
        </row>
        <row r="23">
          <cell r="M23">
            <v>172.07461536837954</v>
          </cell>
        </row>
        <row r="24">
          <cell r="M24">
            <v>4535.4261850763551</v>
          </cell>
        </row>
        <row r="25">
          <cell r="B25">
            <v>0.9722197399521636</v>
          </cell>
        </row>
        <row r="26">
          <cell r="M26">
            <v>45.056475294949834</v>
          </cell>
        </row>
        <row r="27">
          <cell r="M27">
            <v>2615.6848702527473</v>
          </cell>
        </row>
        <row r="29">
          <cell r="M29">
            <v>29.848701643793635</v>
          </cell>
        </row>
        <row r="30">
          <cell r="M30">
            <v>164.86482227178084</v>
          </cell>
        </row>
        <row r="32">
          <cell r="M32">
            <v>1.2217160857005831</v>
          </cell>
        </row>
      </sheetData>
      <sheetData sheetId="10">
        <row r="3">
          <cell r="B3">
            <v>31</v>
          </cell>
        </row>
        <row r="4">
          <cell r="B4">
            <v>1.47E-2</v>
          </cell>
        </row>
        <row r="10">
          <cell r="M10">
            <v>96470.561716452707</v>
          </cell>
        </row>
        <row r="14">
          <cell r="M14">
            <v>1394.3918226841595</v>
          </cell>
        </row>
        <row r="18">
          <cell r="M18">
            <v>30461.111812465177</v>
          </cell>
        </row>
        <row r="20">
          <cell r="M20">
            <v>483.01398846732206</v>
          </cell>
        </row>
        <row r="21">
          <cell r="M21">
            <v>38363.76117791007</v>
          </cell>
        </row>
        <row r="23">
          <cell r="M23">
            <v>577.05456890793619</v>
          </cell>
        </row>
        <row r="24">
          <cell r="M24">
            <v>11611.622976743332</v>
          </cell>
        </row>
        <row r="26">
          <cell r="M26">
            <v>164.16476646790332</v>
          </cell>
        </row>
        <row r="27">
          <cell r="M27">
            <v>5000.5380458086202</v>
          </cell>
        </row>
        <row r="29">
          <cell r="M29">
            <v>85.972011344025546</v>
          </cell>
        </row>
        <row r="30">
          <cell r="M30">
            <v>11033.527703525508</v>
          </cell>
        </row>
        <row r="32">
          <cell r="M32">
            <v>84.186487496972688</v>
          </cell>
        </row>
      </sheetData>
      <sheetData sheetId="11">
        <row r="3">
          <cell r="B3">
            <v>31</v>
          </cell>
        </row>
        <row r="4">
          <cell r="B4">
            <v>1.47E-2</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General Information"/>
      <sheetName val="B. LDC Authorization"/>
      <sheetName val="C. CDM Plan Summary"/>
      <sheetName val="D. CDM Plan Milestone LDC 1"/>
      <sheetName val="D. CDM Plan Milestone LDC 2"/>
      <sheetName val="D. CDM Plan Milestone LDC 3"/>
      <sheetName val="D. CDM Plan Milestone LDC 4"/>
      <sheetName val="D. CDM Plan Milestone LDC 5"/>
      <sheetName val="D. CDM Plan Milestone LDC 6"/>
      <sheetName val="D.CDM Plan Milestone LDC 7"/>
      <sheetName val="D. CDM Plan Milestone LDC 8"/>
      <sheetName val="D. CDM Plan Milestone LDC 9"/>
      <sheetName val="D. CDM Plan Milestone LDC 10"/>
      <sheetName val="E.  Proposed Program&amp;Pilots"/>
      <sheetName val="F. Detailed Information"/>
      <sheetName val="G. Additional Documentation"/>
      <sheetName val="Dropdown Lists"/>
      <sheetName val="Sheet1"/>
      <sheetName val="Summary of Version Changes"/>
    </sheetNames>
    <sheetDataSet>
      <sheetData sheetId="0">
        <row r="13">
          <cell r="C13" t="str">
            <v>Kingston Hydro Corporation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Sottile,Stephen" refreshedDate="42257.553618055557" createdVersion="4" refreshedVersion="4" minRefreshableVersion="3" recordCount="137">
  <cacheSource type="worksheet">
    <worksheetSource ref="A1:AS138" sheet="KH MWh Persistence Table"/>
  </cacheSource>
  <cacheFields count="45">
    <cacheField name="Portfolio" numFmtId="0">
      <sharedItems containsMixedTypes="1" containsNumber="1" containsInteger="1" minValue="1" maxValue="65"/>
    </cacheField>
    <cacheField name="Program" numFmtId="0">
      <sharedItems/>
    </cacheField>
    <cacheField name="Initiative" numFmtId="0">
      <sharedItems/>
    </cacheField>
    <cacheField name="LDC" numFmtId="0">
      <sharedItems containsBlank="1"/>
    </cacheField>
    <cacheField name="Sector" numFmtId="0">
      <sharedItems containsBlank="1"/>
    </cacheField>
    <cacheField name="Conservation Resource Type " numFmtId="0">
      <sharedItems containsBlank="1"/>
    </cacheField>
    <cacheField name="(Implementation) Year" numFmtId="0">
      <sharedItems containsMixedTypes="1" containsNumber="1" containsInteger="1" minValue="2006" maxValue="2014" count="10">
        <n v="2006"/>
        <n v="2007"/>
        <n v="2008"/>
        <n v="2009"/>
        <n v="2010"/>
        <n v="2011"/>
        <n v="2012"/>
        <n v="2013"/>
        <n v="2014"/>
        <s v="2015- 2020"/>
      </sharedItems>
    </cacheField>
    <cacheField name="Activity Unit Name" numFmtId="0">
      <sharedItems containsBlank="1"/>
    </cacheField>
    <cacheField name="Rate Class" numFmtId="0">
      <sharedItems containsBlank="1" count="27">
        <s v="Residential"/>
        <s v="GS Greater Than 50kW"/>
        <s v="n/a"/>
        <s v="GS Less Than 50kW"/>
        <s v="Large User - No Rate Impact"/>
        <s v="DI 2011"/>
        <s v="RF 2011"/>
        <s v="AU 2011"/>
        <s v="Large User"/>
        <s v="DI 2012"/>
        <s v="RF 2012"/>
        <s v="AU 2012"/>
        <s v="HP 2012"/>
        <s v="AU 2013"/>
        <s v="HP 2013"/>
        <s v="RF 2013"/>
        <s v="DI 2013"/>
        <s v="AU 2014"/>
        <s v="HP 2014"/>
        <s v="RF 2014"/>
        <s v="DI 2014"/>
        <m/>
        <s v="RF 2015-20"/>
        <s v="DI 2015-20"/>
        <s v="HP 2015-20"/>
        <s v="AU 2015-20"/>
        <s v="GS&gt;50kW" u="1"/>
      </sharedItems>
    </cacheField>
    <cacheField name="2006" numFmtId="0">
      <sharedItems containsString="0" containsBlank="1" containsNumber="1" minValue="0" maxValue="1779.857419207262"/>
    </cacheField>
    <cacheField name="2007" numFmtId="0">
      <sharedItems containsString="0" containsBlank="1" containsNumber="1" minValue="0" maxValue="1779.857419207262"/>
    </cacheField>
    <cacheField name="2008" numFmtId="0">
      <sharedItems containsString="0" containsBlank="1" containsNumber="1" minValue="0" maxValue="1779.857419207262"/>
    </cacheField>
    <cacheField name="2009" numFmtId="0">
      <sharedItems containsString="0" containsBlank="1" containsNumber="1" minValue="0" maxValue="1779.857419207262"/>
    </cacheField>
    <cacheField name="2010" numFmtId="0">
      <sharedItems containsString="0" containsBlank="1" containsNumber="1" minValue="0" maxValue="1366.6850616468018"/>
    </cacheField>
    <cacheField name="2011" numFmtId="0">
      <sharedItems containsBlank="1" containsMixedTypes="1" containsNumber="1" minValue="-46.099303587569764" maxValue="1921.8350055572723"/>
    </cacheField>
    <cacheField name="2012" numFmtId="0">
      <sharedItems containsBlank="1" containsMixedTypes="1" containsNumber="1" minValue="-46.099303587569764" maxValue="3121.717308429817"/>
    </cacheField>
    <cacheField name="2013" numFmtId="0">
      <sharedItems containsString="0" containsBlank="1" containsNumber="1" minValue="-46.099303587569764" maxValue="5089.5962697838795"/>
    </cacheField>
    <cacheField name="2014" numFmtId="0">
      <sharedItems containsBlank="1" containsMixedTypes="1" containsNumber="1" minValue="-46.099303587569764" maxValue="5089.5962697838795"/>
    </cacheField>
    <cacheField name="2015" numFmtId="0">
      <sharedItems containsBlank="1" containsMixedTypes="1" containsNumber="1" minValue="-46.099303587569764" maxValue="5089.5962697838795"/>
    </cacheField>
    <cacheField name="2016" numFmtId="0">
      <sharedItems containsBlank="1" containsMixedTypes="1" containsNumber="1" minValue="-46.099303587569764" maxValue="7554.3715739956679"/>
    </cacheField>
    <cacheField name="2017" numFmtId="0">
      <sharedItems containsBlank="1" containsMixedTypes="1" containsNumber="1" minValue="-46.099303587569764" maxValue="10194.221861938242"/>
    </cacheField>
    <cacheField name="2018" numFmtId="0">
      <sharedItems containsBlank="1" containsMixedTypes="1" containsNumber="1" minValue="-46.099303587569764" maxValue="12131.196677887034"/>
    </cacheField>
    <cacheField name="2019" numFmtId="0">
      <sharedItems containsBlank="1" containsMixedTypes="1" containsNumber="1" minValue="-46.099303587569764" maxValue="16309.040976945511"/>
    </cacheField>
    <cacheField name="2020" numFmtId="0">
      <sharedItems containsBlank="1" containsMixedTypes="1" containsNumber="1" minValue="-46.099303587569764" maxValue="20939.879288124397"/>
    </cacheField>
    <cacheField name="2021" numFmtId="0">
      <sharedItems containsBlank="1" containsMixedTypes="1" containsNumber="1" minValue="-46.099303587569764" maxValue="20939.879288124397"/>
    </cacheField>
    <cacheField name="2022" numFmtId="0">
      <sharedItems containsBlank="1" containsMixedTypes="1" containsNumber="1" minValue="-46.099303587569764" maxValue="20939.879288124397"/>
    </cacheField>
    <cacheField name="2023" numFmtId="0">
      <sharedItems containsBlank="1" containsMixedTypes="1" containsNumber="1" minValue="-46.099303587569764" maxValue="20939.879288124397"/>
    </cacheField>
    <cacheField name="2024" numFmtId="0">
      <sharedItems containsBlank="1" containsMixedTypes="1" containsNumber="1" minValue="-46.099303587569764" maxValue="20939.879288124397"/>
    </cacheField>
    <cacheField name="2025" numFmtId="0">
      <sharedItems containsBlank="1" containsMixedTypes="1" containsNumber="1" minValue="-46.099303587569764" maxValue="20620.998192887884"/>
    </cacheField>
    <cacheField name="2026" numFmtId="0">
      <sharedItems containsBlank="1" containsMixedTypes="1" containsNumber="1" minValue="-46.099303587569764" maxValue="17304.659444245222"/>
    </cacheField>
    <cacheField name="2027" numFmtId="0">
      <sharedItems containsBlank="1" containsMixedTypes="1" containsNumber="1" minValue="-46.099303587569764" maxValue="15022.604730635823"/>
    </cacheField>
    <cacheField name="2028" numFmtId="0">
      <sharedItems containsBlank="1" containsMixedTypes="1" containsNumber="1" minValue="-46.099303587569764" maxValue="12574.138128056848"/>
    </cacheField>
    <cacheField name="2029" numFmtId="0">
      <sharedItems containsBlank="1" containsMixedTypes="1" containsNumber="1" minValue="-44.100481065259707" maxValue="10194.221861938242"/>
    </cacheField>
    <cacheField name="2030" numFmtId="0">
      <sharedItems containsBlank="1" containsMixedTypes="1" containsNumber="1" minValue="0" maxValue="10194.221861938242"/>
    </cacheField>
    <cacheField name="2031" numFmtId="0">
      <sharedItems containsBlank="1" containsMixedTypes="1" containsNumber="1" minValue="0" maxValue="10194.221861938242"/>
    </cacheField>
    <cacheField name="2032" numFmtId="0">
      <sharedItems containsBlank="1" containsMixedTypes="1" containsNumber="1" minValue="0" maxValue="7554.3715739956679"/>
    </cacheField>
    <cacheField name="2033" numFmtId="0">
      <sharedItems containsBlank="1" containsMixedTypes="1" containsNumber="1" minValue="0" maxValue="7554.3715739956679"/>
    </cacheField>
    <cacheField name="2034" numFmtId="0">
      <sharedItems containsBlank="1" containsMixedTypes="1" containsNumber="1" minValue="0" maxValue="7554.3715739956679"/>
    </cacheField>
    <cacheField name="2035" numFmtId="0">
      <sharedItems containsBlank="1" containsMixedTypes="1" containsNumber="1" minValue="0" maxValue="7554.3715739956679"/>
    </cacheField>
    <cacheField name="2036" numFmtId="0">
      <sharedItems containsBlank="1" containsMixedTypes="1" containsNumber="1" minValue="0" maxValue="1406.3129387821937"/>
    </cacheField>
    <cacheField name="2037" numFmtId="0">
      <sharedItems containsBlank="1" containsMixedTypes="1" containsNumber="1" minValue="0" maxValue="1004.509241987281"/>
    </cacheField>
    <cacheField name="2038" numFmtId="0">
      <sharedItems containsBlank="1" containsMixedTypes="1" containsNumber="1" minValue="0" maxValue="602.70554519236862"/>
    </cacheField>
    <cacheField name="2039" numFmtId="0">
      <sharedItems containsBlank="1" containsMixedTypes="1" containsNumber="1" minValue="0" maxValue="301.35277259618431"/>
    </cacheField>
    <cacheField name="2040" numFmtId="0">
      <sharedItems containsBlank="1" containsMixedTypes="1" containsNumber="1" containsInteger="1" minValue="0" maxValue="0"/>
    </cacheField>
    <cacheField name="2041" numFmtId="0">
      <sharedItems containsString="0" containsBlank="1"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Sottile,Stephen" refreshedDate="42257.553618518519" createdVersion="4" refreshedVersion="4" minRefreshableVersion="3" recordCount="137">
  <cacheSource type="worksheet">
    <worksheetSource ref="A1:AP138" sheet="KH MW Persistence Table"/>
  </cacheSource>
  <cacheFields count="42">
    <cacheField name="Portfolio" numFmtId="0">
      <sharedItems containsMixedTypes="1" containsNumber="1" containsInteger="1" minValue="1" maxValue="65"/>
    </cacheField>
    <cacheField name="Program" numFmtId="0">
      <sharedItems/>
    </cacheField>
    <cacheField name="Initiative" numFmtId="0">
      <sharedItems/>
    </cacheField>
    <cacheField name="LDC" numFmtId="0">
      <sharedItems/>
    </cacheField>
    <cacheField name="Conservation Resource Type " numFmtId="0">
      <sharedItems containsBlank="1"/>
    </cacheField>
    <cacheField name="(Implementation) Year" numFmtId="0">
      <sharedItems containsMixedTypes="1" containsNumber="1" containsInteger="1" minValue="2006" maxValue="2014" count="10">
        <n v="2006"/>
        <n v="2007"/>
        <n v="2008"/>
        <n v="2009"/>
        <n v="2010"/>
        <n v="2011"/>
        <n v="2012"/>
        <n v="2013"/>
        <n v="2014"/>
        <s v="2015- 2020"/>
      </sharedItems>
    </cacheField>
    <cacheField name="Rate Class" numFmtId="0">
      <sharedItems containsBlank="1" count="27">
        <s v="Residential"/>
        <s v="GS Greater Than 50kW"/>
        <s v="n/a"/>
        <s v="GS Less Than 50kW"/>
        <s v="DI 2011"/>
        <s v="RF 2011"/>
        <s v="AU 2011"/>
        <s v="Large User"/>
        <s v="DI 2012"/>
        <s v="RF 2012"/>
        <s v="AU 2012"/>
        <s v="HP 2012"/>
        <s v="Large User - No Rate Impact"/>
        <s v="AU 2013"/>
        <s v="HP 2013"/>
        <s v="RF 2013"/>
        <s v="DI 2013"/>
        <s v="AU 2014"/>
        <s v="HP 2014"/>
        <s v="RF 2014"/>
        <s v="DI 2014"/>
        <m/>
        <s v="RF 2015-20"/>
        <s v="DI 2015-20"/>
        <s v="HP 2015-20"/>
        <s v="AU 2015-20"/>
        <s v="GS&gt;50kW" u="1"/>
      </sharedItems>
    </cacheField>
    <cacheField name="2006" numFmtId="0">
      <sharedItems containsString="0" containsBlank="1" containsNumber="1" minValue="0" maxValue="1.8056307353830989"/>
    </cacheField>
    <cacheField name="2007" numFmtId="0">
      <sharedItems containsString="0" containsBlank="1" containsNumber="1" minValue="0" maxValue="1.9100236982573271"/>
    </cacheField>
    <cacheField name="2008" numFmtId="0">
      <sharedItems containsString="0" containsBlank="1" containsNumber="1" minValue="0" maxValue="2.9071771689317281"/>
    </cacheField>
    <cacheField name="2009" numFmtId="0">
      <sharedItems containsString="0" containsBlank="1" containsNumber="1" minValue="0" maxValue="1.1957688458910378"/>
    </cacheField>
    <cacheField name="2010" numFmtId="0">
      <sharedItems containsString="0" containsBlank="1" containsNumber="1" minValue="0" maxValue="1.67746830163979"/>
    </cacheField>
    <cacheField name="2011" numFmtId="0">
      <sharedItems containsBlank="1" containsMixedTypes="1" containsNumber="1" minValue="-2.3685847270150318E-2" maxValue="4.0183739999999997"/>
    </cacheField>
    <cacheField name="2012" numFmtId="0">
      <sharedItems containsBlank="1" containsMixedTypes="1" containsNumber="1" minValue="-2.3685847270150318E-2" maxValue="4.0302177390000002"/>
    </cacheField>
    <cacheField name="2013" numFmtId="0">
      <sharedItems containsString="0" containsBlank="1" containsNumber="1" minValue="-2.3685847270150318E-2" maxValue="3.8944540000000001"/>
    </cacheField>
    <cacheField name="2014" numFmtId="171">
      <sharedItems containsBlank="1" containsMixedTypes="1" containsNumber="1" minValue="-2.3685847270150318E-2" maxValue="0.50824574030219083"/>
    </cacheField>
    <cacheField name="2015" numFmtId="0">
      <sharedItems containsBlank="1" containsMixedTypes="1" containsNumber="1" minValue="-2.3685847270150318E-2" maxValue="0.46978124666636023"/>
    </cacheField>
    <cacheField name="2016" numFmtId="0">
      <sharedItems containsBlank="1" containsMixedTypes="1" containsNumber="1" minValue="-2.3685847270150318E-2" maxValue="0.95046664476836518"/>
    </cacheField>
    <cacheField name="2017" numFmtId="0">
      <sharedItems containsBlank="1" containsMixedTypes="1" containsNumber="1" minValue="-2.3685847270150318E-2" maxValue="1.5250063535209557"/>
    </cacheField>
    <cacheField name="2018" numFmtId="0">
      <sharedItems containsBlank="1" containsMixedTypes="1" containsNumber="1" minValue="-2.3685847270150318E-2" maxValue="2.1802734475058538"/>
    </cacheField>
    <cacheField name="2019" numFmtId="0">
      <sharedItems containsBlank="1" containsMixedTypes="1" containsNumber="1" minValue="-2.3685847270150318E-2" maxValue="2.91626792672306"/>
    </cacheField>
    <cacheField name="2020" numFmtId="0">
      <sharedItems containsBlank="1" containsMixedTypes="1" containsNumber="1" minValue="-2.3685847270150318E-2" maxValue="3.732989791172574"/>
    </cacheField>
    <cacheField name="2021" numFmtId="0">
      <sharedItems containsBlank="1" containsMixedTypes="1" containsNumber="1" minValue="-2.3685847270150318E-2" maxValue="3.732989791172574"/>
    </cacheField>
    <cacheField name="2022" numFmtId="0">
      <sharedItems containsBlank="1" containsMixedTypes="1" containsNumber="1" minValue="-2.3685847270150318E-2" maxValue="3.732989791172574"/>
    </cacheField>
    <cacheField name="2023" numFmtId="0">
      <sharedItems containsBlank="1" containsMixedTypes="1" containsNumber="1" minValue="-2.3685847270150318E-2" maxValue="3.732989791172574"/>
    </cacheField>
    <cacheField name="2024" numFmtId="0">
      <sharedItems containsBlank="1" containsMixedTypes="1" containsNumber="1" minValue="-2.3685847270150318E-2" maxValue="3.732989791172574"/>
    </cacheField>
    <cacheField name="2025" numFmtId="0">
      <sharedItems containsBlank="1" containsMixedTypes="1" containsNumber="1" minValue="-2.3685847270150318E-2" maxValue="3.6817899551084823"/>
    </cacheField>
    <cacheField name="2026" numFmtId="0">
      <sharedItems containsBlank="1" containsMixedTypes="1" containsNumber="1" minValue="-2.3685847270150318E-2" maxValue="3.1053631752938946"/>
    </cacheField>
    <cacheField name="2027" numFmtId="0">
      <sharedItems containsBlank="1" containsMixedTypes="1" containsNumber="1" minValue="-2.3685847270150318E-2" maxValue="2.7424335843601928"/>
    </cacheField>
    <cacheField name="2028" numFmtId="0">
      <sharedItems containsBlank="1" containsMixedTypes="1" containsNumber="1" minValue="-2.3685847270150318E-2" maxValue="2.3562174601787427"/>
    </cacheField>
    <cacheField name="2029" numFmtId="0">
      <sharedItems containsBlank="1" containsMixedTypes="1" containsNumber="1" minValue="-2.1446832855818238E-2" maxValue="1.9298016797403545"/>
    </cacheField>
    <cacheField name="2030" numFmtId="0">
      <sharedItems containsBlank="1" containsMixedTypes="1" containsNumber="1" minValue="0" maxValue="1.5997191392159402"/>
    </cacheField>
    <cacheField name="2031" numFmtId="0">
      <sharedItems containsBlank="1" containsMixedTypes="1" containsNumber="1" minValue="0" maxValue="1.3460222940781166"/>
    </cacheField>
    <cacheField name="2032" numFmtId="0">
      <sharedItems containsBlank="1" containsMixedTypes="1" containsNumber="1" minValue="0" maxValue="1.1578732932132343"/>
    </cacheField>
    <cacheField name="2033" numFmtId="0">
      <sharedItems containsBlank="1" containsMixedTypes="1" containsNumber="1" minValue="0" maxValue="1.0204563867199861"/>
    </cacheField>
    <cacheField name="2034" numFmtId="0">
      <sharedItems containsBlank="1" containsMixedTypes="1" containsNumber="1" minValue="0" maxValue="1.0204563867199861"/>
    </cacheField>
    <cacheField name="2035" numFmtId="0">
      <sharedItems containsBlank="1" containsMixedTypes="1" containsNumber="1" minValue="0" maxValue="1.0204563867199861"/>
    </cacheField>
    <cacheField name="2036" numFmtId="0">
      <sharedItems containsBlank="1" containsMixedTypes="1" containsNumber="1" minValue="0" maxValue="0.79368830078221142"/>
    </cacheField>
    <cacheField name="2037" numFmtId="0">
      <sharedItems containsBlank="1" containsMixedTypes="1" containsNumber="1" minValue="0" maxValue="0.56692021484443667"/>
    </cacheField>
    <cacheField name="2038" numFmtId="0">
      <sharedItems containsBlank="1" containsMixedTypes="1" containsNumber="1" minValue="0" maxValue="0.34015212890666202"/>
    </cacheField>
    <cacheField name="2039" numFmtId="0">
      <sharedItems containsBlank="1" containsMixedTypes="1" containsNumber="1" minValue="0" maxValue="0.17007606445333101"/>
    </cacheField>
    <cacheField name="2040" numFmtId="0">
      <sharedItems containsBlank="1" containsMixedTypes="1"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7">
  <r>
    <n v="1"/>
    <s v="Consumer"/>
    <s v="Secondary Refrigerator Retirement Pilot"/>
    <m/>
    <m/>
    <s v="Final"/>
    <x v="0"/>
    <m/>
    <x v="0"/>
    <n v="27.786910128021361"/>
    <n v="27.786910128021361"/>
    <n v="27.786910128021361"/>
    <n v="27.786910128021361"/>
    <n v="27.786910128021361"/>
    <n v="27.786910128021361"/>
    <n v="0"/>
    <n v="0"/>
    <n v="0"/>
    <n v="0"/>
    <n v="0"/>
    <n v="0"/>
    <n v="0"/>
    <n v="0"/>
    <n v="0"/>
    <n v="0"/>
    <n v="0"/>
    <n v="0"/>
    <n v="0"/>
    <n v="0"/>
    <n v="0"/>
    <n v="0"/>
    <n v="0"/>
    <n v="0"/>
    <n v="0"/>
    <n v="0"/>
    <n v="0"/>
    <n v="0"/>
    <n v="0"/>
    <n v="0"/>
    <m/>
    <m/>
    <m/>
    <m/>
    <m/>
    <m/>
  </r>
  <r>
    <n v="2"/>
    <s v="Consumer"/>
    <s v="Cool &amp; Hot Savings Rebate"/>
    <m/>
    <m/>
    <s v="Final"/>
    <x v="0"/>
    <m/>
    <x v="0"/>
    <n v="68.594205032184831"/>
    <n v="68.594205032184831"/>
    <n v="68.594205032184831"/>
    <n v="68.594205032184831"/>
    <n v="68.594205032184831"/>
    <n v="68.594205032184831"/>
    <n v="68.594205032184831"/>
    <n v="68.594205032184831"/>
    <n v="50.606642727339562"/>
    <n v="50.606642727339562"/>
    <n v="50.606642727339562"/>
    <n v="50.606642727339562"/>
    <n v="50.606642727339562"/>
    <n v="50.606642727339562"/>
    <n v="25.517419987395233"/>
    <n v="9.9462305879994481"/>
    <n v="9.9462305879994481"/>
    <n v="9.9462305879994481"/>
    <n v="0"/>
    <n v="0"/>
    <n v="0"/>
    <n v="0"/>
    <n v="0"/>
    <n v="0"/>
    <n v="0"/>
    <n v="0"/>
    <n v="0"/>
    <n v="0"/>
    <n v="0"/>
    <n v="0"/>
    <m/>
    <m/>
    <m/>
    <m/>
    <m/>
    <m/>
  </r>
  <r>
    <n v="3"/>
    <s v="Consumer"/>
    <s v="Every Kilowatt Counts"/>
    <m/>
    <m/>
    <s v="Final"/>
    <x v="0"/>
    <m/>
    <x v="0"/>
    <n v="1779.857419207262"/>
    <n v="1779.857419207262"/>
    <n v="1779.857419207262"/>
    <n v="1779.857419207262"/>
    <n v="229.4799735529177"/>
    <n v="229.4799735529177"/>
    <n v="229.4799735529177"/>
    <n v="229.4799735529177"/>
    <n v="229.4799735529177"/>
    <n v="229.4799735529177"/>
    <n v="214.01342869268902"/>
    <n v="214.01342869268902"/>
    <n v="214.01342869268902"/>
    <n v="214.01342869268902"/>
    <n v="214.01342869268902"/>
    <n v="198.25763518941719"/>
    <n v="198.25763518941719"/>
    <n v="198.25763518941719"/>
    <n v="112.49868174790195"/>
    <n v="112.49868174790195"/>
    <n v="65.642743632997878"/>
    <n v="65.642743632997878"/>
    <n v="65.642743632997878"/>
    <n v="65.642743632997878"/>
    <n v="65.642743632997878"/>
    <n v="10.651235022659334"/>
    <n v="10.651235022659334"/>
    <n v="10.651235022659334"/>
    <n v="10.651235022659334"/>
    <n v="10.651235022659334"/>
    <m/>
    <m/>
    <m/>
    <m/>
    <m/>
    <m/>
  </r>
  <r>
    <n v="4"/>
    <s v="Business, Industrial"/>
    <s v="Demand Response 1"/>
    <m/>
    <m/>
    <s v="Final"/>
    <x v="0"/>
    <m/>
    <x v="1"/>
    <n v="0"/>
    <n v="0"/>
    <n v="0"/>
    <n v="0"/>
    <n v="0"/>
    <n v="0"/>
    <n v="0"/>
    <n v="0"/>
    <n v="0"/>
    <n v="0"/>
    <n v="0"/>
    <n v="0"/>
    <n v="0"/>
    <n v="0"/>
    <n v="0"/>
    <n v="0"/>
    <n v="0"/>
    <n v="0"/>
    <n v="0"/>
    <n v="0"/>
    <n v="0"/>
    <n v="0"/>
    <n v="0"/>
    <n v="0"/>
    <n v="0"/>
    <n v="0"/>
    <n v="0"/>
    <n v="0"/>
    <n v="0"/>
    <n v="0"/>
    <m/>
    <m/>
    <m/>
    <m/>
    <m/>
    <m/>
  </r>
  <r>
    <n v="5"/>
    <s v="Business, Industrial"/>
    <s v="Loblaw &amp; York Region Demand Response"/>
    <m/>
    <m/>
    <s v="Final"/>
    <x v="0"/>
    <m/>
    <x v="1"/>
    <n v="0"/>
    <n v="0"/>
    <n v="0"/>
    <n v="0"/>
    <n v="0"/>
    <n v="0"/>
    <n v="0"/>
    <n v="0"/>
    <n v="0"/>
    <n v="0"/>
    <n v="0"/>
    <n v="0"/>
    <n v="0"/>
    <n v="0"/>
    <n v="0"/>
    <n v="0"/>
    <n v="0"/>
    <n v="0"/>
    <n v="0"/>
    <n v="0"/>
    <n v="0"/>
    <n v="0"/>
    <n v="0"/>
    <n v="0"/>
    <n v="0"/>
    <n v="0"/>
    <n v="0"/>
    <n v="0"/>
    <n v="0"/>
    <n v="0"/>
    <m/>
    <m/>
    <m/>
    <m/>
    <m/>
    <m/>
  </r>
  <r>
    <n v="6"/>
    <s v="Consumer"/>
    <s v="Great Refrigerator Roundup"/>
    <m/>
    <m/>
    <s v="Final"/>
    <x v="1"/>
    <m/>
    <x v="0"/>
    <n v="0"/>
    <n v="61.0890258095747"/>
    <n v="61.0890258095747"/>
    <n v="61.0890258095747"/>
    <n v="61.0890258095747"/>
    <n v="60.933754501886966"/>
    <n v="60.778483194199232"/>
    <n v="60.778483194199232"/>
    <n v="60.778483194199232"/>
    <n v="50.585221194297702"/>
    <n v="0"/>
    <n v="0"/>
    <n v="0"/>
    <n v="0"/>
    <n v="0"/>
    <n v="0"/>
    <n v="0"/>
    <n v="0"/>
    <n v="0"/>
    <n v="0"/>
    <n v="0"/>
    <n v="0"/>
    <n v="0"/>
    <n v="0"/>
    <n v="0"/>
    <n v="0"/>
    <n v="0"/>
    <n v="0"/>
    <n v="0"/>
    <n v="0"/>
    <m/>
    <m/>
    <m/>
    <m/>
    <m/>
    <m/>
  </r>
  <r>
    <n v="7"/>
    <s v="Consumer"/>
    <s v="Cool &amp; Hot Savings Rebate"/>
    <m/>
    <m/>
    <s v="Final"/>
    <x v="1"/>
    <m/>
    <x v="0"/>
    <n v="0"/>
    <n v="117.87568510677875"/>
    <n v="117.87568510677875"/>
    <n v="117.87568510677875"/>
    <n v="117.87568510677875"/>
    <n v="117.87568510677875"/>
    <n v="112.2872479638088"/>
    <n v="112.2872479638088"/>
    <n v="112.2872479638088"/>
    <n v="112.2872479638088"/>
    <n v="112.2872479638088"/>
    <n v="112.2872479638088"/>
    <n v="112.2872479638088"/>
    <n v="112.2872479638088"/>
    <n v="112.2872479638088"/>
    <n v="112.2872479638088"/>
    <n v="12.313267905893658"/>
    <n v="12.313267905893658"/>
    <n v="12.313267905893658"/>
    <n v="0"/>
    <n v="0"/>
    <n v="0"/>
    <n v="0"/>
    <n v="0"/>
    <n v="0"/>
    <n v="0"/>
    <n v="0"/>
    <n v="0"/>
    <n v="0"/>
    <n v="0"/>
    <m/>
    <m/>
    <m/>
    <m/>
    <m/>
    <m/>
  </r>
  <r>
    <n v="8"/>
    <s v="Consumer"/>
    <s v="Every Kilowatt Counts"/>
    <m/>
    <m/>
    <s v="Final"/>
    <x v="1"/>
    <m/>
    <x v="0"/>
    <n v="0"/>
    <n v="706.59765787836398"/>
    <n v="697.95602111293226"/>
    <n v="697.95602111293226"/>
    <n v="697.95602111293226"/>
    <n v="697.95602111293226"/>
    <n v="674.12112793337371"/>
    <n v="674.12112793337371"/>
    <n v="674.12112793337371"/>
    <n v="54.749276375538201"/>
    <n v="54.749276375538201"/>
    <n v="10.316243513196282"/>
    <n v="10.316243513196282"/>
    <n v="10.316243513196282"/>
    <n v="10.316243513196282"/>
    <n v="10.316243513196282"/>
    <n v="6.162747119732785"/>
    <n v="2.7960996273735383"/>
    <n v="2.7960996273735383"/>
    <n v="0"/>
    <n v="0"/>
    <n v="0"/>
    <n v="0"/>
    <n v="0"/>
    <n v="0"/>
    <n v="0"/>
    <n v="0"/>
    <n v="0"/>
    <n v="0"/>
    <n v="0"/>
    <m/>
    <m/>
    <m/>
    <m/>
    <m/>
    <m/>
  </r>
  <r>
    <n v="9"/>
    <s v="Consumer, Business"/>
    <s v="peaksaver®"/>
    <m/>
    <m/>
    <s v="Final"/>
    <x v="1"/>
    <m/>
    <x v="2"/>
    <n v="0"/>
    <n v="0"/>
    <n v="0"/>
    <n v="0"/>
    <n v="0"/>
    <n v="0"/>
    <n v="0"/>
    <n v="0"/>
    <n v="0"/>
    <n v="0"/>
    <n v="0"/>
    <n v="0"/>
    <n v="0"/>
    <n v="0"/>
    <n v="0"/>
    <n v="0"/>
    <n v="0"/>
    <n v="0"/>
    <n v="0"/>
    <n v="0"/>
    <n v="0"/>
    <n v="0"/>
    <n v="0"/>
    <n v="0"/>
    <n v="0"/>
    <n v="0"/>
    <n v="0"/>
    <n v="0"/>
    <n v="0"/>
    <n v="0"/>
    <m/>
    <m/>
    <m/>
    <m/>
    <m/>
    <m/>
  </r>
  <r>
    <n v="10"/>
    <s v="Consumer"/>
    <s v="Summer Savings"/>
    <m/>
    <m/>
    <s v="Final"/>
    <x v="1"/>
    <m/>
    <x v="0"/>
    <n v="0"/>
    <n v="329.98675831798073"/>
    <n v="55.620070514863954"/>
    <n v="21.053092681750751"/>
    <n v="21.053092681750751"/>
    <n v="21.053092681750751"/>
    <n v="21.053092681750751"/>
    <n v="21.053092681750751"/>
    <n v="21.053092681750751"/>
    <n v="13.370915840510813"/>
    <n v="13.370915840510813"/>
    <n v="13.370915840510813"/>
    <n v="13.370915840510813"/>
    <n v="13.370915840510813"/>
    <n v="13.370915840510813"/>
    <n v="0"/>
    <n v="0"/>
    <n v="0"/>
    <n v="0"/>
    <n v="0"/>
    <n v="0"/>
    <n v="0"/>
    <n v="0"/>
    <n v="0"/>
    <n v="0"/>
    <n v="0"/>
    <n v="0"/>
    <n v="0"/>
    <n v="0"/>
    <n v="0"/>
    <m/>
    <m/>
    <m/>
    <m/>
    <m/>
    <m/>
  </r>
  <r>
    <n v="11"/>
    <s v="Consumer"/>
    <s v="Aboriginal"/>
    <m/>
    <m/>
    <s v="Final"/>
    <x v="1"/>
    <m/>
    <x v="2"/>
    <n v="0"/>
    <n v="0"/>
    <n v="0"/>
    <n v="0"/>
    <n v="0"/>
    <n v="0"/>
    <n v="0"/>
    <n v="0"/>
    <n v="0"/>
    <n v="0"/>
    <n v="0"/>
    <n v="0"/>
    <n v="0"/>
    <n v="0"/>
    <n v="0"/>
    <n v="0"/>
    <n v="0"/>
    <n v="0"/>
    <n v="0"/>
    <n v="0"/>
    <n v="0"/>
    <n v="0"/>
    <n v="0"/>
    <n v="0"/>
    <n v="0"/>
    <n v="0"/>
    <n v="0"/>
    <n v="0"/>
    <n v="0"/>
    <n v="0"/>
    <m/>
    <m/>
    <m/>
    <m/>
    <m/>
    <m/>
  </r>
  <r>
    <n v="12"/>
    <s v="Consumer Low-Income"/>
    <s v="Affordable Housing Pilot"/>
    <m/>
    <m/>
    <s v="Final"/>
    <x v="1"/>
    <m/>
    <x v="0"/>
    <n v="0"/>
    <n v="120.72139"/>
    <n v="120.72139"/>
    <n v="120.72139"/>
    <n v="120.72139"/>
    <n v="120.72139"/>
    <n v="120.72139"/>
    <n v="120.72139"/>
    <n v="120.72139"/>
    <n v="120.72139"/>
    <n v="120.72139"/>
    <n v="120.72139"/>
    <n v="120.72139"/>
    <n v="120.72139"/>
    <n v="120.72139"/>
    <n v="0"/>
    <n v="0"/>
    <n v="0"/>
    <n v="0"/>
    <n v="0"/>
    <n v="0"/>
    <n v="0"/>
    <n v="0"/>
    <n v="0"/>
    <n v="0"/>
    <n v="0"/>
    <n v="0"/>
    <n v="0"/>
    <n v="0"/>
    <n v="0"/>
    <m/>
    <m/>
    <m/>
    <m/>
    <m/>
    <m/>
  </r>
  <r>
    <n v="13"/>
    <s v="Consumer Low-Income"/>
    <s v="Social Housing Pilot"/>
    <m/>
    <m/>
    <s v="Final"/>
    <x v="1"/>
    <m/>
    <x v="0"/>
    <n v="0"/>
    <n v="64.220752287921457"/>
    <n v="64.220752287921457"/>
    <n v="64.220752287921457"/>
    <n v="64.220752287921457"/>
    <n v="64.220752287921457"/>
    <n v="64.220752287921457"/>
    <n v="64.220752287921457"/>
    <n v="64.220752287921457"/>
    <n v="64.220752287921457"/>
    <n v="64.220752287921457"/>
    <n v="0"/>
    <n v="0"/>
    <n v="0"/>
    <n v="0"/>
    <n v="0"/>
    <n v="0"/>
    <n v="0"/>
    <n v="0"/>
    <n v="0"/>
    <n v="0"/>
    <n v="0"/>
    <n v="0"/>
    <n v="0"/>
    <n v="0"/>
    <n v="0"/>
    <n v="0"/>
    <n v="0"/>
    <n v="0"/>
    <n v="0"/>
    <m/>
    <m/>
    <m/>
    <m/>
    <m/>
    <m/>
  </r>
  <r>
    <n v="14"/>
    <s v="Consumer Low-Income"/>
    <s v="Energy Efficiency Assistance for Houses Pilot"/>
    <m/>
    <m/>
    <s v="Final"/>
    <x v="1"/>
    <m/>
    <x v="0"/>
    <n v="0"/>
    <n v="131.6722004675193"/>
    <n v="131.6722004675193"/>
    <n v="131.6722004675193"/>
    <n v="131.6722004675193"/>
    <n v="131.6722004675193"/>
    <n v="131.6722004675193"/>
    <n v="131.6722004675193"/>
    <n v="131.6722004675193"/>
    <n v="131.6722004675193"/>
    <n v="131.6722004675193"/>
    <n v="131.6722004675193"/>
    <n v="131.6722004675193"/>
    <n v="131.6722004675193"/>
    <n v="131.6722004675193"/>
    <n v="131.6722004675193"/>
    <n v="131.6722004675193"/>
    <n v="131.6722004675193"/>
    <n v="131.6722004675193"/>
    <n v="131.6722004675193"/>
    <n v="0"/>
    <n v="0"/>
    <n v="0"/>
    <n v="0"/>
    <n v="0"/>
    <n v="0"/>
    <n v="0"/>
    <n v="0"/>
    <n v="0"/>
    <n v="0"/>
    <m/>
    <m/>
    <m/>
    <m/>
    <m/>
    <m/>
  </r>
  <r>
    <n v="15"/>
    <s v="Business"/>
    <s v="Electricity Retrofit Incentive"/>
    <m/>
    <m/>
    <s v="Final"/>
    <x v="1"/>
    <m/>
    <x v="1"/>
    <n v="0"/>
    <n v="0"/>
    <n v="0"/>
    <n v="0"/>
    <n v="0"/>
    <n v="0"/>
    <n v="0"/>
    <n v="0"/>
    <n v="0"/>
    <n v="0"/>
    <n v="0"/>
    <n v="0"/>
    <n v="0"/>
    <n v="0"/>
    <n v="0"/>
    <n v="0"/>
    <n v="0"/>
    <n v="0"/>
    <n v="0"/>
    <n v="0"/>
    <n v="0"/>
    <n v="0"/>
    <n v="0"/>
    <n v="0"/>
    <n v="0"/>
    <n v="0"/>
    <n v="0"/>
    <n v="0"/>
    <n v="0"/>
    <n v="0"/>
    <m/>
    <m/>
    <m/>
    <m/>
    <m/>
    <m/>
  </r>
  <r>
    <n v="16"/>
    <s v="Business"/>
    <s v="Toronto Comprehensive"/>
    <m/>
    <m/>
    <s v="Final"/>
    <x v="1"/>
    <m/>
    <x v="2"/>
    <n v="0"/>
    <n v="0"/>
    <n v="0"/>
    <n v="0"/>
    <n v="0"/>
    <n v="0"/>
    <n v="0"/>
    <n v="0"/>
    <n v="0"/>
    <n v="0"/>
    <n v="0"/>
    <n v="0"/>
    <n v="0"/>
    <n v="0"/>
    <n v="0"/>
    <n v="0"/>
    <n v="0"/>
    <n v="0"/>
    <n v="0"/>
    <n v="0"/>
    <n v="0"/>
    <n v="0"/>
    <n v="0"/>
    <n v="0"/>
    <n v="0"/>
    <n v="0"/>
    <n v="0"/>
    <n v="0"/>
    <n v="0"/>
    <n v="0"/>
    <m/>
    <m/>
    <m/>
    <m/>
    <m/>
    <m/>
  </r>
  <r>
    <n v="17"/>
    <s v="Business, Industrial"/>
    <s v="Demand Response 1"/>
    <m/>
    <m/>
    <s v="Final"/>
    <x v="1"/>
    <m/>
    <x v="1"/>
    <n v="0"/>
    <n v="0"/>
    <n v="0"/>
    <n v="0"/>
    <n v="0"/>
    <n v="0"/>
    <n v="0"/>
    <n v="0"/>
    <n v="0"/>
    <n v="0"/>
    <n v="0"/>
    <n v="0"/>
    <n v="0"/>
    <n v="0"/>
    <n v="0"/>
    <n v="0"/>
    <n v="0"/>
    <n v="0"/>
    <n v="0"/>
    <n v="0"/>
    <n v="0"/>
    <n v="0"/>
    <n v="0"/>
    <n v="0"/>
    <n v="0"/>
    <n v="0"/>
    <n v="0"/>
    <n v="0"/>
    <n v="0"/>
    <n v="0"/>
    <m/>
    <m/>
    <m/>
    <m/>
    <m/>
    <m/>
  </r>
  <r>
    <n v="18"/>
    <s v="Business, Industrial"/>
    <s v="Loblaw &amp; York Region Demand Response"/>
    <m/>
    <m/>
    <s v="Final"/>
    <x v="1"/>
    <m/>
    <x v="1"/>
    <n v="0"/>
    <n v="0"/>
    <n v="0"/>
    <n v="0"/>
    <n v="0"/>
    <n v="0"/>
    <n v="0"/>
    <n v="0"/>
    <n v="0"/>
    <n v="0"/>
    <n v="0"/>
    <n v="0"/>
    <n v="0"/>
    <n v="0"/>
    <n v="0"/>
    <n v="0"/>
    <n v="0"/>
    <n v="0"/>
    <n v="0"/>
    <n v="0"/>
    <n v="0"/>
    <n v="0"/>
    <n v="0"/>
    <n v="0"/>
    <n v="0"/>
    <n v="0"/>
    <n v="0"/>
    <n v="0"/>
    <n v="0"/>
    <n v="0"/>
    <m/>
    <m/>
    <m/>
    <m/>
    <m/>
    <m/>
  </r>
  <r>
    <n v="19"/>
    <s v="Consumer, Business, Industrial"/>
    <s v="Renewable Energy Standard Offer"/>
    <m/>
    <m/>
    <s v="Final"/>
    <x v="1"/>
    <m/>
    <x v="0"/>
    <n v="0"/>
    <n v="24.438648000000001"/>
    <n v="24.438648000000001"/>
    <n v="24.438648000000001"/>
    <n v="24.438648000000001"/>
    <n v="24.438648000000001"/>
    <n v="24.438648000000001"/>
    <n v="24.438648000000001"/>
    <n v="24.438648000000001"/>
    <n v="24.438648000000001"/>
    <n v="24.438648000000001"/>
    <n v="24.438648000000001"/>
    <n v="24.438648000000001"/>
    <n v="24.438648000000001"/>
    <n v="24.438648000000001"/>
    <n v="24.438648000000001"/>
    <n v="24.438648000000001"/>
    <n v="24.438648000000001"/>
    <n v="24.438648000000001"/>
    <n v="24.438648000000001"/>
    <n v="24.438648000000001"/>
    <n v="0"/>
    <n v="0"/>
    <n v="0"/>
    <n v="0"/>
    <n v="0"/>
    <n v="0"/>
    <n v="0"/>
    <n v="0"/>
    <n v="0"/>
    <m/>
    <m/>
    <m/>
    <m/>
    <m/>
    <m/>
  </r>
  <r>
    <n v="20"/>
    <s v="Consumer"/>
    <s v="Great Refrigerator Roundup"/>
    <m/>
    <m/>
    <s v="Final"/>
    <x v="2"/>
    <m/>
    <x v="0"/>
    <n v="0"/>
    <n v="0"/>
    <n v="114.40516"/>
    <n v="114.40516"/>
    <n v="114.40516"/>
    <n v="114.40516"/>
    <n v="114.12147999999998"/>
    <n v="113.83779999999999"/>
    <n v="113.83779999999999"/>
    <n v="113.83779999999999"/>
    <n v="90.364999999999995"/>
    <n v="0"/>
    <n v="0"/>
    <n v="0"/>
    <n v="0"/>
    <n v="0"/>
    <n v="0"/>
    <n v="0"/>
    <n v="0"/>
    <n v="0"/>
    <n v="0"/>
    <n v="0"/>
    <n v="0"/>
    <n v="0"/>
    <n v="0"/>
    <n v="0"/>
    <n v="0"/>
    <n v="0"/>
    <n v="0"/>
    <n v="0"/>
    <m/>
    <m/>
    <m/>
    <m/>
    <m/>
    <m/>
  </r>
  <r>
    <n v="21"/>
    <s v="Consumer"/>
    <s v="Cool Savings Rebate"/>
    <m/>
    <m/>
    <s v="Final"/>
    <x v="2"/>
    <m/>
    <x v="0"/>
    <n v="0"/>
    <n v="0"/>
    <n v="115.59733116888511"/>
    <n v="115.59733116888511"/>
    <n v="115.59733116888511"/>
    <n v="115.59733116888511"/>
    <n v="115.59733116888511"/>
    <n v="115.59733116888511"/>
    <n v="115.59733116888511"/>
    <n v="115.59733116888511"/>
    <n v="115.59733116888511"/>
    <n v="115.59733116888511"/>
    <n v="115.59733116888511"/>
    <n v="115.59733116888511"/>
    <n v="115.59733116888511"/>
    <n v="115.59733116888511"/>
    <n v="115.59733116888511"/>
    <n v="92.180854829928066"/>
    <n v="92.180854829928066"/>
    <n v="92.180854829928066"/>
    <n v="0"/>
    <n v="0"/>
    <n v="0"/>
    <n v="0"/>
    <n v="0"/>
    <n v="0"/>
    <n v="0"/>
    <n v="0"/>
    <n v="0"/>
    <n v="0"/>
    <m/>
    <m/>
    <m/>
    <m/>
    <m/>
    <m/>
  </r>
  <r>
    <n v="22"/>
    <s v="Consumer"/>
    <s v="Every Kilowatt Counts Power Savings Event"/>
    <m/>
    <m/>
    <s v="Final"/>
    <x v="2"/>
    <m/>
    <x v="0"/>
    <n v="0"/>
    <n v="0"/>
    <n v="586.80083092528616"/>
    <n v="584.24816249900425"/>
    <n v="584.24816249900425"/>
    <n v="584.24816249900425"/>
    <n v="495.89046442035021"/>
    <n v="495.89046442035021"/>
    <n v="403.88130234424233"/>
    <n v="335.1426669440844"/>
    <n v="211.5981537201412"/>
    <n v="208.9010914171856"/>
    <n v="171.30116197290698"/>
    <n v="171.30116197290698"/>
    <n v="162.49249884426379"/>
    <n v="162.49249884426379"/>
    <n v="162.49249884426379"/>
    <n v="156.421604982259"/>
    <n v="0"/>
    <n v="0"/>
    <n v="0"/>
    <n v="0"/>
    <n v="0"/>
    <n v="0"/>
    <n v="0"/>
    <n v="0"/>
    <n v="0"/>
    <n v="0"/>
    <n v="0"/>
    <n v="0"/>
    <m/>
    <m/>
    <m/>
    <m/>
    <m/>
    <m/>
  </r>
  <r>
    <n v="23"/>
    <s v="Consumer, Business"/>
    <s v="peaksaver®"/>
    <m/>
    <m/>
    <s v="Final"/>
    <x v="2"/>
    <m/>
    <x v="2"/>
    <n v="0"/>
    <n v="0"/>
    <n v="0"/>
    <n v="0"/>
    <n v="0"/>
    <n v="0"/>
    <n v="0"/>
    <n v="0"/>
    <n v="0"/>
    <n v="0"/>
    <n v="0"/>
    <n v="0"/>
    <n v="0"/>
    <n v="0"/>
    <n v="0"/>
    <n v="0"/>
    <n v="0"/>
    <n v="0"/>
    <n v="0"/>
    <n v="0"/>
    <n v="0"/>
    <n v="0"/>
    <n v="0"/>
    <n v="0"/>
    <n v="0"/>
    <n v="0"/>
    <n v="0"/>
    <n v="0"/>
    <n v="0"/>
    <n v="0"/>
    <m/>
    <m/>
    <m/>
    <m/>
    <m/>
    <m/>
  </r>
  <r>
    <n v="24"/>
    <s v="Consumer"/>
    <s v="Summer Sweepstakes"/>
    <m/>
    <m/>
    <s v="Final"/>
    <x v="2"/>
    <m/>
    <x v="0"/>
    <n v="0"/>
    <n v="0"/>
    <n v="263.04053755573591"/>
    <n v="94.919061593347493"/>
    <n v="94.919061593347493"/>
    <n v="94.919061593347493"/>
    <n v="94.919061593347493"/>
    <n v="94.919061593347493"/>
    <n v="94.919061593347493"/>
    <n v="94.919061593347493"/>
    <n v="52.000047194422017"/>
    <n v="52.000047194422017"/>
    <n v="39.400394351800976"/>
    <n v="39.400394351800976"/>
    <n v="39.400394351800976"/>
    <n v="34.858617178971095"/>
    <n v="33.240359680946696"/>
    <n v="31.603078487661914"/>
    <n v="31.603078487661914"/>
    <n v="31.603078487661914"/>
    <n v="31.603078487661914"/>
    <n v="31.603078487661914"/>
    <n v="0"/>
    <n v="0"/>
    <n v="0"/>
    <n v="0"/>
    <n v="0"/>
    <n v="0"/>
    <n v="0"/>
    <n v="0"/>
    <m/>
    <m/>
    <m/>
    <m/>
    <m/>
    <m/>
  </r>
  <r>
    <n v="25"/>
    <s v="Consumer, Business"/>
    <s v="Electricity Retrofit Incentive"/>
    <m/>
    <m/>
    <s v="Final"/>
    <x v="2"/>
    <m/>
    <x v="1"/>
    <n v="0"/>
    <n v="0"/>
    <n v="1366.6943951189435"/>
    <n v="1366.6850616468018"/>
    <n v="1366.6850616468018"/>
    <n v="1366.6850616468018"/>
    <n v="1366.6850616468018"/>
    <n v="1366.6850616468018"/>
    <n v="1366.6850616468018"/>
    <n v="1366.6850616468018"/>
    <n v="1255.2022258965644"/>
    <n v="1255.2022258965644"/>
    <n v="1255.2022258965644"/>
    <n v="1255.2022258965644"/>
    <n v="1255.2022258965644"/>
    <n v="1255.2022258965644"/>
    <n v="1255.2022258965644"/>
    <n v="1217.5461591196672"/>
    <n v="0"/>
    <n v="0"/>
    <n v="0"/>
    <n v="0"/>
    <n v="0"/>
    <n v="0"/>
    <n v="0"/>
    <n v="0"/>
    <n v="0"/>
    <n v="0"/>
    <n v="0"/>
    <n v="0"/>
    <m/>
    <m/>
    <m/>
    <m/>
    <m/>
    <m/>
  </r>
  <r>
    <n v="26"/>
    <s v="Consumer, Consumer Low-Income, Business"/>
    <s v="Toronto Comprehensive"/>
    <m/>
    <m/>
    <s v="Final"/>
    <x v="2"/>
    <m/>
    <x v="2"/>
    <n v="0"/>
    <n v="0"/>
    <n v="0"/>
    <n v="0"/>
    <n v="0"/>
    <n v="0"/>
    <n v="0"/>
    <n v="0"/>
    <n v="0"/>
    <n v="0"/>
    <n v="0"/>
    <n v="0"/>
    <n v="0"/>
    <n v="0"/>
    <n v="0"/>
    <n v="0"/>
    <n v="0"/>
    <n v="0"/>
    <n v="0"/>
    <n v="0"/>
    <n v="0"/>
    <n v="0"/>
    <n v="0"/>
    <n v="0"/>
    <n v="0"/>
    <n v="0"/>
    <n v="0"/>
    <n v="0"/>
    <n v="0"/>
    <n v="0"/>
    <m/>
    <m/>
    <m/>
    <m/>
    <m/>
    <m/>
  </r>
  <r>
    <n v="27"/>
    <s v="Business"/>
    <s v="High Performance New Construction"/>
    <m/>
    <m/>
    <s v="Final"/>
    <x v="2"/>
    <m/>
    <x v="1"/>
    <n v="0"/>
    <n v="0"/>
    <n v="1.898213735600969"/>
    <n v="1.898213735600969"/>
    <n v="1.898213735600969"/>
    <n v="1.898213735600969"/>
    <n v="1.898213735600969"/>
    <n v="1.898213735600969"/>
    <n v="1.898213735600969"/>
    <n v="1.898213735600969"/>
    <n v="1.898213735600969"/>
    <n v="1.898213735600969"/>
    <n v="1.898213735600969"/>
    <n v="1.898213735600969"/>
    <n v="1.898213735600969"/>
    <n v="1.898213735600969"/>
    <n v="0"/>
    <n v="0"/>
    <n v="0"/>
    <n v="0"/>
    <n v="0"/>
    <n v="0"/>
    <n v="0"/>
    <n v="0"/>
    <n v="0"/>
    <n v="0"/>
    <n v="0"/>
    <n v="0"/>
    <n v="0"/>
    <n v="0"/>
    <m/>
    <m/>
    <m/>
    <m/>
    <m/>
    <m/>
  </r>
  <r>
    <n v="28"/>
    <s v="Business"/>
    <s v="Power Savings Blitz"/>
    <m/>
    <m/>
    <s v="Final"/>
    <x v="2"/>
    <m/>
    <x v="3"/>
    <n v="0"/>
    <n v="0"/>
    <n v="0"/>
    <n v="0"/>
    <n v="0"/>
    <n v="0"/>
    <n v="0"/>
    <n v="0"/>
    <n v="0"/>
    <n v="0"/>
    <n v="0"/>
    <n v="0"/>
    <n v="0"/>
    <n v="0"/>
    <n v="0"/>
    <n v="0"/>
    <n v="0"/>
    <n v="0"/>
    <n v="0"/>
    <n v="0"/>
    <n v="0"/>
    <n v="0"/>
    <n v="0"/>
    <n v="0"/>
    <n v="0"/>
    <n v="0"/>
    <n v="0"/>
    <n v="0"/>
    <n v="0"/>
    <n v="0"/>
    <m/>
    <m/>
    <m/>
    <m/>
    <m/>
    <m/>
  </r>
  <r>
    <n v="29"/>
    <s v="Business, Industrial"/>
    <s v="Demand Response 1"/>
    <m/>
    <m/>
    <s v="Final"/>
    <x v="2"/>
    <m/>
    <x v="1"/>
    <n v="0"/>
    <n v="0"/>
    <n v="0"/>
    <n v="0"/>
    <n v="0"/>
    <n v="0"/>
    <n v="0"/>
    <n v="0"/>
    <n v="0"/>
    <n v="0"/>
    <n v="0"/>
    <n v="0"/>
    <n v="0"/>
    <n v="0"/>
    <n v="0"/>
    <n v="0"/>
    <n v="0"/>
    <n v="0"/>
    <n v="0"/>
    <n v="0"/>
    <n v="0"/>
    <n v="0"/>
    <n v="0"/>
    <n v="0"/>
    <n v="0"/>
    <n v="0"/>
    <n v="0"/>
    <n v="0"/>
    <n v="0"/>
    <n v="0"/>
    <m/>
    <m/>
    <m/>
    <m/>
    <m/>
    <m/>
  </r>
  <r>
    <n v="30"/>
    <s v="Business, Industrial"/>
    <s v="Demand Response 3"/>
    <m/>
    <m/>
    <s v="Final"/>
    <x v="2"/>
    <m/>
    <x v="1"/>
    <n v="0"/>
    <n v="0"/>
    <n v="0"/>
    <n v="0"/>
    <n v="0"/>
    <n v="0"/>
    <n v="0"/>
    <n v="0"/>
    <n v="0"/>
    <n v="0"/>
    <n v="0"/>
    <n v="0"/>
    <n v="0"/>
    <n v="0"/>
    <n v="0"/>
    <n v="0"/>
    <n v="0"/>
    <n v="0"/>
    <n v="0"/>
    <n v="0"/>
    <n v="0"/>
    <n v="0"/>
    <n v="0"/>
    <n v="0"/>
    <n v="0"/>
    <n v="0"/>
    <n v="0"/>
    <n v="0"/>
    <n v="0"/>
    <n v="0"/>
    <m/>
    <m/>
    <m/>
    <m/>
    <m/>
    <m/>
  </r>
  <r>
    <n v="31"/>
    <s v="Business, Industrial"/>
    <s v="Loblaw &amp; York Region Demand Response"/>
    <m/>
    <m/>
    <s v="Final"/>
    <x v="2"/>
    <m/>
    <x v="1"/>
    <n v="0"/>
    <n v="0"/>
    <n v="0"/>
    <n v="0"/>
    <n v="0"/>
    <n v="0"/>
    <n v="0"/>
    <n v="0"/>
    <n v="0"/>
    <n v="0"/>
    <n v="0"/>
    <n v="0"/>
    <n v="0"/>
    <n v="0"/>
    <n v="0"/>
    <n v="0"/>
    <n v="0"/>
    <n v="0"/>
    <n v="0"/>
    <n v="0"/>
    <n v="0"/>
    <n v="0"/>
    <n v="0"/>
    <n v="0"/>
    <n v="0"/>
    <n v="0"/>
    <n v="0"/>
    <n v="0"/>
    <n v="0"/>
    <n v="0"/>
    <m/>
    <m/>
    <m/>
    <m/>
    <m/>
    <m/>
  </r>
  <r>
    <n v="32"/>
    <s v="Consumer, Business"/>
    <s v="Renewable Energy Standard Offer"/>
    <m/>
    <m/>
    <s v="Final"/>
    <x v="2"/>
    <m/>
    <x v="0"/>
    <n v="0"/>
    <n v="0"/>
    <n v="13.927524000000002"/>
    <n v="13.927524000000002"/>
    <n v="13.927524000000002"/>
    <n v="13.927524000000002"/>
    <n v="13.927524000000002"/>
    <n v="13.927524000000002"/>
    <n v="13.927524000000002"/>
    <n v="13.927524000000002"/>
    <n v="13.927524000000002"/>
    <n v="13.927524000000002"/>
    <n v="13.927524000000002"/>
    <n v="13.927524000000002"/>
    <n v="13.927524000000002"/>
    <n v="13.927524000000002"/>
    <n v="13.927524000000002"/>
    <n v="13.927524000000002"/>
    <n v="13.927524000000002"/>
    <n v="13.927524000000002"/>
    <n v="13.927524000000002"/>
    <n v="13.927524000000002"/>
    <n v="0"/>
    <n v="0"/>
    <n v="0"/>
    <n v="0"/>
    <n v="0"/>
    <n v="0"/>
    <n v="0"/>
    <n v="0"/>
    <m/>
    <m/>
    <m/>
    <m/>
    <m/>
    <m/>
  </r>
  <r>
    <n v="33"/>
    <s v="Business"/>
    <s v="Other Customer Based Generation"/>
    <m/>
    <m/>
    <s v="Final"/>
    <x v="2"/>
    <m/>
    <x v="0"/>
    <n v="0"/>
    <n v="0"/>
    <n v="0"/>
    <n v="0"/>
    <n v="0"/>
    <n v="0"/>
    <n v="0"/>
    <n v="0"/>
    <n v="0"/>
    <n v="0"/>
    <n v="0"/>
    <n v="0"/>
    <n v="0"/>
    <n v="0"/>
    <n v="0"/>
    <n v="0"/>
    <n v="0"/>
    <n v="0"/>
    <n v="0"/>
    <n v="0"/>
    <n v="0"/>
    <n v="0"/>
    <n v="0"/>
    <n v="0"/>
    <n v="0"/>
    <n v="0"/>
    <n v="0"/>
    <n v="0"/>
    <n v="0"/>
    <n v="0"/>
    <m/>
    <m/>
    <m/>
    <m/>
    <m/>
    <m/>
  </r>
  <r>
    <n v="34"/>
    <s v="Business, Industrial"/>
    <s v="LDC Custom - Hydro One Networks Inc. - Double Return"/>
    <m/>
    <m/>
    <s v="Final"/>
    <x v="2"/>
    <m/>
    <x v="2"/>
    <n v="0"/>
    <n v="0"/>
    <n v="0"/>
    <n v="0"/>
    <n v="0"/>
    <n v="0"/>
    <n v="0"/>
    <n v="0"/>
    <n v="0"/>
    <n v="0"/>
    <n v="0"/>
    <n v="0"/>
    <n v="0"/>
    <n v="0"/>
    <n v="0"/>
    <n v="0"/>
    <n v="0"/>
    <n v="0"/>
    <n v="0"/>
    <n v="0"/>
    <n v="0"/>
    <n v="0"/>
    <n v="0"/>
    <n v="0"/>
    <n v="0"/>
    <n v="0"/>
    <n v="0"/>
    <n v="0"/>
    <n v="0"/>
    <n v="0"/>
    <m/>
    <m/>
    <m/>
    <m/>
    <m/>
    <m/>
  </r>
  <r>
    <n v="35"/>
    <s v="Consumer"/>
    <s v="Great Refrigerator Roundup"/>
    <m/>
    <m/>
    <s v="Final"/>
    <x v="3"/>
    <m/>
    <x v="0"/>
    <n v="0"/>
    <n v="0"/>
    <n v="0"/>
    <n v="115.53187274032652"/>
    <n v="115.53187274032652"/>
    <n v="115.53187274032652"/>
    <n v="114.92346649327011"/>
    <n v="86.561788416999903"/>
    <n v="0"/>
    <n v="0"/>
    <n v="0"/>
    <n v="0"/>
    <n v="0"/>
    <n v="0"/>
    <n v="0"/>
    <n v="0"/>
    <n v="0"/>
    <n v="0"/>
    <n v="0"/>
    <n v="0"/>
    <n v="0"/>
    <n v="0"/>
    <n v="0"/>
    <n v="0"/>
    <n v="0"/>
    <n v="0"/>
    <n v="0"/>
    <n v="0"/>
    <n v="0"/>
    <n v="0"/>
    <m/>
    <m/>
    <m/>
    <m/>
    <m/>
    <m/>
  </r>
  <r>
    <n v="36"/>
    <s v="Consumer"/>
    <s v="Cool Savings Rebate"/>
    <m/>
    <m/>
    <s v="Final"/>
    <x v="3"/>
    <m/>
    <x v="0"/>
    <n v="0"/>
    <n v="0"/>
    <n v="0"/>
    <n v="146.27561780700796"/>
    <n v="146.27561780700796"/>
    <n v="146.27561780700796"/>
    <n v="145.7554166277709"/>
    <n v="145.00734750560989"/>
    <n v="144.12717321009495"/>
    <n v="144.12717321009495"/>
    <n v="144.12717321009495"/>
    <n v="144.12717321009495"/>
    <n v="144.12717321009495"/>
    <n v="140.90734238703621"/>
    <n v="140.90734238703621"/>
    <n v="140.90734238703621"/>
    <n v="140.90734238703621"/>
    <n v="140.90734238703621"/>
    <n v="137.90318261341815"/>
    <n v="137.90318261341815"/>
    <n v="137.90318261341815"/>
    <n v="115.61685465596388"/>
    <n v="0"/>
    <n v="0"/>
    <n v="0"/>
    <n v="0"/>
    <n v="0"/>
    <n v="0"/>
    <n v="0"/>
    <n v="0"/>
    <m/>
    <m/>
    <m/>
    <m/>
    <m/>
    <m/>
  </r>
  <r>
    <n v="37"/>
    <s v="Consumer"/>
    <s v="Every Kilowatt Counts Power Savings Event"/>
    <m/>
    <m/>
    <s v="Final"/>
    <x v="3"/>
    <m/>
    <x v="0"/>
    <n v="0"/>
    <n v="0"/>
    <n v="0"/>
    <n v="254.35094570686604"/>
    <n v="243.79656096353168"/>
    <n v="243.79656096353168"/>
    <n v="243.78165986686457"/>
    <n v="242.15973280654072"/>
    <n v="232.60722200927268"/>
    <n v="185.19224877707308"/>
    <n v="184.15768808863157"/>
    <n v="117.78468384098097"/>
    <n v="117.78468384098097"/>
    <n v="85.320398492060008"/>
    <n v="85.256618646107654"/>
    <n v="59.751179372802049"/>
    <n v="59.751179372802049"/>
    <n v="56.116607131619212"/>
    <n v="28.989888578139634"/>
    <n v="10.292550046651648"/>
    <n v="6.5772055770340474"/>
    <n v="6.3874237982064335"/>
    <n v="6.3874237982064335"/>
    <n v="0"/>
    <n v="0"/>
    <n v="0"/>
    <n v="0"/>
    <n v="0"/>
    <n v="0"/>
    <n v="0"/>
    <m/>
    <m/>
    <m/>
    <m/>
    <m/>
    <m/>
  </r>
  <r>
    <n v="38"/>
    <s v="Consumer, Business"/>
    <s v="peaksaver®"/>
    <m/>
    <m/>
    <s v="Final"/>
    <x v="3"/>
    <m/>
    <x v="2"/>
    <n v="0"/>
    <n v="0"/>
    <n v="0"/>
    <n v="0"/>
    <n v="0"/>
    <n v="0"/>
    <n v="0"/>
    <n v="0"/>
    <n v="0"/>
    <n v="0"/>
    <n v="0"/>
    <n v="0"/>
    <n v="0"/>
    <n v="0"/>
    <n v="0"/>
    <n v="0"/>
    <n v="0"/>
    <n v="0"/>
    <n v="0"/>
    <n v="0"/>
    <n v="0"/>
    <n v="0"/>
    <n v="0"/>
    <n v="0"/>
    <n v="0"/>
    <n v="0"/>
    <n v="0"/>
    <n v="0"/>
    <n v="0"/>
    <n v="0"/>
    <m/>
    <m/>
    <m/>
    <m/>
    <m/>
    <m/>
  </r>
  <r>
    <n v="39"/>
    <s v="Consumer, Business"/>
    <s v="Electricity Retrofit Incentive"/>
    <m/>
    <m/>
    <s v="Final"/>
    <x v="3"/>
    <m/>
    <x v="1"/>
    <n v="0"/>
    <n v="0"/>
    <n v="0"/>
    <n v="658.28349282296642"/>
    <n v="658.28349282296642"/>
    <n v="658.28349282296642"/>
    <n v="658.28349282296642"/>
    <n v="658.28349282296642"/>
    <n v="658.28349282296642"/>
    <n v="509.85191387561861"/>
    <n v="406.70454545454544"/>
    <n v="406.70454545454544"/>
    <n v="406.70454545454544"/>
    <n v="329.4306818181596"/>
    <n v="0"/>
    <n v="0"/>
    <n v="0"/>
    <n v="0"/>
    <n v="0"/>
    <n v="0"/>
    <n v="0"/>
    <n v="0"/>
    <n v="0"/>
    <n v="0"/>
    <n v="0"/>
    <n v="0"/>
    <n v="0"/>
    <n v="0"/>
    <n v="0"/>
    <n v="0"/>
    <m/>
    <m/>
    <m/>
    <m/>
    <m/>
    <m/>
  </r>
  <r>
    <n v="40"/>
    <s v="Consumer, Consumer Low-Income, Business, Industrial"/>
    <s v="Toronto Comprehensive"/>
    <m/>
    <m/>
    <s v="Final"/>
    <x v="3"/>
    <m/>
    <x v="2"/>
    <n v="0"/>
    <n v="0"/>
    <n v="0"/>
    <n v="0"/>
    <n v="0"/>
    <n v="0"/>
    <n v="0"/>
    <n v="0"/>
    <n v="0"/>
    <n v="0"/>
    <n v="0"/>
    <n v="0"/>
    <n v="0"/>
    <n v="0"/>
    <n v="0"/>
    <n v="0"/>
    <n v="0"/>
    <n v="0"/>
    <n v="0"/>
    <n v="0"/>
    <n v="0"/>
    <n v="0"/>
    <n v="0"/>
    <n v="0"/>
    <n v="0"/>
    <n v="0"/>
    <n v="0"/>
    <n v="0"/>
    <n v="0"/>
    <n v="0"/>
    <m/>
    <m/>
    <m/>
    <m/>
    <m/>
    <m/>
  </r>
  <r>
    <n v="41"/>
    <s v="Business"/>
    <s v="High Performance New Construction"/>
    <m/>
    <m/>
    <s v="Final"/>
    <x v="3"/>
    <m/>
    <x v="1"/>
    <n v="0"/>
    <n v="0"/>
    <n v="0"/>
    <n v="60.381379884896717"/>
    <n v="60.381379884896717"/>
    <n v="60.381379884896717"/>
    <n v="60.381379884896717"/>
    <n v="60.381379884896717"/>
    <n v="60.381379884896717"/>
    <n v="60.381379884896717"/>
    <n v="60.381379884896717"/>
    <n v="60.381379884896717"/>
    <n v="60.381379884896717"/>
    <n v="60.381379884896717"/>
    <n v="60.381379884896717"/>
    <n v="60.381379884896717"/>
    <n v="60.381379884896717"/>
    <n v="60.381379884896717"/>
    <n v="60.381379884896717"/>
    <n v="60.381379884896717"/>
    <n v="60.381379884896717"/>
    <n v="60.381379884896717"/>
    <n v="60.381379884896717"/>
    <n v="0"/>
    <n v="0"/>
    <n v="0"/>
    <n v="0"/>
    <n v="0"/>
    <n v="0"/>
    <n v="0"/>
    <m/>
    <m/>
    <m/>
    <m/>
    <m/>
    <m/>
  </r>
  <r>
    <n v="42"/>
    <s v="Business"/>
    <s v="Power Savings Blitz"/>
    <m/>
    <m/>
    <s v="Final"/>
    <x v="3"/>
    <m/>
    <x v="3"/>
    <n v="0"/>
    <n v="0"/>
    <n v="0"/>
    <n v="683.04351826294976"/>
    <n v="683.04351826294976"/>
    <n v="683.04351826294976"/>
    <n v="683.04351826294976"/>
    <n v="683.04351826294976"/>
    <n v="683.04351826294976"/>
    <n v="683.04351826294976"/>
    <n v="683.04351826294976"/>
    <n v="384.7026712056051"/>
    <n v="0"/>
    <n v="0"/>
    <n v="0"/>
    <n v="0"/>
    <n v="0"/>
    <n v="0"/>
    <n v="0"/>
    <n v="0"/>
    <n v="0"/>
    <n v="0"/>
    <n v="0"/>
    <n v="0"/>
    <n v="0"/>
    <n v="0"/>
    <n v="0"/>
    <n v="0"/>
    <n v="0"/>
    <n v="0"/>
    <m/>
    <m/>
    <m/>
    <m/>
    <m/>
    <m/>
  </r>
  <r>
    <n v="43"/>
    <s v="Consumer, Consumer Low-Income"/>
    <s v="Multi-Family Energy Efficiency Rebates"/>
    <m/>
    <m/>
    <s v="Final"/>
    <x v="3"/>
    <m/>
    <x v="2"/>
    <n v="0"/>
    <n v="0"/>
    <n v="0"/>
    <n v="0"/>
    <n v="0"/>
    <n v="0"/>
    <n v="0"/>
    <n v="0"/>
    <n v="0"/>
    <n v="0"/>
    <n v="0"/>
    <n v="0"/>
    <n v="0"/>
    <n v="0"/>
    <n v="0"/>
    <n v="0"/>
    <n v="0"/>
    <n v="0"/>
    <n v="0"/>
    <n v="0"/>
    <n v="0"/>
    <n v="0"/>
    <n v="0"/>
    <n v="0"/>
    <n v="0"/>
    <n v="0"/>
    <n v="0"/>
    <n v="0"/>
    <n v="0"/>
    <n v="0"/>
    <m/>
    <m/>
    <m/>
    <m/>
    <m/>
    <m/>
  </r>
  <r>
    <n v="44"/>
    <s v="Business, Industrial"/>
    <s v="Demand Response 1"/>
    <m/>
    <m/>
    <s v="Final"/>
    <x v="3"/>
    <m/>
    <x v="1"/>
    <n v="0"/>
    <n v="0"/>
    <n v="0"/>
    <n v="52.538773828022777"/>
    <n v="0"/>
    <n v="0"/>
    <n v="0"/>
    <n v="0"/>
    <n v="0"/>
    <n v="0"/>
    <n v="0"/>
    <n v="0"/>
    <n v="0"/>
    <n v="0"/>
    <n v="0"/>
    <n v="0"/>
    <n v="0"/>
    <n v="0"/>
    <n v="0"/>
    <n v="0"/>
    <n v="0"/>
    <n v="0"/>
    <n v="0"/>
    <n v="0"/>
    <n v="0"/>
    <n v="0"/>
    <n v="0"/>
    <n v="0"/>
    <n v="0"/>
    <n v="0"/>
    <m/>
    <m/>
    <m/>
    <m/>
    <m/>
    <m/>
  </r>
  <r>
    <n v="45"/>
    <s v="Business, Industrial"/>
    <s v="Demand Response 2"/>
    <m/>
    <m/>
    <s v="Final"/>
    <x v="3"/>
    <m/>
    <x v="1"/>
    <n v="0"/>
    <n v="0"/>
    <n v="0"/>
    <n v="500.14183397325576"/>
    <n v="0"/>
    <n v="0"/>
    <n v="0"/>
    <n v="0"/>
    <n v="0"/>
    <n v="0"/>
    <n v="0"/>
    <n v="0"/>
    <n v="0"/>
    <n v="0"/>
    <n v="0"/>
    <n v="0"/>
    <n v="0"/>
    <n v="0"/>
    <n v="0"/>
    <n v="0"/>
    <n v="0"/>
    <n v="0"/>
    <n v="0"/>
    <n v="0"/>
    <n v="0"/>
    <n v="0"/>
    <n v="0"/>
    <n v="0"/>
    <n v="0"/>
    <n v="0"/>
    <m/>
    <m/>
    <m/>
    <m/>
    <m/>
    <m/>
  </r>
  <r>
    <n v="46"/>
    <s v="Business, Industrial"/>
    <s v="Demand Response 3"/>
    <m/>
    <m/>
    <s v="Final"/>
    <x v="3"/>
    <m/>
    <x v="1"/>
    <n v="0"/>
    <n v="0"/>
    <n v="0"/>
    <n v="9.5525043323677785"/>
    <n v="0"/>
    <n v="0"/>
    <n v="0"/>
    <n v="0"/>
    <n v="0"/>
    <n v="0"/>
    <n v="0"/>
    <n v="0"/>
    <n v="0"/>
    <n v="0"/>
    <n v="0"/>
    <n v="0"/>
    <n v="0"/>
    <n v="0"/>
    <n v="0"/>
    <n v="0"/>
    <n v="0"/>
    <n v="0"/>
    <n v="0"/>
    <n v="0"/>
    <n v="0"/>
    <n v="0"/>
    <n v="0"/>
    <n v="0"/>
    <n v="0"/>
    <n v="0"/>
    <m/>
    <m/>
    <m/>
    <m/>
    <m/>
    <m/>
  </r>
  <r>
    <n v="47"/>
    <s v="Business, Industrial"/>
    <s v="Loblaw &amp; York Region Demand Response"/>
    <m/>
    <m/>
    <s v="Final"/>
    <x v="3"/>
    <m/>
    <x v="1"/>
    <n v="0"/>
    <n v="0"/>
    <n v="0"/>
    <n v="0"/>
    <n v="0"/>
    <n v="0"/>
    <n v="0"/>
    <n v="0"/>
    <n v="0"/>
    <n v="0"/>
    <n v="0"/>
    <n v="0"/>
    <n v="0"/>
    <n v="0"/>
    <n v="0"/>
    <n v="0"/>
    <n v="0"/>
    <n v="0"/>
    <n v="0"/>
    <n v="0"/>
    <n v="0"/>
    <n v="0"/>
    <n v="0"/>
    <n v="0"/>
    <n v="0"/>
    <n v="0"/>
    <n v="0"/>
    <n v="0"/>
    <n v="0"/>
    <n v="0"/>
    <m/>
    <m/>
    <m/>
    <m/>
    <m/>
    <m/>
  </r>
  <r>
    <n v="48"/>
    <s v="Consumer"/>
    <s v="LDC Custom - Thunder Bay Hydro - Phantom Load"/>
    <m/>
    <m/>
    <s v="Final"/>
    <x v="3"/>
    <m/>
    <x v="2"/>
    <n v="0"/>
    <n v="0"/>
    <n v="0"/>
    <n v="0"/>
    <n v="0"/>
    <n v="0"/>
    <n v="0"/>
    <n v="0"/>
    <n v="0"/>
    <n v="0"/>
    <n v="0"/>
    <n v="0"/>
    <n v="0"/>
    <n v="0"/>
    <n v="0"/>
    <n v="0"/>
    <n v="0"/>
    <n v="0"/>
    <n v="0"/>
    <n v="0"/>
    <n v="0"/>
    <n v="0"/>
    <n v="0"/>
    <n v="0"/>
    <n v="0"/>
    <n v="0"/>
    <n v="0"/>
    <n v="0"/>
    <n v="0"/>
    <n v="0"/>
    <m/>
    <m/>
    <m/>
    <m/>
    <m/>
    <m/>
  </r>
  <r>
    <n v="49"/>
    <s v="Consumer"/>
    <s v="LDC Custom - Toronto Hydro - Summer Challenge"/>
    <m/>
    <m/>
    <s v="Final"/>
    <x v="3"/>
    <m/>
    <x v="2"/>
    <n v="0"/>
    <n v="0"/>
    <n v="0"/>
    <n v="0"/>
    <n v="0"/>
    <n v="0"/>
    <n v="0"/>
    <n v="0"/>
    <n v="0"/>
    <n v="0"/>
    <n v="0"/>
    <n v="0"/>
    <n v="0"/>
    <n v="0"/>
    <n v="0"/>
    <n v="0"/>
    <n v="0"/>
    <n v="0"/>
    <n v="0"/>
    <n v="0"/>
    <n v="0"/>
    <n v="0"/>
    <n v="0"/>
    <n v="0"/>
    <n v="0"/>
    <n v="0"/>
    <n v="0"/>
    <n v="0"/>
    <n v="0"/>
    <n v="0"/>
    <m/>
    <m/>
    <m/>
    <m/>
    <m/>
    <m/>
  </r>
  <r>
    <n v="50"/>
    <s v="Business"/>
    <s v="LDC Custom - PowerStream - Data Centers"/>
    <m/>
    <m/>
    <s v="Final"/>
    <x v="3"/>
    <m/>
    <x v="2"/>
    <n v="0"/>
    <n v="0"/>
    <n v="0"/>
    <n v="0"/>
    <n v="0"/>
    <n v="0"/>
    <n v="0"/>
    <n v="0"/>
    <n v="0"/>
    <n v="0"/>
    <n v="0"/>
    <n v="0"/>
    <n v="0"/>
    <n v="0"/>
    <n v="0"/>
    <n v="0"/>
    <n v="0"/>
    <n v="0"/>
    <n v="0"/>
    <n v="0"/>
    <n v="0"/>
    <n v="0"/>
    <n v="0"/>
    <n v="0"/>
    <n v="0"/>
    <n v="0"/>
    <n v="0"/>
    <n v="0"/>
    <n v="0"/>
    <n v="0"/>
    <m/>
    <m/>
    <m/>
    <m/>
    <m/>
    <m/>
  </r>
  <r>
    <n v="51"/>
    <s v="Consumer, Business"/>
    <s v="Toronto Comprehensive Adjustment"/>
    <m/>
    <m/>
    <s v="Final"/>
    <x v="2"/>
    <m/>
    <x v="2"/>
    <n v="0"/>
    <n v="0"/>
    <n v="0"/>
    <n v="0"/>
    <n v="0"/>
    <n v="0"/>
    <n v="0"/>
    <n v="0"/>
    <n v="0"/>
    <n v="0"/>
    <n v="0"/>
    <n v="0"/>
    <n v="0"/>
    <n v="0"/>
    <n v="0"/>
    <n v="0"/>
    <n v="0"/>
    <n v="0"/>
    <n v="0"/>
    <n v="0"/>
    <n v="0"/>
    <n v="0"/>
    <n v="0"/>
    <n v="0"/>
    <n v="0"/>
    <n v="0"/>
    <n v="0"/>
    <n v="0"/>
    <n v="0"/>
    <n v="0"/>
    <m/>
    <m/>
    <m/>
    <m/>
    <m/>
    <m/>
  </r>
  <r>
    <n v="52"/>
    <s v="Business, Industrial"/>
    <s v="LDC Custom - Hydro One Networks Inc. - Double Return Adjustment"/>
    <m/>
    <m/>
    <s v="Final"/>
    <x v="2"/>
    <m/>
    <x v="2"/>
    <n v="0"/>
    <n v="0"/>
    <n v="0"/>
    <n v="0"/>
    <n v="0"/>
    <n v="0"/>
    <n v="0"/>
    <n v="0"/>
    <n v="0"/>
    <n v="0"/>
    <n v="0"/>
    <n v="0"/>
    <n v="0"/>
    <n v="0"/>
    <n v="0"/>
    <n v="0"/>
    <n v="0"/>
    <n v="0"/>
    <n v="0"/>
    <n v="0"/>
    <n v="0"/>
    <n v="0"/>
    <n v="0"/>
    <n v="0"/>
    <n v="0"/>
    <n v="0"/>
    <n v="0"/>
    <n v="0"/>
    <n v="0"/>
    <n v="0"/>
    <m/>
    <m/>
    <m/>
    <m/>
    <m/>
    <m/>
  </r>
  <r>
    <n v="53"/>
    <s v="Consumer"/>
    <s v="Great Refrigerator Roundup"/>
    <m/>
    <m/>
    <s v="Final"/>
    <x v="4"/>
    <m/>
    <x v="0"/>
    <n v="0"/>
    <n v="0"/>
    <n v="0"/>
    <n v="0"/>
    <n v="90.761836237952139"/>
    <n v="90.761836237952139"/>
    <n v="90.761836237952139"/>
    <n v="89.819440608149833"/>
    <n v="64.78083902315845"/>
    <n v="0"/>
    <n v="0"/>
    <n v="0"/>
    <n v="0"/>
    <n v="0"/>
    <n v="0"/>
    <n v="0"/>
    <n v="0"/>
    <n v="0"/>
    <n v="0"/>
    <n v="0"/>
    <n v="0"/>
    <n v="0"/>
    <n v="0"/>
    <n v="0"/>
    <n v="0"/>
    <n v="0"/>
    <n v="0"/>
    <n v="0"/>
    <n v="0"/>
    <n v="0"/>
    <m/>
    <m/>
    <m/>
    <m/>
    <m/>
    <m/>
  </r>
  <r>
    <n v="54"/>
    <s v="Consumer"/>
    <s v="Cool Savings Rebate"/>
    <m/>
    <m/>
    <s v="Final"/>
    <x v="4"/>
    <m/>
    <x v="0"/>
    <n v="0"/>
    <n v="0"/>
    <n v="0"/>
    <n v="0"/>
    <n v="73.788540411879836"/>
    <n v="73.788540411879836"/>
    <n v="73.788540411879836"/>
    <n v="73.788540411879836"/>
    <n v="73.788540411879836"/>
    <n v="73.788540411879836"/>
    <n v="73.788540411879836"/>
    <n v="73.788540411879836"/>
    <n v="73.788540411879836"/>
    <n v="73.788540411879836"/>
    <n v="73.788540411879836"/>
    <n v="73.788540411879836"/>
    <n v="73.788540411879836"/>
    <n v="73.788540411879836"/>
    <n v="73.788540411879836"/>
    <n v="72.650584633795674"/>
    <n v="72.650584633795674"/>
    <n v="72.650584633795674"/>
    <n v="68.492976820811506"/>
    <n v="0"/>
    <n v="0"/>
    <n v="0"/>
    <n v="0"/>
    <n v="0"/>
    <n v="0"/>
    <n v="0"/>
    <m/>
    <m/>
    <m/>
    <m/>
    <m/>
    <m/>
  </r>
  <r>
    <n v="55"/>
    <s v="Consumer"/>
    <s v="Every Kilowatt Counts Power Savings Event"/>
    <m/>
    <m/>
    <s v="Final"/>
    <x v="4"/>
    <m/>
    <x v="0"/>
    <n v="0"/>
    <n v="0"/>
    <n v="0"/>
    <n v="0"/>
    <n v="89.169325477264849"/>
    <n v="78.373205665959077"/>
    <n v="75.878908270781039"/>
    <n v="75.878908270781039"/>
    <n v="75.878908270781039"/>
    <n v="39.056265787903357"/>
    <n v="29.820787209951266"/>
    <n v="29.820787209951266"/>
    <n v="29.060493047651505"/>
    <n v="27.342906458006642"/>
    <n v="21.033030181417733"/>
    <n v="21.033030181417733"/>
    <n v="18.579670473626194"/>
    <n v="18.579670473626194"/>
    <n v="18.579670473626194"/>
    <n v="10.576196620479793"/>
    <n v="0.25818335244921631"/>
    <n v="0.25818335244921631"/>
    <n v="0.25818335244921631"/>
    <n v="0.25818335244921631"/>
    <n v="0"/>
    <n v="0"/>
    <n v="0"/>
    <n v="0"/>
    <n v="0"/>
    <n v="0"/>
    <m/>
    <m/>
    <m/>
    <m/>
    <m/>
    <m/>
  </r>
  <r>
    <n v="56"/>
    <s v="Consumer, Business"/>
    <s v="peaksaver®"/>
    <m/>
    <m/>
    <s v="Final"/>
    <x v="4"/>
    <m/>
    <x v="2"/>
    <n v="0"/>
    <n v="0"/>
    <n v="0"/>
    <n v="0"/>
    <n v="0"/>
    <n v="0"/>
    <n v="0"/>
    <n v="0"/>
    <n v="0"/>
    <n v="0"/>
    <n v="0"/>
    <n v="0"/>
    <n v="0"/>
    <n v="0"/>
    <n v="0"/>
    <n v="0"/>
    <n v="0"/>
    <n v="0"/>
    <n v="0"/>
    <n v="0"/>
    <n v="0"/>
    <n v="0"/>
    <n v="0"/>
    <n v="0"/>
    <n v="0"/>
    <n v="0"/>
    <n v="0"/>
    <n v="0"/>
    <n v="0"/>
    <n v="0"/>
    <m/>
    <m/>
    <m/>
    <m/>
    <m/>
    <m/>
  </r>
  <r>
    <n v="57"/>
    <s v="Consumer, Business"/>
    <s v="Electricity Retrofit Incentive"/>
    <m/>
    <m/>
    <s v="Final"/>
    <x v="4"/>
    <m/>
    <x v="1"/>
    <n v="0"/>
    <n v="0"/>
    <n v="0"/>
    <n v="0"/>
    <n v="240.79429308437139"/>
    <n v="240.79429308437139"/>
    <n v="240.79429308437139"/>
    <n v="240.79429308437139"/>
    <n v="240.79429308437139"/>
    <n v="240.79429308437139"/>
    <n v="240.79429308437139"/>
    <n v="240.79429308437139"/>
    <n v="238.20742511927511"/>
    <n v="53.893082606184144"/>
    <n v="0"/>
    <n v="0"/>
    <n v="0"/>
    <n v="0"/>
    <n v="0"/>
    <n v="0"/>
    <n v="0"/>
    <n v="0"/>
    <n v="0"/>
    <n v="0"/>
    <n v="0"/>
    <n v="0"/>
    <n v="0"/>
    <n v="0"/>
    <n v="0"/>
    <n v="0"/>
    <m/>
    <m/>
    <m/>
    <m/>
    <m/>
    <m/>
  </r>
  <r>
    <n v="58"/>
    <s v="Consumer, Consumer Low-Income, Business, Industrial"/>
    <s v="Toronto Comprehensive"/>
    <m/>
    <m/>
    <s v="Final"/>
    <x v="4"/>
    <m/>
    <x v="2"/>
    <n v="0"/>
    <n v="0"/>
    <n v="0"/>
    <n v="0"/>
    <n v="0"/>
    <n v="0"/>
    <n v="0"/>
    <n v="0"/>
    <n v="0"/>
    <n v="0"/>
    <n v="0"/>
    <n v="0"/>
    <n v="0"/>
    <n v="0"/>
    <n v="0"/>
    <n v="0"/>
    <n v="0"/>
    <n v="0"/>
    <n v="0"/>
    <n v="0"/>
    <n v="0"/>
    <n v="0"/>
    <n v="0"/>
    <n v="0"/>
    <n v="0"/>
    <n v="0"/>
    <n v="0"/>
    <n v="0"/>
    <n v="0"/>
    <n v="0"/>
    <m/>
    <m/>
    <m/>
    <m/>
    <m/>
    <m/>
  </r>
  <r>
    <n v="59"/>
    <s v="Business"/>
    <s v="High Performance New Construction"/>
    <m/>
    <m/>
    <s v="Final"/>
    <x v="4"/>
    <m/>
    <x v="1"/>
    <n v="0"/>
    <n v="0"/>
    <n v="0"/>
    <n v="0"/>
    <n v="196.16017213547786"/>
    <n v="196.16017213547786"/>
    <n v="196.16017213547786"/>
    <n v="196.16017213547786"/>
    <n v="196.16017213547786"/>
    <n v="196.16017213547786"/>
    <n v="196.16017213547786"/>
    <n v="196.16017213547786"/>
    <n v="196.16017213547786"/>
    <n v="196.16017213547786"/>
    <n v="196.16017213547786"/>
    <n v="196.16017213547786"/>
    <n v="196.16017213547786"/>
    <n v="196.16017213547786"/>
    <n v="196.16017213547786"/>
    <n v="196.16017213547786"/>
    <n v="196.16017213547786"/>
    <n v="196.16017213547786"/>
    <n v="196.16017213547786"/>
    <n v="196.16017213547786"/>
    <n v="0"/>
    <n v="0"/>
    <n v="0"/>
    <n v="0"/>
    <n v="0"/>
    <n v="0"/>
    <m/>
    <m/>
    <m/>
    <m/>
    <m/>
    <m/>
  </r>
  <r>
    <n v="60"/>
    <s v="Business"/>
    <s v="Power Savings Blitz"/>
    <m/>
    <m/>
    <s v="Final"/>
    <x v="4"/>
    <m/>
    <x v="3"/>
    <n v="0"/>
    <n v="0"/>
    <n v="0"/>
    <n v="0"/>
    <n v="539.41236895018005"/>
    <n v="539.41236895018005"/>
    <n v="539.41236895018005"/>
    <n v="539.41236895018005"/>
    <n v="539.41236895018005"/>
    <n v="539.41236895018005"/>
    <n v="539.41236895018005"/>
    <n v="364.05128221036796"/>
    <n v="0"/>
    <n v="0"/>
    <n v="0"/>
    <n v="0"/>
    <n v="0"/>
    <n v="0"/>
    <n v="0"/>
    <n v="0"/>
    <n v="0"/>
    <n v="0"/>
    <n v="0"/>
    <n v="0"/>
    <n v="0"/>
    <n v="0"/>
    <n v="0"/>
    <n v="0"/>
    <n v="0"/>
    <n v="0"/>
    <m/>
    <m/>
    <m/>
    <m/>
    <m/>
    <m/>
  </r>
  <r>
    <n v="61"/>
    <s v="Consumer, Consumer Low-Income"/>
    <s v="Multi-Family Energy Efficiency Rebates"/>
    <m/>
    <m/>
    <s v="Final"/>
    <x v="4"/>
    <m/>
    <x v="0"/>
    <n v="0"/>
    <n v="0"/>
    <n v="0"/>
    <n v="0"/>
    <n v="99.460353780097165"/>
    <n v="99.460353780097165"/>
    <n v="99.460353780097165"/>
    <n v="99.460353780097165"/>
    <n v="99.460353780097165"/>
    <n v="99.460353780097165"/>
    <n v="99.460353780097165"/>
    <n v="99.460353780097165"/>
    <n v="99.460353780097165"/>
    <n v="8.8903109524138273"/>
    <n v="0"/>
    <n v="0"/>
    <n v="0"/>
    <n v="0"/>
    <n v="0"/>
    <n v="0"/>
    <n v="0"/>
    <n v="0"/>
    <n v="0"/>
    <n v="0"/>
    <n v="0"/>
    <n v="0"/>
    <n v="0"/>
    <n v="0"/>
    <n v="0"/>
    <n v="0"/>
    <m/>
    <m/>
    <m/>
    <m/>
    <m/>
    <m/>
  </r>
  <r>
    <n v="62"/>
    <s v="Business, Industrial"/>
    <s v="Demand Response 2"/>
    <m/>
    <m/>
    <s v="Final"/>
    <x v="4"/>
    <m/>
    <x v="1"/>
    <n v="0"/>
    <n v="0"/>
    <n v="0"/>
    <n v="0"/>
    <n v="927.03949446998331"/>
    <n v="0"/>
    <n v="0"/>
    <n v="0"/>
    <n v="0"/>
    <n v="0"/>
    <n v="0"/>
    <n v="0"/>
    <n v="0"/>
    <n v="0"/>
    <n v="0"/>
    <n v="0"/>
    <n v="0"/>
    <n v="0"/>
    <n v="0"/>
    <n v="0"/>
    <n v="0"/>
    <n v="0"/>
    <n v="0"/>
    <n v="0"/>
    <n v="0"/>
    <n v="0"/>
    <n v="0"/>
    <n v="0"/>
    <n v="0"/>
    <n v="0"/>
    <m/>
    <m/>
    <m/>
    <m/>
    <m/>
    <m/>
  </r>
  <r>
    <n v="63"/>
    <s v="Business, Industrial"/>
    <s v="Demand Response 3"/>
    <m/>
    <m/>
    <s v="Final"/>
    <x v="4"/>
    <m/>
    <x v="1"/>
    <n v="0"/>
    <n v="0"/>
    <n v="0"/>
    <n v="0"/>
    <n v="32.85625239207058"/>
    <n v="0"/>
    <n v="0"/>
    <n v="0"/>
    <n v="0"/>
    <n v="0"/>
    <n v="0"/>
    <n v="0"/>
    <n v="0"/>
    <n v="0"/>
    <n v="0"/>
    <n v="0"/>
    <n v="0"/>
    <n v="0"/>
    <n v="0"/>
    <n v="0"/>
    <n v="0"/>
    <n v="0"/>
    <n v="0"/>
    <n v="0"/>
    <n v="0"/>
    <n v="0"/>
    <n v="0"/>
    <n v="0"/>
    <n v="0"/>
    <n v="0"/>
    <m/>
    <m/>
    <m/>
    <m/>
    <m/>
    <m/>
  </r>
  <r>
    <n v="64"/>
    <s v="Business, Industrial"/>
    <s v="Loblaw &amp; York Region Demand Response"/>
    <m/>
    <m/>
    <s v="Final"/>
    <x v="4"/>
    <m/>
    <x v="1"/>
    <n v="0"/>
    <n v="0"/>
    <n v="0"/>
    <n v="0"/>
    <n v="0"/>
    <n v="0"/>
    <n v="0"/>
    <n v="0"/>
    <n v="0"/>
    <n v="0"/>
    <n v="0"/>
    <n v="0"/>
    <n v="0"/>
    <n v="0"/>
    <n v="0"/>
    <n v="0"/>
    <n v="0"/>
    <n v="0"/>
    <n v="0"/>
    <n v="0"/>
    <n v="0"/>
    <n v="0"/>
    <n v="0"/>
    <n v="0"/>
    <n v="0"/>
    <n v="0"/>
    <n v="0"/>
    <n v="0"/>
    <n v="0"/>
    <n v="0"/>
    <m/>
    <m/>
    <m/>
    <m/>
    <m/>
    <m/>
  </r>
  <r>
    <n v="65"/>
    <s v="Consumer"/>
    <s v="LDC Custom - Hydro Ottawa - Small Commercial Demand Response"/>
    <m/>
    <m/>
    <s v="Final"/>
    <x v="4"/>
    <m/>
    <x v="2"/>
    <n v="0"/>
    <n v="0"/>
    <n v="0"/>
    <n v="0"/>
    <n v="0"/>
    <n v="0"/>
    <n v="0"/>
    <n v="0"/>
    <n v="0"/>
    <n v="0"/>
    <n v="0"/>
    <n v="0"/>
    <n v="0"/>
    <n v="0"/>
    <n v="0"/>
    <n v="0"/>
    <n v="0"/>
    <n v="0"/>
    <n v="0"/>
    <n v="0"/>
    <n v="0"/>
    <n v="0"/>
    <n v="0"/>
    <n v="0"/>
    <n v="0"/>
    <n v="0"/>
    <n v="0"/>
    <n v="0"/>
    <n v="0"/>
    <n v="0"/>
    <m/>
    <m/>
    <m/>
    <m/>
    <m/>
    <m/>
  </r>
  <r>
    <s v="Tier 1"/>
    <s v="Consumer"/>
    <s v="Appliance Exchange"/>
    <s v="Kingston Hydro Corporation"/>
    <s v="Residential"/>
    <s v="EE"/>
    <x v="5"/>
    <s v="Appliances"/>
    <x v="0"/>
    <m/>
    <m/>
    <m/>
    <m/>
    <m/>
    <n v="2.6455572143763835"/>
    <n v="2.6455572143763835"/>
    <n v="2.6455572143763835"/>
    <n v="1.3449039579844146"/>
    <n v="0"/>
    <n v="0"/>
    <n v="0"/>
    <n v="0"/>
    <n v="0"/>
    <n v="0"/>
    <n v="0"/>
    <n v="0"/>
    <n v="0"/>
    <n v="0"/>
    <n v="0"/>
    <n v="0"/>
    <n v="0"/>
    <n v="0"/>
    <n v="0"/>
    <n v="0"/>
    <n v="0"/>
    <n v="0"/>
    <n v="0"/>
    <n v="0"/>
    <n v="0"/>
    <n v="0"/>
    <n v="0"/>
    <m/>
    <m/>
    <m/>
    <m/>
  </r>
  <r>
    <s v="Tier 1"/>
    <s v="Consumer"/>
    <s v="Appliance Retirement"/>
    <s v="Kingston Hydro Corporation"/>
    <s v="Residential"/>
    <s v="EE"/>
    <x v="5"/>
    <s v="Appliances"/>
    <x v="0"/>
    <m/>
    <m/>
    <m/>
    <m/>
    <m/>
    <n v="69.601599460639406"/>
    <n v="69.601599460639406"/>
    <n v="69.601599460639406"/>
    <n v="69.39882879829203"/>
    <n v="53.021472672112083"/>
    <n v="0"/>
    <n v="0"/>
    <n v="0"/>
    <n v="0"/>
    <n v="0"/>
    <n v="0"/>
    <n v="0"/>
    <n v="0"/>
    <n v="0"/>
    <n v="0"/>
    <n v="0"/>
    <n v="0"/>
    <n v="0"/>
    <n v="0"/>
    <n v="0"/>
    <n v="0"/>
    <n v="0"/>
    <n v="0"/>
    <n v="0"/>
    <n v="0"/>
    <n v="0"/>
    <n v="0"/>
    <m/>
    <m/>
    <m/>
    <m/>
  </r>
  <r>
    <s v="Tier 1"/>
    <s v="Consumer"/>
    <s v="Bi-Annual Retailer Event"/>
    <s v="Kingston Hydro Corporation"/>
    <s v="Residential"/>
    <s v="EE"/>
    <x v="5"/>
    <s v="Products"/>
    <x v="0"/>
    <m/>
    <m/>
    <m/>
    <m/>
    <m/>
    <n v="147.34181483343073"/>
    <n v="147.34181483343073"/>
    <n v="147.34181483343073"/>
    <n v="147.34181483343073"/>
    <n v="134.6595677972341"/>
    <n v="120.80474712380592"/>
    <n v="91.079078220949626"/>
    <n v="90.746825395207281"/>
    <n v="117.2838931048321"/>
    <n v="37.635379146352172"/>
    <n v="13.551282440501565"/>
    <n v="11.928815044419586"/>
    <n v="11.928815044419586"/>
    <n v="8.8099309406581483"/>
    <n v="8.8099309406581483"/>
    <n v="8.004767440986658"/>
    <n v="0"/>
    <n v="0"/>
    <n v="0"/>
    <n v="0"/>
    <n v="0"/>
    <n v="0"/>
    <n v="0"/>
    <n v="0"/>
    <n v="0"/>
    <n v="0"/>
    <n v="0"/>
    <n v="0"/>
    <n v="0"/>
    <n v="0"/>
    <m/>
  </r>
  <r>
    <s v="Tier 1"/>
    <s v="Consumer"/>
    <s v="Conservation Instant Coupon Booklet"/>
    <s v="Kingston Hydro Corporation"/>
    <s v="Residential"/>
    <s v="EE"/>
    <x v="5"/>
    <s v="Products"/>
    <x v="0"/>
    <m/>
    <m/>
    <m/>
    <m/>
    <m/>
    <n v="98.588392128109732"/>
    <n v="98.588392128109732"/>
    <n v="98.588392128109732"/>
    <n v="98.588392128109732"/>
    <n v="90.691192149495038"/>
    <n v="82.063833826192706"/>
    <n v="63.466740211501737"/>
    <n v="63.073310674987773"/>
    <n v="79.59786897690482"/>
    <n v="30.00096072126539"/>
    <n v="9.5688028688967588"/>
    <n v="7.6793459358531697"/>
    <n v="7.6793459358531697"/>
    <n v="7.0977623575864515"/>
    <n v="7.0977623575864515"/>
    <n v="6.8728127425727399"/>
    <n v="0"/>
    <n v="0"/>
    <n v="0"/>
    <n v="0"/>
    <n v="0"/>
    <n v="0"/>
    <n v="0"/>
    <n v="0"/>
    <n v="0"/>
    <n v="0"/>
    <n v="0"/>
    <n v="0"/>
    <n v="0"/>
    <n v="0"/>
    <m/>
  </r>
  <r>
    <s v="Tier 1"/>
    <s v="Consumer"/>
    <s v="HVAC Incentives"/>
    <s v="Kingston Hydro Corporation"/>
    <s v="Residential"/>
    <s v="EE"/>
    <x v="5"/>
    <s v="Installations"/>
    <x v="0"/>
    <m/>
    <m/>
    <m/>
    <m/>
    <m/>
    <n v="230.81965448490041"/>
    <n v="230.81965448490041"/>
    <n v="230.81965448490041"/>
    <n v="230.81965448490041"/>
    <n v="230.81965448490041"/>
    <n v="230.81965448490041"/>
    <n v="230.81965448490041"/>
    <n v="230.81965448490041"/>
    <n v="230.81965448490041"/>
    <n v="230.81965448490041"/>
    <n v="230.81965448490041"/>
    <n v="230.81965448490041"/>
    <n v="230.81965448490041"/>
    <n v="230.81965448490041"/>
    <n v="230.81965448490041"/>
    <n v="230.81965448490041"/>
    <n v="230.81965448490041"/>
    <n v="230.81965448490041"/>
    <n v="221.61809416401363"/>
    <n v="0"/>
    <n v="0"/>
    <n v="0"/>
    <n v="0"/>
    <n v="0"/>
    <n v="0"/>
    <n v="0"/>
    <n v="0"/>
    <n v="0"/>
    <n v="0"/>
    <n v="0"/>
    <m/>
  </r>
  <r>
    <s v="Tier 1"/>
    <s v="Consumer"/>
    <s v="Retailer Co-op"/>
    <s v="Kingston Hydro Corporation"/>
    <s v="Residential"/>
    <s v="EE"/>
    <x v="5"/>
    <s v="Products"/>
    <x v="0"/>
    <m/>
    <m/>
    <m/>
    <m/>
    <m/>
    <n v="0"/>
    <n v="0"/>
    <n v="0"/>
    <n v="0"/>
    <n v="0"/>
    <n v="0"/>
    <n v="0"/>
    <n v="0"/>
    <n v="0"/>
    <n v="0"/>
    <n v="0"/>
    <n v="0"/>
    <n v="0"/>
    <n v="0"/>
    <n v="0"/>
    <n v="0"/>
    <n v="0"/>
    <n v="0"/>
    <n v="0"/>
    <n v="0"/>
    <n v="0"/>
    <n v="0"/>
    <n v="0"/>
    <n v="0"/>
    <n v="0"/>
    <n v="0"/>
    <n v="0"/>
    <n v="0"/>
    <n v="0"/>
    <n v="0"/>
    <m/>
  </r>
  <r>
    <s v="Tier 1"/>
    <s v="Business"/>
    <s v="Demand Response 3 (part of the Industrial program schedule)"/>
    <s v="Kingston Hydro Corporation"/>
    <s v="Commercial &amp; Institutional"/>
    <s v="DR"/>
    <x v="5"/>
    <s v="Facilities"/>
    <x v="4"/>
    <m/>
    <m/>
    <m/>
    <m/>
    <m/>
    <n v="156.88929999999999"/>
    <n v="0"/>
    <n v="0"/>
    <n v="0"/>
    <n v="0"/>
    <n v="0"/>
    <n v="0"/>
    <n v="0"/>
    <n v="0"/>
    <n v="0"/>
    <n v="0"/>
    <n v="0"/>
    <n v="0"/>
    <n v="0"/>
    <n v="0"/>
    <n v="0"/>
    <n v="0"/>
    <n v="0"/>
    <n v="0"/>
    <n v="0"/>
    <n v="0"/>
    <n v="0"/>
    <n v="0"/>
    <n v="0"/>
    <n v="0"/>
    <n v="0"/>
    <n v="0"/>
    <n v="0"/>
    <n v="0"/>
    <n v="0"/>
    <m/>
  </r>
  <r>
    <s v="Tier 1"/>
    <s v="Business"/>
    <s v="Direct Install Lighting"/>
    <s v="Kingston Hydro Corporation"/>
    <s v="Commercial &amp; Institutional"/>
    <s v="EE"/>
    <x v="5"/>
    <s v="Projects"/>
    <x v="5"/>
    <m/>
    <m/>
    <m/>
    <m/>
    <m/>
    <n v="264.37571118334665"/>
    <n v="264.37571118334665"/>
    <n v="263.79150502727242"/>
    <n v="207.20964262103513"/>
    <n v="207.20964262103513"/>
    <n v="207.20964262103513"/>
    <n v="66.328488080987924"/>
    <n v="64.585815387443134"/>
    <n v="64.585815387443134"/>
    <n v="64.585815387443134"/>
    <n v="41.266623434886171"/>
    <n v="41.266623434886171"/>
    <n v="6.2269197982741717"/>
    <n v="6.2269197982741717"/>
    <n v="6.2269197982741717"/>
    <n v="0"/>
    <n v="0"/>
    <n v="0"/>
    <n v="0"/>
    <n v="0"/>
    <n v="0"/>
    <n v="0"/>
    <n v="0"/>
    <n v="0"/>
    <n v="0"/>
    <n v="0"/>
    <n v="0"/>
    <n v="0"/>
    <n v="0"/>
    <n v="0"/>
    <m/>
  </r>
  <r>
    <s v="Tier 1"/>
    <s v="Business"/>
    <s v="Retrofit"/>
    <s v="Kingston Hydro Corporation"/>
    <s v="Commercial &amp; Institutional"/>
    <s v="EE"/>
    <x v="5"/>
    <s v="Projects"/>
    <x v="6"/>
    <m/>
    <m/>
    <m/>
    <m/>
    <m/>
    <n v="1921.8350055572723"/>
    <n v="1921.8350055572723"/>
    <n v="1921.8350055572723"/>
    <n v="1921.8350055572723"/>
    <n v="1921.8350055572723"/>
    <n v="1921.8350055572723"/>
    <n v="1921.8350055572723"/>
    <n v="1921.8350055572723"/>
    <n v="1921.8350055572723"/>
    <n v="1404.474747747041"/>
    <n v="1404.474747747041"/>
    <n v="1404.474747747041"/>
    <n v="1404.474747747041"/>
    <n v="1404.474747747041"/>
    <n v="32.013294315175727"/>
    <n v="0"/>
    <n v="0"/>
    <n v="0"/>
    <n v="0"/>
    <n v="0"/>
    <n v="0"/>
    <n v="0"/>
    <n v="0"/>
    <n v="0"/>
    <n v="0"/>
    <n v="0"/>
    <n v="0"/>
    <n v="0"/>
    <n v="0"/>
    <n v="0"/>
    <m/>
  </r>
  <r>
    <s v="Tier 1"/>
    <s v="Business"/>
    <s v="Energy Audit"/>
    <s v="Kingston Hydro Corporation"/>
    <s v="Commercial &amp; Institutional"/>
    <s v="EE"/>
    <x v="5"/>
    <s v="Audits"/>
    <x v="7"/>
    <m/>
    <m/>
    <m/>
    <m/>
    <m/>
    <n v="0"/>
    <n v="0"/>
    <n v="0"/>
    <n v="0"/>
    <n v="0"/>
    <n v="0"/>
    <n v="0"/>
    <n v="0"/>
    <n v="0"/>
    <n v="0"/>
    <n v="0"/>
    <n v="0"/>
    <n v="0"/>
    <n v="0"/>
    <n v="0"/>
    <n v="0"/>
    <n v="0"/>
    <n v="0"/>
    <n v="0"/>
    <n v="0"/>
    <n v="0"/>
    <n v="0"/>
    <n v="0"/>
    <n v="0"/>
    <n v="0"/>
    <n v="0"/>
    <n v="0"/>
    <n v="0"/>
    <n v="0"/>
    <n v="0"/>
    <m/>
  </r>
  <r>
    <s v="Tier 1"/>
    <s v="Industrial"/>
    <s v="Demand Response 3"/>
    <s v="Kingston Hydro Corporation"/>
    <s v="Industrial"/>
    <s v="DR"/>
    <x v="5"/>
    <s v="Facilities"/>
    <x v="2"/>
    <m/>
    <m/>
    <m/>
    <m/>
    <m/>
    <n v="0"/>
    <n v="0"/>
    <n v="0"/>
    <n v="0"/>
    <n v="0"/>
    <n v="0"/>
    <n v="0"/>
    <n v="0"/>
    <n v="0"/>
    <n v="0"/>
    <n v="0"/>
    <n v="0"/>
    <n v="0"/>
    <n v="0"/>
    <n v="0"/>
    <n v="0"/>
    <n v="0"/>
    <n v="0"/>
    <n v="0"/>
    <n v="0"/>
    <n v="0"/>
    <n v="0"/>
    <n v="0"/>
    <n v="0"/>
    <n v="0"/>
    <n v="0"/>
    <n v="0"/>
    <n v="0"/>
    <n v="0"/>
    <n v="0"/>
    <m/>
  </r>
  <r>
    <s v="Tier 1"/>
    <s v="Pre-2011 Programs Completed in 2011"/>
    <s v="Electricity Retrofit Incentive Program"/>
    <s v="Kingston Hydro Corporation"/>
    <s v="Commercial &amp; Institutional"/>
    <s v="EE"/>
    <x v="5"/>
    <s v="Projects"/>
    <x v="1"/>
    <m/>
    <m/>
    <m/>
    <m/>
    <m/>
    <n v="79.337020424640002"/>
    <n v="79.337020424640002"/>
    <n v="79.337020424640002"/>
    <n v="79.337020424640002"/>
    <n v="79.337020424640002"/>
    <n v="79.337020424640002"/>
    <n v="79.337020424640002"/>
    <n v="79.337020424640002"/>
    <n v="79.337020424640002"/>
    <n v="79.337020424640002"/>
    <n v="79.337020424640002"/>
    <n v="79.337020424640002"/>
    <n v="79.337020424640002"/>
    <n v="0"/>
    <n v="0"/>
    <n v="0"/>
    <n v="0"/>
    <n v="0"/>
    <n v="0"/>
    <n v="0"/>
    <n v="0"/>
    <n v="0"/>
    <n v="0"/>
    <n v="0"/>
    <n v="0"/>
    <n v="0"/>
    <m/>
    <n v="0"/>
    <n v="0"/>
    <n v="0"/>
    <m/>
  </r>
  <r>
    <s v="Tier 1"/>
    <s v="Pre-2011 Programs Completed in 2011"/>
    <s v="High Performance New Construction"/>
    <s v="Kingston Hydro Corporation"/>
    <s v="Commercial &amp; Institutional"/>
    <s v="EE"/>
    <x v="5"/>
    <s v="Projects"/>
    <x v="8"/>
    <m/>
    <m/>
    <m/>
    <m/>
    <m/>
    <n v="331.04319661223701"/>
    <n v="331.04319661223701"/>
    <n v="331.04319661223701"/>
    <n v="331.04319661223701"/>
    <n v="331.04319661223701"/>
    <n v="331.04319661223701"/>
    <n v="331.04319661223701"/>
    <n v="331.04319661223701"/>
    <n v="331.04319661223701"/>
    <n v="331.04319661223701"/>
    <n v="331.04319661223701"/>
    <n v="331.04319661223701"/>
    <n v="331.04319661223701"/>
    <n v="331.04319661223701"/>
    <n v="331.04319661223701"/>
    <n v="2.2929726122369978"/>
    <n v="2.2929726122369978"/>
    <n v="2.2929726122369978"/>
    <n v="2.2929726122369978"/>
    <n v="2.2929726122369978"/>
    <n v="2.2929726122369978"/>
    <n v="2.2929726122369978"/>
    <n v="2.2929726122369978"/>
    <n v="2.2929726122369978"/>
    <n v="2.2929726122369978"/>
    <n v="2.2929726122369978"/>
    <n v="0"/>
    <n v="0"/>
    <n v="0"/>
    <n v="0"/>
    <m/>
  </r>
  <r>
    <s v="Tier 1"/>
    <s v="Business"/>
    <s v="Direct Install Lighting"/>
    <s v="Kingston Hydro Corporation"/>
    <s v="C&amp;I"/>
    <s v="EE"/>
    <x v="6"/>
    <s v="Projects"/>
    <x v="9"/>
    <m/>
    <m/>
    <m/>
    <m/>
    <m/>
    <n v="0"/>
    <n v="942.75488539143726"/>
    <n v="942.75488539143919"/>
    <n v="932.58993517580222"/>
    <n v="680.42820020590477"/>
    <n v="680.42820020590477"/>
    <n v="202.28361735145376"/>
    <n v="202.28361735145376"/>
    <n v="202.14136948749851"/>
    <n v="202.14136948749851"/>
    <n v="202.14136948749851"/>
    <n v="129.91659578001384"/>
    <n v="129.91659578001384"/>
    <n v="0"/>
    <n v="0"/>
    <n v="0"/>
    <n v="0"/>
    <n v="0"/>
    <n v="0"/>
    <n v="0"/>
    <n v="0"/>
    <n v="0"/>
    <n v="0"/>
    <n v="0"/>
    <n v="0"/>
    <n v="0"/>
    <n v="0"/>
    <n v="0"/>
    <n v="0"/>
    <n v="0"/>
    <m/>
  </r>
  <r>
    <s v="Tier 1"/>
    <s v="Business"/>
    <s v="Retrofit"/>
    <s v="Kingston Hydro Corporation"/>
    <s v="C&amp;I"/>
    <s v="EE"/>
    <x v="6"/>
    <s v="Projects"/>
    <x v="10"/>
    <m/>
    <m/>
    <m/>
    <m/>
    <m/>
    <n v="0"/>
    <n v="3121.717308429817"/>
    <n v="3121.717308429817"/>
    <n v="3030.0343761923968"/>
    <n v="2902.8460085189131"/>
    <n v="2902.8460085189131"/>
    <n v="2560.2117156916943"/>
    <n v="2552.0690301517311"/>
    <n v="2552.0690301517311"/>
    <n v="2487.0579018221497"/>
    <n v="2377.25478282932"/>
    <n v="2077.3692122737866"/>
    <n v="2077.3692122737866"/>
    <n v="1377.5835359257972"/>
    <n v="1166.8492696740534"/>
    <n v="1166.8492696740534"/>
    <n v="22.108148722950784"/>
    <n v="14.372345387948656"/>
    <n v="14.372345387948656"/>
    <n v="14.372345387948656"/>
    <n v="14.372345387948656"/>
    <n v="0"/>
    <n v="0"/>
    <n v="0"/>
    <n v="0"/>
    <n v="0"/>
    <n v="0"/>
    <m/>
    <m/>
    <m/>
    <m/>
  </r>
  <r>
    <s v="Tier 1"/>
    <s v="Business"/>
    <s v="Energy Audit"/>
    <s v="Kingston Hydro Corporation"/>
    <s v="C&amp;I"/>
    <s v="EE"/>
    <x v="6"/>
    <s v="Audits"/>
    <x v="11"/>
    <m/>
    <m/>
    <m/>
    <m/>
    <m/>
    <n v="0"/>
    <n v="125.88127231281538"/>
    <n v="125.88127231281538"/>
    <n v="125.88127231281538"/>
    <n v="125.88127231281538"/>
    <n v="0"/>
    <n v="0"/>
    <n v="0"/>
    <n v="0"/>
    <n v="0"/>
    <n v="0"/>
    <n v="0"/>
    <n v="0"/>
    <n v="0"/>
    <n v="0"/>
    <n v="0"/>
    <n v="0"/>
    <n v="0"/>
    <n v="0"/>
    <n v="0"/>
    <n v="0"/>
    <n v="0"/>
    <n v="0"/>
    <n v="0"/>
    <n v="0"/>
    <n v="0"/>
    <n v="0"/>
    <n v="0"/>
    <n v="0"/>
    <n v="0"/>
    <m/>
  </r>
  <r>
    <s v="Tier 1"/>
    <s v="Business"/>
    <s v="High Performance New Construction"/>
    <s v="Kingston Hydro Corporation"/>
    <s v="C&amp;I"/>
    <s v="EE"/>
    <x v="6"/>
    <s v="Projects"/>
    <x v="12"/>
    <m/>
    <m/>
    <m/>
    <m/>
    <m/>
    <n v="0"/>
    <n v="1.5969099999999998"/>
    <n v="1.5969099999999998"/>
    <n v="1.5969099999999998"/>
    <n v="1.5969099999999998"/>
    <n v="1.5969099999999998"/>
    <n v="1.5969099999999998"/>
    <n v="1.5969099999999998"/>
    <n v="1.5969099999999998"/>
    <n v="1.5969099999999998"/>
    <n v="1.5969099999999998"/>
    <n v="1.5969099999999998"/>
    <n v="1.5969099999999998"/>
    <n v="1.5969099999999998"/>
    <n v="1.50773"/>
    <n v="0.70511000000000001"/>
    <n v="0"/>
    <n v="0"/>
    <n v="0"/>
    <n v="0"/>
    <n v="0"/>
    <n v="0"/>
    <n v="0"/>
    <n v="0"/>
    <n v="0"/>
    <n v="0"/>
    <n v="0"/>
    <n v="0"/>
    <n v="0"/>
    <n v="0"/>
    <m/>
  </r>
  <r>
    <s v="Tier 1"/>
    <s v="Consumer"/>
    <s v="Appliance Exchange"/>
    <s v="Kingston Hydro Corporation"/>
    <s v="Residential"/>
    <s v="EE"/>
    <x v="6"/>
    <s v="Appliances"/>
    <x v="0"/>
    <m/>
    <m/>
    <m/>
    <m/>
    <m/>
    <n v="0"/>
    <n v="16.002313596872199"/>
    <n v="16.002313596872199"/>
    <n v="16.002313596872199"/>
    <n v="15.308388155597605"/>
    <n v="0"/>
    <n v="0"/>
    <n v="0"/>
    <n v="0"/>
    <n v="0"/>
    <n v="0"/>
    <n v="0"/>
    <n v="0"/>
    <n v="0"/>
    <n v="0"/>
    <n v="0"/>
    <n v="0"/>
    <n v="0"/>
    <n v="0"/>
    <n v="0"/>
    <n v="0"/>
    <n v="0"/>
    <n v="0"/>
    <n v="0"/>
    <n v="0"/>
    <n v="0"/>
    <n v="0"/>
    <n v="0"/>
    <n v="0"/>
    <n v="0"/>
    <m/>
  </r>
  <r>
    <s v="Tier 1"/>
    <s v="Consumer"/>
    <s v="Appliance Retirement"/>
    <s v="Kingston Hydro Corporation"/>
    <s v="Residential"/>
    <s v="EE"/>
    <x v="6"/>
    <s v="Appliances"/>
    <x v="0"/>
    <m/>
    <m/>
    <m/>
    <m/>
    <m/>
    <n v="0"/>
    <n v="36.436022200215092"/>
    <n v="36.436022200215092"/>
    <n v="36.436022200215092"/>
    <n v="36.436022200215092"/>
    <n v="21.883402461394159"/>
    <n v="0"/>
    <n v="0"/>
    <n v="0"/>
    <n v="0"/>
    <n v="0"/>
    <n v="0"/>
    <n v="0"/>
    <n v="0"/>
    <n v="0"/>
    <n v="0"/>
    <n v="0"/>
    <n v="0"/>
    <n v="0"/>
    <n v="0"/>
    <n v="0"/>
    <n v="0"/>
    <n v="0"/>
    <n v="0"/>
    <n v="0"/>
    <n v="0"/>
    <n v="0"/>
    <n v="0"/>
    <n v="0"/>
    <n v="0"/>
    <m/>
  </r>
  <r>
    <s v="Tier 1"/>
    <s v="Consumer"/>
    <s v="Bi-Annual Retailer Event"/>
    <s v="Kingston Hydro Corporation"/>
    <s v="Residential"/>
    <s v="EE"/>
    <x v="6"/>
    <s v="Products"/>
    <x v="0"/>
    <m/>
    <m/>
    <m/>
    <m/>
    <m/>
    <n v="0"/>
    <n v="134.27697918912932"/>
    <n v="134.27697918912932"/>
    <n v="134.27697918912932"/>
    <n v="134.27697918912932"/>
    <n v="120.70646218667096"/>
    <n v="98.151594763898402"/>
    <n v="66.949454398985381"/>
    <n v="66.810287664292744"/>
    <n v="66.810287664292744"/>
    <n v="33.934542075814811"/>
    <n v="25.183856466825137"/>
    <n v="24.401183520574612"/>
    <n v="24.401183520574612"/>
    <n v="22.697617638863399"/>
    <n v="22.697617638863399"/>
    <n v="22.387125408245581"/>
    <n v="6.2813955705434577"/>
    <n v="6.2813955705434577"/>
    <n v="6.2813955705434577"/>
    <n v="6.2813955705434577"/>
    <n v="0"/>
    <n v="0"/>
    <n v="0"/>
    <n v="0"/>
    <n v="0"/>
    <n v="0"/>
    <n v="0"/>
    <n v="0"/>
    <n v="0"/>
    <m/>
  </r>
  <r>
    <s v="Tier 1"/>
    <s v="Consumer"/>
    <s v="Conservation Instant Coupon Booklet"/>
    <s v="Kingston Hydro Corporation"/>
    <s v="Residential"/>
    <s v="EE"/>
    <x v="6"/>
    <s v="Products"/>
    <x v="0"/>
    <m/>
    <m/>
    <m/>
    <m/>
    <m/>
    <n v="0"/>
    <n v="7.0102533294220546"/>
    <n v="7.0102533294220546"/>
    <n v="7.0102533294220546"/>
    <n v="7.0102533294220546"/>
    <n v="6.9049348626225528"/>
    <n v="6.9049348626225528"/>
    <n v="3.2515103540463097"/>
    <n v="3.2335651698359436"/>
    <n v="3.2335651698359436"/>
    <n v="3.2335651698359436"/>
    <n v="0.52518054927926128"/>
    <n v="0.42295620971060455"/>
    <n v="0.42295620971060455"/>
    <n v="0.36346799534915469"/>
    <n v="0.36346799534915469"/>
    <n v="0.35002148142476119"/>
    <n v="0"/>
    <n v="0"/>
    <n v="0"/>
    <n v="0"/>
    <n v="0"/>
    <n v="0"/>
    <n v="0"/>
    <n v="0"/>
    <n v="0"/>
    <n v="0"/>
    <n v="0"/>
    <n v="0"/>
    <n v="0"/>
    <m/>
  </r>
  <r>
    <s v="Tier 1"/>
    <s v="Consumer"/>
    <s v="HVAC Incentives"/>
    <s v="Kingston Hydro Corporation"/>
    <s v="Residential"/>
    <s v="EE"/>
    <x v="6"/>
    <s v="Installations"/>
    <x v="0"/>
    <m/>
    <m/>
    <m/>
    <m/>
    <m/>
    <n v="0"/>
    <n v="95.798091245599494"/>
    <n v="95.798091245599494"/>
    <n v="95.798091245599494"/>
    <n v="95.798091245599494"/>
    <n v="95.798091245599494"/>
    <n v="95.798091245599494"/>
    <n v="95.798091245599494"/>
    <n v="95.798091245599494"/>
    <n v="95.798091245599494"/>
    <n v="95.798091245599494"/>
    <n v="95.798091245599494"/>
    <n v="95.798091245599494"/>
    <n v="95.798091245599494"/>
    <n v="95.798091245599494"/>
    <n v="95.798091245599494"/>
    <n v="95.798091245599494"/>
    <n v="95.798091245599494"/>
    <n v="95.798091245599494"/>
    <n v="90.336016769415181"/>
    <n v="0"/>
    <n v="0"/>
    <n v="0"/>
    <n v="0"/>
    <n v="0"/>
    <n v="0"/>
    <n v="0"/>
    <n v="0"/>
    <n v="0"/>
    <n v="0"/>
    <m/>
  </r>
  <r>
    <s v="Tier 1"/>
    <s v="Home Assistance"/>
    <s v="Home Assistance Program"/>
    <s v="Kingston Hydro Corporation"/>
    <s v="Residential"/>
    <s v="EE"/>
    <x v="6"/>
    <s v="Projects"/>
    <x v="0"/>
    <m/>
    <m/>
    <m/>
    <m/>
    <m/>
    <n v="0"/>
    <n v="48.513360427856455"/>
    <n v="48.513360794067381"/>
    <n v="48.513360794067381"/>
    <n v="46.049360427856442"/>
    <n v="45.738360427856442"/>
    <n v="45.738360427856442"/>
    <n v="43.094242019653322"/>
    <n v="43.020220016479492"/>
    <n v="25.952220016479494"/>
    <n v="25.708220016479491"/>
    <n v="20.795999999999996"/>
    <n v="20.795999999999996"/>
    <n v="19.826000000000001"/>
    <n v="19.826000000000001"/>
    <n v="11.726000000000001"/>
    <n v="5.266"/>
    <n v="5.266"/>
    <n v="5.266"/>
    <n v="5.266"/>
    <n v="5.266"/>
    <n v="1.266"/>
    <n v="0"/>
    <n v="0"/>
    <n v="0"/>
    <n v="0"/>
    <n v="0"/>
    <n v="0"/>
    <n v="0"/>
    <n v="0"/>
    <m/>
  </r>
  <r>
    <s v="Tier 1"/>
    <s v="Industrial"/>
    <s v="Demand Response 3"/>
    <s v="Kingston Hydro Corporation"/>
    <s v="Industrial"/>
    <s v="DR"/>
    <x v="6"/>
    <s v="Facilities"/>
    <x v="8"/>
    <m/>
    <m/>
    <m/>
    <m/>
    <m/>
    <n v="0"/>
    <n v="8.415673"/>
    <n v="0"/>
    <n v="0"/>
    <n v="0"/>
    <n v="0"/>
    <n v="0"/>
    <n v="0"/>
    <n v="0"/>
    <n v="0"/>
    <n v="0"/>
    <n v="0"/>
    <n v="0"/>
    <n v="0"/>
    <n v="0"/>
    <n v="0"/>
    <n v="0"/>
    <n v="0"/>
    <n v="0"/>
    <n v="0"/>
    <n v="0"/>
    <n v="0"/>
    <n v="0"/>
    <n v="0"/>
    <n v="0"/>
    <n v="0"/>
    <n v="0"/>
    <n v="0"/>
    <n v="0"/>
    <n v="0"/>
    <m/>
  </r>
  <r>
    <s v="Tier 1"/>
    <s v="Pre-2011 Programs Completed in 2011"/>
    <s v="High Performance New Construction"/>
    <s v="Kingston Hydro Corporation"/>
    <s v="C&amp;I"/>
    <s v="EE"/>
    <x v="6"/>
    <s v="Projects"/>
    <x v="8"/>
    <m/>
    <m/>
    <m/>
    <m/>
    <m/>
    <n v="0"/>
    <n v="327.22569929981955"/>
    <n v="327.22569929981955"/>
    <n v="327.22569929981955"/>
    <n v="327.22569929981955"/>
    <n v="327.22569929981955"/>
    <n v="327.22569929981955"/>
    <n v="327.22569929981955"/>
    <n v="327.22569929981955"/>
    <n v="327.22569929981955"/>
    <n v="327.22569929981955"/>
    <n v="327.22569929981955"/>
    <n v="327.22569929981955"/>
    <n v="0"/>
    <n v="0"/>
    <n v="0"/>
    <n v="0"/>
    <n v="0"/>
    <n v="0"/>
    <n v="0"/>
    <n v="0"/>
    <n v="0"/>
    <n v="0"/>
    <n v="0"/>
    <n v="0"/>
    <n v="0"/>
    <n v="0"/>
    <n v="0"/>
    <n v="0"/>
    <n v="0"/>
    <m/>
  </r>
  <r>
    <s v="Tier 1"/>
    <s v="Business"/>
    <s v="Demand Response 3 (part of the Industrial program schedule)"/>
    <s v="Kingston Hydro Corporation"/>
    <s v="C&amp;I"/>
    <s v="DR"/>
    <x v="6"/>
    <s v="Facilities"/>
    <x v="4"/>
    <m/>
    <m/>
    <m/>
    <m/>
    <m/>
    <n v="0"/>
    <n v="58.580500000000001"/>
    <n v="0"/>
    <n v="0"/>
    <n v="0"/>
    <n v="0"/>
    <n v="0"/>
    <n v="0"/>
    <n v="0"/>
    <n v="0"/>
    <n v="0"/>
    <n v="0"/>
    <n v="0"/>
    <n v="0"/>
    <n v="0"/>
    <n v="0"/>
    <n v="0"/>
    <n v="0"/>
    <n v="0"/>
    <n v="0"/>
    <n v="0"/>
    <n v="0"/>
    <n v="0"/>
    <n v="0"/>
    <n v="0"/>
    <n v="0"/>
    <n v="0"/>
    <n v="0"/>
    <n v="0"/>
    <n v="0"/>
    <m/>
  </r>
  <r>
    <s v="Tier 1 - 2011 Adjustment"/>
    <s v="Business"/>
    <s v="Retrofit"/>
    <s v="Kingston Hydro Corporation"/>
    <s v="C&amp;I"/>
    <s v="EE"/>
    <x v="5"/>
    <s v="Projects"/>
    <x v="6"/>
    <m/>
    <m/>
    <m/>
    <m/>
    <m/>
    <n v="14.398130945537527"/>
    <n v="14.398130945537527"/>
    <n v="14.398130945537527"/>
    <n v="13.517882939259444"/>
    <n v="13.517882939259444"/>
    <n v="13.517882939259444"/>
    <n v="4.4746055495332433"/>
    <n v="4.4746055495332433"/>
    <n v="4.4746055495332433"/>
    <n v="4.4746055495332433"/>
    <n v="2.5952600793001244"/>
    <n v="2.5952600793001244"/>
    <n v="0"/>
    <n v="0"/>
    <n v="0"/>
    <n v="0"/>
    <n v="0"/>
    <n v="0"/>
    <n v="0"/>
    <n v="0"/>
    <n v="0"/>
    <n v="0"/>
    <n v="0"/>
    <n v="0"/>
    <n v="0"/>
    <n v="0"/>
    <n v="0"/>
    <n v="0"/>
    <n v="0"/>
    <n v="0"/>
    <m/>
  </r>
  <r>
    <s v="Tier 1 - 2011 Adjustment"/>
    <s v="Business"/>
    <s v="Direct Install Lighting"/>
    <s v="Kingston Hydro Corporation"/>
    <s v="C&amp;I"/>
    <s v="EE"/>
    <x v="5"/>
    <s v="Projects"/>
    <x v="5"/>
    <m/>
    <m/>
    <m/>
    <m/>
    <m/>
    <n v="15.858094920564891"/>
    <n v="15.858094920564891"/>
    <n v="15.858094920564891"/>
    <n v="15.858094920564891"/>
    <n v="15.858094920564891"/>
    <n v="15.858094920564891"/>
    <n v="4.9969907076186661"/>
    <n v="4.9969907076186661"/>
    <n v="4.9969907076186661"/>
    <n v="4.9969907076186661"/>
    <n v="3.9742191307521328"/>
    <n v="3.9742191307521328"/>
    <n v="0"/>
    <n v="0"/>
    <n v="0"/>
    <n v="0"/>
    <n v="0"/>
    <n v="0"/>
    <n v="0"/>
    <n v="0"/>
    <n v="0"/>
    <n v="0"/>
    <n v="0"/>
    <n v="0"/>
    <n v="0"/>
    <n v="0"/>
    <n v="0"/>
    <n v="0"/>
    <n v="0"/>
    <n v="0"/>
    <m/>
  </r>
  <r>
    <s v="Tier 1 - 2011 Adjustment"/>
    <s v="Business"/>
    <s v="Energy Audit"/>
    <s v="Kingston Hydro Corporation"/>
    <s v="C&amp;I"/>
    <s v="EE"/>
    <x v="5"/>
    <s v="Projects"/>
    <x v="7"/>
    <m/>
    <m/>
    <m/>
    <m/>
    <m/>
    <n v="50.352508925126152"/>
    <n v="50.352508925126152"/>
    <n v="50.352508925126152"/>
    <n v="50.352508925126152"/>
    <n v="50.352508925126152"/>
    <n v="0"/>
    <n v="0"/>
    <n v="0"/>
    <n v="0"/>
    <n v="0"/>
    <n v="0"/>
    <n v="0"/>
    <n v="0"/>
    <n v="0"/>
    <n v="0"/>
    <n v="0"/>
    <n v="0"/>
    <n v="0"/>
    <n v="0"/>
    <n v="0"/>
    <n v="0"/>
    <n v="0"/>
    <n v="0"/>
    <n v="0"/>
    <n v="0"/>
    <n v="0"/>
    <n v="0"/>
    <n v="0"/>
    <n v="0"/>
    <n v="0"/>
    <m/>
  </r>
  <r>
    <s v="Tier 1 - 2011 Adjustment"/>
    <s v="Pre-2011 Programs Completed in 2011"/>
    <s v="High Performance New Construction"/>
    <s v="Kingston Hydro Corporation"/>
    <s v="C&amp;I"/>
    <s v="EE"/>
    <x v="5"/>
    <s v="Buildings"/>
    <x v="8"/>
    <m/>
    <m/>
    <m/>
    <m/>
    <m/>
    <n v="444.61606738776311"/>
    <n v="444.61606738776311"/>
    <n v="444.61606738776311"/>
    <n v="444.61606738776311"/>
    <n v="444.616067387763"/>
    <n v="444.616067387763"/>
    <n v="444.616067387763"/>
    <n v="444.616067387763"/>
    <n v="444.616067387763"/>
    <n v="444.616067387763"/>
    <n v="444.616067387763"/>
    <n v="444.616067387763"/>
    <n v="444.616067387763"/>
    <n v="444.616067387763"/>
    <n v="444.616067387763"/>
    <n v="0"/>
    <n v="0"/>
    <n v="0"/>
    <n v="0"/>
    <n v="0"/>
    <n v="0"/>
    <n v="0"/>
    <n v="0"/>
    <n v="0"/>
    <n v="0"/>
    <n v="0"/>
    <n v="0"/>
    <n v="0"/>
    <n v="0"/>
    <n v="0"/>
    <m/>
  </r>
  <r>
    <s v="Tier 1 - 2011 Adjustment"/>
    <s v="Consumer"/>
    <s v="HVAC Incentives"/>
    <s v="Kingston Hydro Corporation"/>
    <s v="Residential"/>
    <s v="EE"/>
    <x v="5"/>
    <s v="Installations"/>
    <x v="0"/>
    <m/>
    <m/>
    <m/>
    <m/>
    <m/>
    <n v="-46.099303587569764"/>
    <n v="-46.099303587569764"/>
    <n v="-46.099303587569764"/>
    <n v="-46.099303587569764"/>
    <n v="-46.099303587569764"/>
    <n v="-46.099303587569764"/>
    <n v="-46.099303587569764"/>
    <n v="-46.099303587569764"/>
    <n v="-46.099303587569764"/>
    <n v="-46.099303587569764"/>
    <n v="-46.099303587569764"/>
    <n v="-46.099303587569764"/>
    <n v="-46.099303587569764"/>
    <n v="-46.099303587569764"/>
    <n v="-46.099303587569764"/>
    <n v="-46.099303587569764"/>
    <n v="-46.099303587569764"/>
    <n v="-46.099303587569764"/>
    <n v="-44.100481065259707"/>
    <n v="0"/>
    <n v="0"/>
    <n v="0"/>
    <n v="0"/>
    <n v="0"/>
    <n v="0"/>
    <n v="0"/>
    <n v="0"/>
    <n v="0"/>
    <n v="0"/>
    <n v="0"/>
    <m/>
  </r>
  <r>
    <s v="Tier 1 - 2011 Adjustment"/>
    <s v="Consumer"/>
    <s v="Bi-Annual Retailer Event"/>
    <s v="Kingston Hydro Corporation"/>
    <s v="Residential"/>
    <s v="EE"/>
    <x v="5"/>
    <s v="Products"/>
    <x v="0"/>
    <m/>
    <m/>
    <m/>
    <m/>
    <m/>
    <n v="10.947004820254898"/>
    <n v="10.947004820254898"/>
    <n v="10.947004820254898"/>
    <n v="10.947004820254898"/>
    <n v="10.947004820254898"/>
    <n v="9.9476895758751613"/>
    <n v="5.3706497234395885"/>
    <n v="5.3695555893022915"/>
    <n v="5.3695555893022915"/>
    <n v="1.1845655212131565"/>
    <n v="0.99516696810053751"/>
    <n v="0.91386373835073487"/>
    <n v="0.91386373835073487"/>
    <n v="0.75837173680929437"/>
    <n v="0.75837173680929437"/>
    <n v="0.75745980702052318"/>
    <n v="0"/>
    <n v="0"/>
    <n v="0"/>
    <n v="0"/>
    <n v="0"/>
    <n v="0"/>
    <n v="0"/>
    <n v="0"/>
    <n v="0"/>
    <n v="0"/>
    <m/>
    <n v="0"/>
    <n v="0"/>
    <n v="0"/>
    <m/>
  </r>
  <r>
    <s v="Tier 1 - 2011 Adjustment"/>
    <s v="Consumer"/>
    <s v="Conservation Instant Coupon Booklet"/>
    <s v="Kingston Hydro Corporation"/>
    <s v="Residential"/>
    <s v="EE"/>
    <x v="5"/>
    <s v="Products"/>
    <x v="0"/>
    <m/>
    <m/>
    <m/>
    <m/>
    <m/>
    <n v="1.3820696418156644"/>
    <n v="1.3820696418156644"/>
    <n v="1.3820696418156644"/>
    <n v="1.3820696418156644"/>
    <n v="1.3820696418156644"/>
    <n v="1.2627704668901096"/>
    <n v="0.77469876509258329"/>
    <n v="0.77364399421721075"/>
    <n v="0.77364399421721075"/>
    <n v="0.27403602265608018"/>
    <n v="0.12376596559791235"/>
    <n v="9.0052357367638641E-2"/>
    <n v="9.0052357367638641E-2"/>
    <n v="8.0819592588624048E-2"/>
    <n v="8.0819592588624048E-2"/>
    <n v="8.0008208477433423E-2"/>
    <n v="0"/>
    <n v="0"/>
    <n v="0"/>
    <n v="0"/>
    <n v="0"/>
    <n v="0"/>
    <n v="0"/>
    <n v="0"/>
    <n v="0"/>
    <n v="0"/>
    <s v=""/>
    <n v="0"/>
    <n v="0"/>
    <n v="0"/>
    <m/>
  </r>
  <r>
    <s v="LDC"/>
    <s v="Business"/>
    <s v="Energy Audit Funding"/>
    <s v="Kingston Hydro Corporation"/>
    <s v="Commercial &amp; Institutional"/>
    <s v="EE"/>
    <x v="6"/>
    <s v="Audit"/>
    <x v="11"/>
    <m/>
    <m/>
    <m/>
    <m/>
    <m/>
    <s v=""/>
    <n v="50.352508925126003"/>
    <n v="50.352508925126003"/>
    <n v="50.352508925126003"/>
    <n v="50.352508925126003"/>
    <s v=""/>
    <s v=""/>
    <s v=""/>
    <s v=""/>
    <s v=""/>
    <s v=""/>
    <s v=""/>
    <s v=""/>
    <s v=""/>
    <s v=""/>
    <s v=""/>
    <s v=""/>
    <s v=""/>
    <s v=""/>
    <s v=""/>
    <s v=""/>
    <s v=""/>
    <s v=""/>
    <s v=""/>
    <s v=""/>
    <s v=""/>
    <s v=""/>
    <m/>
    <m/>
    <m/>
    <m/>
  </r>
  <r>
    <s v="LDC"/>
    <s v="Business"/>
    <s v="Energy Audit Funding"/>
    <s v="Kingston Hydro Corporation"/>
    <s v="Commercial &amp; Institutional"/>
    <s v="EE"/>
    <x v="7"/>
    <s v="Audit"/>
    <x v="13"/>
    <m/>
    <m/>
    <m/>
    <m/>
    <m/>
    <s v=""/>
    <s v=""/>
    <n v="96.901535593948992"/>
    <n v="96.901535593948992"/>
    <n v="96.901535593948992"/>
    <n v="96.901535593948992"/>
    <s v=""/>
    <s v=""/>
    <s v=""/>
    <s v=""/>
    <s v=""/>
    <s v=""/>
    <s v=""/>
    <s v=""/>
    <s v=""/>
    <s v=""/>
    <s v=""/>
    <s v=""/>
    <s v=""/>
    <s v=""/>
    <s v=""/>
    <s v=""/>
    <s v=""/>
    <s v=""/>
    <s v=""/>
    <s v=""/>
    <n v="0"/>
    <m/>
    <m/>
    <m/>
    <m/>
  </r>
  <r>
    <s v="LDC"/>
    <s v="Business"/>
    <s v="DR-3"/>
    <s v="Kingston Hydro Corporation"/>
    <s v="Commercial &amp; Institutional"/>
    <s v="DR"/>
    <x v="7"/>
    <s v="Facilities"/>
    <x v="4"/>
    <m/>
    <m/>
    <m/>
    <m/>
    <m/>
    <s v=""/>
    <s v=""/>
    <n v="52.001860000000001"/>
    <s v=""/>
    <s v=""/>
    <s v=""/>
    <s v=""/>
    <s v=""/>
    <s v=""/>
    <s v=""/>
    <s v=""/>
    <s v=""/>
    <s v=""/>
    <s v=""/>
    <s v=""/>
    <s v=""/>
    <s v=""/>
    <s v=""/>
    <s v=""/>
    <s v=""/>
    <s v=""/>
    <s v=""/>
    <s v=""/>
    <s v=""/>
    <s v=""/>
    <s v=""/>
    <n v="0"/>
    <s v=""/>
    <s v=""/>
    <s v=""/>
    <m/>
  </r>
  <r>
    <s v="LDC"/>
    <s v="Business"/>
    <s v="New Construction"/>
    <s v="Kingston Hydro Corporation"/>
    <s v="Commercial &amp; Institutional"/>
    <s v="EE"/>
    <x v="7"/>
    <s v=""/>
    <x v="14"/>
    <m/>
    <m/>
    <m/>
    <m/>
    <m/>
    <n v="0"/>
    <n v="0"/>
    <n v="58.802057999999995"/>
    <n v="58.802057999999995"/>
    <n v="58.802057999999995"/>
    <n v="58.802057999999995"/>
    <n v="58.802057999999995"/>
    <n v="58.802057999999995"/>
    <n v="58.802057999999995"/>
    <n v="58.802057999999995"/>
    <n v="58.802057999999995"/>
    <n v="58.802057999999995"/>
    <n v="58.802057999999995"/>
    <n v="58.802057999999995"/>
    <n v="58.802057999999995"/>
    <n v="58.802057999999995"/>
    <n v="58.802057999999995"/>
    <n v="0"/>
    <n v="0"/>
    <n v="0"/>
    <n v="0"/>
    <n v="0"/>
    <n v="0"/>
    <n v="0"/>
    <n v="0"/>
    <n v="0"/>
    <n v="0"/>
    <s v=""/>
    <s v=""/>
    <s v=""/>
    <m/>
  </r>
  <r>
    <s v="LDC"/>
    <s v="Business"/>
    <s v="Retrofit"/>
    <s v="Kingston Hydro Corporation"/>
    <s v="Commercial &amp; Institutional"/>
    <s v="EE"/>
    <x v="6"/>
    <s v="Projects"/>
    <x v="10"/>
    <m/>
    <m/>
    <m/>
    <m/>
    <m/>
    <n v="0"/>
    <n v="23.308799162745999"/>
    <n v="23.308799162745999"/>
    <n v="23.308799162745999"/>
    <n v="23.308799162745999"/>
    <n v="23.308799162745999"/>
    <n v="23.308799162745999"/>
    <n v="23.308799162745999"/>
    <n v="23.308799162745999"/>
    <n v="23.308799162745999"/>
    <n v="23.308799162745999"/>
    <n v="23.308799162745999"/>
    <n v="23.308799162745999"/>
    <n v="23.308799162745999"/>
    <n v="23.308799162745999"/>
    <n v="23.308799162745999"/>
    <n v="16.667086755421003"/>
    <n v="0"/>
    <n v="0"/>
    <n v="0"/>
    <n v="0"/>
    <n v="0"/>
    <n v="0"/>
    <n v="0"/>
    <n v="0"/>
    <n v="0"/>
    <n v="0"/>
    <s v=""/>
    <s v=""/>
    <s v=""/>
    <m/>
  </r>
  <r>
    <s v="LDC"/>
    <s v="Business"/>
    <s v="Retrofit"/>
    <s v="Kingston Hydro Corporation"/>
    <s v="Commercial &amp; Institutional"/>
    <s v="EE"/>
    <x v="7"/>
    <s v="Projects"/>
    <x v="15"/>
    <m/>
    <m/>
    <m/>
    <m/>
    <m/>
    <n v="0"/>
    <n v="0"/>
    <n v="5089.5962697838795"/>
    <n v="5089.5962697838795"/>
    <n v="5089.5962697838795"/>
    <n v="4813.2624402286901"/>
    <n v="4772.3693252412395"/>
    <n v="4761.5441525611195"/>
    <n v="4761.5441525611195"/>
    <n v="4601.4212858973397"/>
    <n v="4511.6581197145997"/>
    <n v="4443.8364820332799"/>
    <n v="2844.4306194780702"/>
    <n v="1516.77778440969"/>
    <n v="1297.57617174352"/>
    <n v="1297.57617174352"/>
    <n v="1297.57617174352"/>
    <n v="1056.9783464164"/>
    <n v="66.769627944270994"/>
    <n v="66.306895921514993"/>
    <n v="66.306895921514993"/>
    <n v="66.306895921514993"/>
    <n v="0"/>
    <n v="0"/>
    <n v="0"/>
    <n v="0"/>
    <n v="0"/>
    <n v="0"/>
    <n v="0"/>
    <n v="0"/>
    <m/>
  </r>
  <r>
    <s v="LDC"/>
    <s v="Business"/>
    <s v="Small Business Lighting"/>
    <s v="Kingston Hydro Corporation"/>
    <s v="Commercial &amp; Institutional"/>
    <s v="EE"/>
    <x v="6"/>
    <s v="Projects"/>
    <x v="9"/>
    <m/>
    <m/>
    <m/>
    <m/>
    <m/>
    <s v=""/>
    <n v="65.451467311612006"/>
    <n v="65.451467311612006"/>
    <n v="65.451467311612006"/>
    <n v="52.853312831827004"/>
    <n v="52.853312831827004"/>
    <n v="19.258700829643999"/>
    <n v="19.258700829643999"/>
    <n v="19.258700829643999"/>
    <n v="19.258700829643999"/>
    <n v="19.258700829643999"/>
    <n v="12.567577379904"/>
    <n v="12.567577379904"/>
    <n v="0"/>
    <n v="0"/>
    <n v="0"/>
    <n v="0"/>
    <n v="0"/>
    <n v="0"/>
    <n v="0"/>
    <n v="0"/>
    <n v="0"/>
    <n v="0"/>
    <n v="0"/>
    <n v="0"/>
    <n v="0"/>
    <n v="0"/>
    <n v="0"/>
    <n v="0"/>
    <n v="0"/>
    <m/>
  </r>
  <r>
    <s v="LDC"/>
    <s v="Business"/>
    <s v="Small Business Lighting"/>
    <s v="Kingston Hydro Corporation"/>
    <s v="Commercial &amp; Institutional"/>
    <s v="EE"/>
    <x v="7"/>
    <s v="Projects"/>
    <x v="16"/>
    <m/>
    <m/>
    <m/>
    <m/>
    <m/>
    <s v=""/>
    <s v=""/>
    <n v="222.93187639852499"/>
    <n v="222.93187639852499"/>
    <n v="215.90294163568399"/>
    <n v="171.45635630098403"/>
    <n v="74.14139567185299"/>
    <n v="74.14139567185299"/>
    <n v="74.14139567185299"/>
    <n v="74.14139567185299"/>
    <n v="74.14139567185299"/>
    <n v="74.14139567185299"/>
    <n v="60.017878307090001"/>
    <n v="53.241809320589006"/>
    <n v="0"/>
    <n v="0"/>
    <n v="0"/>
    <n v="0"/>
    <n v="0"/>
    <n v="0"/>
    <n v="0"/>
    <n v="0"/>
    <n v="0"/>
    <n v="0"/>
    <n v="0"/>
    <n v="0"/>
    <n v="0"/>
    <n v="0"/>
    <n v="0"/>
    <n v="0"/>
    <m/>
  </r>
  <r>
    <s v="LDC"/>
    <s v="Consumer"/>
    <s v="Annual Coupons"/>
    <s v="Kingston Hydro Corporation"/>
    <s v="Residential"/>
    <s v="EE"/>
    <x v="7"/>
    <s v="measures"/>
    <x v="0"/>
    <m/>
    <m/>
    <m/>
    <m/>
    <m/>
    <n v="0"/>
    <n v="0"/>
    <n v="38.643947383874"/>
    <n v="38.643947383874"/>
    <n v="37.154768956587006"/>
    <n v="31.477756601667"/>
    <n v="31.477756601667"/>
    <n v="31.477756601667"/>
    <n v="31.477756601667"/>
    <n v="31.451523195309001"/>
    <n v="22.870543798629001"/>
    <n v="22.870543798629001"/>
    <n v="20.794953332483001"/>
    <n v="20.498824050601002"/>
    <n v="20.498824050601002"/>
    <n v="20.414556491500001"/>
    <n v="20.414556491500001"/>
    <n v="20.397278755197998"/>
    <n v="19.766976581778"/>
    <n v="11.602776670879001"/>
    <n v="11.602776670879001"/>
    <n v="11.602776670879001"/>
    <n v="0"/>
    <n v="0"/>
    <n v="0"/>
    <n v="0"/>
    <n v="0"/>
    <n v="0"/>
    <n v="0"/>
    <n v="0"/>
    <m/>
  </r>
  <r>
    <s v="LDC"/>
    <s v="Consumer"/>
    <s v="Appliance Exchange"/>
    <s v="Kingston Hydro Corporation"/>
    <s v="Residential"/>
    <s v="EE"/>
    <x v="7"/>
    <s v="Appliances"/>
    <x v="0"/>
    <m/>
    <m/>
    <m/>
    <m/>
    <m/>
    <s v=""/>
    <s v=""/>
    <n v="2.5860791459999999"/>
    <n v="2.5860791459999999"/>
    <n v="2.5860791459999999"/>
    <n v="2.5860791459999999"/>
    <n v="0"/>
    <n v="0"/>
    <n v="0"/>
    <n v="0"/>
    <n v="0"/>
    <n v="0"/>
    <n v="0"/>
    <n v="0"/>
    <n v="0"/>
    <n v="0"/>
    <n v="0"/>
    <n v="0"/>
    <n v="0"/>
    <n v="0"/>
    <n v="0"/>
    <n v="0"/>
    <n v="0"/>
    <n v="0"/>
    <n v="0"/>
    <n v="0"/>
    <n v="0"/>
    <n v="0"/>
    <n v="0"/>
    <n v="0"/>
    <m/>
  </r>
  <r>
    <s v="LDC"/>
    <s v="Consumer"/>
    <s v="Appliance Retirement"/>
    <s v="Kingston Hydro Corporation"/>
    <s v="Residential"/>
    <s v="EE"/>
    <x v="7"/>
    <s v="Appliances"/>
    <x v="0"/>
    <m/>
    <m/>
    <m/>
    <m/>
    <m/>
    <s v=""/>
    <s v=""/>
    <n v="19.102625289632005"/>
    <n v="19.102625289632005"/>
    <n v="19.102625289632005"/>
    <n v="19.000080771299004"/>
    <n v="13.213418502687"/>
    <n v="0"/>
    <n v="0"/>
    <n v="0"/>
    <n v="0"/>
    <n v="0"/>
    <n v="0"/>
    <n v="0"/>
    <n v="0"/>
    <n v="0"/>
    <n v="0"/>
    <n v="0"/>
    <n v="0"/>
    <n v="0"/>
    <n v="0"/>
    <n v="0"/>
    <n v="0"/>
    <n v="0"/>
    <n v="0"/>
    <n v="0"/>
    <n v="0"/>
    <n v="0"/>
    <n v="0"/>
    <n v="0"/>
    <m/>
  </r>
  <r>
    <s v="LDC"/>
    <s v="Consumer"/>
    <s v="Bi-Annual Retailer Events"/>
    <s v="Kingston Hydro Corporation"/>
    <s v="Residential"/>
    <s v="EE"/>
    <x v="7"/>
    <s v="measures"/>
    <x v="0"/>
    <m/>
    <m/>
    <m/>
    <m/>
    <m/>
    <n v="0"/>
    <n v="0"/>
    <n v="86.135658340274006"/>
    <n v="86.135658340274006"/>
    <n v="80.945777527922999"/>
    <n v="63.234031666148006"/>
    <n v="63.234031666148006"/>
    <n v="63.234031666148006"/>
    <n v="63.234031666148006"/>
    <n v="63.159513584319996"/>
    <n v="53.113481410571005"/>
    <n v="53.113481410571005"/>
    <n v="46.217296963313999"/>
    <n v="29.71325522403"/>
    <n v="29.71325522403"/>
    <n v="28.145186154384998"/>
    <n v="28.145186154384998"/>
    <n v="27.943838416954002"/>
    <n v="24.120227751277998"/>
    <n v="14.158028969536002"/>
    <n v="14.158028969536002"/>
    <n v="14.158028969536002"/>
    <n v="0"/>
    <n v="0"/>
    <n v="0"/>
    <n v="0"/>
    <n v="0"/>
    <n v="0"/>
    <n v="0"/>
    <n v="0"/>
    <m/>
  </r>
  <r>
    <s v="LDC"/>
    <s v="Consumer"/>
    <s v="Home Assistance Program"/>
    <s v="Kingston Hydro Corporation"/>
    <s v="Residential"/>
    <s v="EE"/>
    <x v="7"/>
    <s v="Projects Completed"/>
    <x v="0"/>
    <m/>
    <m/>
    <m/>
    <m/>
    <m/>
    <n v="0"/>
    <n v="0"/>
    <n v="272.01625510406501"/>
    <n v="266.48559613800001"/>
    <n v="264.64041334152199"/>
    <n v="242.70248827362101"/>
    <n v="233.18164343261702"/>
    <n v="224.39162893676797"/>
    <n v="216.13360990905801"/>
    <n v="214.81384707641598"/>
    <n v="122.841596008301"/>
    <n v="122.01765067291301"/>
    <n v="111.372562728882"/>
    <n v="110.6372212677"/>
    <n v="102.142280899048"/>
    <n v="102.142280899048"/>
    <n v="34.142126052856"/>
    <n v="23.529550903320001"/>
    <n v="23.529550903320001"/>
    <n v="23.529550903320001"/>
    <n v="23.529550903320001"/>
    <n v="23.529550903320001"/>
    <n v="18.309921020508003"/>
    <n v="0"/>
    <n v="0"/>
    <n v="0"/>
    <n v="0"/>
    <n v="0"/>
    <n v="0"/>
    <n v="0"/>
    <m/>
  </r>
  <r>
    <s v="LDC"/>
    <s v="Consumer"/>
    <s v="HVAC"/>
    <s v="Kingston Hydro Corporation"/>
    <s v="Residential"/>
    <s v="EE"/>
    <x v="6"/>
    <s v="Equipment"/>
    <x v="0"/>
    <m/>
    <m/>
    <m/>
    <m/>
    <m/>
    <s v=""/>
    <n v="3.5737338950369999"/>
    <n v="3.5737338950369999"/>
    <n v="3.5737338950369999"/>
    <n v="3.5737338950369999"/>
    <n v="3.5737338950369999"/>
    <n v="3.5737338950369999"/>
    <n v="3.5737338950369999"/>
    <n v="3.5737338950369999"/>
    <n v="3.5737338950369999"/>
    <n v="3.5737338950369999"/>
    <n v="3.5737338950369999"/>
    <n v="3.5737338950369999"/>
    <n v="3.5737338950369999"/>
    <n v="3.5737338950369999"/>
    <n v="3.5737338950369999"/>
    <n v="3.5737338950369999"/>
    <n v="3.5737338950369999"/>
    <n v="3.5737338950369999"/>
    <n v="3.3107602472719999"/>
    <n v="0"/>
    <n v="0"/>
    <n v="0"/>
    <n v="0"/>
    <n v="0"/>
    <n v="0"/>
    <s v=""/>
    <n v="0"/>
    <n v="0"/>
    <n v="0"/>
    <m/>
  </r>
  <r>
    <s v="LDC"/>
    <s v="Consumer"/>
    <s v="HVAC"/>
    <s v="Kingston Hydro Corporation"/>
    <s v="Residential"/>
    <s v="EE"/>
    <x v="7"/>
    <s v="Equipment"/>
    <x v="0"/>
    <m/>
    <m/>
    <m/>
    <m/>
    <m/>
    <s v=""/>
    <s v=""/>
    <n v="69.935745293343999"/>
    <n v="69.935745293343999"/>
    <n v="69.935745293343999"/>
    <n v="69.935745293343999"/>
    <n v="69.935745293343999"/>
    <n v="69.935745293343999"/>
    <n v="69.935745293343999"/>
    <n v="69.935745293343999"/>
    <n v="69.935745293343999"/>
    <n v="69.935745293343999"/>
    <n v="69.935745293343999"/>
    <n v="69.935745293343999"/>
    <n v="69.935745293343999"/>
    <n v="69.935745293343999"/>
    <n v="69.935745293343999"/>
    <n v="69.935745293343999"/>
    <n v="69.935745293343999"/>
    <n v="69.935745293343999"/>
    <n v="66.371801837909999"/>
    <n v="0"/>
    <n v="0"/>
    <n v="0"/>
    <n v="0"/>
    <n v="0"/>
    <n v="0"/>
    <n v="0"/>
    <n v="0"/>
    <n v="0"/>
    <m/>
  </r>
  <r>
    <s v="LDC"/>
    <s v="Industrial"/>
    <s v="DR-3"/>
    <s v="Kingston Hydro Corporation"/>
    <s v="Industrial"/>
    <s v="DR"/>
    <x v="7"/>
    <s v="Facilities"/>
    <x v="1"/>
    <m/>
    <m/>
    <m/>
    <m/>
    <m/>
    <s v=""/>
    <s v=""/>
    <n v="7.4119459999999995"/>
    <s v=""/>
    <s v=""/>
    <s v=""/>
    <s v=""/>
    <s v=""/>
    <s v=""/>
    <s v=""/>
    <s v=""/>
    <s v=""/>
    <s v=""/>
    <s v=""/>
    <s v=""/>
    <s v=""/>
    <s v=""/>
    <s v=""/>
    <s v=""/>
    <s v=""/>
    <s v=""/>
    <s v=""/>
    <s v=""/>
    <s v=""/>
    <s v=""/>
    <s v=""/>
    <n v="0"/>
    <n v="0"/>
    <n v="0"/>
    <n v="0"/>
    <m/>
  </r>
  <r>
    <s v="KH Projections"/>
    <s v="Business"/>
    <s v="Energy Audit Funding"/>
    <s v="Kingston Hydro Corporation"/>
    <s v="Commercial"/>
    <m/>
    <x v="8"/>
    <m/>
    <x v="17"/>
    <m/>
    <m/>
    <m/>
    <m/>
    <m/>
    <m/>
    <m/>
    <m/>
    <n v="326.36784999999998"/>
    <n v="326.36784999999998"/>
    <n v="326.36784999999998"/>
    <n v="326.36784999999998"/>
    <m/>
    <m/>
    <m/>
    <m/>
    <m/>
    <m/>
    <m/>
    <m/>
    <m/>
    <m/>
    <m/>
    <m/>
    <m/>
    <m/>
    <m/>
    <m/>
    <m/>
    <m/>
    <m/>
    <m/>
    <m/>
    <m/>
    <m/>
    <m/>
  </r>
  <r>
    <s v="KH Projections"/>
    <s v="Business"/>
    <s v="New Construction"/>
    <s v="Kingston Hydro Corporation"/>
    <s v="Commercial"/>
    <m/>
    <x v="8"/>
    <m/>
    <x v="18"/>
    <m/>
    <m/>
    <m/>
    <m/>
    <m/>
    <m/>
    <m/>
    <m/>
    <n v="84.927365999999992"/>
    <n v="84.927365999999992"/>
    <n v="84.927365999999992"/>
    <n v="84.927365999999992"/>
    <n v="84.927365999999992"/>
    <n v="84.927365999999992"/>
    <n v="84.927365999999992"/>
    <n v="84.927365999999992"/>
    <n v="84.927365999999992"/>
    <n v="84.927365999999992"/>
    <n v="84.927365999999992"/>
    <n v="84.927365999999992"/>
    <n v="84.927365999999992"/>
    <n v="84.927365999999992"/>
    <n v="84.927365999999992"/>
    <m/>
    <m/>
    <m/>
    <m/>
    <m/>
    <m/>
    <m/>
    <m/>
    <m/>
    <m/>
    <m/>
    <m/>
    <m/>
  </r>
  <r>
    <s v="KH Projections"/>
    <s v="Business"/>
    <s v="Retrofit"/>
    <s v="Kingston Hydro Corporation"/>
    <s v="Commercial"/>
    <m/>
    <x v="8"/>
    <m/>
    <x v="19"/>
    <m/>
    <m/>
    <m/>
    <m/>
    <m/>
    <m/>
    <m/>
    <m/>
    <n v="1834.237828"/>
    <n v="1834.237828"/>
    <n v="1834.237828"/>
    <n v="1734.6499753572684"/>
    <n v="1719.9125198816653"/>
    <n v="1716.0112396676745"/>
    <n v="1716.0112396676745"/>
    <n v="1658.3046154888227"/>
    <n v="1625.9548992744119"/>
    <n v="1601.5126828788727"/>
    <n v="1025.1033608191667"/>
    <n v="546.63101773933431"/>
    <n v="467.63302485374817"/>
    <n v="467.63302485374817"/>
    <n v="467.63302485374817"/>
    <n v="380.92405833521531"/>
    <n v="24.063082972604473"/>
    <n v="23.896319139998543"/>
    <n v="23.896319139998543"/>
    <n v="23.896319139998543"/>
    <m/>
    <m/>
    <m/>
    <m/>
    <m/>
    <m/>
    <m/>
    <m/>
  </r>
  <r>
    <s v="KH Projections"/>
    <s v="Business"/>
    <s v="Small Business Lighting"/>
    <s v="Kingston Hydro Corporation"/>
    <s v="Commercial"/>
    <m/>
    <x v="8"/>
    <m/>
    <x v="20"/>
    <m/>
    <m/>
    <m/>
    <m/>
    <m/>
    <m/>
    <m/>
    <m/>
    <n v="338.65834599999999"/>
    <n v="338.65834599999999"/>
    <n v="327.9806113512758"/>
    <n v="260.4612986447824"/>
    <n v="112.62903643028514"/>
    <n v="112.62903643028514"/>
    <n v="112.62903643028514"/>
    <n v="112.62903643028514"/>
    <n v="112.62903643028514"/>
    <n v="112.62903643028514"/>
    <n v="91.173840754712572"/>
    <n v="80.8802373794462"/>
    <n v="0"/>
    <m/>
    <m/>
    <m/>
    <m/>
    <m/>
    <m/>
    <m/>
    <m/>
    <m/>
    <m/>
    <m/>
    <m/>
    <m/>
    <m/>
    <m/>
  </r>
  <r>
    <s v="KH Projections"/>
    <s v="Consumer"/>
    <s v="Conservation Coupon Instant Booklet"/>
    <s v="Kingston Hydro Corporation"/>
    <s v="Residential"/>
    <m/>
    <x v="8"/>
    <m/>
    <x v="0"/>
    <m/>
    <m/>
    <m/>
    <m/>
    <m/>
    <m/>
    <m/>
    <m/>
    <n v="184.68100799999999"/>
    <n v="184.68100799999999"/>
    <n v="177.56416327626499"/>
    <n v="150.43348861406449"/>
    <n v="150.43348861406449"/>
    <n v="150.43348861406449"/>
    <n v="150.43348861406449"/>
    <n v="150.30811809015444"/>
    <n v="109.29926594407675"/>
    <n v="109.29926594407675"/>
    <n v="99.379934058147512"/>
    <n v="97.964720086007972"/>
    <n v="97.964720086007972"/>
    <n v="97.562001968164594"/>
    <n v="97.562001968164594"/>
    <n v="97.479430958414611"/>
    <n v="94.46719104473614"/>
    <n v="55.450145138925635"/>
    <n v="55.450145138925635"/>
    <n v="55.450145138925635"/>
    <m/>
    <m/>
    <m/>
    <m/>
    <m/>
    <m/>
    <m/>
    <m/>
  </r>
  <r>
    <s v="KH Projections"/>
    <s v="Consumer"/>
    <s v="Appliance Exchange"/>
    <s v="Kingston Hydro Corporation"/>
    <s v="Residential"/>
    <m/>
    <x v="8"/>
    <m/>
    <x v="0"/>
    <m/>
    <m/>
    <m/>
    <m/>
    <m/>
    <m/>
    <m/>
    <m/>
    <n v="15.147035000000001"/>
    <n v="15.147035000000001"/>
    <n v="15.147035000000001"/>
    <n v="15.147035000000001"/>
    <m/>
    <m/>
    <m/>
    <m/>
    <m/>
    <m/>
    <m/>
    <m/>
    <m/>
    <m/>
    <m/>
    <m/>
    <m/>
    <m/>
    <m/>
    <m/>
    <m/>
    <m/>
    <m/>
    <m/>
    <m/>
    <m/>
    <m/>
    <m/>
  </r>
  <r>
    <s v="KH Projections"/>
    <s v="Consumer"/>
    <s v="Appliance Retirement"/>
    <s v="Kingston Hydro Corporation"/>
    <s v="Residential"/>
    <m/>
    <x v="8"/>
    <m/>
    <x v="0"/>
    <m/>
    <m/>
    <m/>
    <m/>
    <m/>
    <m/>
    <m/>
    <m/>
    <n v="23.016788000000002"/>
    <n v="23.016788000000002"/>
    <n v="23.016788000000002"/>
    <n v="22.893231923112818"/>
    <n v="15.920872017349973"/>
    <m/>
    <m/>
    <m/>
    <m/>
    <m/>
    <m/>
    <m/>
    <m/>
    <m/>
    <m/>
    <m/>
    <m/>
    <m/>
    <m/>
    <m/>
    <m/>
    <m/>
    <m/>
    <m/>
    <m/>
    <m/>
    <m/>
    <m/>
  </r>
  <r>
    <s v="KH Projections"/>
    <s v="Consumer"/>
    <s v="Bi-Annual Retailer Events"/>
    <s v="Kingston Hydro Corporation"/>
    <s v="Residential"/>
    <m/>
    <x v="8"/>
    <m/>
    <x v="0"/>
    <m/>
    <m/>
    <m/>
    <m/>
    <m/>
    <m/>
    <m/>
    <m/>
    <n v="616.20540900000003"/>
    <n v="616.20540900000003"/>
    <n v="579.07754940900043"/>
    <n v="452.36958881335846"/>
    <n v="452.36958881335846"/>
    <n v="452.36958881335846"/>
    <n v="452.36958881335846"/>
    <n v="451.83649432060696"/>
    <n v="379.96824040888487"/>
    <n v="379.96824040888487"/>
    <n v="330.63366469723047"/>
    <n v="212.56549193267068"/>
    <n v="212.56549193267068"/>
    <n v="201.3476913026027"/>
    <n v="201.3476913026027"/>
    <n v="199.90727083928246"/>
    <n v="172.55356368130279"/>
    <n v="101.28504500821383"/>
    <n v="101.28504500821383"/>
    <n v="101.28504500821383"/>
    <m/>
    <m/>
    <m/>
    <m/>
    <m/>
    <m/>
    <m/>
    <m/>
  </r>
  <r>
    <s v="KH Projections"/>
    <s v="Consumer"/>
    <s v="Home Assistance Program"/>
    <s v="Kingston Hydro Corporation"/>
    <s v="Residential"/>
    <m/>
    <x v="8"/>
    <m/>
    <x v="0"/>
    <m/>
    <m/>
    <m/>
    <m/>
    <m/>
    <m/>
    <m/>
    <m/>
    <n v="46.219709000000002"/>
    <n v="45.27996571924654"/>
    <n v="44.966441029803285"/>
    <n v="41.238853087258171"/>
    <n v="39.621116390541253"/>
    <n v="38.12755891196889"/>
    <n v="36.724395574427916"/>
    <n v="36.500147747582446"/>
    <n v="20.872660049036853"/>
    <n v="20.732659174387024"/>
    <n v="18.923896433850462"/>
    <n v="18.798950708314816"/>
    <n v="17.355530822759675"/>
    <n v="17.355530822759675"/>
    <n v="5.8012677595337632"/>
    <n v="3.998029438483679"/>
    <n v="3.998029438483679"/>
    <n v="3.998029438483679"/>
    <n v="3.998029438483679"/>
    <n v="3.998029438483679"/>
    <n v="3.1111347410363517"/>
    <m/>
    <m/>
    <m/>
    <m/>
    <m/>
    <m/>
    <m/>
  </r>
  <r>
    <s v="KH Projections"/>
    <s v="Consumer"/>
    <s v="HVAC"/>
    <s v="Kingston Hydro Corporation"/>
    <s v="Residential"/>
    <m/>
    <x v="8"/>
    <m/>
    <x v="0"/>
    <m/>
    <m/>
    <m/>
    <m/>
    <m/>
    <m/>
    <m/>
    <m/>
    <n v="123.22002000000001"/>
    <n v="123.22002000000001"/>
    <n v="123.22002000000001"/>
    <n v="123.22002000000001"/>
    <n v="123.22002000000001"/>
    <n v="123.22002000000001"/>
    <n v="123.22002000000001"/>
    <n v="123.22002000000001"/>
    <n v="123.22002000000001"/>
    <n v="123.22002000000001"/>
    <n v="123.22002000000001"/>
    <n v="123.22002000000001"/>
    <n v="123.22002000000001"/>
    <n v="123.22002000000001"/>
    <n v="123.22002000000001"/>
    <n v="123.22002000000001"/>
    <n v="123.22002000000001"/>
    <n v="123.22002000000001"/>
    <n v="116.94069628627615"/>
    <m/>
    <m/>
    <m/>
    <m/>
    <m/>
    <m/>
    <m/>
    <m/>
    <m/>
  </r>
  <r>
    <s v="KH Projections"/>
    <s v="Consumer"/>
    <s v="HVAC"/>
    <s v="Kingston Hydro Corporation"/>
    <m/>
    <m/>
    <x v="8"/>
    <m/>
    <x v="21"/>
    <m/>
    <m/>
    <m/>
    <m/>
    <m/>
    <m/>
    <m/>
    <m/>
    <m/>
    <m/>
    <m/>
    <m/>
    <m/>
    <m/>
    <m/>
    <m/>
    <m/>
    <m/>
    <m/>
    <m/>
    <m/>
    <m/>
    <m/>
    <m/>
    <m/>
    <m/>
    <m/>
    <m/>
    <m/>
    <m/>
    <m/>
    <m/>
    <m/>
    <m/>
    <m/>
    <m/>
  </r>
  <r>
    <s v="KH Projections"/>
    <s v="Consumer"/>
    <s v="Program Enabled Savings"/>
    <s v="Kingston Hydro Corporation"/>
    <s v="Residential"/>
    <m/>
    <x v="8"/>
    <m/>
    <x v="0"/>
    <m/>
    <m/>
    <m/>
    <m/>
    <m/>
    <m/>
    <m/>
    <m/>
    <n v="4.7119999999999997"/>
    <n v="4.7119999999999997"/>
    <n v="4.7119999999999997"/>
    <n v="4.7119999999999997"/>
    <m/>
    <m/>
    <m/>
    <m/>
    <m/>
    <m/>
    <m/>
    <m/>
    <m/>
    <m/>
    <m/>
    <m/>
    <m/>
    <m/>
    <m/>
    <m/>
    <m/>
    <m/>
    <m/>
    <m/>
    <m/>
    <m/>
    <m/>
    <m/>
  </r>
  <r>
    <s v="IESO - Filed CDM Plan"/>
    <s v="Business"/>
    <s v="Retrofit"/>
    <s v="Kingston Hydro Corporation"/>
    <m/>
    <m/>
    <x v="9"/>
    <m/>
    <x v="22"/>
    <m/>
    <m/>
    <m/>
    <m/>
    <m/>
    <m/>
    <m/>
    <m/>
    <m/>
    <n v="2229.8638588624331"/>
    <n v="5134.4901161313128"/>
    <n v="8406.3463909489692"/>
    <n v="12131.196677887034"/>
    <n v="16309.040976945511"/>
    <n v="20939.879288124397"/>
    <n v="20939.879288124397"/>
    <n v="20939.879288124397"/>
    <n v="20939.879288124397"/>
    <n v="20939.879288124397"/>
    <n v="20620.998192887884"/>
    <n v="17304.659444245222"/>
    <n v="15022.604730635823"/>
    <n v="12574.138128056848"/>
    <n v="9873.4956419366517"/>
    <n v="7771.026859572622"/>
    <n v="6484.566940998141"/>
    <n v="5589.2898099568974"/>
    <n v="4493.1945503364605"/>
    <n v="3196.2811621368323"/>
    <n v="1698.5496453580122"/>
    <n v="0"/>
    <n v="0"/>
    <n v="0"/>
    <n v="0"/>
    <n v="0"/>
    <n v="0"/>
  </r>
  <r>
    <s v="IESO - Filed CDM Plan"/>
    <s v="Consumer"/>
    <s v="Heating and Cooling"/>
    <s v="Kingston Hydro Corporation"/>
    <m/>
    <m/>
    <x v="9"/>
    <m/>
    <x v="0"/>
    <m/>
    <m/>
    <m/>
    <m/>
    <m/>
    <m/>
    <m/>
    <m/>
    <m/>
    <n v="100.86900763646848"/>
    <n v="204.79430893309342"/>
    <n v="216.40579558635216"/>
    <n v="228.01728223961086"/>
    <n v="239.62876889286957"/>
    <n v="251.24025554612831"/>
    <n v="251.24025554612831"/>
    <n v="251.24025554612831"/>
    <n v="251.24025554612831"/>
    <n v="251.24025554612831"/>
    <n v="251.24025554612831"/>
    <n v="251.24025554612831"/>
    <n v="251.24025554612831"/>
    <n v="251.24025554612831"/>
    <n v="251.24025554612831"/>
    <n v="251.24025554612831"/>
    <n v="251.24025554612831"/>
    <n v="251.24025554612831"/>
    <n v="242.68506255302603"/>
    <n v="149.01685177233068"/>
    <n v="45.091550475705759"/>
    <n v="33.480063822447036"/>
    <n v="21.868577169188306"/>
    <n v="10.25709051592958"/>
    <n v="0"/>
    <n v="0"/>
    <n v="0"/>
  </r>
  <r>
    <s v="IESO - Filed CDM Plan"/>
    <s v="Consumer"/>
    <s v="Coupon"/>
    <s v="Kingston Hydro Corporation"/>
    <m/>
    <m/>
    <x v="9"/>
    <m/>
    <x v="0"/>
    <m/>
    <m/>
    <m/>
    <m/>
    <m/>
    <m/>
    <m/>
    <m/>
    <m/>
    <n v="254.37317506450952"/>
    <n v="262.85228089999322"/>
    <n v="271.33138673547683"/>
    <n v="279.81049257096049"/>
    <n v="288.28959840644416"/>
    <n v="296.76870424192771"/>
    <n v="296.76870424192771"/>
    <n v="296.76870424192771"/>
    <n v="296.76870424192771"/>
    <n v="296.76870424192771"/>
    <n v="42.395529177418254"/>
    <n v="33.916423341934603"/>
    <n v="25.437317506450952"/>
    <n v="16.958211670967302"/>
    <n v="8.4791058354836508"/>
    <n v="0"/>
    <n v="0"/>
    <n v="0"/>
    <n v="0"/>
    <n v="0"/>
    <n v="0"/>
    <n v="0"/>
    <n v="0"/>
    <n v="0"/>
    <n v="0"/>
    <n v="0"/>
    <n v="0"/>
  </r>
  <r>
    <s v="IESO - Filed CDM Plan"/>
    <s v="Consumer"/>
    <s v="Home Assistance Program"/>
    <s v="Kingston Hydro Corporation"/>
    <m/>
    <m/>
    <x v="9"/>
    <m/>
    <x v="0"/>
    <m/>
    <m/>
    <m/>
    <m/>
    <m/>
    <m/>
    <m/>
    <m/>
    <m/>
    <n v="0"/>
    <n v="31.517284423008814"/>
    <n v="63.034568846017628"/>
    <n v="94.551853269026438"/>
    <n v="126.06913769203526"/>
    <n v="157.58642211504406"/>
    <n v="157.58642211504406"/>
    <n v="157.58642211504406"/>
    <n v="157.58642211504406"/>
    <n v="157.58642211504406"/>
    <n v="126.06913769203526"/>
    <n v="94.551853269026438"/>
    <n v="63.034568846017628"/>
    <n v="31.517284423008814"/>
    <n v="0"/>
    <n v="0"/>
    <n v="0"/>
    <n v="0"/>
    <n v="0"/>
    <n v="0"/>
    <n v="0"/>
    <n v="0"/>
    <n v="0"/>
    <n v="0"/>
    <n v="0"/>
    <n v="0"/>
    <n v="0"/>
  </r>
  <r>
    <s v="IESO - Filed CDM Plan"/>
    <s v="Business"/>
    <s v="Direct Install Lighting (Archetype for Enhanced Direct Install)"/>
    <s v="Kingston Hydro Corporation"/>
    <m/>
    <m/>
    <x v="9"/>
    <m/>
    <x v="23"/>
    <m/>
    <m/>
    <m/>
    <m/>
    <m/>
    <m/>
    <m/>
    <m/>
    <m/>
    <n v="0"/>
    <n v="397.99679561551812"/>
    <n v="832.17511810517431"/>
    <n v="1302.5349674689683"/>
    <n v="1809.0763437069004"/>
    <n v="2351.7992468189709"/>
    <n v="2351.7992468189709"/>
    <n v="2351.7992468189709"/>
    <n v="2351.7992468189709"/>
    <n v="2351.7992468189709"/>
    <n v="1953.8024512034524"/>
    <n v="1519.6241287137964"/>
    <n v="1049.264279350002"/>
    <n v="542.72290311207018"/>
    <n v="0"/>
    <n v="0"/>
    <n v="0"/>
    <n v="0"/>
    <n v="0"/>
    <n v="0"/>
    <n v="0"/>
    <n v="0"/>
    <n v="0"/>
    <n v="0"/>
    <n v="0"/>
    <n v="0"/>
    <n v="0"/>
  </r>
  <r>
    <s v="IESO - Filed CDM Plan"/>
    <s v="Business"/>
    <s v="HPNC"/>
    <s v="Kingston Hydro Corporation"/>
    <m/>
    <m/>
    <x v="9"/>
    <m/>
    <x v="24"/>
    <m/>
    <m/>
    <m/>
    <m/>
    <m/>
    <m/>
    <m/>
    <m/>
    <m/>
    <n v="60.119840795330255"/>
    <n v="174.63382326262595"/>
    <n v="289.14780572992163"/>
    <n v="403.66178819721739"/>
    <n v="518.17577066451315"/>
    <n v="632.68975313180886"/>
    <n v="632.68975313180886"/>
    <n v="632.68975313180886"/>
    <n v="632.68975313180886"/>
    <n v="632.68975313180886"/>
    <n v="632.68975313180886"/>
    <n v="632.68975313180886"/>
    <n v="632.68975313180886"/>
    <n v="632.68975313180886"/>
    <n v="572.56991233647864"/>
    <n v="458.05592986918288"/>
    <n v="343.54194740188711"/>
    <n v="229.02796493459144"/>
    <n v="114.51398246729572"/>
    <n v="0"/>
    <n v="0"/>
    <n v="0"/>
    <n v="0"/>
    <n v="0"/>
    <n v="0"/>
    <n v="0"/>
    <n v="0"/>
  </r>
  <r>
    <s v="IESO - Filed CDM Plan"/>
    <s v="Business"/>
    <s v="Audit"/>
    <s v="Kingston Hydro Corporation"/>
    <m/>
    <m/>
    <x v="9"/>
    <m/>
    <x v="25"/>
    <m/>
    <m/>
    <m/>
    <m/>
    <m/>
    <m/>
    <m/>
    <m/>
    <m/>
    <n v="100.57815493751451"/>
    <n v="252.96929878223347"/>
    <n v="405.36044262695242"/>
    <n v="557.75158647167143"/>
    <n v="609.56457537887582"/>
    <n v="609.56457537887582"/>
    <n v="457.17343153415686"/>
    <n v="304.78228768943791"/>
    <n v="152.39114384471895"/>
    <n v="0"/>
    <n v="0"/>
    <n v="0"/>
    <n v="0"/>
    <n v="0"/>
    <n v="0"/>
    <n v="0"/>
    <n v="0"/>
    <n v="0"/>
    <n v="0"/>
    <n v="0"/>
    <n v="0"/>
    <n v="0"/>
    <n v="0"/>
    <n v="0"/>
    <n v="0"/>
    <n v="0"/>
    <n v="0"/>
  </r>
  <r>
    <s v="IESO - Filed CDM Plan"/>
    <s v="Business"/>
    <s v="Process &amp; Systems - 2015 savings"/>
    <s v="Kingston Hydro Corporation"/>
    <m/>
    <m/>
    <x v="9"/>
    <m/>
    <x v="8"/>
    <m/>
    <m/>
    <m/>
    <m/>
    <m/>
    <m/>
    <m/>
    <m/>
    <m/>
    <n v="100.4509241987281"/>
    <n v="100.4509241987281"/>
    <n v="100.4509241987281"/>
    <n v="100.4509241987281"/>
    <n v="100.4509241987281"/>
    <n v="100.4509241987281"/>
    <n v="100.4509241987281"/>
    <n v="100.4509241987281"/>
    <n v="100.4509241987281"/>
    <n v="100.4509241987281"/>
    <n v="0"/>
    <n v="0"/>
    <n v="0"/>
    <n v="0"/>
    <n v="0"/>
    <n v="0"/>
    <n v="0"/>
    <n v="0"/>
    <n v="0"/>
    <n v="0"/>
    <n v="0"/>
    <n v="0"/>
    <n v="0"/>
    <n v="0"/>
    <n v="0"/>
    <n v="0"/>
    <n v="0"/>
  </r>
  <r>
    <s v="IESO - Filed CDM Plan"/>
    <s v="Business"/>
    <s v="Process &amp; Systems"/>
    <s v="Kingston Hydro Corporation"/>
    <m/>
    <m/>
    <x v="9"/>
    <m/>
    <x v="8"/>
    <m/>
    <m/>
    <m/>
    <m/>
    <m/>
    <m/>
    <m/>
    <m/>
    <m/>
    <n v="0"/>
    <n v="401.80369679491241"/>
    <n v="803.60739358982482"/>
    <n v="1205.4110903847372"/>
    <n v="1506.7638629809217"/>
    <n v="1808.1166355771061"/>
    <n v="1808.1166355771061"/>
    <n v="1808.1166355771061"/>
    <n v="1808.1166355771061"/>
    <n v="1808.1166355771061"/>
    <n v="1808.1166355771061"/>
    <n v="1808.1166355771061"/>
    <n v="1808.1166355771061"/>
    <n v="1808.1166355771061"/>
    <n v="1808.1166355771061"/>
    <n v="1808.1166355771061"/>
    <n v="1808.1166355771061"/>
    <n v="1808.1166355771061"/>
    <n v="1808.1166355771061"/>
    <n v="1808.1166355771061"/>
    <n v="1808.1166355771061"/>
    <n v="1406.3129387821937"/>
    <n v="1004.509241987281"/>
    <n v="602.70554519236862"/>
    <n v="301.35277259618431"/>
    <n v="0"/>
    <n v="0"/>
  </r>
  <r>
    <s v="IESO - Filed CDM Plan"/>
    <s v="Business"/>
    <s v="Process &amp; Systems"/>
    <s v="Kingston Hydro Corporation"/>
    <m/>
    <m/>
    <x v="9"/>
    <m/>
    <x v="1"/>
    <m/>
    <m/>
    <m/>
    <m/>
    <m/>
    <m/>
    <m/>
    <m/>
    <m/>
    <n v="0"/>
    <n v="401.80369679491241"/>
    <n v="803.60739358982482"/>
    <n v="1205.4110903847372"/>
    <n v="1506.7638629809217"/>
    <n v="1808.1166355771061"/>
    <n v="1808.1166355771061"/>
    <n v="1808.1166355771061"/>
    <n v="1808.1166355771061"/>
    <n v="1808.1166355771061"/>
    <n v="1808.1166355771061"/>
    <n v="1808.1166355771061"/>
    <n v="1808.1166355771061"/>
    <n v="1808.1166355771061"/>
    <n v="1808.1166355771061"/>
    <n v="1808.1166355771061"/>
    <n v="1808.1166355771061"/>
    <n v="1808.1166355771061"/>
    <n v="1808.1166355771061"/>
    <n v="1808.1166355771061"/>
    <n v="1808.1166355771061"/>
    <n v="1406.3129387821937"/>
    <n v="1004.509241987281"/>
    <n v="602.70554519236862"/>
    <n v="301.35277259618431"/>
    <n v="0"/>
    <n v="0"/>
  </r>
  <r>
    <s v="IESO - Filed CDM Plan"/>
    <s v="Business"/>
    <s v="Process &amp; Systems - BTG - no Rate Impact"/>
    <s v="Kingston Hydro Corporation"/>
    <m/>
    <m/>
    <x v="9"/>
    <m/>
    <x v="8"/>
    <m/>
    <m/>
    <m/>
    <m/>
    <m/>
    <m/>
    <m/>
    <m/>
    <m/>
    <n v="0"/>
    <n v="7554.3715739956679"/>
    <n v="10194.221861938242"/>
    <n v="10194.221861938242"/>
    <n v="10194.221861938242"/>
    <n v="10194.221861938242"/>
    <n v="10194.221861938242"/>
    <n v="10194.221861938242"/>
    <n v="10194.221861938242"/>
    <n v="10194.221861938242"/>
    <n v="10194.221861938242"/>
    <n v="10194.221861938242"/>
    <n v="10194.221861938242"/>
    <n v="10194.221861938242"/>
    <n v="10194.221861938242"/>
    <n v="10194.221861938242"/>
    <n v="10194.221861938242"/>
    <n v="7554.3715739956679"/>
    <n v="7554.3715739956679"/>
    <n v="7554.3715739956679"/>
    <n v="7554.3715739956679"/>
    <n v="0"/>
    <n v="0"/>
    <n v="0"/>
    <n v="0"/>
    <n v="0"/>
    <n v="0"/>
  </r>
</pivotCacheRecords>
</file>

<file path=xl/pivotCache/pivotCacheRecords2.xml><?xml version="1.0" encoding="utf-8"?>
<pivotCacheRecords xmlns="http://schemas.openxmlformats.org/spreadsheetml/2006/main" xmlns:r="http://schemas.openxmlformats.org/officeDocument/2006/relationships" count="137">
  <r>
    <n v="1"/>
    <s v="Consumer"/>
    <s v="Secondary Refrigerator Retirement Pilot"/>
    <s v="Kingston Hydro Corporation"/>
    <s v="Final"/>
    <x v="0"/>
    <x v="0"/>
    <n v="6.2983662956848426E-3"/>
    <n v="6.2983662956848426E-3"/>
    <n v="6.2983662956848426E-3"/>
    <n v="6.2983662956848426E-3"/>
    <n v="6.2983662956848426E-3"/>
    <n v="6.2983662956848426E-3"/>
    <n v="0"/>
    <n v="0"/>
    <n v="0"/>
    <n v="0"/>
    <n v="0"/>
    <n v="0"/>
    <n v="0"/>
    <n v="0"/>
    <n v="0"/>
    <n v="0"/>
    <n v="0"/>
    <n v="0"/>
    <n v="0"/>
    <n v="0"/>
    <n v="0"/>
    <n v="0"/>
    <n v="0"/>
    <n v="0"/>
    <m/>
    <m/>
    <m/>
    <m/>
    <m/>
    <m/>
    <m/>
    <m/>
    <m/>
    <m/>
    <m/>
  </r>
  <r>
    <n v="2"/>
    <s v="Consumer"/>
    <s v="Cool &amp; Hot Savings Rebate"/>
    <s v="Kingston Hydro Corporation"/>
    <s v="Final"/>
    <x v="0"/>
    <x v="0"/>
    <n v="6.3571070086416395E-2"/>
    <n v="6.3571070086416395E-2"/>
    <n v="6.3571070086416395E-2"/>
    <n v="6.3571070086416395E-2"/>
    <n v="6.3571070086416395E-2"/>
    <n v="6.3571070086416395E-2"/>
    <n v="6.3571070086416395E-2"/>
    <n v="6.3571070086416395E-2"/>
    <n v="4.514648252402656E-2"/>
    <n v="4.514648252402656E-2"/>
    <n v="4.514648252402656E-2"/>
    <n v="4.514648252402656E-2"/>
    <n v="4.514648252402656E-2"/>
    <n v="4.514648252402656E-2"/>
    <n v="1.9486147231609231E-2"/>
    <n v="1.0285373397780484E-2"/>
    <n v="1.0285373397780484E-2"/>
    <n v="1.0285373397780484E-2"/>
    <n v="0"/>
    <n v="0"/>
    <n v="0"/>
    <n v="0"/>
    <n v="0"/>
    <n v="0"/>
    <m/>
    <m/>
    <m/>
    <m/>
    <m/>
    <m/>
    <m/>
    <m/>
    <m/>
    <m/>
    <m/>
  </r>
  <r>
    <n v="3"/>
    <s v="Consumer"/>
    <s v="Every Kilowatt Counts"/>
    <s v="Kingston Hydro Corporation"/>
    <s v="Final"/>
    <x v="0"/>
    <x v="0"/>
    <n v="2.0991743803273958E-2"/>
    <n v="2.0991743803273958E-2"/>
    <n v="2.0991743803273958E-2"/>
    <n v="2.0991743803273958E-2"/>
    <n v="2.0991743803273958E-2"/>
    <n v="2.0991743803273958E-2"/>
    <n v="2.0991743803273958E-2"/>
    <n v="2.0991743803273958E-2"/>
    <n v="2.0991743803273958E-2"/>
    <n v="2.0991743803273958E-2"/>
    <n v="2.0991743803273958E-2"/>
    <n v="2.0991743803273958E-2"/>
    <n v="2.0991743803273958E-2"/>
    <n v="2.0991743803273958E-2"/>
    <n v="2.0991743803273958E-2"/>
    <n v="1.7344569381220296E-2"/>
    <n v="1.7344569381220296E-2"/>
    <n v="1.7344569381220296E-2"/>
    <n v="7.7685709105042593E-4"/>
    <n v="7.7685709105042593E-4"/>
    <n v="0"/>
    <n v="0"/>
    <n v="0"/>
    <n v="0"/>
    <m/>
    <m/>
    <m/>
    <m/>
    <m/>
    <m/>
    <m/>
    <m/>
    <m/>
    <m/>
    <m/>
  </r>
  <r>
    <n v="4"/>
    <s v="Business, Industrial"/>
    <s v="Demand Response 1"/>
    <s v="Kingston Hydro Corporation"/>
    <s v="Final"/>
    <x v="0"/>
    <x v="1"/>
    <n v="1.8056307353830989"/>
    <n v="0"/>
    <n v="0"/>
    <n v="0"/>
    <n v="0"/>
    <n v="0"/>
    <n v="0"/>
    <n v="0"/>
    <n v="0"/>
    <n v="0"/>
    <n v="0"/>
    <n v="0"/>
    <n v="0"/>
    <n v="0"/>
    <n v="0"/>
    <n v="0"/>
    <n v="0"/>
    <n v="0"/>
    <n v="0"/>
    <n v="0"/>
    <n v="0"/>
    <n v="0"/>
    <n v="0"/>
    <n v="0"/>
    <m/>
    <m/>
    <m/>
    <m/>
    <m/>
    <m/>
    <m/>
    <m/>
    <m/>
    <m/>
    <m/>
  </r>
  <r>
    <n v="5"/>
    <s v="Business, Industrial"/>
    <s v="Loblaw &amp; York Region Demand Response"/>
    <s v="Kingston Hydro Corporation"/>
    <s v="Final"/>
    <x v="0"/>
    <x v="1"/>
    <n v="8.837801039149204E-2"/>
    <n v="0"/>
    <n v="0"/>
    <n v="0"/>
    <n v="0"/>
    <n v="0"/>
    <n v="0"/>
    <n v="0"/>
    <n v="0"/>
    <n v="0"/>
    <n v="0"/>
    <n v="0"/>
    <n v="0"/>
    <n v="0"/>
    <n v="0"/>
    <n v="0"/>
    <n v="0"/>
    <n v="0"/>
    <n v="0"/>
    <n v="0"/>
    <n v="0"/>
    <n v="0"/>
    <n v="0"/>
    <n v="0"/>
    <m/>
    <m/>
    <m/>
    <m/>
    <m/>
    <m/>
    <m/>
    <m/>
    <m/>
    <m/>
    <m/>
  </r>
  <r>
    <n v="6"/>
    <s v="Consumer"/>
    <s v="Great Refrigerator Roundup"/>
    <s v="Kingston Hydro Corporation"/>
    <s v="Final"/>
    <x v="1"/>
    <x v="0"/>
    <n v="0"/>
    <n v="7.6386844005982358E-3"/>
    <n v="7.6386844005982358E-3"/>
    <n v="7.6386844005982358E-3"/>
    <n v="7.6386844005982358E-3"/>
    <n v="6.912571631395646E-3"/>
    <n v="6.912571631395646E-3"/>
    <n v="6.912571631395646E-3"/>
    <n v="6.912571631395646E-3"/>
    <n v="5.454304174645117E-3"/>
    <n v="0"/>
    <n v="0"/>
    <n v="0"/>
    <n v="0"/>
    <n v="0"/>
    <n v="0"/>
    <n v="0"/>
    <n v="0"/>
    <n v="0"/>
    <n v="0"/>
    <n v="0"/>
    <n v="0"/>
    <n v="0"/>
    <n v="0"/>
    <m/>
    <m/>
    <m/>
    <m/>
    <m/>
    <m/>
    <m/>
    <m/>
    <m/>
    <m/>
    <m/>
  </r>
  <r>
    <n v="7"/>
    <s v="Consumer"/>
    <s v="Cool &amp; Hot Savings Rebate"/>
    <s v="Kingston Hydro Corporation"/>
    <s v="Final"/>
    <x v="1"/>
    <x v="0"/>
    <n v="0"/>
    <n v="7.8646473081810886E-2"/>
    <n v="7.8646473081810886E-2"/>
    <n v="7.8646473081810886E-2"/>
    <n v="7.8646473081810886E-2"/>
    <n v="7.8646473081810886E-2"/>
    <n v="7.253551237082799E-2"/>
    <n v="7.253551237082799E-2"/>
    <n v="7.253551237082799E-2"/>
    <n v="7.253551237082799E-2"/>
    <n v="7.253551237082799E-2"/>
    <n v="7.253551237082799E-2"/>
    <n v="7.253551237082799E-2"/>
    <n v="7.253551237082799E-2"/>
    <n v="7.253551237082799E-2"/>
    <n v="7.253551237082799E-2"/>
    <n v="1.3464568800130318E-2"/>
    <n v="1.3464568800130318E-2"/>
    <n v="1.3464568800130318E-2"/>
    <n v="0"/>
    <n v="0"/>
    <n v="0"/>
    <n v="0"/>
    <n v="0"/>
    <m/>
    <m/>
    <m/>
    <m/>
    <m/>
    <m/>
    <m/>
    <m/>
    <m/>
    <m/>
    <m/>
  </r>
  <r>
    <n v="8"/>
    <s v="Consumer"/>
    <s v="Every Kilowatt Counts"/>
    <s v="Kingston Hydro Corporation"/>
    <s v="Final"/>
    <x v="1"/>
    <x v="0"/>
    <n v="0"/>
    <n v="2.7360536093088448E-2"/>
    <n v="2.4793259388238696E-2"/>
    <n v="2.4793259388238696E-2"/>
    <n v="2.4793259388238696E-2"/>
    <n v="2.4793259388238696E-2"/>
    <n v="2.4793259388238696E-2"/>
    <n v="2.4793259388238696E-2"/>
    <n v="2.4793259388238696E-2"/>
    <n v="6.0313346606187656E-3"/>
    <n v="6.0313346606187656E-3"/>
    <n v="2.435997398561046E-4"/>
    <n v="2.435997398561046E-4"/>
    <n v="2.435997398561046E-4"/>
    <n v="2.435997398561046E-4"/>
    <n v="2.435997398561046E-4"/>
    <n v="2.435997398561046E-4"/>
    <n v="9.0196762173339932E-5"/>
    <n v="9.0196762173339932E-5"/>
    <n v="0"/>
    <n v="0"/>
    <n v="0"/>
    <n v="0"/>
    <n v="0"/>
    <m/>
    <m/>
    <m/>
    <m/>
    <m/>
    <m/>
    <m/>
    <m/>
    <m/>
    <m/>
    <m/>
  </r>
  <r>
    <n v="9"/>
    <s v="Consumer, Business"/>
    <s v="peaksaver®"/>
    <s v="Kingston Hydro Corporation"/>
    <s v="Final"/>
    <x v="1"/>
    <x v="2"/>
    <n v="0"/>
    <n v="0"/>
    <n v="0"/>
    <n v="0"/>
    <n v="0"/>
    <n v="0"/>
    <n v="0"/>
    <n v="0"/>
    <n v="0"/>
    <n v="0"/>
    <n v="0"/>
    <n v="0"/>
    <n v="0"/>
    <n v="0"/>
    <n v="0"/>
    <n v="0"/>
    <n v="0"/>
    <n v="0"/>
    <n v="0"/>
    <n v="0"/>
    <n v="0"/>
    <n v="0"/>
    <n v="0"/>
    <n v="0"/>
    <m/>
    <m/>
    <m/>
    <m/>
    <m/>
    <m/>
    <m/>
    <m/>
    <m/>
    <m/>
    <m/>
  </r>
  <r>
    <n v="10"/>
    <s v="Consumer"/>
    <s v="Summer Savings"/>
    <s v="Kingston Hydro Corporation"/>
    <s v="Final"/>
    <x v="1"/>
    <x v="0"/>
    <n v="0"/>
    <n v="0.18473848769829265"/>
    <n v="5.5093734332415989E-2"/>
    <n v="2.6526442324912462E-2"/>
    <n v="2.6526442324912462E-2"/>
    <n v="2.6526442324912462E-2"/>
    <n v="2.6526442324912462E-2"/>
    <n v="2.6526442324912462E-2"/>
    <n v="2.6526442324912462E-2"/>
    <n v="2.6287774030029652E-2"/>
    <n v="2.6287774030029652E-2"/>
    <n v="2.6287774030029652E-2"/>
    <n v="2.6287774030029652E-2"/>
    <n v="2.6287774030029652E-2"/>
    <n v="2.6287774030029652E-2"/>
    <n v="0"/>
    <n v="0"/>
    <n v="0"/>
    <n v="0"/>
    <n v="0"/>
    <n v="0"/>
    <n v="0"/>
    <n v="0"/>
    <n v="0"/>
    <m/>
    <m/>
    <m/>
    <m/>
    <m/>
    <m/>
    <m/>
    <m/>
    <m/>
    <m/>
    <m/>
  </r>
  <r>
    <n v="11"/>
    <s v="Consumer"/>
    <s v="Aboriginal"/>
    <s v="Kingston Hydro Corporation"/>
    <s v="Final"/>
    <x v="1"/>
    <x v="2"/>
    <n v="0"/>
    <n v="0"/>
    <n v="0"/>
    <n v="0"/>
    <n v="0"/>
    <n v="0"/>
    <n v="0"/>
    <n v="0"/>
    <n v="0"/>
    <n v="0"/>
    <n v="0"/>
    <n v="0"/>
    <n v="0"/>
    <n v="0"/>
    <n v="0"/>
    <n v="0"/>
    <n v="0"/>
    <n v="0"/>
    <n v="0"/>
    <n v="0"/>
    <n v="0"/>
    <n v="0"/>
    <n v="0"/>
    <n v="0"/>
    <m/>
    <m/>
    <m/>
    <m/>
    <m/>
    <m/>
    <m/>
    <m/>
    <m/>
    <m/>
    <m/>
  </r>
  <r>
    <n v="12"/>
    <s v="Consumer Low-Income"/>
    <s v="Affordable Housing Pilot"/>
    <s v="Kingston Hydro Corporation"/>
    <s v="Final"/>
    <x v="1"/>
    <x v="0"/>
    <n v="0"/>
    <n v="3.7263824999999996E-3"/>
    <n v="3.7263824999999996E-3"/>
    <n v="3.7263824999999996E-3"/>
    <n v="3.7263824999999996E-3"/>
    <n v="3.7263824999999996E-3"/>
    <n v="3.7263824999999996E-3"/>
    <n v="3.7263824999999996E-3"/>
    <n v="3.7263824999999996E-3"/>
    <n v="3.7263824999999996E-3"/>
    <n v="3.7263824999999996E-3"/>
    <n v="3.7263824999999996E-3"/>
    <n v="3.7263824999999996E-3"/>
    <n v="3.7263824999999996E-3"/>
    <n v="3.7263824999999996E-3"/>
    <n v="0"/>
    <n v="0"/>
    <n v="0"/>
    <n v="0"/>
    <n v="0"/>
    <n v="0"/>
    <n v="0"/>
    <n v="0"/>
    <n v="0"/>
    <m/>
    <m/>
    <m/>
    <m/>
    <m/>
    <m/>
    <m/>
    <m/>
    <m/>
    <m/>
    <m/>
  </r>
  <r>
    <n v="13"/>
    <s v="Consumer Low-Income"/>
    <s v="Social Housing Pilot"/>
    <s v="Kingston Hydro Corporation"/>
    <s v="Final"/>
    <x v="1"/>
    <x v="0"/>
    <n v="0"/>
    <n v="7.5553826221084076E-3"/>
    <n v="7.5553826221084076E-3"/>
    <n v="7.5553826221084076E-3"/>
    <n v="7.5553826221084076E-3"/>
    <n v="7.5553826221084076E-3"/>
    <n v="7.5553826221084076E-3"/>
    <n v="7.5553826221084076E-3"/>
    <n v="7.5553826221084076E-3"/>
    <n v="7.5553826221084076E-3"/>
    <n v="7.5553826221084076E-3"/>
    <n v="0"/>
    <n v="0"/>
    <n v="0"/>
    <n v="0"/>
    <n v="0"/>
    <n v="0"/>
    <n v="0"/>
    <n v="0"/>
    <n v="0"/>
    <n v="0"/>
    <n v="0"/>
    <n v="0"/>
    <n v="0"/>
    <m/>
    <m/>
    <m/>
    <m/>
    <m/>
    <m/>
    <m/>
    <m/>
    <m/>
    <m/>
    <m/>
  </r>
  <r>
    <n v="14"/>
    <s v="Consumer Low-Income"/>
    <s v="Energy Efficiency Assistance for Houses Pilot"/>
    <s v="Kingston Hydro Corporation"/>
    <s v="Final"/>
    <x v="1"/>
    <x v="0"/>
    <n v="0"/>
    <n v="2.6126666666666666E-2"/>
    <n v="2.6126666666666666E-2"/>
    <n v="2.6126666666666666E-2"/>
    <n v="2.6126666666666666E-2"/>
    <n v="2.6126666666666666E-2"/>
    <n v="2.6126666666666666E-2"/>
    <n v="2.6126666666666666E-2"/>
    <n v="2.6126666666666666E-2"/>
    <n v="2.6126666666666666E-2"/>
    <n v="2.6126666666666666E-2"/>
    <n v="2.6126666666666666E-2"/>
    <n v="2.6126666666666666E-2"/>
    <n v="2.6126666666666666E-2"/>
    <n v="2.6126666666666666E-2"/>
    <n v="2.6126666666666666E-2"/>
    <n v="2.6126666666666666E-2"/>
    <n v="2.6126666666666666E-2"/>
    <n v="2.6126666666666666E-2"/>
    <n v="2.6126666666666666E-2"/>
    <n v="0"/>
    <n v="0"/>
    <n v="0"/>
    <n v="0"/>
    <m/>
    <m/>
    <m/>
    <m/>
    <m/>
    <m/>
    <m/>
    <m/>
    <m/>
    <m/>
    <m/>
  </r>
  <r>
    <n v="15"/>
    <s v="Business"/>
    <s v="Electricity Retrofit Incentive"/>
    <s v="Kingston Hydro Corporation"/>
    <s v="Final"/>
    <x v="1"/>
    <x v="1"/>
    <n v="0"/>
    <n v="0"/>
    <n v="0"/>
    <n v="0"/>
    <n v="0"/>
    <n v="0"/>
    <n v="0"/>
    <n v="0"/>
    <n v="0"/>
    <n v="0"/>
    <n v="0"/>
    <n v="0"/>
    <n v="0"/>
    <n v="0"/>
    <n v="0"/>
    <n v="0"/>
    <n v="0"/>
    <n v="0"/>
    <n v="0"/>
    <n v="0"/>
    <n v="0"/>
    <n v="0"/>
    <n v="0"/>
    <n v="0"/>
    <m/>
    <m/>
    <m/>
    <m/>
    <m/>
    <m/>
    <m/>
    <m/>
    <m/>
    <m/>
    <m/>
  </r>
  <r>
    <n v="16"/>
    <s v="Business"/>
    <s v="Toronto Comprehensive"/>
    <s v="Kingston Hydro Corporation"/>
    <s v="Final"/>
    <x v="1"/>
    <x v="2"/>
    <n v="0"/>
    <n v="0"/>
    <n v="0"/>
    <n v="0"/>
    <n v="0"/>
    <n v="0"/>
    <n v="0"/>
    <n v="0"/>
    <n v="0"/>
    <n v="0"/>
    <n v="0"/>
    <n v="0"/>
    <n v="0"/>
    <n v="0"/>
    <n v="0"/>
    <n v="0"/>
    <n v="0"/>
    <n v="0"/>
    <n v="0"/>
    <n v="0"/>
    <n v="0"/>
    <n v="0"/>
    <n v="0"/>
    <n v="0"/>
    <m/>
    <m/>
    <m/>
    <m/>
    <m/>
    <m/>
    <m/>
    <m/>
    <m/>
    <m/>
    <m/>
  </r>
  <r>
    <n v="17"/>
    <s v="Business, Industrial"/>
    <s v="Demand Response 1"/>
    <s v="Kingston Hydro Corporation"/>
    <s v="Final"/>
    <x v="1"/>
    <x v="1"/>
    <n v="0"/>
    <n v="1.9100236982573271"/>
    <n v="0"/>
    <n v="0"/>
    <n v="0"/>
    <n v="0"/>
    <n v="0"/>
    <n v="0"/>
    <n v="0"/>
    <n v="0"/>
    <n v="0"/>
    <n v="0"/>
    <n v="0"/>
    <n v="0"/>
    <n v="0"/>
    <n v="0"/>
    <n v="0"/>
    <n v="0"/>
    <n v="0"/>
    <n v="0"/>
    <n v="0"/>
    <n v="0"/>
    <n v="0"/>
    <n v="0"/>
    <m/>
    <m/>
    <m/>
    <m/>
    <m/>
    <m/>
    <m/>
    <m/>
    <m/>
    <m/>
    <m/>
  </r>
  <r>
    <n v="18"/>
    <s v="Business, Industrial"/>
    <s v="Loblaw &amp; York Region Demand Response"/>
    <s v="Kingston Hydro Corporation"/>
    <s v="Final"/>
    <x v="1"/>
    <x v="1"/>
    <n v="0"/>
    <n v="0.15889278599021095"/>
    <n v="0"/>
    <n v="0"/>
    <n v="0"/>
    <n v="0"/>
    <n v="0"/>
    <n v="0"/>
    <n v="0"/>
    <n v="0"/>
    <n v="0"/>
    <n v="0"/>
    <n v="0"/>
    <n v="0"/>
    <n v="0"/>
    <n v="0"/>
    <n v="0"/>
    <n v="0"/>
    <n v="0"/>
    <n v="0"/>
    <n v="0"/>
    <n v="0"/>
    <n v="0"/>
    <n v="0"/>
    <m/>
    <m/>
    <m/>
    <m/>
    <m/>
    <m/>
    <m/>
    <m/>
    <m/>
    <m/>
    <m/>
  </r>
  <r>
    <n v="19"/>
    <s v="Consumer, Business, Industrial"/>
    <s v="Renewable Energy Standard Offer"/>
    <s v="Kingston Hydro Corporation"/>
    <s v="Final"/>
    <x v="1"/>
    <x v="0"/>
    <n v="0"/>
    <n v="2.146E-2"/>
    <n v="2.146E-2"/>
    <n v="2.146E-2"/>
    <n v="2.146E-2"/>
    <n v="2.146E-2"/>
    <n v="2.146E-2"/>
    <n v="2.146E-2"/>
    <n v="2.146E-2"/>
    <n v="2.146E-2"/>
    <n v="2.146E-2"/>
    <n v="2.146E-2"/>
    <n v="2.146E-2"/>
    <n v="2.146E-2"/>
    <n v="2.146E-2"/>
    <n v="2.146E-2"/>
    <n v="2.146E-2"/>
    <n v="2.146E-2"/>
    <n v="2.146E-2"/>
    <n v="2.146E-2"/>
    <n v="2.146E-2"/>
    <n v="0"/>
    <n v="0"/>
    <n v="0"/>
    <m/>
    <m/>
    <m/>
    <m/>
    <m/>
    <m/>
    <m/>
    <m/>
    <m/>
    <m/>
    <m/>
  </r>
  <r>
    <n v="20"/>
    <s v="Consumer"/>
    <s v="Great Refrigerator Roundup"/>
    <s v="Kingston Hydro Corporation"/>
    <s v="Final"/>
    <x v="2"/>
    <x v="0"/>
    <n v="0"/>
    <n v="0"/>
    <n v="1.2514288895960003E-2"/>
    <n v="1.2514288895960003E-2"/>
    <n v="1.2514288895960003E-2"/>
    <n v="1.2514288895960003E-2"/>
    <n v="1.1941168895960003E-2"/>
    <n v="1.1941168895960003E-2"/>
    <n v="1.1941168895960003E-2"/>
    <n v="1.1941168895960003E-2"/>
    <n v="9.2565183699999994E-3"/>
    <n v="0"/>
    <n v="0"/>
    <n v="0"/>
    <n v="0"/>
    <n v="0"/>
    <n v="0"/>
    <n v="0"/>
    <n v="0"/>
    <n v="0"/>
    <n v="0"/>
    <n v="0"/>
    <n v="0"/>
    <n v="0"/>
    <m/>
    <m/>
    <m/>
    <m/>
    <m/>
    <m/>
    <m/>
    <m/>
    <m/>
    <m/>
    <m/>
  </r>
  <r>
    <n v="21"/>
    <s v="Consumer"/>
    <s v="Cool Savings Rebate"/>
    <s v="Kingston Hydro Corporation"/>
    <s v="Final"/>
    <x v="2"/>
    <x v="0"/>
    <n v="0"/>
    <n v="0"/>
    <n v="7.3226482662845205E-2"/>
    <n v="7.3226482662845205E-2"/>
    <n v="7.3226482662845205E-2"/>
    <n v="7.3226482662845205E-2"/>
    <n v="7.3226482662845205E-2"/>
    <n v="7.3226482662845205E-2"/>
    <n v="7.3226482662845205E-2"/>
    <n v="7.3226482662845205E-2"/>
    <n v="7.3226482662845205E-2"/>
    <n v="7.3226482662845205E-2"/>
    <n v="7.3226482662845205E-2"/>
    <n v="7.3226482662845205E-2"/>
    <n v="7.3226482662845205E-2"/>
    <n v="7.3226482662845205E-2"/>
    <n v="7.3226482662845205E-2"/>
    <n v="5.9382090709696744E-2"/>
    <n v="5.9382090709696744E-2"/>
    <n v="5.9382090709696744E-2"/>
    <n v="0"/>
    <n v="0"/>
    <n v="0"/>
    <n v="0"/>
    <m/>
    <m/>
    <m/>
    <m/>
    <m/>
    <m/>
    <m/>
    <m/>
    <m/>
    <m/>
    <m/>
  </r>
  <r>
    <n v="22"/>
    <s v="Consumer"/>
    <s v="Every Kilowatt Counts Power Savings Event"/>
    <s v="Kingston Hydro Corporation"/>
    <s v="Final"/>
    <x v="2"/>
    <x v="0"/>
    <n v="0"/>
    <n v="0"/>
    <n v="3.2001137256771957E-2"/>
    <n v="3.0579226462291307E-2"/>
    <n v="3.0579226462291307E-2"/>
    <n v="3.0579226462291307E-2"/>
    <n v="2.7794435564226144E-2"/>
    <n v="2.7794435564226144E-2"/>
    <n v="2.1380143290994958E-2"/>
    <n v="1.9213691127003774E-2"/>
    <n v="1.4081555003652657E-2"/>
    <n v="1.1359573148502024E-2"/>
    <n v="1.0012830430589256E-2"/>
    <n v="1.0012830430589256E-2"/>
    <n v="4.9017613883593171E-3"/>
    <n v="4.9017613883593171E-3"/>
    <n v="4.9017613883593171E-3"/>
    <n v="4.9017613883593171E-3"/>
    <n v="0"/>
    <n v="0"/>
    <n v="0"/>
    <n v="0"/>
    <n v="0"/>
    <n v="0"/>
    <m/>
    <m/>
    <m/>
    <m/>
    <m/>
    <m/>
    <m/>
    <m/>
    <m/>
    <m/>
    <m/>
  </r>
  <r>
    <n v="23"/>
    <s v="Consumer, Business"/>
    <s v="peaksaver®"/>
    <s v="Kingston Hydro Corporation"/>
    <s v="Final"/>
    <x v="2"/>
    <x v="2"/>
    <n v="0"/>
    <n v="0"/>
    <n v="0"/>
    <n v="0"/>
    <n v="0"/>
    <n v="0"/>
    <n v="0"/>
    <n v="0"/>
    <n v="0"/>
    <n v="0"/>
    <n v="0"/>
    <n v="0"/>
    <n v="0"/>
    <n v="0"/>
    <n v="0"/>
    <n v="0"/>
    <n v="0"/>
    <n v="0"/>
    <n v="0"/>
    <n v="0"/>
    <n v="0"/>
    <n v="0"/>
    <n v="0"/>
    <n v="0"/>
    <m/>
    <m/>
    <m/>
    <m/>
    <m/>
    <m/>
    <m/>
    <m/>
    <m/>
    <m/>
    <m/>
  </r>
  <r>
    <n v="24"/>
    <s v="Consumer"/>
    <s v="Summer Sweepstakes"/>
    <s v="Kingston Hydro Corporation"/>
    <s v="Final"/>
    <x v="2"/>
    <x v="0"/>
    <n v="0"/>
    <n v="0"/>
    <n v="6.6546992181266945E-2"/>
    <n v="3.8161664120042189E-2"/>
    <n v="3.8161664120042189E-2"/>
    <n v="3.8161664120042189E-2"/>
    <n v="3.8161664120042189E-2"/>
    <n v="3.8161664120042189E-2"/>
    <n v="3.8161664120042189E-2"/>
    <n v="3.8161664120042189E-2"/>
    <n v="3.6833533179924688E-2"/>
    <n v="3.6833533179924688E-2"/>
    <n v="3.6443636323965113E-2"/>
    <n v="3.6443636323965113E-2"/>
    <n v="3.6443636323965113E-2"/>
    <n v="3.5980238530188807E-2"/>
    <n v="3.580621443590911E-2"/>
    <n v="3.4039082115023371E-2"/>
    <n v="3.4039082115023371E-2"/>
    <n v="3.4039082115023371E-2"/>
    <n v="3.4039082115023371E-2"/>
    <n v="3.4039082115023371E-2"/>
    <n v="0"/>
    <n v="0"/>
    <m/>
    <m/>
    <m/>
    <m/>
    <m/>
    <m/>
    <m/>
    <m/>
    <m/>
    <m/>
    <m/>
  </r>
  <r>
    <n v="25"/>
    <s v="Consumer, Business"/>
    <s v="Electricity Retrofit Incentive"/>
    <s v="Kingston Hydro Corporation"/>
    <s v="Final"/>
    <x v="2"/>
    <x v="1"/>
    <n v="0"/>
    <n v="0"/>
    <n v="0.17699903062552166"/>
    <n v="0.17700302476915533"/>
    <n v="0.17700302476915533"/>
    <n v="0.17700302476915533"/>
    <n v="0.17700302476915533"/>
    <n v="0.17700302476915533"/>
    <n v="0.17700302476915533"/>
    <n v="0.17700302476915533"/>
    <n v="0.17436836293101649"/>
    <n v="0.17436836293101649"/>
    <n v="0.17436836293101649"/>
    <n v="0.17436836293101649"/>
    <n v="0.17436836293101649"/>
    <n v="0.17436836293101649"/>
    <n v="0.17436836293101649"/>
    <n v="0.16913731204308596"/>
    <n v="0"/>
    <n v="0"/>
    <n v="0"/>
    <n v="0"/>
    <n v="0"/>
    <n v="0"/>
    <m/>
    <m/>
    <m/>
    <m/>
    <m/>
    <m/>
    <m/>
    <m/>
    <m/>
    <m/>
    <m/>
  </r>
  <r>
    <n v="26"/>
    <s v="Consumer, Consumer Low-Income, Business"/>
    <s v="Toronto Comprehensive"/>
    <s v="Kingston Hydro Corporation"/>
    <s v="Final"/>
    <x v="2"/>
    <x v="2"/>
    <n v="0"/>
    <n v="0"/>
    <n v="0"/>
    <n v="0"/>
    <n v="0"/>
    <n v="0"/>
    <n v="0"/>
    <n v="0"/>
    <n v="0"/>
    <n v="0"/>
    <n v="0"/>
    <n v="0"/>
    <n v="0"/>
    <n v="0"/>
    <n v="0"/>
    <n v="0"/>
    <n v="0"/>
    <n v="0"/>
    <n v="0"/>
    <n v="0"/>
    <n v="0"/>
    <n v="0"/>
    <n v="0"/>
    <n v="0"/>
    <m/>
    <m/>
    <m/>
    <m/>
    <m/>
    <m/>
    <m/>
    <m/>
    <m/>
    <m/>
    <m/>
  </r>
  <r>
    <n v="27"/>
    <s v="Business"/>
    <s v="High Performance New Construction"/>
    <s v="Kingston Hydro Corporation"/>
    <s v="Final"/>
    <x v="2"/>
    <x v="1"/>
    <n v="0"/>
    <n v="0"/>
    <n v="2.2487549480987089E-3"/>
    <n v="2.2487549480987089E-3"/>
    <n v="2.2487549480987089E-3"/>
    <n v="2.2487549480987089E-3"/>
    <n v="2.2487549480987089E-3"/>
    <n v="2.2487549480987089E-3"/>
    <n v="2.2487549480987089E-3"/>
    <n v="2.2487549480987089E-3"/>
    <n v="2.2487549480987089E-3"/>
    <n v="2.2487549480987089E-3"/>
    <n v="2.2487549480987089E-3"/>
    <n v="2.2487549480987089E-3"/>
    <n v="2.2487549480987089E-3"/>
    <n v="2.2487549480987089E-3"/>
    <n v="0"/>
    <n v="0"/>
    <n v="0"/>
    <n v="0"/>
    <n v="0"/>
    <n v="0"/>
    <n v="0"/>
    <n v="0"/>
    <m/>
    <m/>
    <m/>
    <m/>
    <m/>
    <m/>
    <m/>
    <m/>
    <m/>
    <m/>
    <m/>
  </r>
  <r>
    <n v="28"/>
    <s v="Business"/>
    <s v="Power Savings Blitz"/>
    <s v="Kingston Hydro Corporation"/>
    <s v="Final"/>
    <x v="2"/>
    <x v="3"/>
    <n v="0"/>
    <n v="0"/>
    <n v="0"/>
    <n v="0"/>
    <n v="0"/>
    <n v="0"/>
    <n v="0"/>
    <n v="0"/>
    <n v="0"/>
    <n v="0"/>
    <n v="0"/>
    <n v="0"/>
    <n v="0"/>
    <n v="0"/>
    <n v="0"/>
    <n v="0"/>
    <n v="0"/>
    <n v="0"/>
    <n v="0"/>
    <n v="0"/>
    <n v="0"/>
    <n v="0"/>
    <n v="0"/>
    <n v="0"/>
    <m/>
    <m/>
    <m/>
    <m/>
    <m/>
    <m/>
    <m/>
    <m/>
    <m/>
    <m/>
    <m/>
  </r>
  <r>
    <n v="29"/>
    <s v="Business, Industrial"/>
    <s v="Demand Response 1"/>
    <s v="Kingston Hydro Corporation"/>
    <s v="Final"/>
    <x v="2"/>
    <x v="1"/>
    <n v="0"/>
    <n v="0"/>
    <n v="2.9071771689317281"/>
    <n v="0"/>
    <n v="0"/>
    <n v="0"/>
    <n v="0"/>
    <n v="0"/>
    <n v="0"/>
    <n v="0"/>
    <n v="0"/>
    <n v="0"/>
    <n v="0"/>
    <n v="0"/>
    <n v="0"/>
    <n v="0"/>
    <n v="0"/>
    <n v="0"/>
    <n v="0"/>
    <n v="0"/>
    <n v="0"/>
    <n v="0"/>
    <n v="0"/>
    <n v="0"/>
    <m/>
    <m/>
    <m/>
    <m/>
    <m/>
    <m/>
    <m/>
    <m/>
    <m/>
    <m/>
    <m/>
  </r>
  <r>
    <n v="30"/>
    <s v="Business, Industrial"/>
    <s v="Demand Response 3"/>
    <s v="Kingston Hydro Corporation"/>
    <s v="Final"/>
    <x v="2"/>
    <x v="1"/>
    <n v="0"/>
    <n v="0"/>
    <n v="0.56218873702467731"/>
    <n v="0"/>
    <n v="0"/>
    <n v="0"/>
    <n v="0"/>
    <n v="0"/>
    <n v="0"/>
    <n v="0"/>
    <n v="0"/>
    <n v="0"/>
    <n v="0"/>
    <n v="0"/>
    <n v="0"/>
    <n v="0"/>
    <n v="0"/>
    <n v="0"/>
    <n v="0"/>
    <n v="0"/>
    <n v="0"/>
    <n v="0"/>
    <n v="0"/>
    <n v="0"/>
    <m/>
    <m/>
    <m/>
    <m/>
    <m/>
    <m/>
    <m/>
    <m/>
    <m/>
    <m/>
    <m/>
  </r>
  <r>
    <n v="31"/>
    <s v="Business, Industrial"/>
    <s v="Loblaw &amp; York Region Demand Response"/>
    <s v="Kingston Hydro Corporation"/>
    <s v="Final"/>
    <x v="2"/>
    <x v="1"/>
    <n v="0"/>
    <n v="0"/>
    <n v="0.19319450598224494"/>
    <n v="0"/>
    <n v="0"/>
    <n v="0"/>
    <n v="0"/>
    <n v="0"/>
    <n v="0"/>
    <n v="0"/>
    <n v="0"/>
    <n v="0"/>
    <n v="0"/>
    <n v="0"/>
    <n v="0"/>
    <n v="0"/>
    <n v="0"/>
    <n v="0"/>
    <n v="0"/>
    <n v="0"/>
    <n v="0"/>
    <n v="0"/>
    <n v="0"/>
    <n v="0"/>
    <m/>
    <m/>
    <m/>
    <m/>
    <m/>
    <m/>
    <m/>
    <m/>
    <m/>
    <m/>
    <m/>
  </r>
  <r>
    <n v="32"/>
    <s v="Consumer, Business"/>
    <s v="Renewable Energy Standard Offer"/>
    <s v="Kingston Hydro Corporation"/>
    <s v="Final"/>
    <x v="2"/>
    <x v="0"/>
    <n v="0"/>
    <n v="0"/>
    <n v="1.2230000000000001E-2"/>
    <n v="1.2230000000000001E-2"/>
    <n v="1.2230000000000001E-2"/>
    <n v="1.2230000000000001E-2"/>
    <n v="1.2230000000000001E-2"/>
    <n v="1.2230000000000001E-2"/>
    <n v="1.2230000000000001E-2"/>
    <n v="1.2230000000000001E-2"/>
    <n v="1.2230000000000001E-2"/>
    <n v="1.2230000000000001E-2"/>
    <n v="1.2230000000000001E-2"/>
    <n v="1.2230000000000001E-2"/>
    <n v="1.2230000000000001E-2"/>
    <n v="1.2230000000000001E-2"/>
    <n v="1.2230000000000001E-2"/>
    <n v="1.2230000000000001E-2"/>
    <n v="1.2230000000000001E-2"/>
    <n v="1.2230000000000001E-2"/>
    <n v="1.2230000000000001E-2"/>
    <n v="1.2230000000000001E-2"/>
    <n v="0"/>
    <n v="0"/>
    <m/>
    <m/>
    <m/>
    <m/>
    <m/>
    <m/>
    <m/>
    <m/>
    <m/>
    <m/>
    <m/>
  </r>
  <r>
    <n v="33"/>
    <s v="Business"/>
    <s v="Other Customer Based Generation"/>
    <s v="Kingston Hydro Corporation"/>
    <s v="Final"/>
    <x v="2"/>
    <x v="0"/>
    <n v="0"/>
    <n v="0"/>
    <n v="0"/>
    <n v="0"/>
    <n v="0"/>
    <n v="0"/>
    <n v="0"/>
    <n v="0"/>
    <n v="0"/>
    <n v="0"/>
    <n v="0"/>
    <n v="0"/>
    <n v="0"/>
    <n v="0"/>
    <n v="0"/>
    <n v="0"/>
    <n v="0"/>
    <n v="0"/>
    <n v="0"/>
    <n v="0"/>
    <n v="0"/>
    <n v="0"/>
    <n v="0"/>
    <n v="0"/>
    <m/>
    <m/>
    <m/>
    <m/>
    <m/>
    <m/>
    <m/>
    <m/>
    <m/>
    <m/>
    <m/>
  </r>
  <r>
    <n v="34"/>
    <s v="Business, Industrial"/>
    <s v="LDC Custom - Hydro One Networks Inc. - Double Return"/>
    <s v="Kingston Hydro Corporation"/>
    <s v="Final"/>
    <x v="2"/>
    <x v="2"/>
    <n v="0"/>
    <n v="0"/>
    <n v="0"/>
    <n v="0"/>
    <n v="0"/>
    <n v="0"/>
    <n v="0"/>
    <n v="0"/>
    <n v="0"/>
    <n v="0"/>
    <n v="0"/>
    <n v="0"/>
    <n v="0"/>
    <n v="0"/>
    <n v="0"/>
    <n v="0"/>
    <n v="0"/>
    <n v="0"/>
    <n v="0"/>
    <n v="0"/>
    <n v="0"/>
    <n v="0"/>
    <n v="0"/>
    <n v="0"/>
    <m/>
    <m/>
    <m/>
    <m/>
    <m/>
    <m/>
    <m/>
    <m/>
    <m/>
    <m/>
    <m/>
  </r>
  <r>
    <n v="35"/>
    <s v="Consumer"/>
    <s v="Great Refrigerator Roundup"/>
    <s v="Kingston Hydro Corporation"/>
    <s v="Final"/>
    <x v="3"/>
    <x v="0"/>
    <n v="0"/>
    <n v="0"/>
    <n v="0"/>
    <n v="1.7622945066093177E-2"/>
    <n v="1.7622945066093177E-2"/>
    <n v="1.7622945066093177E-2"/>
    <n v="1.7007093418450196E-2"/>
    <n v="1.206498763490913E-2"/>
    <n v="0"/>
    <n v="0"/>
    <n v="0"/>
    <n v="0"/>
    <n v="0"/>
    <n v="0"/>
    <n v="0"/>
    <n v="0"/>
    <n v="0"/>
    <n v="0"/>
    <n v="0"/>
    <n v="0"/>
    <n v="0"/>
    <n v="0"/>
    <n v="0"/>
    <n v="0"/>
    <m/>
    <m/>
    <m/>
    <m/>
    <m/>
    <m/>
    <m/>
    <m/>
    <m/>
    <m/>
    <m/>
  </r>
  <r>
    <n v="36"/>
    <s v="Consumer"/>
    <s v="Cool Savings Rebate"/>
    <s v="Kingston Hydro Corporation"/>
    <s v="Final"/>
    <x v="3"/>
    <x v="0"/>
    <n v="0"/>
    <n v="0"/>
    <n v="0"/>
    <n v="9.6339726886089508E-2"/>
    <n v="9.6339726886089508E-2"/>
    <n v="9.6339726886089508E-2"/>
    <n v="9.5889283688434163E-2"/>
    <n v="9.5814937154006352E-2"/>
    <n v="9.5770686413772371E-2"/>
    <n v="9.5770686413772371E-2"/>
    <n v="9.5770686413772371E-2"/>
    <n v="9.5770686413772371E-2"/>
    <n v="9.5770686413772371E-2"/>
    <n v="9.4310611253790533E-2"/>
    <n v="9.4310611253790533E-2"/>
    <n v="9.4310611253790533E-2"/>
    <n v="9.4310611253790533E-2"/>
    <n v="9.4310611253790533E-2"/>
    <n v="9.201755565670848E-2"/>
    <n v="9.201755565670848E-2"/>
    <n v="9.201755565670848E-2"/>
    <n v="6.7651123459698814E-2"/>
    <n v="0"/>
    <n v="0"/>
    <m/>
    <m/>
    <m/>
    <m/>
    <m/>
    <m/>
    <m/>
    <m/>
    <m/>
    <m/>
    <m/>
  </r>
  <r>
    <n v="37"/>
    <s v="Consumer"/>
    <s v="Every Kilowatt Counts Power Savings Event"/>
    <s v="Kingston Hydro Corporation"/>
    <s v="Final"/>
    <x v="3"/>
    <x v="0"/>
    <n v="0"/>
    <n v="0"/>
    <n v="0"/>
    <n v="2.5768014820738688E-2"/>
    <n v="2.5332323263717503E-2"/>
    <n v="2.5332323263717503E-2"/>
    <n v="2.5332323263717503E-2"/>
    <n v="2.5218581648874513E-2"/>
    <n v="2.5218581648874513E-2"/>
    <n v="2.3372467239253285E-2"/>
    <n v="2.3372467239253285E-2"/>
    <n v="1.7872280585685924E-2"/>
    <n v="1.7872280585685924E-2"/>
    <n v="1.5862888668755945E-2"/>
    <n v="1.5856285998175308E-2"/>
    <n v="8.0605704408814403E-3"/>
    <n v="8.0605704408814403E-3"/>
    <n v="7.6855221651858435E-3"/>
    <n v="1.3253665025346596E-3"/>
    <n v="5.9356034643395751E-4"/>
    <n v="5.9356034643395751E-4"/>
    <n v="3.7147291538171257E-4"/>
    <n v="3.7147291538171257E-4"/>
    <n v="0"/>
    <m/>
    <m/>
    <m/>
    <m/>
    <m/>
    <m/>
    <m/>
    <m/>
    <m/>
    <m/>
    <m/>
  </r>
  <r>
    <n v="38"/>
    <s v="Consumer, Business"/>
    <s v="peaksaver®"/>
    <s v="Kingston Hydro Corporation"/>
    <s v="Final"/>
    <x v="3"/>
    <x v="2"/>
    <n v="0"/>
    <n v="0"/>
    <n v="0"/>
    <n v="0"/>
    <n v="0"/>
    <n v="0"/>
    <n v="0"/>
    <n v="0"/>
    <n v="0"/>
    <n v="0"/>
    <n v="0"/>
    <n v="0"/>
    <n v="0"/>
    <n v="0"/>
    <n v="0"/>
    <n v="0"/>
    <n v="0"/>
    <n v="0"/>
    <n v="0"/>
    <n v="0"/>
    <n v="0"/>
    <n v="0"/>
    <n v="0"/>
    <n v="0"/>
    <m/>
    <m/>
    <m/>
    <m/>
    <m/>
    <m/>
    <m/>
    <m/>
    <m/>
    <m/>
    <m/>
  </r>
  <r>
    <n v="39"/>
    <s v="Consumer, Business"/>
    <s v="Electricity Retrofit Incentive"/>
    <s v="Kingston Hydro Corporation"/>
    <s v="Final"/>
    <x v="3"/>
    <x v="1"/>
    <n v="0"/>
    <n v="0"/>
    <n v="0"/>
    <n v="8.3498803827751183E-2"/>
    <n v="8.3498803827751183E-2"/>
    <n v="8.3498803827751183E-2"/>
    <n v="8.3498803827751183E-2"/>
    <n v="8.3498803827751183E-2"/>
    <n v="8.3498803827751183E-2"/>
    <n v="8.3498803827751183E-2"/>
    <n v="6.0340909090909084E-2"/>
    <n v="6.0340909090909084E-2"/>
    <n v="6.0340909090909084E-2"/>
    <n v="6.0340909090909084E-2"/>
    <n v="0"/>
    <n v="0"/>
    <n v="0"/>
    <n v="0"/>
    <n v="0"/>
    <n v="0"/>
    <n v="0"/>
    <n v="0"/>
    <n v="0"/>
    <n v="0"/>
    <m/>
    <m/>
    <m/>
    <m/>
    <m/>
    <m/>
    <m/>
    <m/>
    <m/>
    <m/>
    <m/>
  </r>
  <r>
    <n v="40"/>
    <s v="Consumer, Consumer Low-Income, Business, Industrial"/>
    <s v="Toronto Comprehensive"/>
    <s v="Kingston Hydro Corporation"/>
    <s v="Final"/>
    <x v="3"/>
    <x v="2"/>
    <n v="0"/>
    <n v="0"/>
    <n v="0"/>
    <n v="0"/>
    <n v="0"/>
    <n v="0"/>
    <n v="0"/>
    <n v="0"/>
    <n v="0"/>
    <n v="0"/>
    <n v="0"/>
    <n v="0"/>
    <n v="0"/>
    <n v="0"/>
    <n v="0"/>
    <n v="0"/>
    <n v="0"/>
    <n v="0"/>
    <n v="0"/>
    <n v="0"/>
    <n v="0"/>
    <n v="0"/>
    <n v="0"/>
    <n v="0"/>
    <m/>
    <m/>
    <m/>
    <m/>
    <m/>
    <m/>
    <m/>
    <m/>
    <m/>
    <m/>
    <m/>
  </r>
  <r>
    <n v="41"/>
    <s v="Business"/>
    <s v="High Performance New Construction"/>
    <s v="Kingston Hydro Corporation"/>
    <s v="Final"/>
    <x v="3"/>
    <x v="1"/>
    <n v="0"/>
    <n v="0"/>
    <n v="0"/>
    <n v="2.6484318261489666E-2"/>
    <n v="2.6484318261489666E-2"/>
    <n v="2.6484318261489666E-2"/>
    <n v="2.6484318261489666E-2"/>
    <n v="2.6484318261489666E-2"/>
    <n v="2.6484318261489666E-2"/>
    <n v="2.6484318261489666E-2"/>
    <n v="2.6484318261489666E-2"/>
    <n v="2.6484318261489666E-2"/>
    <n v="2.6484318261489666E-2"/>
    <n v="2.6484318261489666E-2"/>
    <n v="2.6484318261489666E-2"/>
    <n v="2.6484318261489666E-2"/>
    <n v="2.6484318261489666E-2"/>
    <n v="2.6484318261489666E-2"/>
    <n v="2.6484318261489666E-2"/>
    <n v="2.6484318261489666E-2"/>
    <n v="2.6484318261489666E-2"/>
    <n v="2.6484318261489666E-2"/>
    <n v="2.6484318261489666E-2"/>
    <n v="0"/>
    <m/>
    <m/>
    <m/>
    <m/>
    <m/>
    <m/>
    <m/>
    <m/>
    <m/>
    <m/>
    <m/>
  </r>
  <r>
    <n v="42"/>
    <s v="Business"/>
    <s v="Power Savings Blitz"/>
    <s v="Kingston Hydro Corporation"/>
    <s v="Final"/>
    <x v="3"/>
    <x v="3"/>
    <n v="0"/>
    <n v="0"/>
    <n v="0"/>
    <n v="0.17507897077314688"/>
    <n v="0.17507897077314688"/>
    <n v="0.17507897077314688"/>
    <n v="0.17507897077314688"/>
    <n v="0.17507897077314688"/>
    <n v="0.17507897077314688"/>
    <n v="0.17507897077314688"/>
    <n v="0.17507897077314688"/>
    <n v="0.17507897077314688"/>
    <n v="0"/>
    <n v="0"/>
    <n v="0"/>
    <n v="0"/>
    <n v="0"/>
    <n v="0"/>
    <n v="0"/>
    <n v="0"/>
    <n v="0"/>
    <n v="0"/>
    <n v="0"/>
    <n v="0"/>
    <m/>
    <m/>
    <m/>
    <m/>
    <m/>
    <m/>
    <m/>
    <m/>
    <m/>
    <m/>
    <m/>
  </r>
  <r>
    <n v="43"/>
    <s v="Consumer, Consumer Low-Income"/>
    <s v="Multi-Family Energy Efficiency Rebates"/>
    <s v="Kingston Hydro Corporation"/>
    <s v="Final"/>
    <x v="3"/>
    <x v="2"/>
    <n v="0"/>
    <n v="0"/>
    <n v="0"/>
    <n v="0"/>
    <n v="0"/>
    <n v="0"/>
    <n v="0"/>
    <n v="0"/>
    <n v="0"/>
    <n v="0"/>
    <n v="0"/>
    <n v="0"/>
    <n v="0"/>
    <n v="0"/>
    <n v="0"/>
    <n v="0"/>
    <n v="0"/>
    <n v="0"/>
    <n v="0"/>
    <n v="0"/>
    <n v="0"/>
    <n v="0"/>
    <n v="0"/>
    <n v="0"/>
    <m/>
    <m/>
    <m/>
    <m/>
    <m/>
    <m/>
    <m/>
    <m/>
    <m/>
    <m/>
    <m/>
  </r>
  <r>
    <n v="44"/>
    <s v="Business, Industrial"/>
    <s v="Demand Response 1"/>
    <s v="Kingston Hydro Corporation"/>
    <s v="Final"/>
    <x v="3"/>
    <x v="1"/>
    <n v="0"/>
    <n v="0"/>
    <n v="0"/>
    <n v="1.1957688458910378"/>
    <n v="0"/>
    <n v="0"/>
    <n v="0"/>
    <n v="0"/>
    <n v="0"/>
    <n v="0"/>
    <n v="0"/>
    <n v="0"/>
    <n v="0"/>
    <n v="0"/>
    <n v="0"/>
    <n v="0"/>
    <n v="0"/>
    <n v="0"/>
    <n v="0"/>
    <n v="0"/>
    <n v="0"/>
    <n v="0"/>
    <n v="0"/>
    <n v="0"/>
    <m/>
    <m/>
    <m/>
    <m/>
    <m/>
    <m/>
    <m/>
    <m/>
    <m/>
    <m/>
    <m/>
  </r>
  <r>
    <n v="45"/>
    <s v="Business, Industrial"/>
    <s v="Demand Response 2"/>
    <s v="Kingston Hydro Corporation"/>
    <s v="Final"/>
    <x v="3"/>
    <x v="1"/>
    <n v="0"/>
    <n v="0"/>
    <n v="0"/>
    <n v="0.81196286825126107"/>
    <n v="0"/>
    <n v="0"/>
    <n v="0"/>
    <n v="0"/>
    <n v="0"/>
    <n v="0"/>
    <n v="0"/>
    <n v="0"/>
    <n v="0"/>
    <n v="0"/>
    <n v="0"/>
    <n v="0"/>
    <n v="0"/>
    <n v="0"/>
    <n v="0"/>
    <n v="0"/>
    <n v="0"/>
    <n v="0"/>
    <n v="0"/>
    <n v="0"/>
    <m/>
    <m/>
    <m/>
    <m/>
    <m/>
    <m/>
    <m/>
    <m/>
    <m/>
    <m/>
    <m/>
  </r>
  <r>
    <n v="46"/>
    <s v="Business, Industrial"/>
    <s v="Demand Response 3"/>
    <s v="Kingston Hydro Corporation"/>
    <s v="Final"/>
    <x v="3"/>
    <x v="1"/>
    <n v="0"/>
    <n v="0"/>
    <n v="0"/>
    <n v="1.1599469546446588"/>
    <n v="0"/>
    <n v="0"/>
    <n v="0"/>
    <n v="0"/>
    <n v="0"/>
    <n v="0"/>
    <n v="0"/>
    <n v="0"/>
    <n v="0"/>
    <n v="0"/>
    <n v="0"/>
    <n v="0"/>
    <n v="0"/>
    <n v="0"/>
    <n v="0"/>
    <n v="0"/>
    <n v="0"/>
    <n v="0"/>
    <n v="0"/>
    <n v="0"/>
    <m/>
    <m/>
    <m/>
    <m/>
    <m/>
    <m/>
    <m/>
    <m/>
    <m/>
    <m/>
    <m/>
  </r>
  <r>
    <n v="47"/>
    <s v="Business, Industrial"/>
    <s v="Loblaw &amp; York Region Demand Response"/>
    <s v="Kingston Hydro Corporation"/>
    <s v="Final"/>
    <x v="3"/>
    <x v="1"/>
    <n v="0"/>
    <n v="0"/>
    <n v="0"/>
    <n v="0.19930617967747344"/>
    <n v="0"/>
    <n v="0"/>
    <n v="0"/>
    <n v="0"/>
    <n v="0"/>
    <n v="0"/>
    <n v="0"/>
    <n v="0"/>
    <n v="0"/>
    <n v="0"/>
    <n v="0"/>
    <n v="0"/>
    <n v="0"/>
    <n v="0"/>
    <n v="0"/>
    <n v="0"/>
    <n v="0"/>
    <n v="0"/>
    <n v="0"/>
    <n v="0"/>
    <m/>
    <m/>
    <m/>
    <m/>
    <m/>
    <m/>
    <m/>
    <m/>
    <m/>
    <m/>
    <m/>
  </r>
  <r>
    <n v="48"/>
    <s v="Consumer"/>
    <s v="LDC Custom - Thunder Bay Hydro - Phantom Load"/>
    <s v="Kingston Hydro Corporation"/>
    <s v="Final"/>
    <x v="3"/>
    <x v="2"/>
    <n v="0"/>
    <n v="0"/>
    <n v="0"/>
    <n v="0"/>
    <n v="0"/>
    <n v="0"/>
    <n v="0"/>
    <n v="0"/>
    <n v="0"/>
    <n v="0"/>
    <n v="0"/>
    <n v="0"/>
    <n v="0"/>
    <n v="0"/>
    <n v="0"/>
    <n v="0"/>
    <n v="0"/>
    <n v="0"/>
    <n v="0"/>
    <n v="0"/>
    <n v="0"/>
    <n v="0"/>
    <n v="0"/>
    <n v="0"/>
    <m/>
    <m/>
    <m/>
    <m/>
    <m/>
    <m/>
    <m/>
    <m/>
    <m/>
    <m/>
    <m/>
  </r>
  <r>
    <n v="49"/>
    <s v="Consumer"/>
    <s v="LDC Custom - Toronto Hydro - Summer Challenge"/>
    <s v="Kingston Hydro Corporation"/>
    <s v="Final"/>
    <x v="3"/>
    <x v="2"/>
    <n v="0"/>
    <n v="0"/>
    <n v="0"/>
    <n v="0"/>
    <n v="0"/>
    <n v="0"/>
    <n v="0"/>
    <n v="0"/>
    <n v="0"/>
    <n v="0"/>
    <n v="0"/>
    <n v="0"/>
    <n v="0"/>
    <n v="0"/>
    <n v="0"/>
    <n v="0"/>
    <n v="0"/>
    <n v="0"/>
    <n v="0"/>
    <n v="0"/>
    <n v="0"/>
    <n v="0"/>
    <n v="0"/>
    <n v="0"/>
    <m/>
    <m/>
    <m/>
    <m/>
    <m/>
    <m/>
    <m/>
    <m/>
    <m/>
    <m/>
    <m/>
  </r>
  <r>
    <n v="50"/>
    <s v="Business"/>
    <s v="LDC Custom - PowerStream - Data Centers"/>
    <s v="Kingston Hydro Corporation"/>
    <s v="Final"/>
    <x v="3"/>
    <x v="2"/>
    <n v="0"/>
    <n v="0"/>
    <n v="0"/>
    <n v="0"/>
    <n v="0"/>
    <n v="0"/>
    <n v="0"/>
    <n v="0"/>
    <n v="0"/>
    <n v="0"/>
    <n v="0"/>
    <n v="0"/>
    <n v="0"/>
    <n v="0"/>
    <n v="0"/>
    <n v="0"/>
    <n v="0"/>
    <n v="0"/>
    <n v="0"/>
    <n v="0"/>
    <n v="0"/>
    <n v="0"/>
    <n v="0"/>
    <n v="0"/>
    <m/>
    <m/>
    <m/>
    <m/>
    <m/>
    <m/>
    <m/>
    <m/>
    <m/>
    <m/>
    <m/>
  </r>
  <r>
    <n v="51"/>
    <s v="Consumer, Business"/>
    <s v="Toronto Comprehensive Adjustment"/>
    <s v="Kingston Hydro Corporation"/>
    <s v="Final"/>
    <x v="2"/>
    <x v="2"/>
    <n v="0"/>
    <n v="0"/>
    <n v="0"/>
    <n v="0"/>
    <n v="0"/>
    <n v="0"/>
    <n v="0"/>
    <n v="0"/>
    <n v="0"/>
    <n v="0"/>
    <n v="0"/>
    <n v="0"/>
    <n v="0"/>
    <n v="0"/>
    <n v="0"/>
    <n v="0"/>
    <n v="0"/>
    <n v="0"/>
    <n v="0"/>
    <n v="0"/>
    <n v="0"/>
    <n v="0"/>
    <n v="0"/>
    <n v="0"/>
    <m/>
    <m/>
    <m/>
    <m/>
    <m/>
    <m/>
    <m/>
    <m/>
    <m/>
    <m/>
    <m/>
  </r>
  <r>
    <n v="52"/>
    <s v="Business, Industrial"/>
    <s v="LDC Custom - Hydro One Networks Inc. - Double Return Adjustment"/>
    <s v="Kingston Hydro Corporation"/>
    <s v="Final"/>
    <x v="2"/>
    <x v="2"/>
    <n v="0"/>
    <n v="0"/>
    <n v="0"/>
    <n v="0"/>
    <n v="0"/>
    <n v="0"/>
    <n v="0"/>
    <n v="0"/>
    <n v="0"/>
    <n v="0"/>
    <n v="0"/>
    <n v="0"/>
    <n v="0"/>
    <n v="0"/>
    <n v="0"/>
    <n v="0"/>
    <n v="0"/>
    <n v="0"/>
    <n v="0"/>
    <n v="0"/>
    <n v="0"/>
    <n v="0"/>
    <n v="0"/>
    <n v="0"/>
    <m/>
    <m/>
    <m/>
    <m/>
    <m/>
    <m/>
    <m/>
    <m/>
    <m/>
    <m/>
    <m/>
  </r>
  <r>
    <n v="53"/>
    <s v="Consumer"/>
    <s v="Great Refrigerator Roundup"/>
    <s v="Kingston Hydro Corporation"/>
    <s v="Final"/>
    <x v="4"/>
    <x v="0"/>
    <n v="0"/>
    <n v="0"/>
    <n v="0"/>
    <n v="0"/>
    <n v="1.3571767054916849E-2"/>
    <n v="1.3571767054916849E-2"/>
    <n v="1.3571767054916849E-2"/>
    <n v="1.2617838813460935E-2"/>
    <n v="9.0288108236690826E-3"/>
    <n v="0"/>
    <n v="0"/>
    <n v="0"/>
    <n v="0"/>
    <n v="0"/>
    <n v="0"/>
    <n v="0"/>
    <n v="0"/>
    <n v="0"/>
    <n v="0"/>
    <n v="0"/>
    <n v="0"/>
    <n v="0"/>
    <n v="0"/>
    <n v="0"/>
    <m/>
    <m/>
    <m/>
    <m/>
    <m/>
    <m/>
    <m/>
    <m/>
    <m/>
    <m/>
    <m/>
  </r>
  <r>
    <n v="54"/>
    <s v="Consumer"/>
    <s v="Cool Savings Rebate"/>
    <s v="Kingston Hydro Corporation"/>
    <s v="Final"/>
    <x v="4"/>
    <x v="0"/>
    <n v="0"/>
    <n v="0"/>
    <n v="0"/>
    <n v="0"/>
    <n v="4.5320049962194832E-2"/>
    <n v="4.5320049962194832E-2"/>
    <n v="4.5320049962194832E-2"/>
    <n v="4.5320049962194832E-2"/>
    <n v="4.5320049962194832E-2"/>
    <n v="4.5320049962194832E-2"/>
    <n v="4.5320049962194832E-2"/>
    <n v="4.5320049962194832E-2"/>
    <n v="4.5320049962194832E-2"/>
    <n v="4.5320049962194832E-2"/>
    <n v="4.5320049962194832E-2"/>
    <n v="4.5320049962194832E-2"/>
    <n v="4.5320049962194832E-2"/>
    <n v="4.5320049962194832E-2"/>
    <n v="4.5320049962194832E-2"/>
    <n v="4.4345889124962512E-2"/>
    <n v="4.4345889124962512E-2"/>
    <n v="4.4345889124962512E-2"/>
    <n v="3.9851884381790312E-2"/>
    <n v="0"/>
    <m/>
    <m/>
    <m/>
    <m/>
    <m/>
    <m/>
    <m/>
    <m/>
    <m/>
    <m/>
    <m/>
  </r>
  <r>
    <n v="55"/>
    <s v="Consumer"/>
    <s v="Every Kilowatt Counts Power Savings Event"/>
    <s v="Kingston Hydro Corporation"/>
    <s v="Final"/>
    <x v="4"/>
    <x v="0"/>
    <n v="0"/>
    <n v="0"/>
    <n v="0"/>
    <n v="0"/>
    <n v="7.9102505462775169E-3"/>
    <n v="7.552654102152446E-3"/>
    <n v="7.3715778473947748E-3"/>
    <n v="7.3715778473947748E-3"/>
    <n v="7.3715778473947748E-3"/>
    <n v="7.1302517976481478E-3"/>
    <n v="6.8376049226685507E-3"/>
    <n v="6.8376049226685507E-3"/>
    <n v="6.8139925801342181E-3"/>
    <n v="5.0749839832919304E-3"/>
    <n v="2.9539306412880596E-3"/>
    <n v="2.9539306412880596E-3"/>
    <n v="2.7412498847349319E-3"/>
    <n v="2.7412498847349319E-3"/>
    <n v="2.7412498847349319E-3"/>
    <n v="3.7191837741592208E-4"/>
    <n v="5.1457930911912316E-6"/>
    <n v="5.1457930911912316E-6"/>
    <n v="5.1457930911912316E-6"/>
    <n v="5.1457930911912316E-6"/>
    <m/>
    <m/>
    <m/>
    <m/>
    <m/>
    <m/>
    <m/>
    <m/>
    <m/>
    <m/>
    <m/>
  </r>
  <r>
    <n v="56"/>
    <s v="Consumer, Business"/>
    <s v="peaksaver®"/>
    <s v="Kingston Hydro Corporation"/>
    <s v="Final"/>
    <x v="4"/>
    <x v="2"/>
    <n v="0"/>
    <n v="0"/>
    <n v="0"/>
    <n v="0"/>
    <n v="0"/>
    <n v="0"/>
    <n v="0"/>
    <n v="0"/>
    <n v="0"/>
    <n v="0"/>
    <n v="0"/>
    <n v="0"/>
    <n v="0"/>
    <n v="0"/>
    <n v="0"/>
    <n v="0"/>
    <n v="0"/>
    <n v="0"/>
    <n v="0"/>
    <n v="0"/>
    <n v="0"/>
    <n v="0"/>
    <n v="0"/>
    <n v="0"/>
    <m/>
    <m/>
    <m/>
    <m/>
    <m/>
    <m/>
    <m/>
    <m/>
    <m/>
    <m/>
    <m/>
  </r>
  <r>
    <n v="57"/>
    <s v="Consumer, Business"/>
    <s v="Electricity Retrofit Incentive"/>
    <s v="Kingston Hydro Corporation"/>
    <s v="Final"/>
    <x v="4"/>
    <x v="1"/>
    <n v="0"/>
    <n v="0"/>
    <n v="0"/>
    <n v="0"/>
    <n v="4.2683321424087324E-2"/>
    <n v="4.2683321424087324E-2"/>
    <n v="4.2683321424087324E-2"/>
    <n v="4.2683321424087324E-2"/>
    <n v="4.2683321424087324E-2"/>
    <n v="4.2683321424087324E-2"/>
    <n v="4.2683321424087324E-2"/>
    <n v="4.2683321424087324E-2"/>
    <n v="4.2683321424087324E-2"/>
    <n v="4.2252176763237954E-2"/>
    <n v="0"/>
    <n v="0"/>
    <n v="0"/>
    <n v="0"/>
    <n v="0"/>
    <n v="0"/>
    <n v="0"/>
    <n v="0"/>
    <n v="0"/>
    <n v="0"/>
    <m/>
    <m/>
    <m/>
    <m/>
    <m/>
    <m/>
    <m/>
    <m/>
    <m/>
    <m/>
    <m/>
  </r>
  <r>
    <n v="58"/>
    <s v="Consumer, Consumer Low-Income, Business, Industrial"/>
    <s v="Toronto Comprehensive"/>
    <s v="Kingston Hydro Corporation"/>
    <s v="Final"/>
    <x v="4"/>
    <x v="2"/>
    <n v="0"/>
    <n v="0"/>
    <n v="0"/>
    <n v="0"/>
    <n v="0"/>
    <n v="0"/>
    <n v="0"/>
    <n v="0"/>
    <n v="0"/>
    <n v="0"/>
    <n v="0"/>
    <n v="0"/>
    <n v="0"/>
    <n v="0"/>
    <n v="0"/>
    <n v="0"/>
    <n v="0"/>
    <n v="0"/>
    <n v="0"/>
    <n v="0"/>
    <n v="0"/>
    <n v="0"/>
    <n v="0"/>
    <n v="0"/>
    <m/>
    <m/>
    <m/>
    <m/>
    <m/>
    <m/>
    <m/>
    <m/>
    <m/>
    <m/>
    <m/>
  </r>
  <r>
    <n v="59"/>
    <s v="Business"/>
    <s v="High Performance New Construction"/>
    <s v="Kingston Hydro Corporation"/>
    <s v="Final"/>
    <x v="4"/>
    <x v="1"/>
    <n v="0"/>
    <n v="0"/>
    <n v="0"/>
    <n v="0"/>
    <n v="8.6035163217314831E-2"/>
    <n v="8.6035163217314831E-2"/>
    <n v="8.6035163217314831E-2"/>
    <n v="8.6035163217314831E-2"/>
    <n v="8.6035163217314831E-2"/>
    <n v="8.6035163217314831E-2"/>
    <n v="8.6035163217314831E-2"/>
    <n v="8.6035163217314831E-2"/>
    <n v="8.6035163217314831E-2"/>
    <n v="8.6035163217314831E-2"/>
    <n v="8.6035163217314831E-2"/>
    <n v="8.6035163217314831E-2"/>
    <n v="8.6035163217314831E-2"/>
    <n v="8.6035163217314831E-2"/>
    <n v="8.6035163217314831E-2"/>
    <n v="8.6035163217314831E-2"/>
    <n v="8.6035163217314831E-2"/>
    <n v="8.6035163217314831E-2"/>
    <n v="8.6035163217314831E-2"/>
    <n v="8.6035163217314831E-2"/>
    <m/>
    <m/>
    <m/>
    <m/>
    <m/>
    <m/>
    <m/>
    <m/>
    <m/>
    <m/>
    <m/>
  </r>
  <r>
    <n v="60"/>
    <s v="Business"/>
    <s v="Power Savings Blitz"/>
    <s v="Kingston Hydro Corporation"/>
    <s v="Final"/>
    <x v="4"/>
    <x v="3"/>
    <n v="0"/>
    <n v="0"/>
    <n v="0"/>
    <n v="0"/>
    <n v="0.17577762138762623"/>
    <n v="0.17577762138762623"/>
    <n v="0.17577762138762623"/>
    <n v="0.17577762138762623"/>
    <n v="0.17577762138762623"/>
    <n v="0.17577762138762623"/>
    <n v="0.17577762138762623"/>
    <n v="0.17577762138762623"/>
    <n v="0"/>
    <n v="0"/>
    <n v="0"/>
    <n v="0"/>
    <n v="0"/>
    <n v="0"/>
    <n v="0"/>
    <n v="0"/>
    <n v="0"/>
    <n v="0"/>
    <n v="0"/>
    <n v="0"/>
    <m/>
    <m/>
    <m/>
    <m/>
    <m/>
    <m/>
    <m/>
    <m/>
    <m/>
    <m/>
    <m/>
  </r>
  <r>
    <n v="61"/>
    <s v="Consumer, Consumer Low-Income"/>
    <s v="Multi-Family Energy Efficiency Rebates"/>
    <s v="Kingston Hydro Corporation"/>
    <s v="Final"/>
    <x v="4"/>
    <x v="0"/>
    <n v="0"/>
    <n v="0"/>
    <n v="0"/>
    <n v="0"/>
    <n v="8.427273923639518E-3"/>
    <n v="8.427273923639518E-3"/>
    <n v="8.427273923639518E-3"/>
    <n v="8.427273923639518E-3"/>
    <n v="8.427273923639518E-3"/>
    <n v="8.427273923639518E-3"/>
    <n v="8.427273923639518E-3"/>
    <n v="8.427273923639518E-3"/>
    <n v="8.427273923639518E-3"/>
    <n v="8.427273923639518E-3"/>
    <n v="0"/>
    <n v="0"/>
    <n v="0"/>
    <n v="0"/>
    <n v="0"/>
    <n v="0"/>
    <n v="0"/>
    <n v="0"/>
    <n v="0"/>
    <n v="0"/>
    <m/>
    <m/>
    <m/>
    <m/>
    <m/>
    <m/>
    <m/>
    <m/>
    <m/>
    <m/>
    <m/>
  </r>
  <r>
    <n v="62"/>
    <s v="Business, Industrial"/>
    <s v="Demand Response 2"/>
    <s v="Kingston Hydro Corporation"/>
    <s v="Final"/>
    <x v="4"/>
    <x v="1"/>
    <n v="0"/>
    <n v="0"/>
    <n v="0"/>
    <n v="0"/>
    <n v="0.79308195429135875"/>
    <n v="0"/>
    <n v="0"/>
    <n v="0"/>
    <n v="0"/>
    <n v="0"/>
    <n v="0"/>
    <n v="0"/>
    <n v="0"/>
    <n v="0"/>
    <n v="0"/>
    <n v="0"/>
    <n v="0"/>
    <n v="0"/>
    <n v="0"/>
    <n v="0"/>
    <n v="0"/>
    <n v="0"/>
    <n v="0"/>
    <n v="0"/>
    <m/>
    <m/>
    <m/>
    <m/>
    <m/>
    <m/>
    <m/>
    <m/>
    <m/>
    <m/>
    <m/>
  </r>
  <r>
    <n v="63"/>
    <s v="Business, Industrial"/>
    <s v="Demand Response 3"/>
    <s v="Kingston Hydro Corporation"/>
    <s v="Final"/>
    <x v="4"/>
    <x v="1"/>
    <n v="0"/>
    <n v="0"/>
    <n v="0"/>
    <n v="0"/>
    <n v="1.67746830163979"/>
    <n v="0"/>
    <n v="0"/>
    <n v="0"/>
    <n v="0"/>
    <n v="0"/>
    <n v="0"/>
    <n v="0"/>
    <n v="0"/>
    <n v="0"/>
    <n v="0"/>
    <n v="0"/>
    <n v="0"/>
    <n v="0"/>
    <n v="0"/>
    <n v="0"/>
    <n v="0"/>
    <n v="0"/>
    <n v="0"/>
    <n v="0"/>
    <m/>
    <m/>
    <m/>
    <m/>
    <m/>
    <m/>
    <m/>
    <m/>
    <m/>
    <m/>
    <m/>
  </r>
  <r>
    <n v="64"/>
    <s v="Business, Industrial"/>
    <s v="Loblaw &amp; York Region Demand Response"/>
    <s v="Kingston Hydro Corporation"/>
    <s v="Final"/>
    <x v="4"/>
    <x v="1"/>
    <n v="0"/>
    <n v="0"/>
    <n v="0"/>
    <n v="0"/>
    <n v="0.19467162928445872"/>
    <n v="0"/>
    <n v="0"/>
    <n v="0"/>
    <n v="0"/>
    <n v="0"/>
    <n v="0"/>
    <n v="0"/>
    <n v="0"/>
    <n v="0"/>
    <n v="0"/>
    <n v="0"/>
    <n v="0"/>
    <n v="0"/>
    <n v="0"/>
    <n v="0"/>
    <n v="0"/>
    <n v="0"/>
    <n v="0"/>
    <n v="0"/>
    <m/>
    <m/>
    <m/>
    <m/>
    <m/>
    <m/>
    <m/>
    <m/>
    <m/>
    <m/>
    <m/>
  </r>
  <r>
    <n v="65"/>
    <s v="Consumer"/>
    <s v="LDC Custom - Hydro Ottawa - Small Commercial Demand Response"/>
    <s v="Kingston Hydro Corporation"/>
    <s v="Final"/>
    <x v="4"/>
    <x v="2"/>
    <n v="0"/>
    <n v="0"/>
    <n v="0"/>
    <n v="0"/>
    <n v="0"/>
    <n v="0"/>
    <n v="0"/>
    <n v="0"/>
    <n v="0"/>
    <n v="0"/>
    <n v="0"/>
    <n v="0"/>
    <n v="0"/>
    <n v="0"/>
    <n v="0"/>
    <n v="0"/>
    <n v="0"/>
    <n v="0"/>
    <n v="0"/>
    <n v="0"/>
    <n v="0"/>
    <n v="0"/>
    <n v="0"/>
    <n v="0"/>
    <m/>
    <m/>
    <m/>
    <m/>
    <m/>
    <m/>
    <m/>
    <m/>
    <m/>
    <m/>
    <m/>
  </r>
  <r>
    <s v="Tier 1"/>
    <s v="Consumer"/>
    <s v="Appliance Exchange"/>
    <s v="Kingston Hydro Corporation"/>
    <s v="EE"/>
    <x v="5"/>
    <x v="0"/>
    <m/>
    <m/>
    <m/>
    <m/>
    <m/>
    <n v="2.2087221046377999E-3"/>
    <n v="2.2087221046377999E-3"/>
    <n v="2.2087221046377999E-3"/>
    <n v="7.5426660871048378E-4"/>
    <n v="0"/>
    <n v="0"/>
    <n v="0"/>
    <n v="0"/>
    <n v="0"/>
    <n v="0"/>
    <n v="0"/>
    <n v="0"/>
    <n v="0"/>
    <n v="0"/>
    <n v="0"/>
    <n v="0"/>
    <n v="0"/>
    <n v="0"/>
    <n v="0"/>
    <n v="0"/>
    <n v="0"/>
    <n v="0"/>
    <n v="0"/>
    <n v="0"/>
    <n v="0"/>
    <n v="0"/>
    <n v="0"/>
    <n v="0"/>
    <n v="0"/>
    <n v="0"/>
  </r>
  <r>
    <s v="Tier 1"/>
    <s v="Consumer"/>
    <s v="Appliance Retirement"/>
    <s v="Kingston Hydro Corporation"/>
    <s v="EE"/>
    <x v="5"/>
    <x v="0"/>
    <m/>
    <m/>
    <m/>
    <m/>
    <m/>
    <n v="9.7587870989821034E-3"/>
    <n v="9.7587870989821034E-3"/>
    <n v="9.7587870989821034E-3"/>
    <n v="9.5320388070644791E-3"/>
    <n v="6.971248558427184E-3"/>
    <n v="0"/>
    <n v="0"/>
    <n v="0"/>
    <n v="0"/>
    <n v="0"/>
    <n v="0"/>
    <n v="0"/>
    <n v="0"/>
    <n v="0"/>
    <n v="0"/>
    <n v="0"/>
    <n v="0"/>
    <n v="0"/>
    <n v="0"/>
    <n v="0"/>
    <n v="0"/>
    <n v="0"/>
    <n v="0"/>
    <n v="0"/>
    <n v="0"/>
    <n v="0"/>
    <n v="0"/>
    <n v="0"/>
    <n v="0"/>
    <n v="0"/>
  </r>
  <r>
    <s v="Tier 1"/>
    <s v="Consumer"/>
    <s v="Bi-Annual Retailer Event"/>
    <s v="Kingston Hydro Corporation"/>
    <s v="EE"/>
    <x v="5"/>
    <x v="0"/>
    <m/>
    <m/>
    <m/>
    <m/>
    <m/>
    <n v="8.430533393957388E-3"/>
    <n v="8.430533393957388E-3"/>
    <n v="8.430533393957388E-3"/>
    <n v="8.430533393957388E-3"/>
    <n v="7.8433079422466512E-3"/>
    <n v="7.2017888719191061E-3"/>
    <n v="5.8254027079323078E-3"/>
    <n v="5.7874743031671996E-3"/>
    <n v="7.0162188252054841E-3"/>
    <n v="3.3282576576091081E-3"/>
    <n v="4.7330997280805161E-4"/>
    <n v="4.7311309875717686E-4"/>
    <n v="4.7311309875717686E-4"/>
    <n v="4.3913278278496734E-4"/>
    <n v="4.3913278278496734E-4"/>
    <n v="3.706443474060017E-4"/>
    <n v="0"/>
    <n v="0"/>
    <n v="0"/>
    <n v="0"/>
    <n v="0"/>
    <n v="0"/>
    <n v="0"/>
    <n v="0"/>
    <n v="0"/>
    <n v="0"/>
    <n v="0"/>
    <n v="0"/>
    <n v="0"/>
    <n v="0"/>
  </r>
  <r>
    <s v="Tier 1"/>
    <s v="Consumer"/>
    <s v="Conservation Instant Coupon Booklet"/>
    <s v="Kingston Hydro Corporation"/>
    <s v="EE"/>
    <x v="5"/>
    <x v="0"/>
    <m/>
    <m/>
    <m/>
    <m/>
    <m/>
    <n v="6.1033098347424682E-3"/>
    <n v="6.1033098347424682E-3"/>
    <n v="6.1033098347424682E-3"/>
    <n v="6.1033098347424682E-3"/>
    <n v="5.7376461781793791E-3"/>
    <n v="5.338174036214941E-3"/>
    <n v="4.4770737385133709E-3"/>
    <n v="4.4321616909661155E-3"/>
    <n v="5.1972974894936427E-3"/>
    <n v="2.9008143212704601E-3"/>
    <n v="3.4393170086695211E-4"/>
    <n v="3.4370242967095765E-4"/>
    <n v="3.4370242967095765E-4"/>
    <n v="3.3736606284991502E-4"/>
    <n v="3.3736606284991502E-4"/>
    <n v="3.1823150548650295E-4"/>
    <n v="0"/>
    <n v="0"/>
    <n v="0"/>
    <n v="0"/>
    <n v="0"/>
    <n v="0"/>
    <n v="0"/>
    <n v="0"/>
    <n v="0"/>
    <n v="0"/>
    <n v="0"/>
    <n v="0"/>
    <n v="0"/>
    <n v="0"/>
  </r>
  <r>
    <s v="Tier 1"/>
    <s v="Consumer"/>
    <s v="HVAC Incentives"/>
    <s v="Kingston Hydro Corporation"/>
    <s v="EE"/>
    <x v="5"/>
    <x v="0"/>
    <m/>
    <m/>
    <m/>
    <m/>
    <m/>
    <n v="0.11813922851734725"/>
    <n v="0.11813922851734725"/>
    <n v="0.11813922851734725"/>
    <n v="0.11813922851734725"/>
    <n v="0.11813922851734725"/>
    <n v="0.11813922851734725"/>
    <n v="0.11813922851734725"/>
    <n v="0.11813922851734725"/>
    <n v="0.11813922851734725"/>
    <n v="0.11813922851734725"/>
    <n v="0.11813922851734725"/>
    <n v="0.11813922851734725"/>
    <n v="0.11813922851734725"/>
    <n v="0.11813922851734725"/>
    <n v="0.11813922851734725"/>
    <n v="0.11813922851734725"/>
    <n v="0.11813922851734725"/>
    <n v="0.11813922851734725"/>
    <n v="0.10784961221401221"/>
    <n v="0"/>
    <n v="0"/>
    <n v="0"/>
    <n v="0"/>
    <n v="0"/>
    <n v="0"/>
    <n v="0"/>
    <n v="0"/>
    <n v="0"/>
    <n v="0"/>
    <n v="0"/>
  </r>
  <r>
    <s v="Tier 1"/>
    <s v="Consumer"/>
    <s v="Retailer Co-op"/>
    <s v="Kingston Hydro Corporation"/>
    <s v="EE"/>
    <x v="5"/>
    <x v="0"/>
    <m/>
    <m/>
    <m/>
    <m/>
    <m/>
    <n v="0"/>
    <n v="0"/>
    <n v="0"/>
    <n v="0"/>
    <n v="0"/>
    <n v="0"/>
    <n v="0"/>
    <n v="0"/>
    <n v="0"/>
    <n v="0"/>
    <n v="0"/>
    <n v="0"/>
    <n v="0"/>
    <n v="0"/>
    <n v="0"/>
    <n v="0"/>
    <n v="0"/>
    <n v="0"/>
    <n v="0"/>
    <n v="0"/>
    <n v="0"/>
    <n v="0"/>
    <n v="0"/>
    <n v="0"/>
    <n v="0"/>
    <n v="0"/>
    <n v="0"/>
    <n v="0"/>
    <n v="0"/>
    <n v="0"/>
  </r>
  <r>
    <s v="Tier 1"/>
    <s v="Business"/>
    <s v="Demand Response 3 (part of the Industrial program schedule)"/>
    <s v="Kingston Hydro Corporation"/>
    <s v="DR"/>
    <x v="5"/>
    <x v="2"/>
    <m/>
    <m/>
    <m/>
    <m/>
    <m/>
    <n v="4.0183739999999997"/>
    <n v="0"/>
    <n v="0"/>
    <n v="0"/>
    <n v="0"/>
    <n v="0"/>
    <n v="0"/>
    <n v="0"/>
    <n v="0"/>
    <n v="0"/>
    <n v="0"/>
    <n v="0"/>
    <n v="0"/>
    <n v="0"/>
    <n v="0"/>
    <n v="0"/>
    <n v="0"/>
    <n v="0"/>
    <n v="0"/>
    <n v="0"/>
    <n v="0"/>
    <n v="0"/>
    <n v="0"/>
    <n v="0"/>
    <n v="0"/>
    <n v="0"/>
    <n v="0"/>
    <n v="0"/>
    <n v="0"/>
    <n v="0"/>
  </r>
  <r>
    <s v="Tier 1"/>
    <s v="Business"/>
    <s v="Direct Install Lighting"/>
    <s v="Kingston Hydro Corporation"/>
    <s v="EE"/>
    <x v="5"/>
    <x v="4"/>
    <m/>
    <m/>
    <m/>
    <m/>
    <m/>
    <n v="0.10501326240581341"/>
    <n v="0.10501326240581341"/>
    <n v="0.10485196055999835"/>
    <n v="8.4607426754166479E-2"/>
    <n v="8.4607426754166479E-2"/>
    <n v="8.4607426754166479E-2"/>
    <n v="2.8341886465748044E-2"/>
    <n v="2.6020292042052674E-2"/>
    <n v="2.6020292042052674E-2"/>
    <n v="2.6020292042052674E-2"/>
    <n v="2.2473955746204373E-2"/>
    <n v="2.2473955746204373E-2"/>
    <n v="8.2955234990603616E-3"/>
    <n v="8.2955234990603616E-3"/>
    <n v="8.2955234990603616E-3"/>
    <n v="0"/>
    <n v="0"/>
    <n v="0"/>
    <n v="0"/>
    <n v="0"/>
    <n v="0"/>
    <n v="0"/>
    <n v="0"/>
    <n v="0"/>
    <n v="0"/>
    <n v="0"/>
    <n v="0"/>
    <n v="0"/>
    <n v="0"/>
    <n v="0"/>
  </r>
  <r>
    <s v="Tier 1"/>
    <s v="Business"/>
    <s v="Retrofit"/>
    <s v="Kingston Hydro Corporation"/>
    <s v="EE"/>
    <x v="5"/>
    <x v="5"/>
    <m/>
    <m/>
    <m/>
    <m/>
    <m/>
    <n v="0.36025041265358465"/>
    <n v="0.36025041265358465"/>
    <n v="0.36025041265358465"/>
    <n v="0.36025041265358465"/>
    <n v="0.36025041265358465"/>
    <n v="0.36025041265358465"/>
    <n v="0.36025041265358465"/>
    <n v="0.36025041265358465"/>
    <n v="0.36025041265358465"/>
    <n v="0.24067565572919383"/>
    <n v="0.24067565572919383"/>
    <n v="0.24067565572919383"/>
    <n v="0.24067565572919383"/>
    <n v="0.24067565572919383"/>
    <n v="1.0164256489680166E-2"/>
    <n v="0"/>
    <n v="0"/>
    <n v="0"/>
    <n v="0"/>
    <n v="0"/>
    <n v="0"/>
    <n v="0"/>
    <n v="0"/>
    <n v="0"/>
    <n v="0"/>
    <n v="0"/>
    <n v="0"/>
    <n v="0"/>
    <n v="0"/>
    <n v="0"/>
  </r>
  <r>
    <s v="Tier 1"/>
    <s v="Business"/>
    <s v="Energy Audit"/>
    <s v="Kingston Hydro Corporation"/>
    <s v="EE"/>
    <x v="5"/>
    <x v="6"/>
    <m/>
    <m/>
    <m/>
    <m/>
    <m/>
    <n v="0"/>
    <n v="0"/>
    <n v="0"/>
    <n v="0"/>
    <n v="0"/>
    <n v="0"/>
    <n v="0"/>
    <n v="0"/>
    <n v="0"/>
    <n v="0"/>
    <n v="0"/>
    <n v="0"/>
    <n v="0"/>
    <n v="0"/>
    <n v="0"/>
    <n v="0"/>
    <n v="0"/>
    <n v="0"/>
    <n v="0"/>
    <n v="0"/>
    <n v="0"/>
    <n v="0"/>
    <n v="0"/>
    <n v="0"/>
    <n v="0"/>
    <n v="0"/>
    <n v="0"/>
    <n v="0"/>
    <n v="0"/>
    <n v="0"/>
  </r>
  <r>
    <s v="Tier 1"/>
    <s v="Industrial"/>
    <s v="Demand Response 3"/>
    <s v="Kingston Hydro Corporation"/>
    <s v="DR"/>
    <x v="5"/>
    <x v="2"/>
    <m/>
    <m/>
    <m/>
    <m/>
    <m/>
    <n v="0"/>
    <n v="0"/>
    <n v="0"/>
    <n v="0"/>
    <n v="0"/>
    <n v="0"/>
    <n v="0"/>
    <n v="0"/>
    <n v="0"/>
    <n v="0"/>
    <n v="0"/>
    <n v="0"/>
    <n v="0"/>
    <n v="0"/>
    <n v="0"/>
    <n v="0"/>
    <n v="0"/>
    <n v="0"/>
    <n v="0"/>
    <n v="0"/>
    <n v="0"/>
    <n v="0"/>
    <n v="0"/>
    <n v="0"/>
    <n v="0"/>
    <n v="0"/>
    <n v="0"/>
    <n v="0"/>
    <n v="0"/>
    <n v="0"/>
  </r>
  <r>
    <s v="Tier 1"/>
    <s v="Pre-2011 Programs Completed in 2011"/>
    <s v="Electricity Retrofit Incentive Program"/>
    <s v="Kingston Hydro Corporation"/>
    <s v="EE"/>
    <x v="5"/>
    <x v="1"/>
    <m/>
    <m/>
    <m/>
    <m/>
    <m/>
    <n v="1.2423171199999999E-2"/>
    <n v="1.2423171199999999E-2"/>
    <n v="1.2423171199999999E-2"/>
    <n v="1.2423171199999999E-2"/>
    <n v="1.2423171199999999E-2"/>
    <n v="1.2423171199999999E-2"/>
    <n v="1.2423171199999999E-2"/>
    <n v="1.2423171199999999E-2"/>
    <n v="1.2423171199999999E-2"/>
    <n v="1.2423171199999999E-2"/>
    <n v="1.2423171199999999E-2"/>
    <n v="1.2423171199999999E-2"/>
    <n v="1.2423171199999999E-2"/>
    <n v="0"/>
    <n v="0"/>
    <n v="0"/>
    <n v="0"/>
    <n v="0"/>
    <n v="0"/>
    <n v="0"/>
    <n v="0"/>
    <n v="0"/>
    <n v="0"/>
    <n v="0"/>
    <n v="0"/>
    <n v="0"/>
    <n v="0"/>
    <n v="0"/>
    <n v="0"/>
    <n v="0"/>
  </r>
  <r>
    <s v="Tier 1"/>
    <s v="Pre-2011 Programs Completed in 2011"/>
    <s v="High Performance New Construction"/>
    <s v="Kingston Hydro Corporation"/>
    <s v="EE"/>
    <x v="5"/>
    <x v="7"/>
    <m/>
    <m/>
    <m/>
    <m/>
    <m/>
    <n v="6.445545105378446E-2"/>
    <n v="6.445545105378446E-2"/>
    <n v="6.445545105378446E-2"/>
    <n v="6.445545105378446E-2"/>
    <n v="6.445545105378446E-2"/>
    <n v="6.445545105378446E-2"/>
    <n v="6.445545105378446E-2"/>
    <n v="6.445545105378446E-2"/>
    <n v="6.445545105378446E-2"/>
    <n v="6.445545105378446E-2"/>
    <n v="6.445545105378446E-2"/>
    <n v="6.445545105378446E-2"/>
    <n v="6.445545105378446E-2"/>
    <n v="6.445545105378446E-2"/>
    <n v="6.445545105378446E-2"/>
    <n v="4.4645105378446223E-4"/>
    <n v="4.4645105378446223E-4"/>
    <n v="4.4645105378446223E-4"/>
    <n v="4.4645105378446223E-4"/>
    <n v="4.4645105378446223E-4"/>
    <n v="4.4645105378446223E-4"/>
    <n v="4.4645105378446223E-4"/>
    <n v="4.4645105378446223E-4"/>
    <n v="4.4645105378446223E-4"/>
    <n v="4.4645105378446223E-4"/>
    <n v="4.4645105378446223E-4"/>
    <n v="0"/>
    <n v="0"/>
    <n v="0"/>
    <n v="0"/>
  </r>
  <r>
    <s v="Tier 1"/>
    <s v="Business"/>
    <s v="Direct Install Lighting"/>
    <s v="Kingston Hydro Corporation"/>
    <s v="EE"/>
    <x v="6"/>
    <x v="8"/>
    <m/>
    <m/>
    <m/>
    <m/>
    <m/>
    <n v="0"/>
    <n v="0.2377121381276755"/>
    <n v="0.2377121381276755"/>
    <n v="0.2353244764076512"/>
    <n v="0.17424634752752116"/>
    <n v="0.17424634752752116"/>
    <n v="4.2976796593697394E-2"/>
    <n v="4.2976796593697394E-2"/>
    <n v="4.2834352189810194E-2"/>
    <n v="4.2834352189810194E-2"/>
    <n v="4.2834352189810194E-2"/>
    <n v="3.5453015330728123E-2"/>
    <n v="3.5453015330728123E-2"/>
    <n v="0"/>
    <n v="0"/>
    <n v="0"/>
    <n v="0"/>
    <n v="0"/>
    <n v="0"/>
    <n v="0"/>
    <n v="0"/>
    <n v="0"/>
    <n v="0"/>
    <n v="0"/>
    <n v="0"/>
    <n v="0"/>
    <n v="0"/>
    <n v="0"/>
    <n v="0"/>
    <n v="0"/>
  </r>
  <r>
    <s v="Tier 1"/>
    <s v="Business"/>
    <s v="Retrofit"/>
    <s v="Kingston Hydro Corporation"/>
    <s v="EE"/>
    <x v="6"/>
    <x v="9"/>
    <m/>
    <m/>
    <m/>
    <m/>
    <m/>
    <n v="0"/>
    <n v="0.53631086835715347"/>
    <n v="0.53631086835715347"/>
    <n v="0.50824574030219083"/>
    <n v="0.46978124666636023"/>
    <n v="0.46978124666636023"/>
    <n v="0.36495555142924069"/>
    <n v="0.36288057440404975"/>
    <n v="0.36288057440404975"/>
    <n v="0.35207978584178362"/>
    <n v="0.32409897434093177"/>
    <n v="0.28905886587088431"/>
    <n v="0.28905886587088431"/>
    <n v="0.15500419609239907"/>
    <n v="9.0496178911968483E-2"/>
    <n v="9.0496178911968483E-2"/>
    <n v="1.6015694575667556E-2"/>
    <n v="5.3442356042627103E-3"/>
    <n v="5.3442356042627103E-3"/>
    <n v="5.3442356042627103E-3"/>
    <n v="5.3442356042627103E-3"/>
    <n v="0"/>
    <n v="0"/>
    <n v="0"/>
    <n v="0"/>
    <n v="0"/>
    <n v="0"/>
    <n v="0"/>
    <n v="0"/>
    <n v="0"/>
  </r>
  <r>
    <s v="Tier 1"/>
    <s v="Business"/>
    <s v="Energy Audit"/>
    <s v="Kingston Hydro Corporation"/>
    <s v="EE"/>
    <x v="6"/>
    <x v="10"/>
    <m/>
    <m/>
    <m/>
    <m/>
    <m/>
    <n v="0"/>
    <n v="2.5885873147823913E-2"/>
    <n v="2.5885873147823913E-2"/>
    <n v="2.5885873147823913E-2"/>
    <n v="2.5885873147823913E-2"/>
    <n v="0"/>
    <n v="0"/>
    <n v="0"/>
    <n v="0"/>
    <n v="0"/>
    <n v="0"/>
    <n v="0"/>
    <n v="0"/>
    <n v="0"/>
    <n v="0"/>
    <n v="0"/>
    <n v="0"/>
    <n v="0"/>
    <n v="0"/>
    <n v="0"/>
    <n v="0"/>
    <n v="0"/>
    <n v="0"/>
    <n v="0"/>
    <n v="0"/>
    <n v="0"/>
    <n v="0"/>
    <n v="0"/>
    <n v="0"/>
    <n v="0"/>
  </r>
  <r>
    <s v="Tier 1"/>
    <s v="Business"/>
    <s v="High Performance New Construction"/>
    <s v="Kingston Hydro Corporation"/>
    <s v="EE"/>
    <x v="6"/>
    <x v="11"/>
    <m/>
    <m/>
    <m/>
    <m/>
    <m/>
    <n v="0"/>
    <n v="7.3548999999999999E-4"/>
    <n v="7.3548999999999999E-4"/>
    <n v="7.3548999999999999E-4"/>
    <n v="7.3548999999999999E-4"/>
    <n v="7.3548999999999999E-4"/>
    <n v="7.3548999999999999E-4"/>
    <n v="7.3548999999999999E-4"/>
    <n v="7.3548999999999999E-4"/>
    <n v="7.3548999999999999E-4"/>
    <n v="7.3548999999999999E-4"/>
    <n v="7.3548999999999999E-4"/>
    <n v="7.3548999999999999E-4"/>
    <n v="7.3548999999999999E-4"/>
    <n v="7.2862999999999997E-4"/>
    <n v="6.0661999999999999E-4"/>
    <n v="0"/>
    <n v="0"/>
    <n v="0"/>
    <n v="0"/>
    <n v="0"/>
    <n v="0"/>
    <n v="0"/>
    <n v="0"/>
    <n v="0"/>
    <n v="0"/>
    <n v="0"/>
    <n v="0"/>
    <n v="0"/>
    <n v="0"/>
  </r>
  <r>
    <s v="Tier 1"/>
    <s v="Consumer"/>
    <s v="Appliance Exchange"/>
    <s v="Kingston Hydro Corporation"/>
    <s v="EE"/>
    <x v="6"/>
    <x v="0"/>
    <m/>
    <m/>
    <m/>
    <m/>
    <m/>
    <n v="0"/>
    <n v="9.361432367923507E-3"/>
    <n v="9.361432367923507E-3"/>
    <n v="9.361432367923507E-3"/>
    <n v="8.5854502475039632E-3"/>
    <n v="0"/>
    <n v="0"/>
    <n v="0"/>
    <n v="0"/>
    <n v="0"/>
    <n v="0"/>
    <n v="0"/>
    <n v="0"/>
    <n v="0"/>
    <n v="0"/>
    <n v="0"/>
    <n v="0"/>
    <n v="0"/>
    <n v="0"/>
    <n v="0"/>
    <n v="0"/>
    <n v="0"/>
    <n v="0"/>
    <n v="0"/>
    <n v="0"/>
    <n v="0"/>
    <n v="0"/>
    <n v="0"/>
    <n v="0"/>
    <n v="0"/>
  </r>
  <r>
    <s v="Tier 1"/>
    <s v="Consumer"/>
    <s v="Appliance Retirement"/>
    <s v="Kingston Hydro Corporation"/>
    <s v="EE"/>
    <x v="6"/>
    <x v="0"/>
    <m/>
    <m/>
    <m/>
    <m/>
    <m/>
    <n v="0"/>
    <n v="5.1037180188290392E-3"/>
    <n v="5.1037180188290392E-3"/>
    <n v="5.1037180188290392E-3"/>
    <n v="5.1037180188290392E-3"/>
    <n v="2.8772237015347152E-3"/>
    <n v="0"/>
    <n v="0"/>
    <n v="0"/>
    <n v="0"/>
    <n v="0"/>
    <n v="0"/>
    <n v="0"/>
    <n v="0"/>
    <n v="0"/>
    <n v="0"/>
    <n v="0"/>
    <n v="0"/>
    <n v="0"/>
    <n v="0"/>
    <n v="0"/>
    <n v="0"/>
    <n v="0"/>
    <n v="0"/>
    <n v="0"/>
    <n v="0"/>
    <n v="0"/>
    <n v="0"/>
    <n v="0"/>
    <n v="0"/>
  </r>
  <r>
    <s v="Tier 1"/>
    <s v="Consumer"/>
    <s v="Bi-Annual Retailer Event"/>
    <s v="Kingston Hydro Corporation"/>
    <s v="EE"/>
    <x v="6"/>
    <x v="0"/>
    <m/>
    <m/>
    <m/>
    <m/>
    <m/>
    <n v="0"/>
    <n v="7.4202865281649492E-3"/>
    <n v="7.4202865281649492E-3"/>
    <n v="7.4202865281649492E-3"/>
    <n v="7.4202865281649492E-3"/>
    <n v="6.7919315565284155E-3"/>
    <n v="5.7475746556723412E-3"/>
    <n v="4.3028235072494455E-3"/>
    <n v="4.2869368937000583E-3"/>
    <n v="4.2869368937000583E-3"/>
    <n v="2.7646928861183463E-3"/>
    <n v="1.0816562553620282E-3"/>
    <n v="1.0815612839661095E-3"/>
    <n v="1.0815612839661095E-3"/>
    <n v="1.0630008934500884E-3"/>
    <n v="1.0630008934500884E-3"/>
    <n v="1.0365899507272559E-3"/>
    <n v="2.9084714567998273E-4"/>
    <n v="2.9084714567998273E-4"/>
    <n v="2.9084714567998273E-4"/>
    <n v="2.9084714567998273E-4"/>
    <n v="0"/>
    <n v="0"/>
    <n v="0"/>
    <n v="0"/>
    <n v="0"/>
    <n v="0"/>
    <n v="0"/>
    <n v="0"/>
    <n v="0"/>
  </r>
  <r>
    <s v="Tier 1"/>
    <s v="Consumer"/>
    <s v="Conservation Instant Coupon Booklet"/>
    <s v="Kingston Hydro Corporation"/>
    <s v="EE"/>
    <x v="6"/>
    <x v="0"/>
    <m/>
    <m/>
    <m/>
    <m/>
    <m/>
    <n v="0"/>
    <n v="1.1552491382742643E-3"/>
    <n v="1.1552491382742643E-3"/>
    <n v="1.1552491382742643E-3"/>
    <n v="1.1552491382742643E-3"/>
    <n v="1.1503725825611241E-3"/>
    <n v="1.1503725825611241E-3"/>
    <n v="9.8120824983549725E-4"/>
    <n v="9.7915971282518154E-4"/>
    <n v="9.7915971282518154E-4"/>
    <n v="9.7915971282518154E-4"/>
    <n v="1.8011337818279915E-5"/>
    <n v="1.7998933673902362E-5"/>
    <n v="1.7998933673902362E-5"/>
    <n v="1.7350808173443171E-5"/>
    <n v="1.7350808173443171E-5"/>
    <n v="1.6207027189383499E-5"/>
    <n v="0"/>
    <n v="0"/>
    <n v="0"/>
    <n v="0"/>
    <n v="0"/>
    <n v="0"/>
    <n v="0"/>
    <n v="0"/>
    <n v="0"/>
    <n v="0"/>
    <n v="0"/>
    <n v="0"/>
    <n v="0"/>
  </r>
  <r>
    <s v="Tier 1"/>
    <s v="Consumer"/>
    <s v="HVAC Incentives"/>
    <s v="Kingston Hydro Corporation"/>
    <s v="EE"/>
    <x v="6"/>
    <x v="0"/>
    <m/>
    <m/>
    <m/>
    <m/>
    <m/>
    <n v="0"/>
    <n v="5.2903506202825884E-2"/>
    <n v="5.2903506202825884E-2"/>
    <n v="5.2903506202825884E-2"/>
    <n v="5.2903506202825884E-2"/>
    <n v="5.2903506202825884E-2"/>
    <n v="5.2903506202825884E-2"/>
    <n v="5.2903506202825884E-2"/>
    <n v="5.2903506202825884E-2"/>
    <n v="5.2903506202825884E-2"/>
    <n v="5.2903506202825884E-2"/>
    <n v="5.2903506202825884E-2"/>
    <n v="5.2903506202825884E-2"/>
    <n v="5.2903506202825884E-2"/>
    <n v="5.2903506202825884E-2"/>
    <n v="5.2903506202825884E-2"/>
    <n v="5.2903506202825884E-2"/>
    <n v="5.2903506202825884E-2"/>
    <n v="5.2903506202825884E-2"/>
    <n v="4.6795541453567097E-2"/>
    <n v="0"/>
    <n v="0"/>
    <n v="0"/>
    <n v="0"/>
    <n v="0"/>
    <n v="0"/>
    <n v="0"/>
    <n v="0"/>
    <n v="0"/>
    <n v="0"/>
  </r>
  <r>
    <s v="Tier 1"/>
    <s v="Home Assistance"/>
    <s v="Home Assistance Program"/>
    <s v="Kingston Hydro Corporation"/>
    <s v="EE"/>
    <x v="6"/>
    <x v="0"/>
    <m/>
    <m/>
    <m/>
    <m/>
    <m/>
    <n v="0"/>
    <n v="5.8680801645386964E-3"/>
    <n v="5.740084510296584E-3"/>
    <n v="5.740084510296584E-3"/>
    <n v="5.740084510296584E-3"/>
    <n v="5.7348379353061342E-3"/>
    <n v="5.7348379353061342E-3"/>
    <n v="5.5974858012050391E-3"/>
    <n v="5.5974858012050391E-3"/>
    <n v="4.7108665630221369E-3"/>
    <n v="4.4496073946356778E-3"/>
    <n v="3.8620629180222748E-3"/>
    <n v="3.8620629180222748E-3"/>
    <n v="3.5703033376485111E-3"/>
    <n v="3.5703033376485111E-3"/>
    <n v="2.5357797909528017E-3"/>
    <n v="1.7523977309465409E-3"/>
    <n v="1.7523977309465409E-3"/>
    <n v="1.7523977309465409E-3"/>
    <n v="1.7523977309465409E-3"/>
    <n v="1.7523977309465409E-3"/>
    <n v="1.7172221839427949E-4"/>
    <n v="0"/>
    <n v="0"/>
    <n v="0"/>
    <n v="0"/>
    <n v="0"/>
    <n v="0"/>
    <n v="0"/>
    <n v="0"/>
  </r>
  <r>
    <s v="Tier 1"/>
    <s v="Industrial"/>
    <s v="Demand Response 3"/>
    <s v="Kingston Hydro Corporation"/>
    <s v="DR"/>
    <x v="6"/>
    <x v="12"/>
    <m/>
    <m/>
    <m/>
    <m/>
    <m/>
    <n v="0"/>
    <n v="0.34920435999999999"/>
    <n v="0"/>
    <n v="0"/>
    <n v="0"/>
    <n v="0"/>
    <n v="0"/>
    <n v="0"/>
    <n v="0"/>
    <n v="0"/>
    <n v="0"/>
    <n v="0"/>
    <n v="0"/>
    <n v="0"/>
    <n v="0"/>
    <n v="0"/>
    <n v="0"/>
    <n v="0"/>
    <n v="0"/>
    <n v="0"/>
    <n v="0"/>
    <n v="0"/>
    <n v="0"/>
    <n v="0"/>
    <n v="0"/>
    <n v="0"/>
    <n v="0"/>
    <n v="0"/>
    <n v="0"/>
    <n v="0"/>
  </r>
  <r>
    <s v="Tier 1"/>
    <s v="Pre-2011 Programs Completed in 2011"/>
    <s v="High Performance New Construction"/>
    <s v="Kingston Hydro Corporation"/>
    <s v="EE"/>
    <x v="6"/>
    <x v="7"/>
    <m/>
    <m/>
    <m/>
    <m/>
    <m/>
    <n v="0"/>
    <n v="9.0391555267743048E-2"/>
    <n v="9.0391555267743048E-2"/>
    <n v="9.0391555267743048E-2"/>
    <n v="9.0391555267743048E-2"/>
    <n v="9.0391555267743048E-2"/>
    <n v="9.0391555267743048E-2"/>
    <n v="9.0391555267743048E-2"/>
    <n v="9.0391555267743048E-2"/>
    <n v="9.0391555267743048E-2"/>
    <n v="9.0391555267743048E-2"/>
    <n v="9.0391555267743048E-2"/>
    <n v="9.0391555267743048E-2"/>
    <n v="0"/>
    <n v="0"/>
    <n v="0"/>
    <n v="0"/>
    <n v="0"/>
    <n v="0"/>
    <n v="0"/>
    <n v="0"/>
    <n v="0"/>
    <n v="0"/>
    <n v="0"/>
    <n v="0"/>
    <n v="0"/>
    <n v="0"/>
    <n v="0"/>
    <n v="0"/>
    <n v="0"/>
  </r>
  <r>
    <s v="Tier 1"/>
    <s v="Business"/>
    <s v="Demand Response 3 (part of the Industrial program schedule)"/>
    <s v="Kingston Hydro Corporation"/>
    <s v="DR"/>
    <x v="6"/>
    <x v="12"/>
    <m/>
    <m/>
    <m/>
    <m/>
    <m/>
    <n v="0"/>
    <n v="4.0302177390000002"/>
    <n v="0"/>
    <n v="0"/>
    <n v="0"/>
    <n v="0"/>
    <n v="0"/>
    <n v="0"/>
    <n v="0"/>
    <n v="0"/>
    <n v="0"/>
    <n v="0"/>
    <n v="0"/>
    <n v="0"/>
    <n v="0"/>
    <n v="0"/>
    <n v="0"/>
    <n v="0"/>
    <n v="0"/>
    <n v="0"/>
    <n v="0"/>
    <n v="0"/>
    <n v="0"/>
    <n v="0"/>
    <n v="0"/>
    <n v="0"/>
    <n v="0"/>
    <n v="0"/>
    <n v="0"/>
    <n v="0"/>
  </r>
  <r>
    <s v="Tier 1 - 2011 Adjustment"/>
    <s v="Business"/>
    <s v="Retrofit"/>
    <s v="Kingston Hydro Corporation"/>
    <s v="EE"/>
    <x v="5"/>
    <x v="5"/>
    <m/>
    <m/>
    <m/>
    <m/>
    <m/>
    <n v="3.378154859751618E-3"/>
    <n v="3.378154859751618E-3"/>
    <n v="3.378154859751618E-3"/>
    <n v="3.1507325252195365E-3"/>
    <n v="3.1507325252195365E-3"/>
    <n v="3.1507325252195365E-3"/>
    <n v="8.1429638321821318E-4"/>
    <n v="8.1429638321821318E-4"/>
    <n v="8.1429638321821318E-4"/>
    <n v="8.1429638321821318E-4"/>
    <n v="6.7051569755659322E-4"/>
    <n v="6.7051569755659322E-4"/>
    <n v="0"/>
    <n v="0"/>
    <n v="0"/>
    <n v="0"/>
    <n v="0"/>
    <n v="0"/>
    <n v="0"/>
    <n v="0"/>
    <n v="0"/>
    <n v="0"/>
    <n v="0"/>
    <n v="0"/>
    <n v="0"/>
    <n v="0"/>
    <n v="0"/>
    <n v="0"/>
    <n v="0"/>
    <n v="0"/>
  </r>
  <r>
    <s v="Tier 1 - 2011 Adjustment"/>
    <s v="Business"/>
    <s v="Direct Install Lighting"/>
    <s v="Kingston Hydro Corporation"/>
    <s v="EE"/>
    <x v="5"/>
    <x v="4"/>
    <m/>
    <m/>
    <m/>
    <m/>
    <m/>
    <n v="5.4381765160506929E-3"/>
    <n v="5.4381765160506929E-3"/>
    <n v="5.4381765160506929E-3"/>
    <n v="5.4381765160506929E-3"/>
    <n v="5.4381765160506929E-3"/>
    <n v="5.4381765160506929E-3"/>
    <n v="1.5335196912846338E-3"/>
    <n v="1.5335196912846338E-3"/>
    <n v="1.5335196912846338E-3"/>
    <n v="1.5335196912846338E-3"/>
    <n v="1.3779786256772517E-3"/>
    <n v="1.3779786256772517E-3"/>
    <n v="0"/>
    <n v="0"/>
    <n v="0"/>
    <n v="0"/>
    <n v="0"/>
    <n v="0"/>
    <n v="0"/>
    <n v="0"/>
    <n v="0"/>
    <n v="0"/>
    <n v="0"/>
    <n v="0"/>
    <n v="0"/>
    <n v="0"/>
    <n v="0"/>
    <n v="0"/>
    <n v="0"/>
    <n v="0"/>
  </r>
  <r>
    <s v="Tier 1 - 2011 Adjustment"/>
    <s v="Business"/>
    <s v="Energy Audit"/>
    <s v="Kingston Hydro Corporation"/>
    <s v="EE"/>
    <x v="5"/>
    <x v="6"/>
    <m/>
    <m/>
    <m/>
    <m/>
    <m/>
    <n v="1.0354349259129566E-2"/>
    <n v="1.0354349259129566E-2"/>
    <n v="1.0354349259129566E-2"/>
    <n v="1.0354349259129566E-2"/>
    <n v="1.0354349259129566E-2"/>
    <n v="0"/>
    <n v="0"/>
    <n v="0"/>
    <n v="0"/>
    <n v="0"/>
    <n v="0"/>
    <n v="0"/>
    <n v="0"/>
    <n v="0"/>
    <n v="0"/>
    <n v="0"/>
    <n v="0"/>
    <n v="0"/>
    <n v="0"/>
    <n v="0"/>
    <n v="0"/>
    <n v="0"/>
    <n v="0"/>
    <n v="0"/>
    <n v="0"/>
    <n v="0"/>
    <n v="0"/>
    <n v="0"/>
    <n v="0"/>
    <n v="0"/>
  </r>
  <r>
    <s v="Tier 1 - 2011 Adjustment"/>
    <s v="Pre-2011 Programs Completed in 2011"/>
    <s v="High Performance New Construction"/>
    <s v="Kingston Hydro Corporation"/>
    <s v="EE"/>
    <x v="5"/>
    <x v="7"/>
    <m/>
    <m/>
    <m/>
    <m/>
    <m/>
    <n v="8.6568548946215532E-2"/>
    <n v="8.6568548946215532E-2"/>
    <n v="8.6568548946215532E-2"/>
    <n v="8.6568548946215532E-2"/>
    <n v="8.6568548946215504E-2"/>
    <n v="8.6568548946215504E-2"/>
    <n v="8.6568548946215504E-2"/>
    <n v="8.6568548946215504E-2"/>
    <n v="8.6568548946215504E-2"/>
    <n v="8.6568548946215504E-2"/>
    <n v="8.6568548946215504E-2"/>
    <n v="8.6568548946215504E-2"/>
    <n v="8.6568548946215504E-2"/>
    <n v="8.6568548946215504E-2"/>
    <n v="8.6568548946215504E-2"/>
    <n v="0"/>
    <n v="0"/>
    <n v="0"/>
    <n v="0"/>
    <n v="0"/>
    <n v="0"/>
    <n v="0"/>
    <n v="0"/>
    <n v="0"/>
    <n v="0"/>
    <n v="0"/>
    <n v="0"/>
    <n v="0"/>
    <n v="0"/>
    <n v="0"/>
  </r>
  <r>
    <s v="Tier 1 - 2011 Adjustment"/>
    <s v="Consumer"/>
    <s v="HVAC Incentives"/>
    <s v="Kingston Hydro Corporation"/>
    <s v="EE"/>
    <x v="5"/>
    <x v="0"/>
    <m/>
    <m/>
    <m/>
    <m/>
    <m/>
    <n v="-2.3685847270150318E-2"/>
    <n v="-2.3685847270150318E-2"/>
    <n v="-2.3685847270150318E-2"/>
    <n v="-2.3685847270150318E-2"/>
    <n v="-2.3685847270150318E-2"/>
    <n v="-2.3685847270150318E-2"/>
    <n v="-2.3685847270150318E-2"/>
    <n v="-2.3685847270150318E-2"/>
    <n v="-2.3685847270150318E-2"/>
    <n v="-2.3685847270150318E-2"/>
    <n v="-2.3685847270150318E-2"/>
    <n v="-2.3685847270150318E-2"/>
    <n v="-2.3685847270150318E-2"/>
    <n v="-2.3685847270150318E-2"/>
    <n v="-2.3685847270150318E-2"/>
    <n v="-2.3685847270150318E-2"/>
    <n v="-2.3685847270150318E-2"/>
    <n v="-2.3685847270150318E-2"/>
    <n v="-2.1446832855818238E-2"/>
    <n v="0"/>
    <n v="0"/>
    <n v="0"/>
    <n v="0"/>
    <n v="0"/>
    <n v="0"/>
    <n v="0"/>
    <n v="0"/>
    <n v="0"/>
    <n v="0"/>
    <n v="0"/>
  </r>
  <r>
    <s v="Tier 1 - 2011 Adjustment"/>
    <s v="Consumer"/>
    <s v="Bi-Annual Retailer Event"/>
    <s v="Kingston Hydro Corporation"/>
    <s v="EE"/>
    <x v="5"/>
    <x v="0"/>
    <m/>
    <m/>
    <m/>
    <m/>
    <m/>
    <n v="5.4080493656570279E-4"/>
    <n v="5.4080493656570279E-4"/>
    <n v="5.4080493656570279E-4"/>
    <n v="5.4080493656570279E-4"/>
    <n v="5.4080493656570279E-4"/>
    <n v="4.9453369266803601E-4"/>
    <n v="2.8260324476133932E-4"/>
    <n v="2.824783436041136E-4"/>
    <n v="2.824783436041136E-4"/>
    <n v="8.8700957299895782E-5"/>
    <n v="3.6854148344642996E-5"/>
    <n v="3.6844282817465873E-5"/>
    <n v="3.6844282817465873E-5"/>
    <n v="3.5150193788265586E-5"/>
    <n v="3.5150193788265586E-5"/>
    <n v="3.5072623649487696E-5"/>
    <n v="0"/>
    <n v="0"/>
    <n v="0"/>
    <n v="0"/>
    <n v="0"/>
    <n v="0"/>
    <n v="0"/>
    <n v="0"/>
    <n v="0"/>
    <n v="0"/>
    <n v="0"/>
    <n v="0"/>
    <n v="0"/>
    <n v="0"/>
  </r>
  <r>
    <s v="Tier 1 - 2011 Adjustment"/>
    <s v="Consumer"/>
    <s v="Conservation Instant Coupon Booklet"/>
    <s v="Kingston Hydro Corporation"/>
    <s v="EE"/>
    <x v="5"/>
    <x v="0"/>
    <m/>
    <m/>
    <m/>
    <m/>
    <m/>
    <n v="8.0716536029210186E-5"/>
    <n v="8.0716536029210186E-5"/>
    <n v="8.0716536029210186E-5"/>
    <n v="8.0716536029210186E-5"/>
    <n v="8.0716536029210186E-5"/>
    <n v="7.5192632285304986E-5"/>
    <n v="5.2593472630295316E-5"/>
    <n v="5.2473064996120374E-5"/>
    <n v="5.2473064996120374E-5"/>
    <n v="2.9339742017871936E-5"/>
    <n v="3.8783157347381345E-6"/>
    <n v="3.8742248453693084E-6"/>
    <n v="3.8742248453693084E-6"/>
    <n v="3.7736336550427315E-6"/>
    <n v="3.7736336550427315E-6"/>
    <n v="3.7046160849597967E-6"/>
    <n v="0"/>
    <n v="0"/>
    <n v="0"/>
    <n v="0"/>
    <n v="0"/>
    <n v="0"/>
    <n v="0"/>
    <n v="0"/>
    <n v="0"/>
    <n v="0"/>
    <n v="0"/>
    <n v="0"/>
    <n v="0"/>
    <n v="0"/>
  </r>
  <r>
    <s v="LDC"/>
    <s v="Business"/>
    <s v="Energy Audit Funding"/>
    <s v="Kingston Hydro Corporation"/>
    <s v="EE"/>
    <x v="6"/>
    <x v="10"/>
    <m/>
    <m/>
    <m/>
    <m/>
    <m/>
    <s v=""/>
    <n v="1.0354349258999999E-2"/>
    <n v="1.0354349258999999E-2"/>
    <n v="1.0354349258999999E-2"/>
    <n v="1.0354349258999999E-2"/>
    <s v=""/>
    <s v=""/>
    <s v=""/>
    <s v=""/>
    <s v=""/>
    <s v=""/>
    <s v=""/>
    <s v=""/>
    <s v=""/>
    <s v=""/>
    <s v=""/>
    <s v=""/>
    <s v=""/>
    <s v=""/>
    <s v=""/>
    <s v=""/>
    <s v=""/>
    <s v=""/>
    <s v=""/>
    <s v=""/>
    <s v=""/>
    <s v=""/>
    <s v=""/>
    <s v=""/>
    <s v=""/>
  </r>
  <r>
    <s v="LDC"/>
    <s v="Business"/>
    <s v="Energy Audit Funding"/>
    <s v="Kingston Hydro Corporation"/>
    <s v="EE"/>
    <x v="7"/>
    <x v="13"/>
    <m/>
    <m/>
    <m/>
    <m/>
    <m/>
    <s v=""/>
    <s v=""/>
    <n v="1.7625353245999998E-2"/>
    <n v="1.7625353245999998E-2"/>
    <n v="1.7625353245999998E-2"/>
    <n v="1.7625353245999998E-2"/>
    <s v=""/>
    <s v=""/>
    <s v=""/>
    <s v=""/>
    <s v=""/>
    <s v=""/>
    <s v=""/>
    <s v=""/>
    <s v=""/>
    <s v=""/>
    <s v=""/>
    <s v=""/>
    <s v=""/>
    <s v=""/>
    <s v=""/>
    <s v=""/>
    <s v=""/>
    <s v=""/>
    <s v=""/>
    <s v=""/>
    <s v=""/>
    <s v=""/>
    <s v=""/>
    <s v=""/>
  </r>
  <r>
    <s v="LDC"/>
    <s v="Business"/>
    <s v="DR-3"/>
    <s v="Kingston Hydro Corporation"/>
    <s v="DR"/>
    <x v="7"/>
    <x v="12"/>
    <m/>
    <m/>
    <m/>
    <m/>
    <m/>
    <s v=""/>
    <s v=""/>
    <n v="3.8944540000000001"/>
    <s v=""/>
    <s v=""/>
    <s v=""/>
    <s v=""/>
    <s v=""/>
    <s v=""/>
    <s v=""/>
    <s v=""/>
    <s v=""/>
    <s v=""/>
    <s v=""/>
    <s v=""/>
    <s v=""/>
    <s v=""/>
    <s v=""/>
    <s v=""/>
    <s v=""/>
    <s v=""/>
    <s v=""/>
    <s v=""/>
    <s v=""/>
    <s v=""/>
    <s v=""/>
    <s v=""/>
    <s v=""/>
    <s v=""/>
    <s v=""/>
  </r>
  <r>
    <s v="LDC"/>
    <s v="Business"/>
    <s v="New Construction"/>
    <s v="Kingston Hydro Corporation"/>
    <s v="EE"/>
    <x v="7"/>
    <x v="14"/>
    <m/>
    <m/>
    <m/>
    <m/>
    <m/>
    <s v=""/>
    <s v=""/>
    <n v="2.1600000000000001E-2"/>
    <n v="2.1600000000000001E-2"/>
    <n v="2.1600000000000001E-2"/>
    <n v="2.1600000000000001E-2"/>
    <n v="2.1600000000000001E-2"/>
    <n v="2.1600000000000001E-2"/>
    <n v="2.1600000000000001E-2"/>
    <n v="2.1600000000000001E-2"/>
    <n v="2.1600000000000001E-2"/>
    <n v="2.1600000000000001E-2"/>
    <n v="2.1600000000000001E-2"/>
    <n v="2.1600000000000001E-2"/>
    <n v="2.1600000000000001E-2"/>
    <n v="2.1600000000000001E-2"/>
    <n v="2.1600000000000001E-2"/>
    <n v="0"/>
    <n v="0"/>
    <n v="0"/>
    <n v="0"/>
    <n v="0"/>
    <n v="0"/>
    <n v="0"/>
    <n v="0"/>
    <n v="0"/>
    <n v="0"/>
    <n v="0"/>
    <n v="0"/>
    <n v="0"/>
  </r>
  <r>
    <s v="LDC"/>
    <s v="Business"/>
    <s v="Retrofit"/>
    <s v="Kingston Hydro Corporation"/>
    <s v="EE"/>
    <x v="6"/>
    <x v="9"/>
    <m/>
    <m/>
    <m/>
    <m/>
    <m/>
    <s v=""/>
    <n v="1.3515025522E-2"/>
    <n v="1.3515025522E-2"/>
    <n v="1.3515025522E-2"/>
    <n v="1.3515025522E-2"/>
    <n v="1.3515025522E-2"/>
    <n v="1.3515025522E-2"/>
    <n v="1.3515025522E-2"/>
    <n v="1.3515025522E-2"/>
    <n v="1.3515025522E-2"/>
    <n v="1.3515025522E-2"/>
    <n v="1.3515025522E-2"/>
    <n v="1.3515025522E-2"/>
    <n v="1.3515025522E-2"/>
    <n v="1.3515025522E-2"/>
    <n v="1.3515025522E-2"/>
    <n v="9.6639943269999987E-3"/>
    <n v="0"/>
    <n v="0"/>
    <n v="0"/>
    <n v="0"/>
    <n v="0"/>
    <n v="0"/>
    <n v="0"/>
    <n v="0"/>
    <n v="0"/>
    <n v="0"/>
    <n v="0"/>
    <n v="0"/>
    <n v="0"/>
  </r>
  <r>
    <s v="LDC"/>
    <s v="Business"/>
    <s v="Retrofit"/>
    <s v="Kingston Hydro Corporation"/>
    <s v="EE"/>
    <x v="7"/>
    <x v="15"/>
    <m/>
    <m/>
    <m/>
    <m/>
    <m/>
    <s v=""/>
    <s v=""/>
    <n v="0.240247059165"/>
    <n v="0.240247059165"/>
    <n v="0.240247059165"/>
    <n v="0.15139045493600001"/>
    <n v="0.138290203567"/>
    <n v="0.136043313458"/>
    <n v="0.136043313458"/>
    <n v="0.136043313458"/>
    <n v="0.13564660698"/>
    <n v="0.122835742931"/>
    <n v="0.10722446109"/>
    <n v="0.10722446109"/>
    <n v="6.8424480384000008E-2"/>
    <n v="6.8424480384000008E-2"/>
    <n v="6.8424480384000008E-2"/>
    <n v="5.9805434121999998E-2"/>
    <n v="2.3652452804999998E-2"/>
    <n v="2.3472398347E-2"/>
    <n v="2.3472398347E-2"/>
    <n v="2.3472398347E-2"/>
    <n v="0"/>
    <n v="0"/>
    <n v="0"/>
    <n v="0"/>
    <n v="0"/>
    <n v="0"/>
    <n v="0"/>
    <n v="0"/>
  </r>
  <r>
    <s v="LDC"/>
    <s v="Business"/>
    <s v="Small Business Lighting"/>
    <s v="Kingston Hydro Corporation"/>
    <s v="EE"/>
    <x v="6"/>
    <x v="8"/>
    <m/>
    <m/>
    <m/>
    <m/>
    <m/>
    <s v=""/>
    <n v="1.9581511959999999E-2"/>
    <n v="1.9581511959999999E-2"/>
    <n v="1.9581511959999999E-2"/>
    <n v="1.5990289335000001E-2"/>
    <n v="1.5990289335000001E-2"/>
    <n v="4.8894790290000007E-3"/>
    <n v="4.8894790290000007E-3"/>
    <n v="4.8894790290000007E-3"/>
    <n v="4.8894790290000007E-3"/>
    <n v="4.8894790290000007E-3"/>
    <n v="4.2056494559999996E-3"/>
    <n v="4.2056494559999996E-3"/>
    <n v="0"/>
    <n v="0"/>
    <n v="0"/>
    <n v="0"/>
    <n v="0"/>
    <n v="0"/>
    <n v="0"/>
    <n v="0"/>
    <n v="0"/>
    <n v="0"/>
    <n v="0"/>
    <n v="0"/>
    <n v="0"/>
    <n v="0"/>
    <n v="0"/>
    <n v="0"/>
    <n v="0"/>
  </r>
  <r>
    <s v="LDC"/>
    <s v="Business"/>
    <s v="Small Business Lighting"/>
    <s v="Kingston Hydro Corporation"/>
    <s v="EE"/>
    <x v="7"/>
    <x v="16"/>
    <m/>
    <m/>
    <m/>
    <m/>
    <m/>
    <s v=""/>
    <s v=""/>
    <n v="6.4120936588000013E-2"/>
    <n v="6.4120936588000013E-2"/>
    <n v="6.2021401407E-2"/>
    <n v="4.8870097676E-2"/>
    <n v="1.9300007295000001E-2"/>
    <n v="1.9300007295000001E-2"/>
    <n v="1.9300007295000001E-2"/>
    <n v="1.9300007295000001E-2"/>
    <n v="1.9300007295000001E-2"/>
    <n v="1.9300007295000001E-2"/>
    <n v="1.7743160717999997E-2"/>
    <n v="1.5942877756E-2"/>
    <n v="0"/>
    <n v="0"/>
    <n v="0"/>
    <n v="0"/>
    <n v="0"/>
    <n v="0"/>
    <n v="0"/>
    <n v="0"/>
    <n v="0"/>
    <n v="0"/>
    <n v="0"/>
    <n v="0"/>
    <n v="0"/>
    <n v="0"/>
    <n v="0"/>
    <n v="0"/>
  </r>
  <r>
    <s v="LDC"/>
    <s v="Consumer"/>
    <s v="Annual Coupons"/>
    <s v="Kingston Hydro Corporation"/>
    <s v="EE"/>
    <x v="7"/>
    <x v="0"/>
    <m/>
    <m/>
    <m/>
    <m/>
    <m/>
    <n v="0"/>
    <n v="0"/>
    <n v="2.5900391630000004E-3"/>
    <n v="2.5900391630000004E-3"/>
    <n v="2.4965525639999999E-3"/>
    <n v="2.140165062E-3"/>
    <n v="2.140165062E-3"/>
    <n v="2.140165062E-3"/>
    <n v="2.140165062E-3"/>
    <n v="2.1371703809999996E-3"/>
    <n v="1.598479671E-3"/>
    <n v="1.598479671E-3"/>
    <n v="1.2840042039999999E-3"/>
    <n v="1.2839682709999999E-3"/>
    <n v="1.2839682709999999E-3"/>
    <n v="1.2820541219999999E-3"/>
    <n v="1.2820541219999999E-3"/>
    <n v="1.2804860680000001E-3"/>
    <n v="1.2409174000000002E-3"/>
    <n v="7.2839098099999997E-4"/>
    <n v="7.2839098099999997E-4"/>
    <n v="7.2839098099999997E-4"/>
    <n v="0"/>
    <n v="0"/>
    <n v="0"/>
    <n v="0"/>
    <n v="0"/>
    <n v="0"/>
    <n v="0"/>
    <n v="0"/>
  </r>
  <r>
    <s v="LDC"/>
    <s v="Consumer"/>
    <s v="Appliance Exchange"/>
    <s v="Kingston Hydro Corporation"/>
    <s v="EE"/>
    <x v="7"/>
    <x v="0"/>
    <m/>
    <m/>
    <m/>
    <m/>
    <m/>
    <s v=""/>
    <s v=""/>
    <n v="1.4503586930000002E-3"/>
    <n v="1.4503586930000002E-3"/>
    <n v="1.4503586930000002E-3"/>
    <n v="1.4503586930000002E-3"/>
    <n v="0"/>
    <n v="0"/>
    <n v="0"/>
    <n v="0"/>
    <n v="0"/>
    <n v="0"/>
    <n v="0"/>
    <n v="0"/>
    <n v="0"/>
    <n v="0"/>
    <n v="0"/>
    <n v="0"/>
    <n v="0"/>
    <n v="0"/>
    <n v="0"/>
    <n v="0"/>
    <n v="0"/>
    <n v="0"/>
    <n v="0"/>
    <n v="0"/>
    <n v="0"/>
    <n v="0"/>
    <n v="0"/>
    <n v="0"/>
  </r>
  <r>
    <s v="LDC"/>
    <s v="Consumer"/>
    <s v="Appliance Retirement"/>
    <s v="Kingston Hydro Corporation"/>
    <s v="EE"/>
    <x v="7"/>
    <x v="0"/>
    <m/>
    <m/>
    <m/>
    <m/>
    <m/>
    <s v=""/>
    <s v=""/>
    <n v="3.0973453819999998E-3"/>
    <n v="3.0973453819999998E-3"/>
    <n v="3.0973453819999998E-3"/>
    <n v="2.9925613520000002E-3"/>
    <n v="1.941960267E-3"/>
    <n v="0"/>
    <n v="0"/>
    <n v="0"/>
    <n v="0"/>
    <n v="0"/>
    <n v="0"/>
    <n v="0"/>
    <n v="0"/>
    <n v="0"/>
    <n v="0"/>
    <n v="0"/>
    <n v="0"/>
    <n v="0"/>
    <n v="0"/>
    <n v="0"/>
    <n v="0"/>
    <n v="0"/>
    <n v="0"/>
    <n v="0"/>
    <n v="0"/>
    <n v="0"/>
    <n v="0"/>
    <n v="0"/>
  </r>
  <r>
    <s v="LDC"/>
    <s v="Consumer"/>
    <s v="Bi-Annual Retailer Events"/>
    <s v="Kingston Hydro Corporation"/>
    <s v="EE"/>
    <x v="7"/>
    <x v="0"/>
    <m/>
    <m/>
    <m/>
    <m/>
    <m/>
    <n v="0"/>
    <n v="0"/>
    <n v="5.9345990720000002E-3"/>
    <n v="5.9345990720000002E-3"/>
    <n v="5.6087923719999998E-3"/>
    <n v="4.496896805E-3"/>
    <n v="4.496896805E-3"/>
    <n v="4.496896805E-3"/>
    <n v="4.496896805E-3"/>
    <n v="4.4883901749999998E-3"/>
    <n v="3.8577274090000001E-3"/>
    <n v="3.8577274090000001E-3"/>
    <n v="2.7992783100000002E-3"/>
    <n v="1.8081310680000001E-3"/>
    <n v="1.8081310680000001E-3"/>
    <n v="1.7725121669999999E-3"/>
    <n v="1.7725121669999999E-3"/>
    <n v="1.754238701E-3"/>
    <n v="1.5142027510000001E-3"/>
    <n v="8.8880281900000004E-4"/>
    <n v="8.8880281900000004E-4"/>
    <n v="8.8880281900000004E-4"/>
    <n v="0"/>
    <n v="0"/>
    <n v="0"/>
    <n v="0"/>
    <n v="0"/>
    <n v="0"/>
    <n v="0"/>
    <n v="0"/>
  </r>
  <r>
    <s v="LDC"/>
    <s v="Consumer"/>
    <s v="Home Assistance Program"/>
    <s v="Kingston Hydro Corporation"/>
    <s v="EE"/>
    <x v="7"/>
    <x v="0"/>
    <m/>
    <m/>
    <m/>
    <m/>
    <m/>
    <n v="0"/>
    <n v="0"/>
    <n v="2.6881332139E-2"/>
    <n v="2.6594034959E-2"/>
    <n v="2.6498184522E-2"/>
    <n v="2.5358590766999999E-2"/>
    <n v="2.4864018113E-2"/>
    <n v="2.4407409516000001E-2"/>
    <n v="2.3978436115000001E-2"/>
    <n v="2.3978436115000001E-2"/>
    <n v="1.9200819296999998E-2"/>
    <n v="1.8318592785000001E-2"/>
    <n v="1.7074210947000002E-2"/>
    <n v="1.7073214578000002E-2"/>
    <n v="1.4518080371000001E-2"/>
    <n v="1.4518080371000001E-2"/>
    <n v="5.8331719660000003E-3"/>
    <n v="4.5462213530000004E-3"/>
    <n v="4.5462213530000004E-3"/>
    <n v="4.5462213530000004E-3"/>
    <n v="4.5462213530000004E-3"/>
    <n v="4.5462213530000004E-3"/>
    <n v="2.4835860950000004E-3"/>
    <n v="0"/>
    <n v="0"/>
    <n v="0"/>
    <n v="0"/>
    <n v="0"/>
    <n v="0"/>
    <n v="0"/>
  </r>
  <r>
    <s v="LDC"/>
    <s v="Consumer"/>
    <s v="HVAC"/>
    <s v="Kingston Hydro Corporation"/>
    <s v="EE"/>
    <x v="6"/>
    <x v="0"/>
    <m/>
    <m/>
    <m/>
    <m/>
    <m/>
    <s v=""/>
    <n v="1.765202916E-3"/>
    <n v="1.765202916E-3"/>
    <n v="1.765202916E-3"/>
    <n v="1.765202916E-3"/>
    <n v="1.765202916E-3"/>
    <n v="1.765202916E-3"/>
    <n v="1.765202916E-3"/>
    <n v="1.765202916E-3"/>
    <n v="1.765202916E-3"/>
    <n v="1.765202916E-3"/>
    <n v="1.765202916E-3"/>
    <n v="1.765202916E-3"/>
    <n v="1.765202916E-3"/>
    <n v="1.765202916E-3"/>
    <n v="1.765202916E-3"/>
    <n v="1.765202916E-3"/>
    <n v="1.765202916E-3"/>
    <n v="1.765202916E-3"/>
    <n v="1.765202916E-3"/>
    <n v="1.5037883720000001E-3"/>
    <n v="0"/>
    <n v="0"/>
    <n v="0"/>
    <n v="0"/>
    <n v="0"/>
    <n v="0"/>
    <n v="0"/>
    <n v="0"/>
    <n v="0"/>
  </r>
  <r>
    <s v="LDC"/>
    <s v="Consumer"/>
    <s v="HVAC"/>
    <s v="Kingston Hydro Corporation"/>
    <s v="EE"/>
    <x v="7"/>
    <x v="0"/>
    <m/>
    <m/>
    <m/>
    <m/>
    <m/>
    <s v=""/>
    <s v=""/>
    <n v="3.8167186908999999E-2"/>
    <n v="3.8167186908999999E-2"/>
    <n v="3.8167186908999999E-2"/>
    <n v="3.8167186908999999E-2"/>
    <n v="3.8167186908999999E-2"/>
    <n v="3.8167186908999999E-2"/>
    <n v="3.8167186908999999E-2"/>
    <n v="3.8167186908999999E-2"/>
    <n v="3.8167186908999999E-2"/>
    <n v="3.8167186908999999E-2"/>
    <n v="3.8167186908999999E-2"/>
    <n v="3.8167186908999999E-2"/>
    <n v="3.8167186908999999E-2"/>
    <n v="3.8167186908999999E-2"/>
    <n v="3.8167186908999999E-2"/>
    <n v="3.8167186908999999E-2"/>
    <n v="3.8167186908999999E-2"/>
    <n v="3.8167186908999999E-2"/>
    <n v="3.4181807161999998E-2"/>
    <n v="0"/>
    <n v="0"/>
    <n v="0"/>
    <n v="0"/>
    <n v="0"/>
    <n v="0"/>
    <n v="0"/>
    <n v="0"/>
    <n v="0"/>
  </r>
  <r>
    <s v="LDC"/>
    <s v="Industrial"/>
    <s v="DR-3"/>
    <s v="Kingston Hydro Corporation"/>
    <s v="DR"/>
    <x v="7"/>
    <x v="2"/>
    <m/>
    <m/>
    <m/>
    <m/>
    <m/>
    <s v=""/>
    <s v=""/>
    <n v="0.32550490000000004"/>
    <s v=""/>
    <s v=""/>
    <s v=""/>
    <s v=""/>
    <s v=""/>
    <s v=""/>
    <s v=""/>
    <s v=""/>
    <s v=""/>
    <s v=""/>
    <s v=""/>
    <s v=""/>
    <s v=""/>
    <s v=""/>
    <s v=""/>
    <s v=""/>
    <s v=""/>
    <s v=""/>
    <s v=""/>
    <s v=""/>
    <s v=""/>
    <s v=""/>
    <s v=""/>
    <s v=""/>
    <s v=""/>
    <s v=""/>
    <s v=""/>
  </r>
  <r>
    <s v="KH Projections"/>
    <s v="Business"/>
    <s v="Energy Audit Funding"/>
    <s v="Kingston Hydro Corporation"/>
    <m/>
    <x v="8"/>
    <x v="17"/>
    <m/>
    <m/>
    <m/>
    <m/>
    <m/>
    <m/>
    <m/>
    <m/>
    <n v="6.6834999999999992E-2"/>
    <n v="6.6834999999999992E-2"/>
    <n v="6.6834999999999992E-2"/>
    <n v="6.6834999999999992E-2"/>
    <m/>
    <m/>
    <m/>
    <m/>
    <m/>
    <m/>
    <m/>
    <m/>
    <m/>
    <m/>
    <m/>
    <m/>
    <m/>
    <m/>
    <m/>
    <m/>
    <m/>
    <m/>
    <m/>
    <m/>
    <m/>
    <m/>
    <m/>
  </r>
  <r>
    <s v="KH Projections"/>
    <s v="Business"/>
    <s v="New Construction"/>
    <s v="Kingston Hydro Corporation"/>
    <m/>
    <x v="8"/>
    <x v="18"/>
    <m/>
    <m/>
    <m/>
    <m/>
    <m/>
    <m/>
    <m/>
    <m/>
    <n v="4.8905000000000004E-2"/>
    <n v="4.8905000000000004E-2"/>
    <n v="4.8905000000000004E-2"/>
    <n v="4.8905000000000004E-2"/>
    <n v="4.8905000000000004E-2"/>
    <n v="4.8905000000000004E-2"/>
    <n v="4.8905000000000004E-2"/>
    <n v="4.8905000000000004E-2"/>
    <n v="4.8905000000000004E-2"/>
    <n v="4.8905000000000004E-2"/>
    <n v="4.8905000000000004E-2"/>
    <n v="4.8905000000000004E-2"/>
    <n v="4.8905000000000004E-2"/>
    <n v="4.8905000000000004E-2"/>
    <n v="4.8905000000000004E-2"/>
    <m/>
    <m/>
    <m/>
    <m/>
    <m/>
    <m/>
    <m/>
    <m/>
    <m/>
    <m/>
    <m/>
    <m/>
  </r>
  <r>
    <s v="KH Projections"/>
    <s v="Business"/>
    <s v="Retrofit"/>
    <s v="Kingston Hydro Corporation"/>
    <m/>
    <x v="8"/>
    <x v="19"/>
    <m/>
    <m/>
    <m/>
    <m/>
    <m/>
    <m/>
    <m/>
    <m/>
    <n v="0.233043"/>
    <n v="0.233043"/>
    <n v="0.233043"/>
    <n v="0.14685085391792396"/>
    <n v="0.13414342727804512"/>
    <n v="0.13196391251731682"/>
    <n v="0.13196391251731682"/>
    <n v="0.13196391251731682"/>
    <n v="0.13157910169768028"/>
    <n v="0.119152384796556"/>
    <n v="0.10400922355780161"/>
    <n v="0.10400922355780161"/>
    <n v="6.6372700825349212E-2"/>
    <n v="6.6372700825349212E-2"/>
    <n v="6.6372700825349212E-2"/>
    <n v="5.8012105673773309E-2"/>
    <n v="2.2943209287111341E-2"/>
    <n v="2.2768553950219681E-2"/>
    <n v="2.2768553950219681E-2"/>
    <n v="2.2768553950219681E-2"/>
    <m/>
    <m/>
    <m/>
    <m/>
    <m/>
    <m/>
    <m/>
  </r>
  <r>
    <s v="KH Projections"/>
    <s v="Business"/>
    <s v="Small Business Lighting"/>
    <s v="Kingston Hydro Corporation"/>
    <m/>
    <x v="8"/>
    <x v="20"/>
    <m/>
    <m/>
    <m/>
    <m/>
    <m/>
    <m/>
    <m/>
    <m/>
    <n v="9.3215999999999993E-2"/>
    <n v="9.3215999999999993E-2"/>
    <n v="9.0163794560619001E-2"/>
    <n v="7.1045048113326445E-2"/>
    <n v="2.8057442322940249E-2"/>
    <n v="2.8057442322940249E-2"/>
    <n v="2.8057442322940249E-2"/>
    <n v="2.8057442322940249E-2"/>
    <n v="2.8057442322940249E-2"/>
    <n v="2.8057442322940249E-2"/>
    <n v="2.579417203644865E-2"/>
    <n v="2.3177005389865425E-2"/>
    <n v="0"/>
    <m/>
    <m/>
    <m/>
    <m/>
    <m/>
    <m/>
    <m/>
    <m/>
    <m/>
    <m/>
    <m/>
    <m/>
    <m/>
    <m/>
  </r>
  <r>
    <s v="KH Projections"/>
    <s v="Consumer"/>
    <s v="Conservation Coupon Instant Booklet"/>
    <s v="Kingston Hydro Corporation"/>
    <m/>
    <x v="8"/>
    <x v="0"/>
    <m/>
    <m/>
    <m/>
    <m/>
    <m/>
    <m/>
    <m/>
    <m/>
    <n v="1.3194000000000001E-2"/>
    <n v="1.3194000000000001E-2"/>
    <n v="1.2717766974327405E-2"/>
    <n v="1.0902282186081368E-2"/>
    <n v="1.0902282186081368E-2"/>
    <n v="1.0902282186081368E-2"/>
    <n v="1.0902282186081368E-2"/>
    <n v="1.0887026887366796E-2"/>
    <n v="8.142865590783345E-3"/>
    <n v="8.142865590783345E-3"/>
    <n v="6.5408862188606198E-3"/>
    <n v="6.5407031714346305E-3"/>
    <n v="6.5407031714346305E-3"/>
    <n v="6.5309522447819426E-3"/>
    <n v="6.5309522447819426E-3"/>
    <n v="6.522964371559194E-3"/>
    <n v="6.3213963748084056E-3"/>
    <n v="3.7105194163096892E-3"/>
    <n v="3.7105194163096892E-3"/>
    <n v="3.7105194163096892E-3"/>
    <m/>
    <m/>
    <m/>
    <m/>
    <m/>
    <m/>
    <m/>
  </r>
  <r>
    <s v="KH Projections"/>
    <s v="Consumer"/>
    <s v="Appliance Exchange"/>
    <s v="Kingston Hydro Corporation"/>
    <m/>
    <x v="8"/>
    <x v="0"/>
    <m/>
    <m/>
    <m/>
    <m/>
    <m/>
    <m/>
    <m/>
    <m/>
    <n v="8.4949999999999991E-3"/>
    <n v="8.4949999999999991E-3"/>
    <n v="8.4949999999999991E-3"/>
    <n v="8.4949999999999991E-3"/>
    <n v="0"/>
    <m/>
    <m/>
    <m/>
    <m/>
    <m/>
    <m/>
    <m/>
    <m/>
    <m/>
    <m/>
    <m/>
    <m/>
    <m/>
    <m/>
    <m/>
    <m/>
    <m/>
    <m/>
    <m/>
    <m/>
    <m/>
    <m/>
  </r>
  <r>
    <s v="KH Projections"/>
    <s v="Consumer"/>
    <s v="Appliance Retirement"/>
    <s v="Kingston Hydro Corporation"/>
    <m/>
    <x v="8"/>
    <x v="0"/>
    <m/>
    <m/>
    <m/>
    <m/>
    <m/>
    <m/>
    <m/>
    <m/>
    <n v="4.3179999999999998E-3"/>
    <n v="4.3179999999999998E-3"/>
    <n v="4.3179999999999998E-3"/>
    <n v="4.1719208949155548E-3"/>
    <n v="2.7072810419002864E-3"/>
    <m/>
    <m/>
    <m/>
    <m/>
    <m/>
    <m/>
    <m/>
    <m/>
    <m/>
    <m/>
    <m/>
    <m/>
    <m/>
    <m/>
    <m/>
    <m/>
    <m/>
    <m/>
    <m/>
    <m/>
    <m/>
    <m/>
  </r>
  <r>
    <s v="KH Projections"/>
    <s v="Consumer"/>
    <s v="Bi-Annual Retailer Events"/>
    <s v="Kingston Hydro Corporation"/>
    <m/>
    <x v="8"/>
    <x v="0"/>
    <m/>
    <m/>
    <m/>
    <m/>
    <m/>
    <m/>
    <m/>
    <m/>
    <n v="4.0328000000000003E-2"/>
    <n v="4.0328000000000003E-2"/>
    <n v="3.8114011752741365E-2"/>
    <n v="3.0558231845462067E-2"/>
    <n v="3.0558231845462067E-2"/>
    <n v="3.0558231845462067E-2"/>
    <n v="3.0558231845462067E-2"/>
    <n v="3.0500425855457015E-2"/>
    <n v="2.6214817389125223E-2"/>
    <n v="2.6214817389125223E-2"/>
    <n v="1.9022227839838816E-2"/>
    <n v="1.2286981618411172E-2"/>
    <n v="1.2286981618411172E-2"/>
    <n v="1.2044936785710466E-2"/>
    <n v="1.2044936785710466E-2"/>
    <n v="1.1920761196440264E-2"/>
    <n v="1.0289619871784996E-2"/>
    <n v="6.0397744902003043E-3"/>
    <n v="6.0397744902003043E-3"/>
    <n v="6.0397744902003043E-3"/>
    <m/>
    <m/>
    <m/>
    <m/>
    <m/>
    <m/>
    <m/>
  </r>
  <r>
    <s v="KH Projections"/>
    <s v="Consumer"/>
    <s v="Home Assistance Program"/>
    <s v="Kingston Hydro Corporation"/>
    <m/>
    <x v="8"/>
    <x v="0"/>
    <m/>
    <m/>
    <m/>
    <m/>
    <m/>
    <m/>
    <m/>
    <m/>
    <n v="7.6940000000000003E-3"/>
    <n v="7.6117695327192142E-3"/>
    <n v="7.5843351310882004E-3"/>
    <n v="7.2581595418119097E-3"/>
    <n v="7.1166024947057786E-3"/>
    <n v="6.9859115554639301E-3"/>
    <n v="6.8631303878407103E-3"/>
    <n v="6.8631303878407103E-3"/>
    <n v="5.4956764384748117E-3"/>
    <n v="5.243164741947688E-3"/>
    <n v="4.8869966096518397E-3"/>
    <n v="4.8867114279857538E-3"/>
    <n v="4.1553785280013808E-3"/>
    <n v="4.1553785280013808E-3"/>
    <n v="1.6695759300295444E-3"/>
    <n v="1.3012237231812736E-3"/>
    <n v="1.3012237231812736E-3"/>
    <n v="1.3012237231812736E-3"/>
    <n v="1.3012237231812736E-3"/>
    <n v="1.3012237231812736E-3"/>
    <n v="7.1085433252047385E-4"/>
    <m/>
    <m/>
    <m/>
    <m/>
    <m/>
    <m/>
  </r>
  <r>
    <s v="KH Projections"/>
    <s v="Consumer"/>
    <s v="HVAC"/>
    <s v="Kingston Hydro Corporation"/>
    <m/>
    <x v="8"/>
    <x v="0"/>
    <m/>
    <m/>
    <m/>
    <m/>
    <m/>
    <m/>
    <m/>
    <m/>
    <n v="6.5462999999999993E-2"/>
    <n v="6.5462999999999993E-2"/>
    <n v="6.5462999999999993E-2"/>
    <n v="6.5462999999999993E-2"/>
    <n v="6.5462999999999993E-2"/>
    <n v="6.5462999999999993E-2"/>
    <n v="6.5462999999999993E-2"/>
    <n v="6.5462999999999993E-2"/>
    <n v="6.5462999999999993E-2"/>
    <n v="6.5462999999999993E-2"/>
    <n v="6.5462999999999993E-2"/>
    <n v="6.5462999999999993E-2"/>
    <n v="6.5462999999999993E-2"/>
    <n v="6.5462999999999993E-2"/>
    <n v="6.5462999999999993E-2"/>
    <n v="6.5462999999999993E-2"/>
    <n v="6.5462999999999993E-2"/>
    <n v="6.5462999999999993E-2"/>
    <n v="5.8627418561946962E-2"/>
    <n v="0"/>
    <m/>
    <m/>
    <m/>
    <m/>
    <m/>
    <m/>
    <m/>
  </r>
  <r>
    <s v="KH Projections"/>
    <s v="Consumer"/>
    <s v="HVAC"/>
    <s v="Kingston Hydro Corporation"/>
    <m/>
    <x v="8"/>
    <x v="21"/>
    <m/>
    <m/>
    <m/>
    <m/>
    <m/>
    <m/>
    <m/>
    <m/>
    <m/>
    <m/>
    <m/>
    <m/>
    <m/>
    <m/>
    <m/>
    <m/>
    <m/>
    <m/>
    <m/>
    <m/>
    <m/>
    <m/>
    <m/>
    <m/>
    <m/>
    <m/>
    <m/>
    <m/>
    <m/>
    <m/>
    <m/>
    <m/>
    <m/>
    <m/>
    <m/>
  </r>
  <r>
    <s v="KH Projections"/>
    <s v="Consumer"/>
    <s v="Program Enabled Savings"/>
    <s v="Kingston Hydro Corporation"/>
    <m/>
    <x v="8"/>
    <x v="0"/>
    <m/>
    <m/>
    <m/>
    <m/>
    <m/>
    <m/>
    <m/>
    <m/>
    <n v="0"/>
    <m/>
    <m/>
    <m/>
    <m/>
    <m/>
    <m/>
    <m/>
    <m/>
    <m/>
    <m/>
    <m/>
    <m/>
    <m/>
    <m/>
    <m/>
    <m/>
    <m/>
    <m/>
    <m/>
    <m/>
    <m/>
    <m/>
    <m/>
    <m/>
    <m/>
    <m/>
  </r>
  <r>
    <s v="IESO - Filed CDM Plan"/>
    <s v="Business"/>
    <s v="Retrofit"/>
    <s v="Kingston Hydro Corporation"/>
    <m/>
    <x v="9"/>
    <x v="22"/>
    <m/>
    <m/>
    <m/>
    <m/>
    <m/>
    <m/>
    <m/>
    <m/>
    <m/>
    <n v="0.4397411982388944"/>
    <n v="0.95046664476836518"/>
    <n v="1.5250063535209557"/>
    <n v="2.1802734475058538"/>
    <n v="2.91626792672306"/>
    <n v="3.732989791172574"/>
    <n v="3.732989791172574"/>
    <n v="3.732989791172574"/>
    <n v="3.732989791172574"/>
    <n v="3.732989791172574"/>
    <n v="3.6817899551084823"/>
    <n v="3.1053631752938946"/>
    <n v="2.7424335843601928"/>
    <n v="2.3562174601787427"/>
    <n v="1.9298016797403545"/>
    <n v="1.5997191392159402"/>
    <n v="1.3460222940781166"/>
    <n v="1.1578732932132343"/>
    <n v="0.92919656337298129"/>
    <n v="0.65999210455735791"/>
    <n v="0.3502599167663642"/>
    <n v="0"/>
    <n v="0"/>
    <n v="0"/>
    <n v="0"/>
    <m/>
  </r>
  <r>
    <s v="IESO - Filed CDM Plan"/>
    <s v="Consumer"/>
    <s v="Heating and Cooling"/>
    <s v="Kingston Hydro Corporation"/>
    <m/>
    <x v="9"/>
    <x v="0"/>
    <m/>
    <m/>
    <m/>
    <m/>
    <m/>
    <m/>
    <m/>
    <m/>
    <m/>
    <n v="7.6181012294899583E-2"/>
    <n v="0.12398979831807605"/>
    <n v="0.13461209392625403"/>
    <n v="0.14523438953443205"/>
    <n v="0.15585668514261003"/>
    <n v="0.16647898075078801"/>
    <n v="0.16647898075078801"/>
    <n v="0.16647898075078801"/>
    <n v="0.16647898075078801"/>
    <n v="0.16647898075078801"/>
    <n v="0.16647898075078801"/>
    <n v="0.16647898075078801"/>
    <n v="0.16647898075078801"/>
    <n v="0.16647898075078801"/>
    <n v="0.16647898075078801"/>
    <n v="0.16647898075078801"/>
    <n v="0.16647898075078801"/>
    <n v="0.16647898075078801"/>
    <n v="0.12748445887088691"/>
    <n v="8.380750511604361E-2"/>
    <n v="3.5998719092867164E-2"/>
    <n v="2.5376423484689162E-2"/>
    <n v="1.4754127876511161E-2"/>
    <n v="4.1318322683331606E-3"/>
    <n v="0"/>
    <m/>
  </r>
  <r>
    <s v="IESO - Filed CDM Plan"/>
    <s v="Consumer"/>
    <s v="Coupon"/>
    <s v="Kingston Hydro Corporation"/>
    <m/>
    <x v="9"/>
    <x v="0"/>
    <m/>
    <m/>
    <m/>
    <m/>
    <m/>
    <m/>
    <m/>
    <m/>
    <m/>
    <n v="1.7720404723722962E-2"/>
    <n v="1.8311084881180391E-2"/>
    <n v="1.8901765038637823E-2"/>
    <n v="1.9492445196095255E-2"/>
    <n v="2.0083125353552684E-2"/>
    <n v="2.0673805511010116E-2"/>
    <n v="2.0673805511010116E-2"/>
    <n v="2.0673805511010116E-2"/>
    <n v="2.0673805511010116E-2"/>
    <n v="2.0673805511010116E-2"/>
    <n v="2.9534007872871601E-3"/>
    <n v="2.3627206298297283E-3"/>
    <n v="1.7720404723722961E-3"/>
    <n v="1.1813603149148642E-3"/>
    <n v="5.9068015745743208E-4"/>
    <n v="0"/>
    <n v="0"/>
    <n v="0"/>
    <n v="0"/>
    <n v="0"/>
    <n v="0"/>
    <n v="0"/>
    <n v="0"/>
    <n v="0"/>
    <n v="0"/>
    <m/>
  </r>
  <r>
    <s v="IESO - Filed CDM Plan"/>
    <s v="Consumer"/>
    <s v="Home Assistance Program"/>
    <s v="Kingston Hydro Corporation"/>
    <m/>
    <x v="9"/>
    <x v="0"/>
    <m/>
    <m/>
    <m/>
    <m/>
    <m/>
    <m/>
    <m/>
    <m/>
    <m/>
    <n v="3.6634248921356694E-2"/>
    <n v="7.3268497842713387E-2"/>
    <n v="0.10990274676407009"/>
    <n v="0.14653699568542677"/>
    <n v="0.1831712446067835"/>
    <n v="0.21980549352814019"/>
    <n v="0.21980549352814019"/>
    <n v="0.21980549352814019"/>
    <n v="0.21980549352814019"/>
    <n v="0.1831712446067835"/>
    <n v="0.14653699568542677"/>
    <n v="0.10990274676407009"/>
    <n v="7.3268497842713387E-2"/>
    <n v="3.6634248921356694E-2"/>
    <n v="0"/>
    <n v="0"/>
    <n v="0"/>
    <n v="0"/>
    <n v="0"/>
    <n v="0"/>
    <n v="0"/>
    <n v="0"/>
    <n v="0"/>
    <n v="0"/>
    <n v="0"/>
    <m/>
  </r>
  <r>
    <s v="IESO - Filed CDM Plan"/>
    <s v="Business"/>
    <s v="Direct Install Lighting (Archetype for Enhanced Direct Install)"/>
    <s v="Kingston Hydro Corporation"/>
    <m/>
    <x v="9"/>
    <x v="23"/>
    <m/>
    <m/>
    <m/>
    <m/>
    <m/>
    <m/>
    <m/>
    <m/>
    <m/>
    <n v="0.11569634489222118"/>
    <n v="0.23139296702899312"/>
    <n v="0.3576074639054716"/>
    <n v="0.49433983552165661"/>
    <n v="0.64159008187754818"/>
    <n v="0.79935820297314641"/>
    <n v="0.79935820297314641"/>
    <n v="0.79935820297314641"/>
    <n v="0.79935820297314641"/>
    <n v="0.68366185808092528"/>
    <n v="0.56796523594415327"/>
    <n v="0.44175073906767481"/>
    <n v="0.30501836745148975"/>
    <n v="0.15776812109559812"/>
    <n v="0"/>
    <n v="0"/>
    <n v="0"/>
    <n v="0"/>
    <n v="0"/>
    <n v="0"/>
    <n v="0"/>
    <n v="0"/>
    <n v="0"/>
    <n v="0"/>
    <n v="0"/>
    <m/>
  </r>
  <r>
    <s v="IESO - Filed CDM Plan"/>
    <s v="Business"/>
    <s v="HPNC"/>
    <s v="Kingston Hydro Corporation"/>
    <m/>
    <x v="9"/>
    <x v="24"/>
    <m/>
    <m/>
    <m/>
    <m/>
    <m/>
    <m/>
    <m/>
    <m/>
    <m/>
    <n v="1.9207617595385685E-2"/>
    <n v="5.5793555872310802E-2"/>
    <n v="9.2379494149235922E-2"/>
    <n v="0.12896543242616104"/>
    <n v="0.16555137070308618"/>
    <n v="0.20213730898001131"/>
    <n v="0.20213730898001131"/>
    <n v="0.20213730898001131"/>
    <n v="0.20213730898001131"/>
    <n v="0.20213730898001131"/>
    <n v="0.20213730898001131"/>
    <n v="0.20213730898001131"/>
    <n v="0.20213730898001131"/>
    <n v="0.20213730898001131"/>
    <n v="0.18292969138462561"/>
    <n v="0.14634375310770048"/>
    <n v="0.10975781483077536"/>
    <n v="7.317187655385024E-2"/>
    <n v="3.658593827692512E-2"/>
    <n v="0"/>
    <n v="0"/>
    <n v="0"/>
    <n v="0"/>
    <n v="0"/>
    <n v="0"/>
    <m/>
  </r>
  <r>
    <s v="IESO - Filed CDM Plan"/>
    <s v="Business"/>
    <s v="Audit"/>
    <s v="Kingston Hydro Corporation"/>
    <m/>
    <x v="9"/>
    <x v="25"/>
    <m/>
    <m/>
    <m/>
    <m/>
    <m/>
    <m/>
    <m/>
    <m/>
    <m/>
    <n v="1.7515828554380618E-2"/>
    <n v="4.4054962727684582E-2"/>
    <n v="7.0594096900988543E-2"/>
    <n v="9.7133231074292517E-2"/>
    <n v="0.10615653669321586"/>
    <n v="0.10615653669321586"/>
    <n v="7.9617402519911895E-2"/>
    <n v="5.3078268346607928E-2"/>
    <n v="2.6539134173303964E-2"/>
    <n v="0"/>
    <n v="0"/>
    <n v="0"/>
    <n v="0"/>
    <n v="0"/>
    <n v="0"/>
    <n v="0"/>
    <n v="0"/>
    <n v="0"/>
    <n v="0"/>
    <n v="0"/>
    <n v="0"/>
    <n v="0"/>
    <n v="0"/>
    <n v="0"/>
    <n v="0"/>
    <m/>
  </r>
  <r>
    <s v="IESO - Filed CDM Plan"/>
    <s v="Business"/>
    <s v="Process &amp; Systems - 2015 savings"/>
    <s v="Kingston Hydro Corporation"/>
    <m/>
    <x v="9"/>
    <x v="7"/>
    <m/>
    <m/>
    <m/>
    <m/>
    <m/>
    <m/>
    <m/>
    <m/>
    <m/>
    <n v="1.1435669721379271E-2"/>
    <n v="1.1435669721379271E-2"/>
    <n v="1.1435669721379271E-2"/>
    <n v="1.1435669721379271E-2"/>
    <n v="1.1435669721379271E-2"/>
    <n v="1.1435669721379271E-2"/>
    <n v="1.1435669721379271E-2"/>
    <n v="1.1435669721379271E-2"/>
    <n v="1.1435669721379271E-2"/>
    <n v="1.1435669721379271E-2"/>
    <n v="0"/>
    <n v="0"/>
    <n v="0"/>
    <n v="0"/>
    <n v="0"/>
    <n v="0"/>
    <n v="0"/>
    <n v="0"/>
    <n v="0"/>
    <n v="0"/>
    <n v="0"/>
    <n v="0"/>
    <n v="0"/>
    <n v="0"/>
    <n v="0"/>
    <m/>
  </r>
  <r>
    <s v="IESO - Filed CDM Plan"/>
    <s v="Business"/>
    <s v="Process &amp; Systems"/>
    <s v="Kingston Hydro Corporation"/>
    <m/>
    <x v="9"/>
    <x v="7"/>
    <m/>
    <m/>
    <m/>
    <m/>
    <m/>
    <m/>
    <m/>
    <m/>
    <m/>
    <n v="0"/>
    <n v="0.2267680859377747"/>
    <n v="0.4535361718755494"/>
    <n v="0.68030425781332415"/>
    <n v="0.85038032226665505"/>
    <n v="1.0204563867199861"/>
    <n v="1.0204563867199861"/>
    <n v="1.0204563867199861"/>
    <n v="1.0204563867199861"/>
    <n v="1.0204563867199861"/>
    <n v="1.0204563867199861"/>
    <n v="1.0204563867199861"/>
    <n v="1.0204563867199861"/>
    <n v="1.0204563867199861"/>
    <n v="1.0204563867199861"/>
    <n v="1.0204563867199861"/>
    <n v="1.0204563867199861"/>
    <n v="1.0204563867199861"/>
    <n v="1.0204563867199861"/>
    <n v="1.0204563867199861"/>
    <n v="1.0204563867199861"/>
    <n v="0.79368830078221142"/>
    <n v="0.56692021484443667"/>
    <n v="0.34015212890666202"/>
    <n v="0.17007606445333101"/>
    <m/>
  </r>
  <r>
    <s v="IESO - Filed CDM Plan"/>
    <s v="Business"/>
    <s v="Process &amp; Systems"/>
    <s v="Kingston Hydro Corporation"/>
    <m/>
    <x v="9"/>
    <x v="1"/>
    <m/>
    <m/>
    <m/>
    <m/>
    <m/>
    <m/>
    <m/>
    <m/>
    <m/>
    <n v="0"/>
    <n v="0.2267680859377747"/>
    <n v="0.4535361718755494"/>
    <n v="0.68030425781332415"/>
    <n v="0.85038032226665505"/>
    <n v="1.0204563867199861"/>
    <n v="1.0204563867199861"/>
    <n v="1.0204563867199861"/>
    <n v="1.0204563867199861"/>
    <n v="1.0204563867199861"/>
    <n v="1.0204563867199861"/>
    <n v="1.0204563867199861"/>
    <n v="1.0204563867199861"/>
    <n v="1.0204563867199861"/>
    <n v="1.0204563867199861"/>
    <n v="1.0204563867199861"/>
    <n v="1.0204563867199861"/>
    <n v="1.0204563867199861"/>
    <n v="1.0204563867199861"/>
    <n v="1.0204563867199861"/>
    <n v="1.0204563867199861"/>
    <n v="0.79368830078221142"/>
    <n v="0.56692021484443667"/>
    <n v="0.34015212890666202"/>
    <n v="0.17007606445333101"/>
    <m/>
  </r>
  <r>
    <s v="IESO - Filed CDM Plan"/>
    <s v="Business"/>
    <s v="Process &amp; Systems - BTG - no Rate Impact"/>
    <s v="Kingston Hydro Corporation"/>
    <m/>
    <x v="9"/>
    <x v="12"/>
    <m/>
    <m/>
    <m/>
    <m/>
    <m/>
    <m/>
    <m/>
    <m/>
    <m/>
    <n v="0"/>
    <n v="0.86001497924181647"/>
    <n v="1.1605443837386027"/>
    <n v="1.1605443837386027"/>
    <n v="1.1605443837386027"/>
    <n v="1.1605443837386027"/>
    <n v="1.1605443837386027"/>
    <n v="1.1605443837386027"/>
    <n v="1.1605443837386027"/>
    <n v="1.1605443837386027"/>
    <n v="1.1605443837386027"/>
    <n v="1.1605443837386027"/>
    <n v="1.1605443837386027"/>
    <n v="1.1605443837386027"/>
    <n v="1.1605443837386027"/>
    <n v="1.1605443837386027"/>
    <n v="1.1605443837386027"/>
    <n v="0.86001497924181647"/>
    <n v="0.86001497924181647"/>
    <n v="0.86001497924181647"/>
    <n v="0.86001497924181647"/>
    <n v="0"/>
    <n v="0"/>
    <n v="0"/>
    <n v="0"/>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22:E30" firstHeaderRow="0" firstDataRow="1" firstDataCol="1" rowPageCount="1" colPageCount="1"/>
  <pivotFields count="42">
    <pivotField showAll="0"/>
    <pivotField showAll="0"/>
    <pivotField showAll="0"/>
    <pivotField showAll="0"/>
    <pivotField showAll="0"/>
    <pivotField axis="axisPage" multipleItemSelectionAllowed="1" showAll="0">
      <items count="11">
        <item h="1" x="0"/>
        <item h="1" x="1"/>
        <item h="1" x="2"/>
        <item h="1" x="3"/>
        <item h="1" x="4"/>
        <item h="1" x="5"/>
        <item x="6"/>
        <item h="1" x="7"/>
        <item h="1" x="8"/>
        <item h="1" x="9"/>
        <item t="default"/>
      </items>
    </pivotField>
    <pivotField axis="axisRow" showAll="0">
      <items count="28">
        <item x="6"/>
        <item x="10"/>
        <item x="13"/>
        <item x="17"/>
        <item x="25"/>
        <item x="4"/>
        <item x="8"/>
        <item x="16"/>
        <item x="20"/>
        <item x="23"/>
        <item x="1"/>
        <item x="3"/>
        <item m="1" x="26"/>
        <item x="11"/>
        <item x="14"/>
        <item x="18"/>
        <item x="24"/>
        <item x="7"/>
        <item x="12"/>
        <item x="2"/>
        <item x="0"/>
        <item x="5"/>
        <item x="9"/>
        <item x="15"/>
        <item x="19"/>
        <item x="22"/>
        <item x="21"/>
        <item t="default"/>
      </items>
    </pivotField>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8">
    <i>
      <x v="1"/>
    </i>
    <i>
      <x v="6"/>
    </i>
    <i>
      <x v="13"/>
    </i>
    <i>
      <x v="17"/>
    </i>
    <i>
      <x v="18"/>
    </i>
    <i>
      <x v="20"/>
    </i>
    <i>
      <x v="22"/>
    </i>
    <i t="grand">
      <x/>
    </i>
  </rowItems>
  <colFields count="1">
    <field x="-2"/>
  </colFields>
  <colItems count="4">
    <i>
      <x/>
    </i>
    <i i="1">
      <x v="1"/>
    </i>
    <i i="2">
      <x v="2"/>
    </i>
    <i i="3">
      <x v="3"/>
    </i>
  </colItems>
  <pageFields count="1">
    <pageField fld="5" hier="-1"/>
  </pageFields>
  <dataFields count="4">
    <dataField name="Sum of 2011" fld="12" baseField="6" baseItem="1"/>
    <dataField name="Sum of 2012" fld="13" baseField="6" baseItem="1"/>
    <dataField name="Sum of 2013" fld="14" baseField="6" baseItem="1"/>
    <dataField name="Sum of 2014" fld="15" baseField="6" baseItem="1"/>
  </dataFields>
  <formats count="1">
    <format dxfId="1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24"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11:M119" firstHeaderRow="0" firstDataRow="1" firstDataCol="1" rowPageCount="1" colPageCount="1"/>
  <pivotFields count="45">
    <pivotField showAll="0"/>
    <pivotField showAll="0"/>
    <pivotField showAll="0"/>
    <pivotField showAll="0"/>
    <pivotField showAll="0"/>
    <pivotField showAll="0"/>
    <pivotField axis="axisPage" multipleItemSelectionAllowed="1" showAll="0">
      <items count="11">
        <item h="1" x="0"/>
        <item h="1" x="1"/>
        <item h="1" x="2"/>
        <item h="1" x="3"/>
        <item h="1" x="4"/>
        <item h="1" x="5"/>
        <item h="1" x="6"/>
        <item h="1" x="7"/>
        <item h="1" x="8"/>
        <item x="9"/>
        <item t="default"/>
      </items>
    </pivotField>
    <pivotField showAll="0"/>
    <pivotField axis="axisRow" showAll="0">
      <items count="28">
        <item x="7"/>
        <item x="11"/>
        <item x="13"/>
        <item x="17"/>
        <item x="25"/>
        <item x="5"/>
        <item x="9"/>
        <item x="16"/>
        <item x="20"/>
        <item x="23"/>
        <item x="1"/>
        <item x="3"/>
        <item m="1" x="26"/>
        <item x="12"/>
        <item x="14"/>
        <item x="18"/>
        <item x="24"/>
        <item x="8"/>
        <item x="4"/>
        <item x="2"/>
        <item x="0"/>
        <item x="6"/>
        <item x="10"/>
        <item x="15"/>
        <item x="19"/>
        <item x="22"/>
        <item x="21"/>
        <item t="default"/>
      </items>
    </pivotField>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8">
    <i>
      <x v="4"/>
    </i>
    <i>
      <x v="9"/>
    </i>
    <i>
      <x v="10"/>
    </i>
    <i>
      <x v="16"/>
    </i>
    <i>
      <x v="17"/>
    </i>
    <i>
      <x v="20"/>
    </i>
    <i>
      <x v="25"/>
    </i>
    <i t="grand">
      <x/>
    </i>
  </rowItems>
  <colFields count="1">
    <field x="-2"/>
  </colFields>
  <colItems count="12">
    <i>
      <x/>
    </i>
    <i i="1">
      <x v="1"/>
    </i>
    <i i="2">
      <x v="2"/>
    </i>
    <i i="3">
      <x v="3"/>
    </i>
    <i i="4">
      <x v="4"/>
    </i>
    <i i="5">
      <x v="5"/>
    </i>
    <i i="6">
      <x v="6"/>
    </i>
    <i i="7">
      <x v="7"/>
    </i>
    <i i="8">
      <x v="8"/>
    </i>
    <i i="9">
      <x v="9"/>
    </i>
    <i i="10">
      <x v="10"/>
    </i>
    <i i="11">
      <x v="11"/>
    </i>
  </colItems>
  <pageFields count="1">
    <pageField fld="6" hier="-1"/>
  </pageFields>
  <dataFields count="12">
    <dataField name="Sum of 2009" fld="12" baseField="8" baseItem="10"/>
    <dataField name="Sum of 2010" fld="13" baseField="8" baseItem="10"/>
    <dataField name="Sum of 2011" fld="14" baseField="8" baseItem="0"/>
    <dataField name="Sum of 2012" fld="15" baseField="8" baseItem="0"/>
    <dataField name="Sum of 2013" fld="16" baseField="8" baseItem="0"/>
    <dataField name="Sum of 2014" fld="17" baseField="8" baseItem="0"/>
    <dataField name="Sum of 2015" fld="18" baseField="8" baseItem="10"/>
    <dataField name="Sum of 2016" fld="19" baseField="8" baseItem="10"/>
    <dataField name="Sum of 2017" fld="20" baseField="8" baseItem="10"/>
    <dataField name="Sum of 2018" fld="21" baseField="8" baseItem="10"/>
    <dataField name="Sum of 2019" fld="22" baseField="8" baseItem="10"/>
    <dataField name="Sum of 2020" fld="23" baseField="8" baseItem="10"/>
  </dataFields>
  <formats count="3">
    <format dxfId="9">
      <pivotArea collapsedLevelsAreSubtotals="1" fieldPosition="0">
        <references count="2">
          <reference field="4294967294" count="7" selected="0">
            <x v="0"/>
            <x v="1"/>
            <x v="2"/>
            <x v="3"/>
            <x v="4"/>
            <x v="5"/>
            <x v="6"/>
          </reference>
          <reference field="8" count="2">
            <x v="9"/>
            <x v="10"/>
          </reference>
        </references>
      </pivotArea>
    </format>
    <format dxfId="8">
      <pivotArea dataOnly="0" labelOnly="1" fieldPosition="0">
        <references count="1">
          <reference field="8" count="2">
            <x v="9"/>
            <x v="10"/>
          </reference>
        </references>
      </pivotArea>
    </format>
    <format dxfId="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20"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3:M42" firstHeaderRow="0" firstDataRow="1" firstDataCol="1" rowPageCount="1" colPageCount="1"/>
  <pivotFields count="45">
    <pivotField showAll="0"/>
    <pivotField showAll="0"/>
    <pivotField showAll="0"/>
    <pivotField showAll="0"/>
    <pivotField showAll="0"/>
    <pivotField showAll="0"/>
    <pivotField axis="axisPage" multipleItemSelectionAllowed="1" showAll="0">
      <items count="11">
        <item h="1" x="0"/>
        <item h="1" x="1"/>
        <item h="1" x="2"/>
        <item h="1" x="3"/>
        <item h="1" x="4"/>
        <item x="5"/>
        <item h="1" x="6"/>
        <item h="1" x="7"/>
        <item h="1" x="8"/>
        <item h="1" x="9"/>
        <item t="default"/>
      </items>
    </pivotField>
    <pivotField showAll="0"/>
    <pivotField axis="axisRow" showAll="0">
      <items count="28">
        <item x="7"/>
        <item x="11"/>
        <item x="13"/>
        <item x="17"/>
        <item x="25"/>
        <item x="5"/>
        <item x="9"/>
        <item x="16"/>
        <item x="20"/>
        <item x="23"/>
        <item x="1"/>
        <item x="3"/>
        <item m="1" x="26"/>
        <item x="12"/>
        <item x="14"/>
        <item x="18"/>
        <item x="24"/>
        <item x="8"/>
        <item x="4"/>
        <item x="2"/>
        <item x="0"/>
        <item x="6"/>
        <item x="10"/>
        <item x="15"/>
        <item x="19"/>
        <item x="22"/>
        <item x="21"/>
        <item t="default"/>
      </items>
    </pivotField>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9">
    <i>
      <x/>
    </i>
    <i>
      <x v="5"/>
    </i>
    <i>
      <x v="10"/>
    </i>
    <i>
      <x v="17"/>
    </i>
    <i>
      <x v="18"/>
    </i>
    <i>
      <x v="19"/>
    </i>
    <i>
      <x v="20"/>
    </i>
    <i>
      <x v="21"/>
    </i>
    <i t="grand">
      <x/>
    </i>
  </rowItems>
  <colFields count="1">
    <field x="-2"/>
  </colFields>
  <colItems count="12">
    <i>
      <x/>
    </i>
    <i i="1">
      <x v="1"/>
    </i>
    <i i="2">
      <x v="2"/>
    </i>
    <i i="3">
      <x v="3"/>
    </i>
    <i i="4">
      <x v="4"/>
    </i>
    <i i="5">
      <x v="5"/>
    </i>
    <i i="6">
      <x v="6"/>
    </i>
    <i i="7">
      <x v="7"/>
    </i>
    <i i="8">
      <x v="8"/>
    </i>
    <i i="9">
      <x v="9"/>
    </i>
    <i i="10">
      <x v="10"/>
    </i>
    <i i="11">
      <x v="11"/>
    </i>
  </colItems>
  <pageFields count="1">
    <pageField fld="6" hier="-1"/>
  </pageFields>
  <dataFields count="12">
    <dataField name="Sum of 2009" fld="12" baseField="8" baseItem="10"/>
    <dataField name="Sum of 2010" fld="13" baseField="8" baseItem="10"/>
    <dataField name="Sum of 2011" fld="14" baseField="8" baseItem="0"/>
    <dataField name="Sum of 2012" fld="15" baseField="8" baseItem="0"/>
    <dataField name="Sum of 2013" fld="16" baseField="8" baseItem="0"/>
    <dataField name="Sum of 2014" fld="17" baseField="8" baseItem="0"/>
    <dataField name="Sum of 2015" fld="18" baseField="8" baseItem="10"/>
    <dataField name="Sum of 2016" fld="19" baseField="8" baseItem="10"/>
    <dataField name="Sum of 2017" fld="20" baseField="8" baseItem="10"/>
    <dataField name="Sum of 2018" fld="21" baseField="8" baseItem="10"/>
    <dataField name="Sum of 2019" fld="22" baseField="8" baseItem="10"/>
    <dataField name="Sum of 2020" fld="23" baseField="8" baseItem="10"/>
  </dataFields>
  <formats count="2">
    <format dxfId="11">
      <pivotArea collapsedLevelsAreSubtotals="1" fieldPosition="0">
        <references count="1">
          <reference field="8" count="8">
            <x v="0"/>
            <x v="5"/>
            <x v="10"/>
            <x v="17"/>
            <x v="18"/>
            <x v="19"/>
            <x v="20"/>
            <x v="21"/>
          </reference>
        </references>
      </pivotArea>
    </format>
    <format dxfId="1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22"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73:M81" firstHeaderRow="0" firstDataRow="1" firstDataCol="1" rowPageCount="1" colPageCount="1"/>
  <pivotFields count="45">
    <pivotField showAll="0"/>
    <pivotField showAll="0"/>
    <pivotField showAll="0"/>
    <pivotField showAll="0"/>
    <pivotField showAll="0"/>
    <pivotField showAll="0"/>
    <pivotField axis="axisPage" multipleItemSelectionAllowed="1" showAll="0">
      <items count="11">
        <item h="1" x="0"/>
        <item h="1" x="1"/>
        <item h="1" x="2"/>
        <item h="1" x="3"/>
        <item h="1" x="4"/>
        <item h="1" x="5"/>
        <item h="1" x="6"/>
        <item x="7"/>
        <item h="1" x="8"/>
        <item h="1" x="9"/>
        <item t="default"/>
      </items>
    </pivotField>
    <pivotField showAll="0"/>
    <pivotField axis="axisRow" showAll="0">
      <items count="28">
        <item x="7"/>
        <item x="11"/>
        <item x="13"/>
        <item x="17"/>
        <item x="25"/>
        <item x="5"/>
        <item x="9"/>
        <item x="16"/>
        <item x="20"/>
        <item x="23"/>
        <item x="1"/>
        <item x="3"/>
        <item m="1" x="26"/>
        <item x="12"/>
        <item x="14"/>
        <item x="18"/>
        <item x="24"/>
        <item x="8"/>
        <item x="4"/>
        <item x="2"/>
        <item x="0"/>
        <item x="6"/>
        <item x="10"/>
        <item x="15"/>
        <item x="19"/>
        <item x="22"/>
        <item x="21"/>
        <item t="default"/>
      </items>
    </pivotField>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8">
    <i>
      <x v="2"/>
    </i>
    <i>
      <x v="7"/>
    </i>
    <i>
      <x v="10"/>
    </i>
    <i>
      <x v="14"/>
    </i>
    <i>
      <x v="18"/>
    </i>
    <i>
      <x v="20"/>
    </i>
    <i>
      <x v="23"/>
    </i>
    <i t="grand">
      <x/>
    </i>
  </rowItems>
  <colFields count="1">
    <field x="-2"/>
  </colFields>
  <colItems count="12">
    <i>
      <x/>
    </i>
    <i i="1">
      <x v="1"/>
    </i>
    <i i="2">
      <x v="2"/>
    </i>
    <i i="3">
      <x v="3"/>
    </i>
    <i i="4">
      <x v="4"/>
    </i>
    <i i="5">
      <x v="5"/>
    </i>
    <i i="6">
      <x v="6"/>
    </i>
    <i i="7">
      <x v="7"/>
    </i>
    <i i="8">
      <x v="8"/>
    </i>
    <i i="9">
      <x v="9"/>
    </i>
    <i i="10">
      <x v="10"/>
    </i>
    <i i="11">
      <x v="11"/>
    </i>
  </colItems>
  <pageFields count="1">
    <pageField fld="6" hier="-1"/>
  </pageFields>
  <dataFields count="12">
    <dataField name="Sum of 2009" fld="12" baseField="8" baseItem="10"/>
    <dataField name="Sum of 2010" fld="13" baseField="8" baseItem="10"/>
    <dataField name="Sum of 2011" fld="14" baseField="8" baseItem="0"/>
    <dataField name="Sum of 2012" fld="15" baseField="8" baseItem="0"/>
    <dataField name="Sum of 2013" fld="16" baseField="8" baseItem="0"/>
    <dataField name="Sum of 2014" fld="17" baseField="8" baseItem="0"/>
    <dataField name="Sum of 2015" fld="18" baseField="8" baseItem="10"/>
    <dataField name="Sum of 2016" fld="19" baseField="8" baseItem="10"/>
    <dataField name="Sum of 2017" fld="20" baseField="8" baseItem="10"/>
    <dataField name="Sum of 2018" fld="21" baseField="8" baseItem="10"/>
    <dataField name="Sum of 2019" fld="22" baseField="8" baseItem="10"/>
    <dataField name="Sum of 2020" fld="23" baseField="8" baseItem="10"/>
  </dataFields>
  <formats count="1">
    <format dxfId="1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E11" firstHeaderRow="0" firstDataRow="1" firstDataCol="1" rowPageCount="1" colPageCount="1"/>
  <pivotFields count="42">
    <pivotField showAll="0"/>
    <pivotField showAll="0"/>
    <pivotField showAll="0"/>
    <pivotField showAll="0"/>
    <pivotField showAll="0"/>
    <pivotField axis="axisPage" multipleItemSelectionAllowed="1" showAll="0">
      <items count="11">
        <item h="1" x="0"/>
        <item h="1" x="1"/>
        <item h="1" x="2"/>
        <item h="1" x="3"/>
        <item h="1" x="4"/>
        <item x="5"/>
        <item h="1" x="6"/>
        <item h="1" x="7"/>
        <item h="1" x="8"/>
        <item h="1" x="9"/>
        <item t="default"/>
      </items>
    </pivotField>
    <pivotField axis="axisRow" showAll="0">
      <items count="28">
        <item x="6"/>
        <item x="10"/>
        <item x="13"/>
        <item x="17"/>
        <item x="25"/>
        <item x="4"/>
        <item x="8"/>
        <item x="16"/>
        <item x="20"/>
        <item x="23"/>
        <item x="1"/>
        <item x="3"/>
        <item m="1" x="26"/>
        <item x="11"/>
        <item x="14"/>
        <item x="18"/>
        <item x="24"/>
        <item x="7"/>
        <item x="12"/>
        <item x="2"/>
        <item x="0"/>
        <item x="5"/>
        <item x="9"/>
        <item x="15"/>
        <item x="19"/>
        <item x="22"/>
        <item x="21"/>
        <item t="default"/>
      </items>
    </pivotField>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8">
    <i>
      <x/>
    </i>
    <i>
      <x v="5"/>
    </i>
    <i>
      <x v="10"/>
    </i>
    <i>
      <x v="17"/>
    </i>
    <i>
      <x v="19"/>
    </i>
    <i>
      <x v="20"/>
    </i>
    <i>
      <x v="21"/>
    </i>
    <i t="grand">
      <x/>
    </i>
  </rowItems>
  <colFields count="1">
    <field x="-2"/>
  </colFields>
  <colItems count="4">
    <i>
      <x/>
    </i>
    <i i="1">
      <x v="1"/>
    </i>
    <i i="2">
      <x v="2"/>
    </i>
    <i i="3">
      <x v="3"/>
    </i>
  </colItems>
  <pageFields count="1">
    <pageField fld="5" hier="-1"/>
  </pageFields>
  <dataFields count="4">
    <dataField name="Sum of 2011" fld="12" baseField="6" baseItem="3"/>
    <dataField name="Sum of 2012" fld="13" baseField="6" baseItem="3"/>
    <dataField name="Sum of 2013" fld="14" baseField="6" baseItem="3"/>
    <dataField name="Sum of 2014" fld="15" baseField="6" baseItem="3"/>
  </dataFields>
  <formats count="1">
    <format dxfId="1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58:E65" firstHeaderRow="0" firstDataRow="1" firstDataCol="1" rowPageCount="1" colPageCount="1"/>
  <pivotFields count="42">
    <pivotField showAll="0"/>
    <pivotField showAll="0"/>
    <pivotField showAll="0"/>
    <pivotField showAll="0"/>
    <pivotField showAll="0"/>
    <pivotField axis="axisPage" multipleItemSelectionAllowed="1" showAll="0">
      <items count="11">
        <item h="1" x="0"/>
        <item h="1" x="1"/>
        <item h="1" x="2"/>
        <item h="1" x="3"/>
        <item h="1" x="4"/>
        <item h="1" x="5"/>
        <item h="1" x="6"/>
        <item h="1" x="7"/>
        <item x="8"/>
        <item h="1" x="9"/>
        <item t="default"/>
      </items>
    </pivotField>
    <pivotField axis="axisRow" showAll="0">
      <items count="28">
        <item x="6"/>
        <item x="10"/>
        <item x="13"/>
        <item x="17"/>
        <item x="25"/>
        <item x="4"/>
        <item x="8"/>
        <item x="16"/>
        <item x="20"/>
        <item x="23"/>
        <item x="1"/>
        <item x="3"/>
        <item m="1" x="26"/>
        <item x="11"/>
        <item x="14"/>
        <item x="18"/>
        <item x="24"/>
        <item x="7"/>
        <item x="12"/>
        <item x="2"/>
        <item x="0"/>
        <item x="5"/>
        <item x="9"/>
        <item x="15"/>
        <item x="19"/>
        <item x="22"/>
        <item x="21"/>
        <item t="default"/>
      </items>
    </pivotField>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7">
    <i>
      <x v="3"/>
    </i>
    <i>
      <x v="8"/>
    </i>
    <i>
      <x v="15"/>
    </i>
    <i>
      <x v="20"/>
    </i>
    <i>
      <x v="24"/>
    </i>
    <i>
      <x v="26"/>
    </i>
    <i t="grand">
      <x/>
    </i>
  </rowItems>
  <colFields count="1">
    <field x="-2"/>
  </colFields>
  <colItems count="4">
    <i>
      <x/>
    </i>
    <i i="1">
      <x v="1"/>
    </i>
    <i i="2">
      <x v="2"/>
    </i>
    <i i="3">
      <x v="3"/>
    </i>
  </colItems>
  <pageFields count="1">
    <pageField fld="5" hier="-1"/>
  </pageFields>
  <dataFields count="4">
    <dataField name="Sum of 2011" fld="12" baseField="6" baseItem="0"/>
    <dataField name="Sum of 2012" fld="13" baseField="6" baseItem="0"/>
    <dataField name="Sum of 2013" fld="14" baseField="6" baseItem="0"/>
    <dataField name="Sum of 2014" fld="15" baseField="6" baseItem="0"/>
  </dataFields>
  <formats count="1">
    <format dxfId="1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5"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76:G85" firstHeaderRow="0" firstDataRow="1" firstDataCol="1" rowPageCount="1" colPageCount="1"/>
  <pivotFields count="42">
    <pivotField showAll="0"/>
    <pivotField showAll="0"/>
    <pivotField showAll="0"/>
    <pivotField showAll="0"/>
    <pivotField showAll="0"/>
    <pivotField axis="axisPage" multipleItemSelectionAllowed="1" showAll="0">
      <items count="11">
        <item h="1" x="0"/>
        <item h="1" x="1"/>
        <item h="1" x="2"/>
        <item h="1" x="3"/>
        <item h="1" x="4"/>
        <item h="1" x="5"/>
        <item h="1" x="6"/>
        <item h="1" x="7"/>
        <item h="1" x="8"/>
        <item x="9"/>
        <item t="default"/>
      </items>
    </pivotField>
    <pivotField axis="axisRow" showAll="0">
      <items count="28">
        <item x="6"/>
        <item x="10"/>
        <item x="13"/>
        <item x="17"/>
        <item x="25"/>
        <item x="4"/>
        <item x="8"/>
        <item x="16"/>
        <item x="20"/>
        <item x="23"/>
        <item x="1"/>
        <item x="3"/>
        <item m="1" x="26"/>
        <item x="11"/>
        <item x="14"/>
        <item x="18"/>
        <item x="24"/>
        <item x="7"/>
        <item x="12"/>
        <item x="2"/>
        <item x="0"/>
        <item x="5"/>
        <item x="9"/>
        <item x="15"/>
        <item x="19"/>
        <item x="22"/>
        <item x="21"/>
        <item t="default"/>
      </items>
    </pivotField>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9">
    <i>
      <x v="4"/>
    </i>
    <i>
      <x v="9"/>
    </i>
    <i>
      <x v="10"/>
    </i>
    <i>
      <x v="16"/>
    </i>
    <i>
      <x v="17"/>
    </i>
    <i>
      <x v="18"/>
    </i>
    <i>
      <x v="20"/>
    </i>
    <i>
      <x v="25"/>
    </i>
    <i t="grand">
      <x/>
    </i>
  </rowItems>
  <colFields count="1">
    <field x="-2"/>
  </colFields>
  <colItems count="6">
    <i>
      <x/>
    </i>
    <i i="1">
      <x v="1"/>
    </i>
    <i i="2">
      <x v="2"/>
    </i>
    <i i="3">
      <x v="3"/>
    </i>
    <i i="4">
      <x v="4"/>
    </i>
    <i i="5">
      <x v="5"/>
    </i>
  </colItems>
  <pageFields count="1">
    <pageField fld="5" hier="-1"/>
  </pageFields>
  <dataFields count="6">
    <dataField name="Sum of 2015" fld="16" baseField="6" baseItem="4"/>
    <dataField name="Sum of 2016" fld="17" baseField="6" baseItem="4"/>
    <dataField name="Sum of 2017" fld="18" baseField="6" baseItem="4"/>
    <dataField name="Sum of 2018" fld="19" baseField="6" baseItem="4"/>
    <dataField name="Sum of 2019" fld="20" baseField="6" baseItem="4"/>
    <dataField name="Sum of 2020" fld="21" baseField="6" baseItem="4"/>
  </dataFields>
  <formats count="1">
    <format dxfId="1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4" cacheId="1"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40:E48" firstHeaderRow="0" firstDataRow="1" firstDataCol="1" rowPageCount="1" colPageCount="1"/>
  <pivotFields count="42">
    <pivotField showAll="0"/>
    <pivotField showAll="0"/>
    <pivotField showAll="0"/>
    <pivotField showAll="0"/>
    <pivotField showAll="0"/>
    <pivotField axis="axisPage" multipleItemSelectionAllowed="1" showAll="0">
      <items count="11">
        <item h="1" x="0"/>
        <item h="1" x="1"/>
        <item h="1" x="2"/>
        <item h="1" x="3"/>
        <item h="1" x="4"/>
        <item h="1" x="5"/>
        <item h="1" x="6"/>
        <item x="7"/>
        <item h="1" x="8"/>
        <item h="1" x="9"/>
        <item t="default"/>
      </items>
    </pivotField>
    <pivotField axis="axisRow" showAll="0">
      <items count="28">
        <item x="6"/>
        <item x="10"/>
        <item x="13"/>
        <item x="17"/>
        <item x="25"/>
        <item x="4"/>
        <item x="8"/>
        <item x="16"/>
        <item x="20"/>
        <item x="23"/>
        <item x="1"/>
        <item x="3"/>
        <item m="1" x="26"/>
        <item x="11"/>
        <item x="14"/>
        <item x="18"/>
        <item x="24"/>
        <item x="7"/>
        <item x="12"/>
        <item x="2"/>
        <item x="0"/>
        <item x="5"/>
        <item x="9"/>
        <item x="15"/>
        <item x="19"/>
        <item x="22"/>
        <item x="21"/>
        <item t="default"/>
      </items>
    </pivotField>
    <pivotField showAll="0"/>
    <pivotField showAll="0"/>
    <pivotField showAll="0"/>
    <pivotField showAll="0"/>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8">
    <i>
      <x v="2"/>
    </i>
    <i>
      <x v="7"/>
    </i>
    <i>
      <x v="14"/>
    </i>
    <i>
      <x v="18"/>
    </i>
    <i>
      <x v="19"/>
    </i>
    <i>
      <x v="20"/>
    </i>
    <i>
      <x v="23"/>
    </i>
    <i t="grand">
      <x/>
    </i>
  </rowItems>
  <colFields count="1">
    <field x="-2"/>
  </colFields>
  <colItems count="4">
    <i>
      <x/>
    </i>
    <i i="1">
      <x v="1"/>
    </i>
    <i i="2">
      <x v="2"/>
    </i>
    <i i="3">
      <x v="3"/>
    </i>
  </colItems>
  <pageFields count="1">
    <pageField fld="5" hier="-1"/>
  </pageFields>
  <dataFields count="4">
    <dataField name="Sum of 2011" fld="12" baseField="6" baseItem="0"/>
    <dataField name="Sum of 2012" fld="13" baseField="6" baseItem="0"/>
    <dataField name="Sum of 2013" fld="14" baseField="6" baseItem="0"/>
    <dataField name="Sum of 2014" fld="15" baseField="6" baseItem="0"/>
  </dataFields>
  <formats count="1">
    <format dxfId="1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21"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53:M61" firstHeaderRow="0" firstDataRow="1" firstDataCol="1" rowPageCount="1" colPageCount="1"/>
  <pivotFields count="45">
    <pivotField showAll="0"/>
    <pivotField showAll="0"/>
    <pivotField showAll="0"/>
    <pivotField showAll="0"/>
    <pivotField showAll="0"/>
    <pivotField showAll="0"/>
    <pivotField axis="axisPage" multipleItemSelectionAllowed="1" showAll="0">
      <items count="11">
        <item h="1" x="0"/>
        <item h="1" x="1"/>
        <item h="1" x="2"/>
        <item h="1" x="3"/>
        <item h="1" x="4"/>
        <item h="1" x="5"/>
        <item x="6"/>
        <item h="1" x="7"/>
        <item h="1" x="8"/>
        <item h="1" x="9"/>
        <item t="default"/>
      </items>
    </pivotField>
    <pivotField showAll="0"/>
    <pivotField axis="axisRow" showAll="0">
      <items count="28">
        <item x="7"/>
        <item x="11"/>
        <item x="13"/>
        <item x="17"/>
        <item x="25"/>
        <item x="5"/>
        <item x="9"/>
        <item x="16"/>
        <item x="20"/>
        <item x="23"/>
        <item x="1"/>
        <item x="3"/>
        <item m="1" x="26"/>
        <item x="12"/>
        <item x="14"/>
        <item x="18"/>
        <item x="24"/>
        <item x="8"/>
        <item x="4"/>
        <item x="2"/>
        <item x="0"/>
        <item x="6"/>
        <item x="10"/>
        <item x="15"/>
        <item x="19"/>
        <item x="22"/>
        <item x="21"/>
        <item t="default"/>
      </items>
    </pivotField>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8">
    <i>
      <x v="1"/>
    </i>
    <i>
      <x v="6"/>
    </i>
    <i>
      <x v="13"/>
    </i>
    <i>
      <x v="17"/>
    </i>
    <i>
      <x v="18"/>
    </i>
    <i>
      <x v="20"/>
    </i>
    <i>
      <x v="22"/>
    </i>
    <i t="grand">
      <x/>
    </i>
  </rowItems>
  <colFields count="1">
    <field x="-2"/>
  </colFields>
  <colItems count="12">
    <i>
      <x/>
    </i>
    <i i="1">
      <x v="1"/>
    </i>
    <i i="2">
      <x v="2"/>
    </i>
    <i i="3">
      <x v="3"/>
    </i>
    <i i="4">
      <x v="4"/>
    </i>
    <i i="5">
      <x v="5"/>
    </i>
    <i i="6">
      <x v="6"/>
    </i>
    <i i="7">
      <x v="7"/>
    </i>
    <i i="8">
      <x v="8"/>
    </i>
    <i i="9">
      <x v="9"/>
    </i>
    <i i="10">
      <x v="10"/>
    </i>
    <i i="11">
      <x v="11"/>
    </i>
  </colItems>
  <pageFields count="1">
    <pageField fld="6" hier="-1"/>
  </pageFields>
  <dataFields count="12">
    <dataField name="Sum of 2009" fld="12" baseField="8" baseItem="10"/>
    <dataField name="Sum of 2010" fld="13" baseField="8" baseItem="10"/>
    <dataField name="Sum of 2011" fld="14" baseField="8" baseItem="0"/>
    <dataField name="Sum of 2012" fld="15" baseField="8" baseItem="0"/>
    <dataField name="Sum of 2013" fld="16" baseField="8" baseItem="0"/>
    <dataField name="Sum of 2014" fld="17" baseField="8" baseItem="0"/>
    <dataField name="Sum of 2015" fld="18" baseField="8" baseItem="10"/>
    <dataField name="Sum of 2016" fld="19" baseField="8" baseItem="10"/>
    <dataField name="Sum of 2017" fld="20" baseField="8" baseItem="10"/>
    <dataField name="Sum of 2018" fld="21" baseField="8" baseItem="10"/>
    <dataField name="Sum of 2019" fld="22" baseField="8" baseItem="10"/>
    <dataField name="Sum of 2020" fld="23" baseField="8" baseItem="10"/>
  </dataFields>
  <formats count="1">
    <format dxfId="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3:M8" firstHeaderRow="0" firstDataRow="1" firstDataCol="1" rowPageCount="1" colPageCount="1"/>
  <pivotFields count="45">
    <pivotField showAll="0"/>
    <pivotField showAll="0"/>
    <pivotField showAll="0"/>
    <pivotField showAll="0"/>
    <pivotField showAll="0"/>
    <pivotField showAll="0"/>
    <pivotField axis="axisPage" multipleItemSelectionAllowed="1" showAll="0">
      <items count="11">
        <item h="1" x="0"/>
        <item h="1" x="1"/>
        <item h="1" x="2"/>
        <item x="3"/>
        <item h="1" x="4"/>
        <item h="1" x="5"/>
        <item h="1" x="6"/>
        <item h="1" x="7"/>
        <item h="1" x="8"/>
        <item h="1" x="9"/>
        <item t="default"/>
      </items>
    </pivotField>
    <pivotField showAll="0"/>
    <pivotField axis="axisRow" showAll="0">
      <items count="28">
        <item x="7"/>
        <item x="11"/>
        <item x="13"/>
        <item x="17"/>
        <item x="25"/>
        <item x="5"/>
        <item x="9"/>
        <item x="16"/>
        <item x="20"/>
        <item x="23"/>
        <item x="1"/>
        <item x="3"/>
        <item m="1" x="26"/>
        <item x="12"/>
        <item x="14"/>
        <item x="18"/>
        <item x="24"/>
        <item x="8"/>
        <item x="4"/>
        <item x="2"/>
        <item x="0"/>
        <item x="6"/>
        <item x="10"/>
        <item x="15"/>
        <item x="19"/>
        <item x="22"/>
        <item x="21"/>
        <item t="default"/>
      </items>
    </pivotField>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5">
    <i>
      <x v="10"/>
    </i>
    <i>
      <x v="11"/>
    </i>
    <i>
      <x v="19"/>
    </i>
    <i>
      <x v="20"/>
    </i>
    <i t="grand">
      <x/>
    </i>
  </rowItems>
  <colFields count="1">
    <field x="-2"/>
  </colFields>
  <colItems count="12">
    <i>
      <x/>
    </i>
    <i i="1">
      <x v="1"/>
    </i>
    <i i="2">
      <x v="2"/>
    </i>
    <i i="3">
      <x v="3"/>
    </i>
    <i i="4">
      <x v="4"/>
    </i>
    <i i="5">
      <x v="5"/>
    </i>
    <i i="6">
      <x v="6"/>
    </i>
    <i i="7">
      <x v="7"/>
    </i>
    <i i="8">
      <x v="8"/>
    </i>
    <i i="9">
      <x v="9"/>
    </i>
    <i i="10">
      <x v="10"/>
    </i>
    <i i="11">
      <x v="11"/>
    </i>
  </colItems>
  <pageFields count="1">
    <pageField fld="6" hier="-1"/>
  </pageFields>
  <dataFields count="12">
    <dataField name="Sum of 2009" fld="12" baseField="8" baseItem="10"/>
    <dataField name="Sum of 2010" fld="13" baseField="8" baseItem="10"/>
    <dataField name="Sum of 2011" fld="14" baseField="8" baseItem="0"/>
    <dataField name="Sum of 2012" fld="15" baseField="8" baseItem="0"/>
    <dataField name="Sum of 2013" fld="16" baseField="8" baseItem="0"/>
    <dataField name="Sum of 2014" fld="17" baseField="8" baseItem="0"/>
    <dataField name="Sum of 2015" fld="18" baseField="8" baseItem="10"/>
    <dataField name="Sum of 2016" fld="19" baseField="8" baseItem="10"/>
    <dataField name="Sum of 2017" fld="20" baseField="8" baseItem="10"/>
    <dataField name="Sum of 2018" fld="21" baseField="8" baseItem="10"/>
    <dataField name="Sum of 2019" fld="22" baseField="8" baseItem="10"/>
    <dataField name="Sum of 2020" fld="23" baseField="8" baseItem="10"/>
  </dataFields>
  <formats count="1">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23"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93:M100" firstHeaderRow="0" firstDataRow="1" firstDataCol="1" rowPageCount="1" colPageCount="1"/>
  <pivotFields count="45">
    <pivotField showAll="0"/>
    <pivotField showAll="0"/>
    <pivotField showAll="0"/>
    <pivotField showAll="0"/>
    <pivotField showAll="0"/>
    <pivotField showAll="0"/>
    <pivotField axis="axisPage" multipleItemSelectionAllowed="1" showAll="0">
      <items count="11">
        <item h="1" x="0"/>
        <item h="1" x="1"/>
        <item h="1" x="2"/>
        <item h="1" x="3"/>
        <item h="1" x="4"/>
        <item h="1" x="5"/>
        <item h="1" x="6"/>
        <item h="1" x="7"/>
        <item x="8"/>
        <item h="1" x="9"/>
        <item t="default"/>
      </items>
    </pivotField>
    <pivotField showAll="0"/>
    <pivotField axis="axisRow" showAll="0">
      <items count="28">
        <item x="7"/>
        <item x="11"/>
        <item x="13"/>
        <item x="17"/>
        <item x="25"/>
        <item x="5"/>
        <item x="9"/>
        <item x="16"/>
        <item x="20"/>
        <item x="23"/>
        <item x="1"/>
        <item x="3"/>
        <item m="1" x="26"/>
        <item x="12"/>
        <item x="14"/>
        <item x="18"/>
        <item x="24"/>
        <item x="8"/>
        <item x="4"/>
        <item x="2"/>
        <item x="0"/>
        <item x="6"/>
        <item x="10"/>
        <item x="15"/>
        <item x="19"/>
        <item x="22"/>
        <item x="21"/>
        <item t="default"/>
      </items>
    </pivotField>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7">
    <i>
      <x v="3"/>
    </i>
    <i>
      <x v="8"/>
    </i>
    <i>
      <x v="15"/>
    </i>
    <i>
      <x v="20"/>
    </i>
    <i>
      <x v="24"/>
    </i>
    <i>
      <x v="26"/>
    </i>
    <i t="grand">
      <x/>
    </i>
  </rowItems>
  <colFields count="1">
    <field x="-2"/>
  </colFields>
  <colItems count="12">
    <i>
      <x/>
    </i>
    <i i="1">
      <x v="1"/>
    </i>
    <i i="2">
      <x v="2"/>
    </i>
    <i i="3">
      <x v="3"/>
    </i>
    <i i="4">
      <x v="4"/>
    </i>
    <i i="5">
      <x v="5"/>
    </i>
    <i i="6">
      <x v="6"/>
    </i>
    <i i="7">
      <x v="7"/>
    </i>
    <i i="8">
      <x v="8"/>
    </i>
    <i i="9">
      <x v="9"/>
    </i>
    <i i="10">
      <x v="10"/>
    </i>
    <i i="11">
      <x v="11"/>
    </i>
  </colItems>
  <pageFields count="1">
    <pageField fld="6" hier="-1"/>
  </pageFields>
  <dataFields count="12">
    <dataField name="Sum of 2009" fld="12" baseField="8" baseItem="10"/>
    <dataField name="Sum of 2010" fld="13" baseField="8" baseItem="10"/>
    <dataField name="Sum of 2011" fld="14" baseField="8" baseItem="0"/>
    <dataField name="Sum of 2012" fld="15" baseField="8" baseItem="0"/>
    <dataField name="Sum of 2013" fld="16" baseField="8" baseItem="0"/>
    <dataField name="Sum of 2014" fld="17" baseField="8" baseItem="0"/>
    <dataField name="Sum of 2015" fld="18" baseField="8" baseItem="10"/>
    <dataField name="Sum of 2016" fld="19" baseField="8" baseItem="10"/>
    <dataField name="Sum of 2017" fld="20" baseField="8" baseItem="10"/>
    <dataField name="Sum of 2018" fld="21" baseField="8" baseItem="10"/>
    <dataField name="Sum of 2019" fld="22" baseField="8" baseItem="10"/>
    <dataField name="Sum of 2020" fld="23" baseField="8" baseItem="10"/>
  </dataFields>
  <formats count="1">
    <format dxfId="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19" cacheId="0" applyNumberFormats="0" applyBorderFormats="0" applyFontFormats="0" applyPatternFormats="0" applyAlignmentFormats="0" applyWidthHeightFormats="1" dataCaption="Values" updatedVersion="4" minRefreshableVersion="3" useAutoFormatting="1" itemPrintTitles="1" createdVersion="4" indent="0" outline="1" outlineData="1" multipleFieldFilters="0">
  <location ref="A18:M23" firstHeaderRow="0" firstDataRow="1" firstDataCol="1" rowPageCount="1" colPageCount="1"/>
  <pivotFields count="45">
    <pivotField showAll="0"/>
    <pivotField showAll="0"/>
    <pivotField showAll="0"/>
    <pivotField showAll="0"/>
    <pivotField showAll="0"/>
    <pivotField showAll="0"/>
    <pivotField axis="axisPage" multipleItemSelectionAllowed="1" showAll="0">
      <items count="11">
        <item h="1" x="0"/>
        <item h="1" x="1"/>
        <item h="1" x="2"/>
        <item h="1" x="3"/>
        <item x="4"/>
        <item h="1" x="5"/>
        <item h="1" x="6"/>
        <item h="1" x="7"/>
        <item h="1" x="8"/>
        <item h="1" x="9"/>
        <item t="default"/>
      </items>
    </pivotField>
    <pivotField showAll="0"/>
    <pivotField axis="axisRow" showAll="0">
      <items count="28">
        <item x="7"/>
        <item x="11"/>
        <item x="13"/>
        <item x="17"/>
        <item x="25"/>
        <item x="5"/>
        <item x="9"/>
        <item x="16"/>
        <item x="20"/>
        <item x="23"/>
        <item x="1"/>
        <item x="3"/>
        <item m="1" x="26"/>
        <item x="12"/>
        <item x="14"/>
        <item x="18"/>
        <item x="24"/>
        <item x="8"/>
        <item x="4"/>
        <item x="2"/>
        <item x="0"/>
        <item x="6"/>
        <item x="10"/>
        <item x="15"/>
        <item x="19"/>
        <item x="22"/>
        <item x="21"/>
        <item t="default"/>
      </items>
    </pivotField>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5">
    <i>
      <x v="10"/>
    </i>
    <i>
      <x v="11"/>
    </i>
    <i>
      <x v="19"/>
    </i>
    <i>
      <x v="20"/>
    </i>
    <i t="grand">
      <x/>
    </i>
  </rowItems>
  <colFields count="1">
    <field x="-2"/>
  </colFields>
  <colItems count="12">
    <i>
      <x/>
    </i>
    <i i="1">
      <x v="1"/>
    </i>
    <i i="2">
      <x v="2"/>
    </i>
    <i i="3">
      <x v="3"/>
    </i>
    <i i="4">
      <x v="4"/>
    </i>
    <i i="5">
      <x v="5"/>
    </i>
    <i i="6">
      <x v="6"/>
    </i>
    <i i="7">
      <x v="7"/>
    </i>
    <i i="8">
      <x v="8"/>
    </i>
    <i i="9">
      <x v="9"/>
    </i>
    <i i="10">
      <x v="10"/>
    </i>
    <i i="11">
      <x v="11"/>
    </i>
  </colItems>
  <pageFields count="1">
    <pageField fld="6" hier="-1"/>
  </pageFields>
  <dataFields count="12">
    <dataField name="Sum of 2009" fld="12" baseField="8" baseItem="10"/>
    <dataField name="Sum of 2010" fld="13" baseField="8" baseItem="10"/>
    <dataField name="Sum of 2011" fld="14" baseField="8" baseItem="0"/>
    <dataField name="Sum of 2012" fld="15" baseField="8" baseItem="0"/>
    <dataField name="Sum of 2013" fld="16" baseField="8" baseItem="0"/>
    <dataField name="Sum of 2014" fld="17" baseField="8" baseItem="0"/>
    <dataField name="Sum of 2015" fld="18" baseField="8" baseItem="10"/>
    <dataField name="Sum of 2016" fld="19" baseField="8" baseItem="10"/>
    <dataField name="Sum of 2017" fld="20" baseField="8" baseItem="10"/>
    <dataField name="Sum of 2018" fld="21" baseField="8" baseItem="10"/>
    <dataField name="Sum of 2019" fld="22" baseField="8" baseItem="10"/>
    <dataField name="Sum of 2020" fld="23" baseField="8" baseItem="10"/>
  </dataFields>
  <formats count="2">
    <format dxfId="6">
      <pivotArea collapsedLevelsAreSubtotals="1" fieldPosition="0">
        <references count="1">
          <reference field="8" count="4">
            <x v="10"/>
            <x v="11"/>
            <x v="19"/>
            <x v="20"/>
          </reference>
        </references>
      </pivotArea>
    </format>
    <format dxfId="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8" Type="http://schemas.openxmlformats.org/officeDocument/2006/relationships/comments" Target="../comments3.xml"/><Relationship Id="rId3" Type="http://schemas.openxmlformats.org/officeDocument/2006/relationships/pivotTable" Target="../pivotTables/pivotTable3.xml"/><Relationship Id="rId7" Type="http://schemas.openxmlformats.org/officeDocument/2006/relationships/vmlDrawing" Target="../drawings/vmlDrawing3.v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3.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pivotTable" Target="../pivotTables/pivotTable8.xml"/><Relationship Id="rId7" Type="http://schemas.openxmlformats.org/officeDocument/2006/relationships/pivotTable" Target="../pivotTables/pivotTable12.xml"/><Relationship Id="rId2" Type="http://schemas.openxmlformats.org/officeDocument/2006/relationships/pivotTable" Target="../pivotTables/pivotTable7.xml"/><Relationship Id="rId1" Type="http://schemas.openxmlformats.org/officeDocument/2006/relationships/pivotTable" Target="../pivotTables/pivotTable6.xml"/><Relationship Id="rId6" Type="http://schemas.openxmlformats.org/officeDocument/2006/relationships/pivotTable" Target="../pivotTables/pivotTable11.xml"/><Relationship Id="rId5" Type="http://schemas.openxmlformats.org/officeDocument/2006/relationships/pivotTable" Target="../pivotTables/pivotTable10.xml"/><Relationship Id="rId10" Type="http://schemas.openxmlformats.org/officeDocument/2006/relationships/comments" Target="../comments5.xml"/><Relationship Id="rId4" Type="http://schemas.openxmlformats.org/officeDocument/2006/relationships/pivotTable" Target="../pivotTables/pivotTable9.xml"/><Relationship Id="rId9"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33"/>
  <sheetViews>
    <sheetView topLeftCell="A31" zoomScaleNormal="100" workbookViewId="0">
      <selection activeCell="G28" sqref="G28:H29"/>
    </sheetView>
  </sheetViews>
  <sheetFormatPr defaultColWidth="9.140625" defaultRowHeight="15"/>
  <cols>
    <col min="1" max="1" width="30.85546875" style="55" customWidth="1"/>
    <col min="2" max="2" width="21.140625" style="55" customWidth="1"/>
    <col min="3" max="8" width="15.140625" style="55" customWidth="1"/>
    <col min="9" max="9" width="12.42578125" style="55" customWidth="1"/>
    <col min="10" max="12" width="9.140625" style="55" hidden="1" customWidth="1"/>
    <col min="13" max="14" width="0" style="55" hidden="1" customWidth="1"/>
    <col min="15" max="16384" width="9.140625" style="55"/>
  </cols>
  <sheetData>
    <row r="1" spans="1:23" s="109" customFormat="1">
      <c r="G1" s="113" t="s">
        <v>198</v>
      </c>
      <c r="H1" s="661" t="s">
        <v>632</v>
      </c>
      <c r="I1" s="55"/>
      <c r="J1" s="114"/>
    </row>
    <row r="2" spans="1:23" s="109" customFormat="1">
      <c r="G2" s="113" t="s">
        <v>197</v>
      </c>
      <c r="H2" s="116">
        <v>3</v>
      </c>
      <c r="I2" s="55"/>
      <c r="J2" s="115"/>
      <c r="P2" s="55"/>
      <c r="Q2" s="55"/>
      <c r="R2" s="55"/>
      <c r="S2" s="55"/>
      <c r="T2" s="55"/>
      <c r="U2" s="55"/>
      <c r="V2" s="55"/>
      <c r="W2" s="55"/>
    </row>
    <row r="3" spans="1:23" s="109" customFormat="1">
      <c r="G3" s="113" t="s">
        <v>196</v>
      </c>
      <c r="H3" s="116">
        <v>1</v>
      </c>
      <c r="I3" s="55"/>
      <c r="J3" s="115"/>
      <c r="P3" s="55"/>
      <c r="Q3" s="55"/>
      <c r="R3" s="55"/>
      <c r="S3" s="55"/>
      <c r="T3" s="55"/>
      <c r="U3" s="55"/>
      <c r="V3" s="55"/>
      <c r="W3" s="55"/>
    </row>
    <row r="4" spans="1:23" s="109" customFormat="1">
      <c r="G4" s="113" t="s">
        <v>195</v>
      </c>
      <c r="H4" s="116">
        <v>3</v>
      </c>
      <c r="I4" s="55"/>
      <c r="J4" s="115"/>
      <c r="P4" s="55"/>
      <c r="Q4" s="55"/>
      <c r="R4" s="55"/>
      <c r="S4" s="55"/>
      <c r="T4" s="55"/>
      <c r="U4" s="55"/>
      <c r="V4" s="55"/>
      <c r="W4" s="55"/>
    </row>
    <row r="5" spans="1:23" s="109" customFormat="1">
      <c r="G5" s="113" t="s">
        <v>194</v>
      </c>
      <c r="H5" s="112" t="s">
        <v>633</v>
      </c>
      <c r="I5" s="55"/>
      <c r="J5" s="111"/>
      <c r="P5" s="55"/>
      <c r="Q5" s="55"/>
      <c r="R5" s="55"/>
      <c r="S5" s="55"/>
      <c r="T5" s="55"/>
      <c r="U5" s="55"/>
      <c r="V5" s="55"/>
      <c r="W5" s="55"/>
    </row>
    <row r="6" spans="1:23" s="109" customFormat="1">
      <c r="G6" s="113"/>
      <c r="H6" s="114"/>
      <c r="I6" s="55"/>
      <c r="J6" s="111"/>
      <c r="P6" s="55"/>
      <c r="Q6" s="55"/>
      <c r="R6" s="55"/>
      <c r="S6" s="55"/>
      <c r="T6" s="55"/>
      <c r="U6" s="55"/>
      <c r="V6" s="55"/>
      <c r="W6" s="55"/>
    </row>
    <row r="7" spans="1:23" s="109" customFormat="1">
      <c r="G7" s="113" t="s">
        <v>193</v>
      </c>
      <c r="H7" s="660">
        <v>42256</v>
      </c>
      <c r="I7" s="55"/>
      <c r="J7" s="111"/>
      <c r="P7" s="55"/>
      <c r="Q7" s="55"/>
      <c r="R7" s="55"/>
      <c r="S7" s="55"/>
      <c r="T7" s="55"/>
      <c r="U7" s="55"/>
      <c r="V7" s="55"/>
      <c r="W7" s="55"/>
    </row>
    <row r="8" spans="1:23" s="109" customFormat="1">
      <c r="G8" s="110"/>
      <c r="P8" s="55"/>
      <c r="Q8" s="55"/>
      <c r="R8" s="55"/>
      <c r="S8" s="55"/>
      <c r="T8" s="55"/>
      <c r="U8" s="55"/>
      <c r="V8" s="55"/>
      <c r="W8" s="55"/>
    </row>
    <row r="9" spans="1:23" s="109" customFormat="1" ht="18">
      <c r="A9" s="728" t="s">
        <v>192</v>
      </c>
      <c r="B9" s="728"/>
      <c r="C9" s="728"/>
      <c r="D9" s="728"/>
      <c r="E9" s="728"/>
      <c r="F9" s="728"/>
      <c r="G9" s="728"/>
      <c r="H9" s="728"/>
      <c r="P9" s="55"/>
      <c r="Q9" s="55"/>
      <c r="R9" s="55"/>
      <c r="S9" s="55"/>
      <c r="T9" s="55"/>
      <c r="U9" s="55"/>
      <c r="V9" s="55"/>
      <c r="W9" s="55"/>
    </row>
    <row r="10" spans="1:23" s="109" customFormat="1" ht="18">
      <c r="A10" s="728" t="s">
        <v>191</v>
      </c>
      <c r="B10" s="728"/>
      <c r="C10" s="728"/>
      <c r="D10" s="728"/>
      <c r="E10" s="728"/>
      <c r="F10" s="728"/>
      <c r="G10" s="728"/>
      <c r="H10" s="728"/>
      <c r="P10" s="55"/>
      <c r="Q10" s="55"/>
      <c r="R10" s="55"/>
      <c r="S10" s="55"/>
      <c r="T10" s="55"/>
      <c r="U10" s="55"/>
      <c r="V10" s="55"/>
      <c r="W10" s="55"/>
    </row>
    <row r="12" spans="1:23">
      <c r="A12" s="697" t="s">
        <v>458</v>
      </c>
      <c r="B12" s="698"/>
      <c r="C12" s="698"/>
      <c r="D12" s="698"/>
      <c r="E12" s="698"/>
      <c r="F12" s="698"/>
      <c r="G12" s="698"/>
      <c r="H12" s="698"/>
    </row>
    <row r="14" spans="1:23" ht="70.5" customHeight="1">
      <c r="A14" s="729" t="s">
        <v>190</v>
      </c>
      <c r="B14" s="730"/>
      <c r="C14" s="730"/>
      <c r="D14" s="730"/>
      <c r="E14" s="730"/>
      <c r="F14" s="730"/>
      <c r="G14" s="730"/>
      <c r="H14" s="730"/>
    </row>
    <row r="16" spans="1:23" ht="42" customHeight="1">
      <c r="A16" s="697" t="s">
        <v>582</v>
      </c>
      <c r="B16" s="698"/>
      <c r="C16" s="698"/>
      <c r="D16" s="698"/>
      <c r="E16" s="698"/>
      <c r="F16" s="698"/>
      <c r="G16" s="698"/>
      <c r="H16" s="698"/>
    </row>
    <row r="18" spans="1:14" ht="30" customHeight="1">
      <c r="A18" s="697" t="s">
        <v>583</v>
      </c>
      <c r="B18" s="698"/>
      <c r="C18" s="698"/>
      <c r="D18" s="698"/>
      <c r="E18" s="698"/>
      <c r="F18" s="698"/>
      <c r="G18" s="698"/>
      <c r="H18" s="698"/>
    </row>
    <row r="19" spans="1:14">
      <c r="A19" s="458"/>
      <c r="B19" s="457"/>
      <c r="C19" s="457"/>
      <c r="D19" s="457"/>
      <c r="E19" s="457"/>
      <c r="F19" s="457"/>
      <c r="G19" s="457"/>
      <c r="H19" s="457"/>
    </row>
    <row r="20" spans="1:14" ht="50.1" customHeight="1">
      <c r="A20" s="697" t="s">
        <v>584</v>
      </c>
      <c r="B20" s="697"/>
      <c r="C20" s="697"/>
      <c r="D20" s="697"/>
      <c r="E20" s="697"/>
      <c r="F20" s="697"/>
      <c r="G20" s="697"/>
      <c r="H20" s="697"/>
    </row>
    <row r="22" spans="1:14" ht="18.75">
      <c r="A22" s="699" t="s">
        <v>189</v>
      </c>
      <c r="B22" s="699"/>
      <c r="C22" s="699"/>
      <c r="D22" s="699"/>
      <c r="E22" s="699"/>
      <c r="F22" s="699"/>
      <c r="G22" s="699"/>
      <c r="H22" s="699"/>
    </row>
    <row r="24" spans="1:14">
      <c r="A24" s="700" t="s">
        <v>459</v>
      </c>
      <c r="B24" s="701"/>
      <c r="C24" s="701"/>
      <c r="D24" s="701"/>
      <c r="E24" s="701"/>
      <c r="F24" s="701"/>
      <c r="G24" s="701"/>
      <c r="H24" s="701"/>
    </row>
    <row r="25" spans="1:14">
      <c r="A25" s="56"/>
      <c r="B25" s="56"/>
      <c r="C25" s="56"/>
      <c r="D25" s="56"/>
      <c r="E25" s="56"/>
      <c r="F25" s="56"/>
    </row>
    <row r="26" spans="1:14">
      <c r="A26" s="702" t="s">
        <v>645</v>
      </c>
      <c r="B26" s="702"/>
      <c r="C26" s="702"/>
      <c r="D26" s="702"/>
      <c r="E26" s="702"/>
      <c r="F26" s="702"/>
      <c r="G26" s="702"/>
      <c r="H26" s="702"/>
    </row>
    <row r="27" spans="1:14" ht="15.75" thickBot="1">
      <c r="A27" s="108"/>
      <c r="B27" s="107"/>
      <c r="C27" s="107"/>
      <c r="D27" s="107"/>
      <c r="E27" s="107"/>
      <c r="F27" s="107"/>
    </row>
    <row r="28" spans="1:14">
      <c r="A28" s="704" t="s">
        <v>188</v>
      </c>
      <c r="B28" s="705"/>
      <c r="C28" s="705"/>
      <c r="D28" s="705"/>
      <c r="E28" s="705"/>
      <c r="F28" s="706"/>
      <c r="G28" s="707" t="s">
        <v>187</v>
      </c>
      <c r="H28" s="708"/>
    </row>
    <row r="29" spans="1:14">
      <c r="A29" s="711">
        <v>37160000</v>
      </c>
      <c r="B29" s="712"/>
      <c r="C29" s="712"/>
      <c r="D29" s="712"/>
      <c r="E29" s="712"/>
      <c r="F29" s="713"/>
      <c r="G29" s="709"/>
      <c r="H29" s="710"/>
    </row>
    <row r="30" spans="1:14">
      <c r="A30" s="106"/>
      <c r="B30" s="105">
        <v>2011</v>
      </c>
      <c r="C30" s="105">
        <v>2012</v>
      </c>
      <c r="D30" s="105">
        <v>2013</v>
      </c>
      <c r="E30" s="105">
        <v>2014</v>
      </c>
      <c r="F30" s="104" t="s">
        <v>82</v>
      </c>
      <c r="G30" s="99">
        <v>2015</v>
      </c>
      <c r="H30" s="103">
        <v>2016</v>
      </c>
      <c r="K30" s="55">
        <f>B30</f>
        <v>2011</v>
      </c>
      <c r="L30" s="55">
        <f>C30</f>
        <v>2012</v>
      </c>
      <c r="M30" s="55">
        <f>D30</f>
        <v>2013</v>
      </c>
      <c r="N30" s="55">
        <f>E30</f>
        <v>2014</v>
      </c>
    </row>
    <row r="31" spans="1:14">
      <c r="A31" s="76" t="s">
        <v>186</v>
      </c>
      <c r="B31" s="90">
        <f>B37/$A$29</f>
        <v>8.8871831297093654E-2</v>
      </c>
      <c r="C31" s="90">
        <f>C37/$A$29</f>
        <v>8.8871831297093654E-2</v>
      </c>
      <c r="D31" s="90">
        <f>D37/$A$29</f>
        <v>8.8871831297093654E-2</v>
      </c>
      <c r="E31" s="90">
        <f>E37/$A$29</f>
        <v>8.8871831297093654E-2</v>
      </c>
      <c r="F31" s="88">
        <f>SUM(B31:E31)</f>
        <v>0.35548732518837461</v>
      </c>
      <c r="G31" s="59"/>
      <c r="H31" s="96"/>
      <c r="J31" s="55" t="str">
        <f>A31</f>
        <v>2011 CDM Programs</v>
      </c>
      <c r="K31" s="102">
        <f>50%</f>
        <v>0.5</v>
      </c>
      <c r="L31" s="101">
        <v>1</v>
      </c>
      <c r="M31" s="100">
        <v>1</v>
      </c>
      <c r="N31" s="100">
        <v>1</v>
      </c>
    </row>
    <row r="32" spans="1:14">
      <c r="A32" s="76" t="s">
        <v>185</v>
      </c>
      <c r="B32" s="60"/>
      <c r="C32" s="90">
        <f>C38/$A$29</f>
        <v>0.14573906996770722</v>
      </c>
      <c r="D32" s="90">
        <f>D38/$A$29</f>
        <v>0.14573906996770722</v>
      </c>
      <c r="E32" s="90">
        <f>E38/$A$29</f>
        <v>0.14573906996770722</v>
      </c>
      <c r="F32" s="88">
        <f>SUM(B32:E32)</f>
        <v>0.43721720990312163</v>
      </c>
      <c r="G32" s="59"/>
      <c r="H32" s="96"/>
      <c r="J32" s="55" t="str">
        <f>A32</f>
        <v>2012 CDM Programs</v>
      </c>
      <c r="L32" s="101">
        <v>0.5</v>
      </c>
      <c r="M32" s="100">
        <v>1</v>
      </c>
      <c r="N32" s="100">
        <v>1</v>
      </c>
    </row>
    <row r="33" spans="1:14">
      <c r="A33" s="76" t="s">
        <v>184</v>
      </c>
      <c r="B33" s="60"/>
      <c r="C33" s="60"/>
      <c r="D33" s="90">
        <f>D39/$A$29</f>
        <v>0.16573801506996769</v>
      </c>
      <c r="E33" s="90">
        <f>E39/$A$29</f>
        <v>0.16573801506996769</v>
      </c>
      <c r="F33" s="88">
        <f>SUM(B33:E33)</f>
        <v>0.33147603013993537</v>
      </c>
      <c r="G33" s="59"/>
      <c r="H33" s="96"/>
      <c r="J33" s="55" t="str">
        <f>A33</f>
        <v>2013 CDM Programs</v>
      </c>
      <c r="M33" s="100">
        <v>0.5</v>
      </c>
      <c r="N33" s="100">
        <v>1</v>
      </c>
    </row>
    <row r="34" spans="1:14" ht="15.75" thickBot="1">
      <c r="A34" s="70" t="s">
        <v>183</v>
      </c>
      <c r="B34" s="87"/>
      <c r="C34" s="87"/>
      <c r="D34" s="87"/>
      <c r="E34" s="86">
        <f>E40/$A$29</f>
        <v>0.10566652117868676</v>
      </c>
      <c r="F34" s="86">
        <f>SUM(B34:E34)</f>
        <v>0.10566652117868676</v>
      </c>
      <c r="G34" s="59"/>
      <c r="H34" s="96"/>
      <c r="J34" s="55" t="str">
        <f>A34</f>
        <v>2014 CDM Programs</v>
      </c>
      <c r="N34" s="100">
        <v>0.5</v>
      </c>
    </row>
    <row r="35" spans="1:14" ht="15.75" thickTop="1">
      <c r="A35" s="99" t="s">
        <v>172</v>
      </c>
      <c r="B35" s="98">
        <f>SUM(B31:B34)</f>
        <v>8.8871831297093654E-2</v>
      </c>
      <c r="C35" s="98">
        <f>SUM(C31:C34)</f>
        <v>0.23461090126480089</v>
      </c>
      <c r="D35" s="98">
        <f>SUM(D31:D34)</f>
        <v>0.40034891633476855</v>
      </c>
      <c r="E35" s="98">
        <f>SUM(E31:E34)</f>
        <v>0.50601543751345535</v>
      </c>
      <c r="F35" s="97">
        <f>'Kingston Hydro - Results (Net)'!T70</f>
        <v>1.236776726184069</v>
      </c>
      <c r="G35" s="59"/>
      <c r="H35" s="96"/>
    </row>
    <row r="36" spans="1:14">
      <c r="A36" s="714" t="s">
        <v>78</v>
      </c>
      <c r="B36" s="715"/>
      <c r="C36" s="715"/>
      <c r="D36" s="715"/>
      <c r="E36" s="715"/>
      <c r="F36" s="716"/>
      <c r="G36" s="59"/>
      <c r="H36" s="96"/>
    </row>
    <row r="37" spans="1:14">
      <c r="A37" s="76" t="s">
        <v>186</v>
      </c>
      <c r="B37" s="73">
        <f>'Kingston Hydro - Results (Net)'!$N$67</f>
        <v>3302477.2510000002</v>
      </c>
      <c r="C37" s="73">
        <f>'Kingston Hydro - Results (Net)'!$N$67</f>
        <v>3302477.2510000002</v>
      </c>
      <c r="D37" s="73">
        <f>'Kingston Hydro - Results (Net)'!$N$67</f>
        <v>3302477.2510000002</v>
      </c>
      <c r="E37" s="73">
        <f>'Kingston Hydro - Results (Net)'!$N$67</f>
        <v>3302477.2510000002</v>
      </c>
      <c r="F37" s="71">
        <f>SUM(B37:E37)</f>
        <v>13209909.004000001</v>
      </c>
      <c r="G37" s="163"/>
      <c r="H37" s="164"/>
    </row>
    <row r="38" spans="1:14">
      <c r="A38" s="76" t="s">
        <v>185</v>
      </c>
      <c r="B38" s="75"/>
      <c r="C38" s="80">
        <f>'Kingston Hydro - Results (Net)'!$O$67</f>
        <v>5415663.8399999999</v>
      </c>
      <c r="D38" s="80">
        <f>'Kingston Hydro - Results (Net)'!$O$67</f>
        <v>5415663.8399999999</v>
      </c>
      <c r="E38" s="80">
        <f>'Kingston Hydro - Results (Net)'!$O$67</f>
        <v>5415663.8399999999</v>
      </c>
      <c r="F38" s="71">
        <f>SUM(B38:E38)</f>
        <v>16246991.52</v>
      </c>
      <c r="G38" s="59"/>
      <c r="H38" s="96"/>
    </row>
    <row r="39" spans="1:14">
      <c r="A39" s="76" t="s">
        <v>184</v>
      </c>
      <c r="B39" s="75"/>
      <c r="C39" s="75"/>
      <c r="D39" s="80">
        <f>'Kingston Hydro - Results (Net)'!$P$67</f>
        <v>6158824.6399999997</v>
      </c>
      <c r="E39" s="80">
        <f>'Kingston Hydro - Results (Net)'!$P$67</f>
        <v>6158824.6399999997</v>
      </c>
      <c r="F39" s="71">
        <f>SUM(B39:E39)</f>
        <v>12317649.279999999</v>
      </c>
      <c r="G39" s="59"/>
      <c r="H39" s="96"/>
    </row>
    <row r="40" spans="1:14" ht="15.75" thickBot="1">
      <c r="A40" s="70" t="s">
        <v>183</v>
      </c>
      <c r="B40" s="69"/>
      <c r="C40" s="69"/>
      <c r="D40" s="69"/>
      <c r="E40" s="68">
        <f>'Kingston Hydro - Results (Net)'!$Q$67</f>
        <v>3926567.9270000001</v>
      </c>
      <c r="F40" s="69">
        <f>SUM(B40:E40)</f>
        <v>3926567.9270000001</v>
      </c>
      <c r="G40" s="165">
        <f>GETPIVOTDATA("Sum of 2015",'KH MWh Savings Pivot'!$A$93)*1000</f>
        <v>3596453.6157192471</v>
      </c>
      <c r="H40" s="165">
        <f>GETPIVOTDATA("Sum of 2016",'KH MWh Savings Pivot'!$A$93)*1000</f>
        <v>3541217.6520663444</v>
      </c>
    </row>
    <row r="41" spans="1:14" ht="16.5" thickTop="1" thickBot="1">
      <c r="A41" s="66" t="s">
        <v>172</v>
      </c>
      <c r="B41" s="65">
        <f>SUM(B37:B40)</f>
        <v>3302477.2510000002</v>
      </c>
      <c r="C41" s="65">
        <f>SUM(C37:C40)</f>
        <v>8718141.091</v>
      </c>
      <c r="D41" s="65">
        <f>SUM(D37:D40)</f>
        <v>14876965.730999999</v>
      </c>
      <c r="E41" s="65">
        <f>SUM(E37:E40)</f>
        <v>18803533.658</v>
      </c>
      <c r="F41" s="63">
        <f>'Kingston Hydro - Results (Net)'!T67</f>
        <v>45958623.145000003</v>
      </c>
      <c r="G41" s="95"/>
      <c r="H41" s="94"/>
      <c r="I41" s="429"/>
    </row>
    <row r="42" spans="1:14">
      <c r="A42" s="62"/>
      <c r="B42" s="61"/>
      <c r="C42" s="61"/>
      <c r="D42" s="61"/>
      <c r="E42" s="61"/>
      <c r="F42" s="61"/>
      <c r="I42" s="430"/>
    </row>
    <row r="43" spans="1:14" ht="18.75">
      <c r="A43" s="699" t="s">
        <v>182</v>
      </c>
      <c r="B43" s="699"/>
      <c r="C43" s="699"/>
      <c r="D43" s="699"/>
      <c r="E43" s="699"/>
      <c r="F43" s="699"/>
      <c r="I43" s="431"/>
    </row>
    <row r="44" spans="1:14">
      <c r="A44" s="62"/>
      <c r="B44" s="61"/>
      <c r="C44" s="61"/>
      <c r="D44" s="61"/>
      <c r="E44" s="61"/>
      <c r="F44" s="61"/>
    </row>
    <row r="45" spans="1:14">
      <c r="A45" s="717" t="s">
        <v>181</v>
      </c>
      <c r="B45" s="718"/>
      <c r="C45" s="718"/>
      <c r="D45" s="718"/>
      <c r="E45" s="718"/>
      <c r="F45" s="718"/>
      <c r="G45" s="718"/>
      <c r="H45" s="718"/>
    </row>
    <row r="46" spans="1:14" ht="15.75" thickBot="1">
      <c r="A46" s="62"/>
      <c r="B46" s="61"/>
      <c r="C46" s="61"/>
      <c r="D46" s="61"/>
      <c r="E46" s="61"/>
      <c r="F46" s="61"/>
    </row>
    <row r="47" spans="1:14">
      <c r="A47" s="719" t="s">
        <v>180</v>
      </c>
      <c r="B47" s="720"/>
      <c r="C47" s="720"/>
      <c r="D47" s="720"/>
      <c r="E47" s="720"/>
      <c r="F47" s="720"/>
      <c r="G47" s="720"/>
      <c r="H47" s="721"/>
    </row>
    <row r="48" spans="1:14">
      <c r="A48" s="722">
        <v>34500000</v>
      </c>
      <c r="B48" s="723"/>
      <c r="C48" s="723"/>
      <c r="D48" s="723"/>
      <c r="E48" s="723"/>
      <c r="F48" s="723"/>
      <c r="G48" s="723"/>
      <c r="H48" s="724"/>
    </row>
    <row r="49" spans="1:8">
      <c r="A49" s="93"/>
      <c r="B49" s="92">
        <v>2015</v>
      </c>
      <c r="C49" s="92">
        <v>2016</v>
      </c>
      <c r="D49" s="92">
        <v>2017</v>
      </c>
      <c r="E49" s="92">
        <v>2018</v>
      </c>
      <c r="F49" s="92">
        <v>2019</v>
      </c>
      <c r="G49" s="92">
        <v>2020</v>
      </c>
      <c r="H49" s="91" t="s">
        <v>82</v>
      </c>
    </row>
    <row r="50" spans="1:8">
      <c r="A50" s="725" t="s">
        <v>179</v>
      </c>
      <c r="B50" s="726"/>
      <c r="C50" s="726"/>
      <c r="D50" s="726"/>
      <c r="E50" s="726"/>
      <c r="F50" s="726"/>
      <c r="G50" s="726"/>
      <c r="H50" s="727"/>
    </row>
    <row r="51" spans="1:8">
      <c r="A51" s="76" t="s">
        <v>178</v>
      </c>
      <c r="B51" s="90">
        <f>B59/$A$48</f>
        <v>7.9420289855072462E-2</v>
      </c>
      <c r="C51" s="81"/>
      <c r="D51" s="81"/>
      <c r="E51" s="81"/>
      <c r="F51" s="81"/>
      <c r="G51" s="89"/>
      <c r="H51" s="88">
        <f>SUM(B51:G51)</f>
        <v>7.9420289855072462E-2</v>
      </c>
    </row>
    <row r="52" spans="1:8">
      <c r="A52" s="76" t="s">
        <v>177</v>
      </c>
      <c r="B52" s="60"/>
      <c r="C52" s="90">
        <f>C60/$A$48</f>
        <v>0.33234110409137213</v>
      </c>
      <c r="D52" s="81"/>
      <c r="E52" s="81"/>
      <c r="F52" s="81"/>
      <c r="G52" s="89"/>
      <c r="H52" s="88">
        <f>SUM(B52:G52)</f>
        <v>0.33234110409137213</v>
      </c>
    </row>
    <row r="53" spans="1:8">
      <c r="A53" s="76" t="s">
        <v>176</v>
      </c>
      <c r="B53" s="60"/>
      <c r="C53" s="60"/>
      <c r="D53" s="90">
        <f>D61/$A$48</f>
        <v>0.20390461748472191</v>
      </c>
      <c r="E53" s="81"/>
      <c r="F53" s="81"/>
      <c r="G53" s="89"/>
      <c r="H53" s="88">
        <f>SUM(B53:G53)</f>
        <v>0.20390461748472191</v>
      </c>
    </row>
    <row r="54" spans="1:8">
      <c r="A54" s="76" t="s">
        <v>175</v>
      </c>
      <c r="B54" s="60"/>
      <c r="C54" s="60"/>
      <c r="D54" s="90"/>
      <c r="E54" s="90">
        <f>E62/$A$48</f>
        <v>0.14184626067312769</v>
      </c>
      <c r="F54" s="81"/>
      <c r="G54" s="89"/>
      <c r="H54" s="88">
        <f>SUM(E54:G54)</f>
        <v>0.14184626067312769</v>
      </c>
    </row>
    <row r="55" spans="1:8">
      <c r="A55" s="76" t="s">
        <v>174</v>
      </c>
      <c r="B55" s="60"/>
      <c r="C55" s="60"/>
      <c r="D55" s="90"/>
      <c r="E55" s="90"/>
      <c r="F55" s="90">
        <f>F63/$A$48</f>
        <v>0.15306306154269292</v>
      </c>
      <c r="G55" s="89"/>
      <c r="H55" s="88">
        <f>SUM(F55:G55)</f>
        <v>0.15306306154269292</v>
      </c>
    </row>
    <row r="56" spans="1:8" ht="15.75" thickBot="1">
      <c r="A56" s="70" t="s">
        <v>173</v>
      </c>
      <c r="B56" s="87"/>
      <c r="C56" s="87"/>
      <c r="D56" s="87"/>
      <c r="E56" s="87"/>
      <c r="F56" s="87"/>
      <c r="G56" s="90">
        <f>G64/$A$48</f>
        <v>0.16717841313689585</v>
      </c>
      <c r="H56" s="86">
        <f>SUM(B56:G56)</f>
        <v>0.16717841313689585</v>
      </c>
    </row>
    <row r="57" spans="1:8" ht="15.75" thickTop="1">
      <c r="A57" s="85" t="s">
        <v>172</v>
      </c>
      <c r="B57" s="84">
        <f>SUM(B51:B56)</f>
        <v>7.9420289855072462E-2</v>
      </c>
      <c r="C57" s="84">
        <f>SUM(C51:C56)</f>
        <v>0.33234110409137213</v>
      </c>
      <c r="D57" s="84">
        <f>SUM(D51:D56)</f>
        <v>0.20390461748472191</v>
      </c>
      <c r="E57" s="84">
        <f>SUM(E51:E54)</f>
        <v>0.14184626067312769</v>
      </c>
      <c r="F57" s="84">
        <f>SUM(F51:F55)</f>
        <v>0.15306306154269292</v>
      </c>
      <c r="G57" s="83">
        <f>SUM(G51:G56)</f>
        <v>0.16717841313689585</v>
      </c>
      <c r="H57" s="82">
        <f>SUM(B57:G57)</f>
        <v>1.0777537467838829</v>
      </c>
    </row>
    <row r="58" spans="1:8">
      <c r="A58" s="714" t="s">
        <v>78</v>
      </c>
      <c r="B58" s="715"/>
      <c r="C58" s="715"/>
      <c r="D58" s="715"/>
      <c r="E58" s="715"/>
      <c r="F58" s="715"/>
      <c r="G58" s="715"/>
      <c r="H58" s="716"/>
    </row>
    <row r="59" spans="1:8">
      <c r="A59" s="76" t="str">
        <f t="shared" ref="A59:A64" si="0">A51</f>
        <v>2015 CDM Programs</v>
      </c>
      <c r="B59" s="73">
        <f>'KH 2015-2020 CDM Plan Milestone'!O80*1000</f>
        <v>2740000</v>
      </c>
      <c r="C59" s="73"/>
      <c r="D59" s="81"/>
      <c r="E59" s="77"/>
      <c r="F59" s="77"/>
      <c r="G59" s="72"/>
      <c r="H59" s="71">
        <f>SUM(B59:G59)</f>
        <v>2740000</v>
      </c>
    </row>
    <row r="60" spans="1:8">
      <c r="A60" s="76" t="str">
        <f t="shared" si="0"/>
        <v>2016 CDM Programs</v>
      </c>
      <c r="B60" s="75"/>
      <c r="C60" s="80">
        <f>'KH 2015-2020 CDM Plan Milestone'!Q80*1000</f>
        <v>11465768.091152338</v>
      </c>
      <c r="D60" s="79"/>
      <c r="E60" s="79"/>
      <c r="F60" s="79"/>
      <c r="G60" s="78"/>
      <c r="H60" s="71">
        <f>SUM(B60:G60)</f>
        <v>11465768.091152338</v>
      </c>
    </row>
    <row r="61" spans="1:8">
      <c r="A61" s="76" t="str">
        <f t="shared" si="0"/>
        <v>2017 CDM Programs</v>
      </c>
      <c r="B61" s="75"/>
      <c r="C61" s="75"/>
      <c r="D61" s="80">
        <f>'KH 2015-2020 CDM Plan Milestone'!S80*1000</f>
        <v>7034709.3032229058</v>
      </c>
      <c r="E61" s="79"/>
      <c r="F61" s="79"/>
      <c r="G61" s="78"/>
      <c r="H61" s="71">
        <f>SUM(B61:G61)</f>
        <v>7034709.3032229058</v>
      </c>
    </row>
    <row r="62" spans="1:8">
      <c r="A62" s="76" t="str">
        <f t="shared" si="0"/>
        <v>2018 CDM Programs</v>
      </c>
      <c r="B62" s="75"/>
      <c r="C62" s="75"/>
      <c r="D62" s="74"/>
      <c r="E62" s="73">
        <f>'KH 2015-2020 CDM Plan Milestone'!U80*1000</f>
        <v>4893695.9932229053</v>
      </c>
      <c r="F62" s="77"/>
      <c r="G62" s="72"/>
      <c r="H62" s="71">
        <f>SUM(E62:G62)</f>
        <v>4893695.9932229053</v>
      </c>
    </row>
    <row r="63" spans="1:8">
      <c r="A63" s="76" t="str">
        <f t="shared" si="0"/>
        <v>2019 CDM Programs</v>
      </c>
      <c r="B63" s="75"/>
      <c r="C63" s="75"/>
      <c r="D63" s="74"/>
      <c r="E63" s="74"/>
      <c r="F63" s="73">
        <f>'KH 2015-2020 CDM Plan Milestone'!W80*1000</f>
        <v>5280675.6232229061</v>
      </c>
      <c r="G63" s="72"/>
      <c r="H63" s="71">
        <f>SUM(F63:G63)</f>
        <v>5280675.6232229061</v>
      </c>
    </row>
    <row r="64" spans="1:8" ht="15.75" thickBot="1">
      <c r="A64" s="70" t="str">
        <f t="shared" si="0"/>
        <v>2020 CDM Programs</v>
      </c>
      <c r="B64" s="69"/>
      <c r="C64" s="69"/>
      <c r="D64" s="69"/>
      <c r="E64" s="69"/>
      <c r="F64" s="69"/>
      <c r="G64" s="68">
        <f>'KH 2015-2020 CDM Plan Milestone'!Y80*1000</f>
        <v>5767655.253222907</v>
      </c>
      <c r="H64" s="67">
        <f>SUM(B64:G64)</f>
        <v>5767655.253222907</v>
      </c>
    </row>
    <row r="65" spans="1:33" ht="16.5" thickTop="1" thickBot="1">
      <c r="A65" s="66" t="s">
        <v>172</v>
      </c>
      <c r="B65" s="65">
        <f>SUM(B59:B64)</f>
        <v>2740000</v>
      </c>
      <c r="C65" s="65">
        <f>SUM(C59:C64)</f>
        <v>11465768.091152338</v>
      </c>
      <c r="D65" s="65">
        <f>SUM(D59:D64)</f>
        <v>7034709.3032229058</v>
      </c>
      <c r="E65" s="65">
        <f>SUM(E59:E62)</f>
        <v>4893695.9932229053</v>
      </c>
      <c r="F65" s="65">
        <f>SUM(F59:F63)</f>
        <v>5280675.6232229061</v>
      </c>
      <c r="G65" s="64">
        <f>SUM(G59:G64)</f>
        <v>5767655.253222907</v>
      </c>
      <c r="H65" s="63">
        <f>SUM(B65:G65)</f>
        <v>37182504.264043964</v>
      </c>
    </row>
    <row r="66" spans="1:33">
      <c r="A66" s="62"/>
      <c r="B66" s="61"/>
      <c r="C66" s="61"/>
      <c r="D66" s="61"/>
      <c r="E66" s="61"/>
      <c r="F66" s="61"/>
    </row>
    <row r="67" spans="1:33" ht="18.75">
      <c r="A67" s="703" t="s">
        <v>171</v>
      </c>
      <c r="B67" s="703"/>
      <c r="C67" s="703"/>
      <c r="D67" s="703"/>
      <c r="E67" s="703"/>
      <c r="F67" s="703"/>
      <c r="G67" s="703"/>
      <c r="H67" s="703"/>
    </row>
    <row r="68" spans="1:33">
      <c r="A68" s="62"/>
      <c r="B68" s="61"/>
      <c r="C68" s="61"/>
      <c r="D68" s="61"/>
      <c r="E68" s="61"/>
      <c r="F68" s="61"/>
    </row>
    <row r="69" spans="1:33" ht="32.1" customHeight="1">
      <c r="A69" s="695" t="s">
        <v>482</v>
      </c>
      <c r="B69" s="695"/>
      <c r="C69" s="695"/>
      <c r="D69" s="695"/>
      <c r="E69" s="695"/>
      <c r="F69" s="695"/>
      <c r="G69" s="695"/>
      <c r="H69" s="695"/>
    </row>
    <row r="70" spans="1:33" ht="30.95" customHeight="1">
      <c r="A70" s="695" t="s">
        <v>485</v>
      </c>
      <c r="B70" s="695"/>
      <c r="C70" s="695"/>
      <c r="D70" s="695"/>
      <c r="E70" s="695"/>
      <c r="F70" s="695"/>
      <c r="G70" s="695"/>
      <c r="H70" s="695"/>
    </row>
    <row r="71" spans="1:33" ht="27" customHeight="1">
      <c r="A71" s="695" t="s">
        <v>483</v>
      </c>
      <c r="B71" s="695"/>
      <c r="C71" s="695"/>
      <c r="D71" s="695"/>
      <c r="E71" s="695"/>
      <c r="F71" s="695"/>
      <c r="G71" s="695"/>
      <c r="H71" s="695"/>
    </row>
    <row r="72" spans="1:33" ht="24.6" customHeight="1">
      <c r="A72" s="695" t="s">
        <v>484</v>
      </c>
      <c r="B72" s="695"/>
      <c r="C72" s="695"/>
      <c r="D72" s="695"/>
      <c r="E72" s="695"/>
      <c r="F72" s="695"/>
      <c r="G72" s="695"/>
      <c r="H72" s="695"/>
    </row>
    <row r="73" spans="1:33" ht="28.5" customHeight="1">
      <c r="A73" s="695" t="s">
        <v>487</v>
      </c>
      <c r="B73" s="695"/>
      <c r="C73" s="695"/>
      <c r="D73" s="695"/>
      <c r="E73" s="695"/>
      <c r="F73" s="695"/>
      <c r="G73" s="695"/>
      <c r="H73" s="695"/>
    </row>
    <row r="74" spans="1:33">
      <c r="A74" s="695" t="s">
        <v>498</v>
      </c>
      <c r="B74" s="695"/>
      <c r="C74" s="695"/>
      <c r="D74" s="695"/>
      <c r="E74" s="695"/>
      <c r="F74" s="695"/>
      <c r="G74" s="695"/>
      <c r="H74" s="695"/>
    </row>
    <row r="75" spans="1:33" ht="45.95" customHeight="1">
      <c r="A75" s="696" t="s">
        <v>167</v>
      </c>
      <c r="B75" s="696"/>
      <c r="C75" s="696"/>
      <c r="D75" s="696"/>
      <c r="E75" s="696"/>
      <c r="F75" s="696"/>
      <c r="G75" s="696"/>
      <c r="H75" s="696"/>
    </row>
    <row r="76" spans="1:33">
      <c r="A76" s="55" t="s">
        <v>169</v>
      </c>
      <c r="E76" s="431">
        <v>3.2500000000000001E-2</v>
      </c>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row>
    <row r="77" spans="1:33">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c r="AG77" s="109"/>
    </row>
    <row r="78" spans="1:33">
      <c r="A78" s="55" t="s">
        <v>168</v>
      </c>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row>
    <row r="80" spans="1:33" ht="36.6" customHeight="1">
      <c r="A80" s="696" t="s">
        <v>166</v>
      </c>
      <c r="B80" s="696"/>
      <c r="C80" s="696"/>
      <c r="D80" s="696"/>
      <c r="E80" s="696"/>
      <c r="F80" s="696"/>
      <c r="G80" s="696"/>
      <c r="H80" s="696"/>
    </row>
    <row r="81" spans="1:13">
      <c r="A81" s="598"/>
      <c r="B81" s="598"/>
      <c r="C81" s="598"/>
      <c r="D81" s="598"/>
      <c r="E81" s="598"/>
      <c r="F81" s="598"/>
      <c r="G81" s="598"/>
      <c r="H81" s="598"/>
      <c r="J81" s="55">
        <v>581568.95207366417</v>
      </c>
      <c r="K81" s="55">
        <v>646823.06211642653</v>
      </c>
      <c r="L81" s="55">
        <v>713736.74540915934</v>
      </c>
      <c r="M81" s="55">
        <v>782310.00195186271</v>
      </c>
    </row>
    <row r="82" spans="1:13" ht="60.95" customHeight="1">
      <c r="A82" s="696" t="s">
        <v>170</v>
      </c>
      <c r="B82" s="696"/>
      <c r="C82" s="696"/>
      <c r="D82" s="696"/>
      <c r="E82" s="696"/>
      <c r="F82" s="696"/>
      <c r="G82" s="696"/>
      <c r="H82" s="696"/>
      <c r="J82" s="55">
        <v>2903282.5082077589</v>
      </c>
      <c r="K82" s="55">
        <v>2878829.9332918855</v>
      </c>
      <c r="L82" s="55">
        <v>2834864.039886198</v>
      </c>
      <c r="M82" s="55">
        <v>2733258.6746989344</v>
      </c>
    </row>
    <row r="84" spans="1:13">
      <c r="J84" s="55">
        <v>2017</v>
      </c>
      <c r="K84" s="55">
        <v>2018</v>
      </c>
      <c r="L84" s="55">
        <v>2019</v>
      </c>
      <c r="M84" s="55">
        <v>2020</v>
      </c>
    </row>
    <row r="85" spans="1:13">
      <c r="J85" s="55">
        <v>384702.67120560509</v>
      </c>
      <c r="K85" s="55">
        <v>0</v>
      </c>
      <c r="L85" s="55">
        <v>0</v>
      </c>
      <c r="M85" s="55">
        <v>0</v>
      </c>
    </row>
    <row r="86" spans="1:13">
      <c r="J86" s="55">
        <v>364051.28221036796</v>
      </c>
      <c r="K86" s="55">
        <v>0</v>
      </c>
      <c r="L86" s="55">
        <v>0</v>
      </c>
      <c r="M86" s="55">
        <v>0</v>
      </c>
    </row>
    <row r="87" spans="1:13">
      <c r="J87" s="55">
        <v>456298.80260920519</v>
      </c>
      <c r="K87" s="55">
        <v>454572.26577393396</v>
      </c>
      <c r="L87" s="55">
        <v>454572.26577393396</v>
      </c>
      <c r="M87" s="55">
        <v>351000.35161120637</v>
      </c>
    </row>
    <row r="88" spans="1:13">
      <c r="J88" s="55">
        <v>402560.47244965931</v>
      </c>
      <c r="K88" s="55">
        <v>401953.76436251891</v>
      </c>
      <c r="L88" s="55">
        <v>401818.88685420895</v>
      </c>
      <c r="M88" s="55">
        <v>396974.93492728006</v>
      </c>
    </row>
    <row r="89" spans="1:13">
      <c r="J89" s="55">
        <v>306323.51801151602</v>
      </c>
      <c r="K89" s="55">
        <v>305753.45893553353</v>
      </c>
      <c r="L89" s="55">
        <v>305753.45893553353</v>
      </c>
      <c r="M89" s="55">
        <v>297321.30767926335</v>
      </c>
    </row>
    <row r="90" spans="1:13">
      <c r="J90" s="55">
        <v>724669.55422772828</v>
      </c>
      <c r="K90" s="55">
        <v>533687.61351288133</v>
      </c>
      <c r="L90" s="55">
        <v>532784.71835315006</v>
      </c>
      <c r="M90" s="55">
        <v>532784.71835315006</v>
      </c>
    </row>
    <row r="91" spans="1:13">
      <c r="J91" s="55">
        <v>1795482.0288606647</v>
      </c>
      <c r="K91" s="55">
        <v>2673492.4927453413</v>
      </c>
      <c r="L91" s="55">
        <v>3606696.2467060839</v>
      </c>
      <c r="M91" s="55">
        <v>4607284.5822504694</v>
      </c>
    </row>
    <row r="92" spans="1:13" ht="18.600000000000001" customHeight="1">
      <c r="J92" s="55">
        <v>4434088.329574747</v>
      </c>
      <c r="K92" s="55">
        <v>4369459.5953302085</v>
      </c>
      <c r="L92" s="55">
        <v>5301625.5766229108</v>
      </c>
      <c r="M92" s="55">
        <v>6185365.8948213691</v>
      </c>
    </row>
    <row r="94" spans="1:13" ht="14.45" customHeight="1">
      <c r="J94" s="55">
        <v>2017</v>
      </c>
      <c r="K94" s="55">
        <v>2018</v>
      </c>
      <c r="L94" s="55">
        <v>2019</v>
      </c>
      <c r="M94" s="55">
        <v>2020</v>
      </c>
    </row>
    <row r="95" spans="1:13">
      <c r="J95" s="55">
        <v>467085.92533944215</v>
      </c>
      <c r="K95" s="55">
        <v>467085.92533944215</v>
      </c>
      <c r="L95" s="55">
        <v>389812.06170305633</v>
      </c>
      <c r="M95" s="55">
        <v>60381.37988489672</v>
      </c>
    </row>
    <row r="96" spans="1:13" ht="14.45" customHeight="1">
      <c r="J96" s="55">
        <v>436954.46521984925</v>
      </c>
      <c r="K96" s="55">
        <v>434367.597254753</v>
      </c>
      <c r="L96" s="55">
        <v>250053.25474166201</v>
      </c>
      <c r="M96" s="55">
        <v>196160.17213547786</v>
      </c>
    </row>
    <row r="97" spans="10:13">
      <c r="J97" s="55">
        <v>1160690.0654416622</v>
      </c>
      <c r="K97" s="55">
        <v>1160673.9295833888</v>
      </c>
      <c r="L97" s="55">
        <v>1160673.9295833888</v>
      </c>
      <c r="M97" s="55">
        <v>870425.9801885183</v>
      </c>
    </row>
    <row r="98" spans="10:13">
      <c r="J98" s="55">
        <v>2150344.7675654688</v>
      </c>
      <c r="K98" s="55">
        <v>2143603.5351029313</v>
      </c>
      <c r="L98" s="55">
        <v>2143596.1647472861</v>
      </c>
      <c r="M98" s="55">
        <v>2089774.2252200027</v>
      </c>
    </row>
    <row r="99" spans="10:13">
      <c r="J99" s="55">
        <v>1348682.1463392228</v>
      </c>
      <c r="K99" s="55">
        <v>1345799.7093618636</v>
      </c>
      <c r="L99" s="55">
        <v>1345799.7093618636</v>
      </c>
      <c r="M99" s="55">
        <v>1303163.5237386962</v>
      </c>
    </row>
    <row r="100" spans="10:13" ht="14.45" customHeight="1">
      <c r="J100" s="55">
        <v>1556710.6668591488</v>
      </c>
      <c r="K100" s="55">
        <v>1259817.2536432093</v>
      </c>
      <c r="L100" s="55">
        <v>1257100.0564459104</v>
      </c>
      <c r="M100" s="55">
        <v>1257100.0564459104</v>
      </c>
    </row>
    <row r="101" spans="10:13">
      <c r="J101" s="55">
        <v>5440897.9306131564</v>
      </c>
      <c r="K101" s="55">
        <v>7896258.8785567386</v>
      </c>
      <c r="L101" s="55">
        <v>10464955.738313606</v>
      </c>
      <c r="M101" s="55">
        <v>13259630.725590058</v>
      </c>
    </row>
    <row r="102" spans="10:13" ht="14.45" customHeight="1">
      <c r="J102" s="55">
        <v>12561365.96737795</v>
      </c>
      <c r="K102" s="55">
        <v>14707606.828842327</v>
      </c>
      <c r="L102" s="55">
        <v>17011990.914896771</v>
      </c>
      <c r="M102" s="55">
        <v>19036636.063203558</v>
      </c>
    </row>
    <row r="104" spans="10:13" ht="14.45" customHeight="1">
      <c r="J104" s="55">
        <v>2017</v>
      </c>
      <c r="K104" s="55">
        <v>2018</v>
      </c>
      <c r="L104" s="55">
        <v>2019</v>
      </c>
      <c r="M104" s="55">
        <v>2020</v>
      </c>
    </row>
    <row r="105" spans="10:13" ht="13.5" customHeight="1"/>
    <row r="107" spans="10:13">
      <c r="J107" s="55">
        <v>1232534.8671232576</v>
      </c>
      <c r="K107" s="55">
        <v>1232534.8671232576</v>
      </c>
      <c r="L107" s="55">
        <v>1232534.8671232576</v>
      </c>
      <c r="M107" s="55">
        <v>1109829.1097225861</v>
      </c>
    </row>
    <row r="108" spans="10:13">
      <c r="J108" s="55">
        <v>555454.94731698581</v>
      </c>
      <c r="K108" s="55">
        <v>554735.61918046011</v>
      </c>
      <c r="L108" s="55">
        <v>554735.61918046011</v>
      </c>
      <c r="M108" s="55">
        <v>548992.50978918676</v>
      </c>
    </row>
    <row r="109" spans="10:13">
      <c r="J109" s="55">
        <v>1215624.0150079487</v>
      </c>
      <c r="K109" s="55">
        <v>1212866.6131851347</v>
      </c>
      <c r="L109" s="55">
        <v>1212866.6131851347</v>
      </c>
      <c r="M109" s="55">
        <v>1172079.9119047245</v>
      </c>
    </row>
    <row r="110" spans="10:13">
      <c r="J110" s="55">
        <v>95736.011101675365</v>
      </c>
      <c r="K110" s="55">
        <v>94922.645165569309</v>
      </c>
      <c r="L110" s="55">
        <v>94707.33198355377</v>
      </c>
      <c r="M110" s="55">
        <v>94707.33198355377</v>
      </c>
    </row>
    <row r="111" spans="10:13" ht="12" customHeight="1">
      <c r="J111" s="55">
        <v>13021489.306941688</v>
      </c>
      <c r="K111" s="55">
        <v>14255050.891496196</v>
      </c>
      <c r="L111" s="55">
        <v>15422796.191126009</v>
      </c>
      <c r="M111" s="55">
        <v>16649558.713045008</v>
      </c>
    </row>
    <row r="112" spans="10:13">
      <c r="J112" s="55">
        <v>16120839.147491556</v>
      </c>
      <c r="K112" s="55">
        <v>17350110.636150617</v>
      </c>
      <c r="L112" s="55">
        <v>18517640.622598417</v>
      </c>
      <c r="M112" s="55">
        <v>19575167.576445058</v>
      </c>
    </row>
    <row r="113" spans="1:15" ht="12" customHeight="1"/>
    <row r="114" spans="1:15">
      <c r="J114" s="55">
        <v>2017</v>
      </c>
      <c r="K114" s="55">
        <v>2018</v>
      </c>
      <c r="L114" s="55">
        <v>2019</v>
      </c>
      <c r="M114" s="55">
        <v>2020</v>
      </c>
    </row>
    <row r="115" spans="1:15" ht="12" customHeight="1"/>
    <row r="117" spans="1:15">
      <c r="I117" s="59"/>
      <c r="J117" s="58"/>
      <c r="O117" s="58"/>
    </row>
    <row r="118" spans="1:15" ht="12" customHeight="1">
      <c r="J118" s="55">
        <v>23928.345003243598</v>
      </c>
      <c r="K118" s="55">
        <v>23852.928149484211</v>
      </c>
      <c r="L118" s="55">
        <v>23852.928149484211</v>
      </c>
      <c r="M118" s="55">
        <v>23250.800665387953</v>
      </c>
    </row>
    <row r="119" spans="1:15" ht="31.5" customHeight="1">
      <c r="J119" s="55">
        <v>2014530.1600265454</v>
      </c>
      <c r="K119" s="55">
        <v>2009960.5981663065</v>
      </c>
      <c r="L119" s="55">
        <v>2009960.5981663065</v>
      </c>
      <c r="M119" s="55">
        <v>1942368.9424874391</v>
      </c>
    </row>
    <row r="120" spans="1:15">
      <c r="A120" s="56"/>
      <c r="B120" s="56"/>
      <c r="C120" s="56"/>
      <c r="D120" s="56"/>
      <c r="E120" s="56"/>
      <c r="F120" s="56"/>
    </row>
    <row r="121" spans="1:15">
      <c r="A121" s="57"/>
      <c r="B121" s="56"/>
      <c r="C121" s="56"/>
      <c r="D121" s="56"/>
      <c r="E121" s="56"/>
      <c r="F121" s="56"/>
    </row>
    <row r="122" spans="1:15">
      <c r="A122" s="56"/>
      <c r="B122" s="56"/>
      <c r="C122" s="56"/>
      <c r="D122" s="56"/>
      <c r="E122" s="56"/>
      <c r="F122" s="56"/>
      <c r="J122" s="55">
        <v>2038458.5050297889</v>
      </c>
      <c r="K122" s="55">
        <v>2033813.5263157906</v>
      </c>
      <c r="L122" s="55">
        <v>2033813.5263157906</v>
      </c>
      <c r="M122" s="55">
        <v>1965619.743152827</v>
      </c>
    </row>
    <row r="123" spans="1:15">
      <c r="A123" s="56"/>
      <c r="B123" s="56"/>
      <c r="C123" s="56"/>
      <c r="D123" s="56"/>
      <c r="E123" s="56"/>
      <c r="F123" s="56"/>
    </row>
    <row r="124" spans="1:15">
      <c r="A124" s="56"/>
      <c r="B124" s="56"/>
      <c r="C124" s="56"/>
      <c r="D124" s="56"/>
      <c r="E124" s="56"/>
      <c r="F124" s="56"/>
      <c r="J124" s="55">
        <v>2017</v>
      </c>
      <c r="K124" s="55">
        <v>2018</v>
      </c>
      <c r="L124" s="55">
        <v>2019</v>
      </c>
      <c r="M124" s="55">
        <v>2020</v>
      </c>
    </row>
    <row r="125" spans="1:15">
      <c r="A125" s="56"/>
      <c r="B125" s="56"/>
      <c r="C125" s="56"/>
      <c r="D125" s="56"/>
      <c r="E125" s="56"/>
      <c r="F125" s="56"/>
      <c r="J125" s="55">
        <v>38058034.457681805</v>
      </c>
      <c r="K125" s="55">
        <v>41339820.519930825</v>
      </c>
      <c r="L125" s="55">
        <v>45699934.680320084</v>
      </c>
      <c r="M125" s="55">
        <v>49496047.952321745</v>
      </c>
    </row>
    <row r="126" spans="1:15">
      <c r="A126" s="56"/>
      <c r="B126" s="56"/>
      <c r="C126" s="56"/>
      <c r="D126" s="56"/>
      <c r="E126" s="56"/>
      <c r="F126" s="56"/>
    </row>
    <row r="127" spans="1:15">
      <c r="A127" s="56"/>
      <c r="B127" s="56"/>
      <c r="C127" s="56"/>
      <c r="D127" s="56"/>
      <c r="E127" s="56"/>
      <c r="F127" s="56"/>
    </row>
    <row r="128" spans="1:15">
      <c r="A128" s="56"/>
      <c r="B128" s="56"/>
      <c r="C128" s="56"/>
      <c r="D128" s="56"/>
      <c r="E128" s="56"/>
      <c r="F128" s="56"/>
    </row>
    <row r="129" spans="1:6">
      <c r="A129" s="56"/>
      <c r="B129" s="56"/>
      <c r="C129" s="56"/>
      <c r="D129" s="56"/>
      <c r="E129" s="56"/>
      <c r="F129" s="56"/>
    </row>
    <row r="130" spans="1:6">
      <c r="A130" s="56"/>
      <c r="B130" s="56"/>
      <c r="C130" s="56"/>
      <c r="D130" s="56"/>
      <c r="E130" s="56"/>
      <c r="F130" s="56"/>
    </row>
    <row r="131" spans="1:6">
      <c r="A131" s="56"/>
      <c r="B131" s="56"/>
      <c r="C131" s="56"/>
      <c r="D131" s="56"/>
      <c r="E131" s="56"/>
      <c r="F131" s="56"/>
    </row>
    <row r="132" spans="1:6">
      <c r="A132" s="56"/>
      <c r="B132" s="56"/>
      <c r="C132" s="56"/>
      <c r="D132" s="56"/>
      <c r="E132" s="56"/>
      <c r="F132" s="56"/>
    </row>
    <row r="133" spans="1:6">
      <c r="A133" s="56"/>
      <c r="B133" s="56"/>
      <c r="C133" s="56"/>
      <c r="D133" s="56"/>
      <c r="E133" s="56"/>
      <c r="F133" s="56"/>
    </row>
  </sheetData>
  <mergeCells count="30">
    <mergeCell ref="A47:H47"/>
    <mergeCell ref="A48:H48"/>
    <mergeCell ref="A50:H50"/>
    <mergeCell ref="A58:H58"/>
    <mergeCell ref="A9:H9"/>
    <mergeCell ref="A10:H10"/>
    <mergeCell ref="A12:H12"/>
    <mergeCell ref="A14:H14"/>
    <mergeCell ref="A16:H16"/>
    <mergeCell ref="A74:H74"/>
    <mergeCell ref="A75:H75"/>
    <mergeCell ref="A80:H80"/>
    <mergeCell ref="A82:H82"/>
    <mergeCell ref="A18:H18"/>
    <mergeCell ref="A22:H22"/>
    <mergeCell ref="A24:H24"/>
    <mergeCell ref="A26:H26"/>
    <mergeCell ref="A20:H20"/>
    <mergeCell ref="A67:H67"/>
    <mergeCell ref="A28:F28"/>
    <mergeCell ref="G28:H29"/>
    <mergeCell ref="A29:F29"/>
    <mergeCell ref="A36:F36"/>
    <mergeCell ref="A43:F43"/>
    <mergeCell ref="A45:H45"/>
    <mergeCell ref="A69:H69"/>
    <mergeCell ref="A70:H70"/>
    <mergeCell ref="A71:H71"/>
    <mergeCell ref="A72:H72"/>
    <mergeCell ref="A73:H73"/>
  </mergeCells>
  <conditionalFormatting sqref="F41">
    <cfRule type="expression" dxfId="18" priority="1">
      <formula>$F$41&lt;$A$29</formula>
    </cfRule>
  </conditionalFormatting>
  <dataValidations disablePrompts="1" count="1">
    <dataValidation type="list" allowBlank="1" showInputMessage="1" showErrorMessage="1" sqref="B89:G89">
      <formula1>"0, 0.5, 1"</formula1>
    </dataValidation>
  </dataValidations>
  <pageMargins left="0.7" right="0.7" top="0.75" bottom="0.75" header="0.3" footer="0.3"/>
  <pageSetup scale="58" orientation="portrait" r:id="rId1"/>
  <rowBreaks count="1" manualBreakCount="1">
    <brk id="66" max="7" man="1"/>
  </row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zoomScaleNormal="100" workbookViewId="0"/>
  </sheetViews>
  <sheetFormatPr defaultRowHeight="15"/>
  <cols>
    <col min="1" max="1" width="39.42578125" customWidth="1"/>
    <col min="2" max="2" width="6.5703125" bestFit="1" customWidth="1"/>
    <col min="3" max="5" width="7.5703125" bestFit="1" customWidth="1"/>
    <col min="6" max="6" width="13.28515625" bestFit="1" customWidth="1"/>
    <col min="7" max="7" width="7.28515625" bestFit="1" customWidth="1"/>
    <col min="8" max="8" width="9.7109375" customWidth="1"/>
    <col min="9" max="9" width="12.140625" bestFit="1" customWidth="1"/>
    <col min="11" max="11" width="8.5703125" bestFit="1" customWidth="1"/>
  </cols>
  <sheetData>
    <row r="1" spans="1:11">
      <c r="A1" s="24" t="s">
        <v>639</v>
      </c>
      <c r="B1" s="24"/>
      <c r="C1" s="24"/>
      <c r="D1" s="24"/>
      <c r="E1" s="24"/>
      <c r="F1" s="45"/>
      <c r="G1" s="45"/>
      <c r="H1" s="45"/>
      <c r="I1" s="45"/>
      <c r="J1" s="45"/>
      <c r="K1" s="45"/>
    </row>
    <row r="2" spans="1:11">
      <c r="A2" s="24"/>
      <c r="B2" s="24"/>
      <c r="C2" s="24"/>
      <c r="D2" s="24"/>
      <c r="E2" s="24"/>
      <c r="F2" s="45"/>
      <c r="G2" s="45"/>
      <c r="H2" s="45"/>
      <c r="I2" s="45"/>
      <c r="J2" s="45"/>
      <c r="K2" s="45"/>
    </row>
    <row r="3" spans="1:11" ht="45">
      <c r="A3" s="680" t="s">
        <v>77</v>
      </c>
      <c r="B3" s="680">
        <v>2011</v>
      </c>
      <c r="C3" s="680">
        <v>2012</v>
      </c>
      <c r="D3" s="680">
        <v>2013</v>
      </c>
      <c r="E3" s="680">
        <v>2014</v>
      </c>
      <c r="F3" s="681" t="s">
        <v>640</v>
      </c>
      <c r="G3" s="682" t="s">
        <v>641</v>
      </c>
      <c r="H3" s="683" t="s">
        <v>642</v>
      </c>
      <c r="I3" s="684" t="s">
        <v>643</v>
      </c>
      <c r="J3" s="45"/>
      <c r="K3" s="45"/>
    </row>
    <row r="4" spans="1:11">
      <c r="A4" s="24" t="s">
        <v>17</v>
      </c>
      <c r="B4" s="685">
        <f>'2011-14 LRAMVA Summary'!O21</f>
        <v>3628.453061611805</v>
      </c>
      <c r="C4" s="685">
        <f>'2011-14 LRAMVA Summary'!O31</f>
        <v>10245.449772819022</v>
      </c>
      <c r="D4" s="685">
        <f>'2011-14 LRAMVA Summary'!O41</f>
        <v>16587.208978034352</v>
      </c>
      <c r="E4" s="685">
        <f>'2011-14 LRAMVA Summary'!O51</f>
        <v>28324.208711180094</v>
      </c>
      <c r="F4" s="686">
        <f>SUM(B4:E4)</f>
        <v>58785.32052364527</v>
      </c>
      <c r="G4" s="687">
        <f>'Carrying Charges 2014'!M22</f>
        <v>1140.6863587461762</v>
      </c>
      <c r="H4" s="688">
        <f>(F4*0.0147/365*90)+(F4*0.0101/365*275)</f>
        <v>660.40878577317096</v>
      </c>
      <c r="I4" s="689">
        <f>SUM(G4:H4)</f>
        <v>1801.0951445193473</v>
      </c>
      <c r="J4" s="45"/>
      <c r="K4" s="690"/>
    </row>
    <row r="5" spans="1:11">
      <c r="A5" s="24" t="s">
        <v>86</v>
      </c>
      <c r="B5" s="685">
        <f>'2011-14 LRAMVA Summary'!O22</f>
        <v>3359.5600412636568</v>
      </c>
      <c r="C5" s="685">
        <f>'2011-14 LRAMVA Summary'!O32</f>
        <v>13196.752886885697</v>
      </c>
      <c r="D5" s="685">
        <f>'2011-14 LRAMVA Summary'!O42</f>
        <v>21807.448249760713</v>
      </c>
      <c r="E5" s="685">
        <f>'2011-14 LRAMVA Summary'!O52</f>
        <v>27706.116800971846</v>
      </c>
      <c r="F5" s="686">
        <f t="shared" ref="F5:F8" si="0">SUM(B5:E5)</f>
        <v>66069.877978881908</v>
      </c>
      <c r="G5" s="687">
        <f>'Carrying Charges 2014'!M25</f>
        <v>1346.3155697938132</v>
      </c>
      <c r="H5" s="688">
        <f t="shared" ref="H5:H8" si="1">(F5*0.0147/365*90)+(F5*0.0101/365*275)</f>
        <v>742.24530041754861</v>
      </c>
      <c r="I5" s="689">
        <f t="shared" ref="I5:I8" si="2">SUM(G5:H5)</f>
        <v>2088.5608702113618</v>
      </c>
      <c r="J5" s="45"/>
      <c r="K5" s="690"/>
    </row>
    <row r="6" spans="1:11">
      <c r="A6" s="24" t="s">
        <v>88</v>
      </c>
      <c r="B6" s="685">
        <f>'2011-14 LRAMVA Summary'!O23</f>
        <v>778.71451631015952</v>
      </c>
      <c r="C6" s="685">
        <f>'2011-14 LRAMVA Summary'!O33</f>
        <v>3756.7116687661955</v>
      </c>
      <c r="D6" s="685">
        <f>'2011-14 LRAMVA Summary'!O43</f>
        <v>7076.1967916669782</v>
      </c>
      <c r="E6" s="685">
        <f>'2011-14 LRAMVA Summary'!O53</f>
        <v>9613.333904828407</v>
      </c>
      <c r="F6" s="686">
        <f t="shared" si="0"/>
        <v>21224.956881571739</v>
      </c>
      <c r="G6" s="687">
        <f>'Carrying Charges 2014'!M28</f>
        <v>406.09437914597521</v>
      </c>
      <c r="H6" s="688">
        <f t="shared" si="1"/>
        <v>238.4463991585888</v>
      </c>
      <c r="I6" s="689">
        <f t="shared" si="2"/>
        <v>644.54077830456401</v>
      </c>
      <c r="J6" s="45"/>
      <c r="K6" s="690"/>
    </row>
    <row r="7" spans="1:11">
      <c r="A7" s="24" t="s">
        <v>57</v>
      </c>
      <c r="B7" s="685">
        <f>'2011-14 LRAMVA Summary'!O24</f>
        <v>711.93209634238144</v>
      </c>
      <c r="C7" s="685">
        <f>'2011-14 LRAMVA Summary'!O34</f>
        <v>1903.7527739103657</v>
      </c>
      <c r="D7" s="685">
        <f>'2011-14 LRAMVA Summary'!O44</f>
        <v>2384.8531755558733</v>
      </c>
      <c r="E7" s="685">
        <f>'2011-14 LRAMVA Summary'!O54</f>
        <v>2440.5038172467366</v>
      </c>
      <c r="F7" s="686">
        <f t="shared" si="0"/>
        <v>7441.0418630553568</v>
      </c>
      <c r="G7" s="687">
        <f>'Carrying Charges 2014'!M31</f>
        <v>177.56505684998481</v>
      </c>
      <c r="H7" s="688">
        <f t="shared" si="1"/>
        <v>83.594499067009565</v>
      </c>
      <c r="I7" s="689">
        <f t="shared" si="2"/>
        <v>261.15955591699435</v>
      </c>
      <c r="J7" s="45"/>
      <c r="K7" s="690"/>
    </row>
    <row r="8" spans="1:11">
      <c r="A8" s="24" t="s">
        <v>496</v>
      </c>
      <c r="B8" s="685">
        <f>'2011-14 LRAMVA Summary'!O25</f>
        <v>0</v>
      </c>
      <c r="C8" s="685">
        <f>'2011-14 LRAMVA Summary'!O35</f>
        <v>164.86482227178084</v>
      </c>
      <c r="D8" s="685">
        <f>'2011-14 LRAMVA Summary'!O45</f>
        <v>10868.662881253727</v>
      </c>
      <c r="E8" s="685">
        <f>'2011-14 LRAMVA Summary'!O55</f>
        <v>21705.615109954801</v>
      </c>
      <c r="F8" s="686">
        <f t="shared" si="0"/>
        <v>32739.142813480306</v>
      </c>
      <c r="G8" s="687">
        <f>'Carrying Charges 2014'!M34</f>
        <v>407.22687281936129</v>
      </c>
      <c r="H8" s="688">
        <f t="shared" si="1"/>
        <v>367.79960303198902</v>
      </c>
      <c r="I8" s="689">
        <f t="shared" si="2"/>
        <v>775.02647585135037</v>
      </c>
      <c r="J8" s="45"/>
      <c r="K8" s="690"/>
    </row>
    <row r="9" spans="1:11">
      <c r="A9" s="691" t="s">
        <v>82</v>
      </c>
      <c r="B9" s="692">
        <f>SUM(B4:B8)</f>
        <v>8478.6597155280033</v>
      </c>
      <c r="C9" s="692">
        <f t="shared" ref="C9:E9" si="3">SUM(C4:C8)</f>
        <v>29267.53192465306</v>
      </c>
      <c r="D9" s="692">
        <f t="shared" si="3"/>
        <v>58724.370076271647</v>
      </c>
      <c r="E9" s="692">
        <f t="shared" si="3"/>
        <v>89789.778344181876</v>
      </c>
      <c r="F9" s="693">
        <f>SUM(F4:F8)</f>
        <v>186260.34006063457</v>
      </c>
      <c r="G9" s="694">
        <f>SUM(G4:G8)</f>
        <v>3477.888237355311</v>
      </c>
      <c r="H9" s="694">
        <f>SUM(H4:H8)</f>
        <v>2092.4945874483069</v>
      </c>
      <c r="I9" s="693">
        <f>SUM(I4:I8)</f>
        <v>5570.382824803618</v>
      </c>
      <c r="J9" s="45"/>
      <c r="K9" s="690"/>
    </row>
  </sheetData>
  <pageMargins left="0.7" right="0.7" top="0.75" bottom="0.75" header="0.3" footer="0.3"/>
  <pageSetup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zoomScale="70" zoomScaleNormal="70" workbookViewId="0">
      <selection activeCell="H38" sqref="H38:H39"/>
    </sheetView>
  </sheetViews>
  <sheetFormatPr defaultRowHeight="15"/>
  <cols>
    <col min="1" max="1" width="53" style="45" bestFit="1" customWidth="1"/>
    <col min="2" max="13" width="13.7109375" style="46" customWidth="1"/>
    <col min="14" max="14" width="4.5703125" style="46" customWidth="1"/>
    <col min="15" max="255" width="8.7109375" style="45"/>
    <col min="256" max="256" width="53" style="45" bestFit="1" customWidth="1"/>
    <col min="257" max="268" width="13.7109375" style="45" customWidth="1"/>
    <col min="269" max="269" width="4.5703125" style="45" customWidth="1"/>
    <col min="270" max="270" width="12.28515625" style="45" bestFit="1" customWidth="1"/>
    <col min="271" max="511" width="8.7109375" style="45"/>
    <col min="512" max="512" width="53" style="45" bestFit="1" customWidth="1"/>
    <col min="513" max="524" width="13.7109375" style="45" customWidth="1"/>
    <col min="525" max="525" width="4.5703125" style="45" customWidth="1"/>
    <col min="526" max="526" width="12.28515625" style="45" bestFit="1" customWidth="1"/>
    <col min="527" max="767" width="8.7109375" style="45"/>
    <col min="768" max="768" width="53" style="45" bestFit="1" customWidth="1"/>
    <col min="769" max="780" width="13.7109375" style="45" customWidth="1"/>
    <col min="781" max="781" width="4.5703125" style="45" customWidth="1"/>
    <col min="782" max="782" width="12.28515625" style="45" bestFit="1" customWidth="1"/>
    <col min="783" max="1023" width="8.7109375" style="45"/>
    <col min="1024" max="1024" width="53" style="45" bestFit="1" customWidth="1"/>
    <col min="1025" max="1036" width="13.7109375" style="45" customWidth="1"/>
    <col min="1037" max="1037" width="4.5703125" style="45" customWidth="1"/>
    <col min="1038" max="1038" width="12.28515625" style="45" bestFit="1" customWidth="1"/>
    <col min="1039" max="1279" width="8.7109375" style="45"/>
    <col min="1280" max="1280" width="53" style="45" bestFit="1" customWidth="1"/>
    <col min="1281" max="1292" width="13.7109375" style="45" customWidth="1"/>
    <col min="1293" max="1293" width="4.5703125" style="45" customWidth="1"/>
    <col min="1294" max="1294" width="12.28515625" style="45" bestFit="1" customWidth="1"/>
    <col min="1295" max="1535" width="8.7109375" style="45"/>
    <col min="1536" max="1536" width="53" style="45" bestFit="1" customWidth="1"/>
    <col min="1537" max="1548" width="13.7109375" style="45" customWidth="1"/>
    <col min="1549" max="1549" width="4.5703125" style="45" customWidth="1"/>
    <col min="1550" max="1550" width="12.28515625" style="45" bestFit="1" customWidth="1"/>
    <col min="1551" max="1791" width="8.7109375" style="45"/>
    <col min="1792" max="1792" width="53" style="45" bestFit="1" customWidth="1"/>
    <col min="1793" max="1804" width="13.7109375" style="45" customWidth="1"/>
    <col min="1805" max="1805" width="4.5703125" style="45" customWidth="1"/>
    <col min="1806" max="1806" width="12.28515625" style="45" bestFit="1" customWidth="1"/>
    <col min="1807" max="2047" width="8.7109375" style="45"/>
    <col min="2048" max="2048" width="53" style="45" bestFit="1" customWidth="1"/>
    <col min="2049" max="2060" width="13.7109375" style="45" customWidth="1"/>
    <col min="2061" max="2061" width="4.5703125" style="45" customWidth="1"/>
    <col min="2062" max="2062" width="12.28515625" style="45" bestFit="1" customWidth="1"/>
    <col min="2063" max="2303" width="8.7109375" style="45"/>
    <col min="2304" max="2304" width="53" style="45" bestFit="1" customWidth="1"/>
    <col min="2305" max="2316" width="13.7109375" style="45" customWidth="1"/>
    <col min="2317" max="2317" width="4.5703125" style="45" customWidth="1"/>
    <col min="2318" max="2318" width="12.28515625" style="45" bestFit="1" customWidth="1"/>
    <col min="2319" max="2559" width="8.7109375" style="45"/>
    <col min="2560" max="2560" width="53" style="45" bestFit="1" customWidth="1"/>
    <col min="2561" max="2572" width="13.7109375" style="45" customWidth="1"/>
    <col min="2573" max="2573" width="4.5703125" style="45" customWidth="1"/>
    <col min="2574" max="2574" width="12.28515625" style="45" bestFit="1" customWidth="1"/>
    <col min="2575" max="2815" width="8.7109375" style="45"/>
    <col min="2816" max="2816" width="53" style="45" bestFit="1" customWidth="1"/>
    <col min="2817" max="2828" width="13.7109375" style="45" customWidth="1"/>
    <col min="2829" max="2829" width="4.5703125" style="45" customWidth="1"/>
    <col min="2830" max="2830" width="12.28515625" style="45" bestFit="1" customWidth="1"/>
    <col min="2831" max="3071" width="8.7109375" style="45"/>
    <col min="3072" max="3072" width="53" style="45" bestFit="1" customWidth="1"/>
    <col min="3073" max="3084" width="13.7109375" style="45" customWidth="1"/>
    <col min="3085" max="3085" width="4.5703125" style="45" customWidth="1"/>
    <col min="3086" max="3086" width="12.28515625" style="45" bestFit="1" customWidth="1"/>
    <col min="3087" max="3327" width="8.7109375" style="45"/>
    <col min="3328" max="3328" width="53" style="45" bestFit="1" customWidth="1"/>
    <col min="3329" max="3340" width="13.7109375" style="45" customWidth="1"/>
    <col min="3341" max="3341" width="4.5703125" style="45" customWidth="1"/>
    <col min="3342" max="3342" width="12.28515625" style="45" bestFit="1" customWidth="1"/>
    <col min="3343" max="3583" width="8.7109375" style="45"/>
    <col min="3584" max="3584" width="53" style="45" bestFit="1" customWidth="1"/>
    <col min="3585" max="3596" width="13.7109375" style="45" customWidth="1"/>
    <col min="3597" max="3597" width="4.5703125" style="45" customWidth="1"/>
    <col min="3598" max="3598" width="12.28515625" style="45" bestFit="1" customWidth="1"/>
    <col min="3599" max="3839" width="8.7109375" style="45"/>
    <col min="3840" max="3840" width="53" style="45" bestFit="1" customWidth="1"/>
    <col min="3841" max="3852" width="13.7109375" style="45" customWidth="1"/>
    <col min="3853" max="3853" width="4.5703125" style="45" customWidth="1"/>
    <col min="3854" max="3854" width="12.28515625" style="45" bestFit="1" customWidth="1"/>
    <col min="3855" max="4095" width="8.7109375" style="45"/>
    <col min="4096" max="4096" width="53" style="45" bestFit="1" customWidth="1"/>
    <col min="4097" max="4108" width="13.7109375" style="45" customWidth="1"/>
    <col min="4109" max="4109" width="4.5703125" style="45" customWidth="1"/>
    <col min="4110" max="4110" width="12.28515625" style="45" bestFit="1" customWidth="1"/>
    <col min="4111" max="4351" width="8.7109375" style="45"/>
    <col min="4352" max="4352" width="53" style="45" bestFit="1" customWidth="1"/>
    <col min="4353" max="4364" width="13.7109375" style="45" customWidth="1"/>
    <col min="4365" max="4365" width="4.5703125" style="45" customWidth="1"/>
    <col min="4366" max="4366" width="12.28515625" style="45" bestFit="1" customWidth="1"/>
    <col min="4367" max="4607" width="8.7109375" style="45"/>
    <col min="4608" max="4608" width="53" style="45" bestFit="1" customWidth="1"/>
    <col min="4609" max="4620" width="13.7109375" style="45" customWidth="1"/>
    <col min="4621" max="4621" width="4.5703125" style="45" customWidth="1"/>
    <col min="4622" max="4622" width="12.28515625" style="45" bestFit="1" customWidth="1"/>
    <col min="4623" max="4863" width="8.7109375" style="45"/>
    <col min="4864" max="4864" width="53" style="45" bestFit="1" customWidth="1"/>
    <col min="4865" max="4876" width="13.7109375" style="45" customWidth="1"/>
    <col min="4877" max="4877" width="4.5703125" style="45" customWidth="1"/>
    <col min="4878" max="4878" width="12.28515625" style="45" bestFit="1" customWidth="1"/>
    <col min="4879" max="5119" width="8.7109375" style="45"/>
    <col min="5120" max="5120" width="53" style="45" bestFit="1" customWidth="1"/>
    <col min="5121" max="5132" width="13.7109375" style="45" customWidth="1"/>
    <col min="5133" max="5133" width="4.5703125" style="45" customWidth="1"/>
    <col min="5134" max="5134" width="12.28515625" style="45" bestFit="1" customWidth="1"/>
    <col min="5135" max="5375" width="8.7109375" style="45"/>
    <col min="5376" max="5376" width="53" style="45" bestFit="1" customWidth="1"/>
    <col min="5377" max="5388" width="13.7109375" style="45" customWidth="1"/>
    <col min="5389" max="5389" width="4.5703125" style="45" customWidth="1"/>
    <col min="5390" max="5390" width="12.28515625" style="45" bestFit="1" customWidth="1"/>
    <col min="5391" max="5631" width="8.7109375" style="45"/>
    <col min="5632" max="5632" width="53" style="45" bestFit="1" customWidth="1"/>
    <col min="5633" max="5644" width="13.7109375" style="45" customWidth="1"/>
    <col min="5645" max="5645" width="4.5703125" style="45" customWidth="1"/>
    <col min="5646" max="5646" width="12.28515625" style="45" bestFit="1" customWidth="1"/>
    <col min="5647" max="5887" width="8.7109375" style="45"/>
    <col min="5888" max="5888" width="53" style="45" bestFit="1" customWidth="1"/>
    <col min="5889" max="5900" width="13.7109375" style="45" customWidth="1"/>
    <col min="5901" max="5901" width="4.5703125" style="45" customWidth="1"/>
    <col min="5902" max="5902" width="12.28515625" style="45" bestFit="1" customWidth="1"/>
    <col min="5903" max="6143" width="8.7109375" style="45"/>
    <col min="6144" max="6144" width="53" style="45" bestFit="1" customWidth="1"/>
    <col min="6145" max="6156" width="13.7109375" style="45" customWidth="1"/>
    <col min="6157" max="6157" width="4.5703125" style="45" customWidth="1"/>
    <col min="6158" max="6158" width="12.28515625" style="45" bestFit="1" customWidth="1"/>
    <col min="6159" max="6399" width="8.7109375" style="45"/>
    <col min="6400" max="6400" width="53" style="45" bestFit="1" customWidth="1"/>
    <col min="6401" max="6412" width="13.7109375" style="45" customWidth="1"/>
    <col min="6413" max="6413" width="4.5703125" style="45" customWidth="1"/>
    <col min="6414" max="6414" width="12.28515625" style="45" bestFit="1" customWidth="1"/>
    <col min="6415" max="6655" width="8.7109375" style="45"/>
    <col min="6656" max="6656" width="53" style="45" bestFit="1" customWidth="1"/>
    <col min="6657" max="6668" width="13.7109375" style="45" customWidth="1"/>
    <col min="6669" max="6669" width="4.5703125" style="45" customWidth="1"/>
    <col min="6670" max="6670" width="12.28515625" style="45" bestFit="1" customWidth="1"/>
    <col min="6671" max="6911" width="8.7109375" style="45"/>
    <col min="6912" max="6912" width="53" style="45" bestFit="1" customWidth="1"/>
    <col min="6913" max="6924" width="13.7109375" style="45" customWidth="1"/>
    <col min="6925" max="6925" width="4.5703125" style="45" customWidth="1"/>
    <col min="6926" max="6926" width="12.28515625" style="45" bestFit="1" customWidth="1"/>
    <col min="6927" max="7167" width="8.7109375" style="45"/>
    <col min="7168" max="7168" width="53" style="45" bestFit="1" customWidth="1"/>
    <col min="7169" max="7180" width="13.7109375" style="45" customWidth="1"/>
    <col min="7181" max="7181" width="4.5703125" style="45" customWidth="1"/>
    <col min="7182" max="7182" width="12.28515625" style="45" bestFit="1" customWidth="1"/>
    <col min="7183" max="7423" width="8.7109375" style="45"/>
    <col min="7424" max="7424" width="53" style="45" bestFit="1" customWidth="1"/>
    <col min="7425" max="7436" width="13.7109375" style="45" customWidth="1"/>
    <col min="7437" max="7437" width="4.5703125" style="45" customWidth="1"/>
    <col min="7438" max="7438" width="12.28515625" style="45" bestFit="1" customWidth="1"/>
    <col min="7439" max="7679" width="8.7109375" style="45"/>
    <col min="7680" max="7680" width="53" style="45" bestFit="1" customWidth="1"/>
    <col min="7681" max="7692" width="13.7109375" style="45" customWidth="1"/>
    <col min="7693" max="7693" width="4.5703125" style="45" customWidth="1"/>
    <col min="7694" max="7694" width="12.28515625" style="45" bestFit="1" customWidth="1"/>
    <col min="7695" max="7935" width="8.7109375" style="45"/>
    <col min="7936" max="7936" width="53" style="45" bestFit="1" customWidth="1"/>
    <col min="7937" max="7948" width="13.7109375" style="45" customWidth="1"/>
    <col min="7949" max="7949" width="4.5703125" style="45" customWidth="1"/>
    <col min="7950" max="7950" width="12.28515625" style="45" bestFit="1" customWidth="1"/>
    <col min="7951" max="8191" width="8.7109375" style="45"/>
    <col min="8192" max="8192" width="53" style="45" bestFit="1" customWidth="1"/>
    <col min="8193" max="8204" width="13.7109375" style="45" customWidth="1"/>
    <col min="8205" max="8205" width="4.5703125" style="45" customWidth="1"/>
    <col min="8206" max="8206" width="12.28515625" style="45" bestFit="1" customWidth="1"/>
    <col min="8207" max="8447" width="8.7109375" style="45"/>
    <col min="8448" max="8448" width="53" style="45" bestFit="1" customWidth="1"/>
    <col min="8449" max="8460" width="13.7109375" style="45" customWidth="1"/>
    <col min="8461" max="8461" width="4.5703125" style="45" customWidth="1"/>
    <col min="8462" max="8462" width="12.28515625" style="45" bestFit="1" customWidth="1"/>
    <col min="8463" max="8703" width="8.7109375" style="45"/>
    <col min="8704" max="8704" width="53" style="45" bestFit="1" customWidth="1"/>
    <col min="8705" max="8716" width="13.7109375" style="45" customWidth="1"/>
    <col min="8717" max="8717" width="4.5703125" style="45" customWidth="1"/>
    <col min="8718" max="8718" width="12.28515625" style="45" bestFit="1" customWidth="1"/>
    <col min="8719" max="8959" width="8.7109375" style="45"/>
    <col min="8960" max="8960" width="53" style="45" bestFit="1" customWidth="1"/>
    <col min="8961" max="8972" width="13.7109375" style="45" customWidth="1"/>
    <col min="8973" max="8973" width="4.5703125" style="45" customWidth="1"/>
    <col min="8974" max="8974" width="12.28515625" style="45" bestFit="1" customWidth="1"/>
    <col min="8975" max="9215" width="8.7109375" style="45"/>
    <col min="9216" max="9216" width="53" style="45" bestFit="1" customWidth="1"/>
    <col min="9217" max="9228" width="13.7109375" style="45" customWidth="1"/>
    <col min="9229" max="9229" width="4.5703125" style="45" customWidth="1"/>
    <col min="9230" max="9230" width="12.28515625" style="45" bestFit="1" customWidth="1"/>
    <col min="9231" max="9471" width="8.7109375" style="45"/>
    <col min="9472" max="9472" width="53" style="45" bestFit="1" customWidth="1"/>
    <col min="9473" max="9484" width="13.7109375" style="45" customWidth="1"/>
    <col min="9485" max="9485" width="4.5703125" style="45" customWidth="1"/>
    <col min="9486" max="9486" width="12.28515625" style="45" bestFit="1" customWidth="1"/>
    <col min="9487" max="9727" width="8.7109375" style="45"/>
    <col min="9728" max="9728" width="53" style="45" bestFit="1" customWidth="1"/>
    <col min="9729" max="9740" width="13.7109375" style="45" customWidth="1"/>
    <col min="9741" max="9741" width="4.5703125" style="45" customWidth="1"/>
    <col min="9742" max="9742" width="12.28515625" style="45" bestFit="1" customWidth="1"/>
    <col min="9743" max="9983" width="8.7109375" style="45"/>
    <col min="9984" max="9984" width="53" style="45" bestFit="1" customWidth="1"/>
    <col min="9985" max="9996" width="13.7109375" style="45" customWidth="1"/>
    <col min="9997" max="9997" width="4.5703125" style="45" customWidth="1"/>
    <col min="9998" max="9998" width="12.28515625" style="45" bestFit="1" customWidth="1"/>
    <col min="9999" max="10239" width="8.7109375" style="45"/>
    <col min="10240" max="10240" width="53" style="45" bestFit="1" customWidth="1"/>
    <col min="10241" max="10252" width="13.7109375" style="45" customWidth="1"/>
    <col min="10253" max="10253" width="4.5703125" style="45" customWidth="1"/>
    <col min="10254" max="10254" width="12.28515625" style="45" bestFit="1" customWidth="1"/>
    <col min="10255" max="10495" width="8.7109375" style="45"/>
    <col min="10496" max="10496" width="53" style="45" bestFit="1" customWidth="1"/>
    <col min="10497" max="10508" width="13.7109375" style="45" customWidth="1"/>
    <col min="10509" max="10509" width="4.5703125" style="45" customWidth="1"/>
    <col min="10510" max="10510" width="12.28515625" style="45" bestFit="1" customWidth="1"/>
    <col min="10511" max="10751" width="8.7109375" style="45"/>
    <col min="10752" max="10752" width="53" style="45" bestFit="1" customWidth="1"/>
    <col min="10753" max="10764" width="13.7109375" style="45" customWidth="1"/>
    <col min="10765" max="10765" width="4.5703125" style="45" customWidth="1"/>
    <col min="10766" max="10766" width="12.28515625" style="45" bestFit="1" customWidth="1"/>
    <col min="10767" max="11007" width="8.7109375" style="45"/>
    <col min="11008" max="11008" width="53" style="45" bestFit="1" customWidth="1"/>
    <col min="11009" max="11020" width="13.7109375" style="45" customWidth="1"/>
    <col min="11021" max="11021" width="4.5703125" style="45" customWidth="1"/>
    <col min="11022" max="11022" width="12.28515625" style="45" bestFit="1" customWidth="1"/>
    <col min="11023" max="11263" width="8.7109375" style="45"/>
    <col min="11264" max="11264" width="53" style="45" bestFit="1" customWidth="1"/>
    <col min="11265" max="11276" width="13.7109375" style="45" customWidth="1"/>
    <col min="11277" max="11277" width="4.5703125" style="45" customWidth="1"/>
    <col min="11278" max="11278" width="12.28515625" style="45" bestFit="1" customWidth="1"/>
    <col min="11279" max="11519" width="8.7109375" style="45"/>
    <col min="11520" max="11520" width="53" style="45" bestFit="1" customWidth="1"/>
    <col min="11521" max="11532" width="13.7109375" style="45" customWidth="1"/>
    <col min="11533" max="11533" width="4.5703125" style="45" customWidth="1"/>
    <col min="11534" max="11534" width="12.28515625" style="45" bestFit="1" customWidth="1"/>
    <col min="11535" max="11775" width="8.7109375" style="45"/>
    <col min="11776" max="11776" width="53" style="45" bestFit="1" customWidth="1"/>
    <col min="11777" max="11788" width="13.7109375" style="45" customWidth="1"/>
    <col min="11789" max="11789" width="4.5703125" style="45" customWidth="1"/>
    <col min="11790" max="11790" width="12.28515625" style="45" bestFit="1" customWidth="1"/>
    <col min="11791" max="12031" width="8.7109375" style="45"/>
    <col min="12032" max="12032" width="53" style="45" bestFit="1" customWidth="1"/>
    <col min="12033" max="12044" width="13.7109375" style="45" customWidth="1"/>
    <col min="12045" max="12045" width="4.5703125" style="45" customWidth="1"/>
    <col min="12046" max="12046" width="12.28515625" style="45" bestFit="1" customWidth="1"/>
    <col min="12047" max="12287" width="8.7109375" style="45"/>
    <col min="12288" max="12288" width="53" style="45" bestFit="1" customWidth="1"/>
    <col min="12289" max="12300" width="13.7109375" style="45" customWidth="1"/>
    <col min="12301" max="12301" width="4.5703125" style="45" customWidth="1"/>
    <col min="12302" max="12302" width="12.28515625" style="45" bestFit="1" customWidth="1"/>
    <col min="12303" max="12543" width="8.7109375" style="45"/>
    <col min="12544" max="12544" width="53" style="45" bestFit="1" customWidth="1"/>
    <col min="12545" max="12556" width="13.7109375" style="45" customWidth="1"/>
    <col min="12557" max="12557" width="4.5703125" style="45" customWidth="1"/>
    <col min="12558" max="12558" width="12.28515625" style="45" bestFit="1" customWidth="1"/>
    <col min="12559" max="12799" width="8.7109375" style="45"/>
    <col min="12800" max="12800" width="53" style="45" bestFit="1" customWidth="1"/>
    <col min="12801" max="12812" width="13.7109375" style="45" customWidth="1"/>
    <col min="12813" max="12813" width="4.5703125" style="45" customWidth="1"/>
    <col min="12814" max="12814" width="12.28515625" style="45" bestFit="1" customWidth="1"/>
    <col min="12815" max="13055" width="8.7109375" style="45"/>
    <col min="13056" max="13056" width="53" style="45" bestFit="1" customWidth="1"/>
    <col min="13057" max="13068" width="13.7109375" style="45" customWidth="1"/>
    <col min="13069" max="13069" width="4.5703125" style="45" customWidth="1"/>
    <col min="13070" max="13070" width="12.28515625" style="45" bestFit="1" customWidth="1"/>
    <col min="13071" max="13311" width="8.7109375" style="45"/>
    <col min="13312" max="13312" width="53" style="45" bestFit="1" customWidth="1"/>
    <col min="13313" max="13324" width="13.7109375" style="45" customWidth="1"/>
    <col min="13325" max="13325" width="4.5703125" style="45" customWidth="1"/>
    <col min="13326" max="13326" width="12.28515625" style="45" bestFit="1" customWidth="1"/>
    <col min="13327" max="13567" width="8.7109375" style="45"/>
    <col min="13568" max="13568" width="53" style="45" bestFit="1" customWidth="1"/>
    <col min="13569" max="13580" width="13.7109375" style="45" customWidth="1"/>
    <col min="13581" max="13581" width="4.5703125" style="45" customWidth="1"/>
    <col min="13582" max="13582" width="12.28515625" style="45" bestFit="1" customWidth="1"/>
    <col min="13583" max="13823" width="8.7109375" style="45"/>
    <col min="13824" max="13824" width="53" style="45" bestFit="1" customWidth="1"/>
    <col min="13825" max="13836" width="13.7109375" style="45" customWidth="1"/>
    <col min="13837" max="13837" width="4.5703125" style="45" customWidth="1"/>
    <col min="13838" max="13838" width="12.28515625" style="45" bestFit="1" customWidth="1"/>
    <col min="13839" max="14079" width="8.7109375" style="45"/>
    <col min="14080" max="14080" width="53" style="45" bestFit="1" customWidth="1"/>
    <col min="14081" max="14092" width="13.7109375" style="45" customWidth="1"/>
    <col min="14093" max="14093" width="4.5703125" style="45" customWidth="1"/>
    <col min="14094" max="14094" width="12.28515625" style="45" bestFit="1" customWidth="1"/>
    <col min="14095" max="14335" width="8.7109375" style="45"/>
    <col min="14336" max="14336" width="53" style="45" bestFit="1" customWidth="1"/>
    <col min="14337" max="14348" width="13.7109375" style="45" customWidth="1"/>
    <col min="14349" max="14349" width="4.5703125" style="45" customWidth="1"/>
    <col min="14350" max="14350" width="12.28515625" style="45" bestFit="1" customWidth="1"/>
    <col min="14351" max="14591" width="8.7109375" style="45"/>
    <col min="14592" max="14592" width="53" style="45" bestFit="1" customWidth="1"/>
    <col min="14593" max="14604" width="13.7109375" style="45" customWidth="1"/>
    <col min="14605" max="14605" width="4.5703125" style="45" customWidth="1"/>
    <col min="14606" max="14606" width="12.28515625" style="45" bestFit="1" customWidth="1"/>
    <col min="14607" max="14847" width="8.7109375" style="45"/>
    <col min="14848" max="14848" width="53" style="45" bestFit="1" customWidth="1"/>
    <col min="14849" max="14860" width="13.7109375" style="45" customWidth="1"/>
    <col min="14861" max="14861" width="4.5703125" style="45" customWidth="1"/>
    <col min="14862" max="14862" width="12.28515625" style="45" bestFit="1" customWidth="1"/>
    <col min="14863" max="15103" width="8.7109375" style="45"/>
    <col min="15104" max="15104" width="53" style="45" bestFit="1" customWidth="1"/>
    <col min="15105" max="15116" width="13.7109375" style="45" customWidth="1"/>
    <col min="15117" max="15117" width="4.5703125" style="45" customWidth="1"/>
    <col min="15118" max="15118" width="12.28515625" style="45" bestFit="1" customWidth="1"/>
    <col min="15119" max="15359" width="8.7109375" style="45"/>
    <col min="15360" max="15360" width="53" style="45" bestFit="1" customWidth="1"/>
    <col min="15361" max="15372" width="13.7109375" style="45" customWidth="1"/>
    <col min="15373" max="15373" width="4.5703125" style="45" customWidth="1"/>
    <col min="15374" max="15374" width="12.28515625" style="45" bestFit="1" customWidth="1"/>
    <col min="15375" max="15615" width="8.7109375" style="45"/>
    <col min="15616" max="15616" width="53" style="45" bestFit="1" customWidth="1"/>
    <col min="15617" max="15628" width="13.7109375" style="45" customWidth="1"/>
    <col min="15629" max="15629" width="4.5703125" style="45" customWidth="1"/>
    <col min="15630" max="15630" width="12.28515625" style="45" bestFit="1" customWidth="1"/>
    <col min="15631" max="15871" width="8.7109375" style="45"/>
    <col min="15872" max="15872" width="53" style="45" bestFit="1" customWidth="1"/>
    <col min="15873" max="15884" width="13.7109375" style="45" customWidth="1"/>
    <col min="15885" max="15885" width="4.5703125" style="45" customWidth="1"/>
    <col min="15886" max="15886" width="12.28515625" style="45" bestFit="1" customWidth="1"/>
    <col min="15887" max="16127" width="8.7109375" style="45"/>
    <col min="16128" max="16128" width="53" style="45" bestFit="1" customWidth="1"/>
    <col min="16129" max="16140" width="13.7109375" style="45" customWidth="1"/>
    <col min="16141" max="16141" width="4.5703125" style="45" customWidth="1"/>
    <col min="16142" max="16142" width="12.28515625" style="45" bestFit="1" customWidth="1"/>
    <col min="16143" max="16384" width="8.7109375" style="45"/>
  </cols>
  <sheetData>
    <row r="1" spans="1:14" ht="18.75">
      <c r="A1" s="658">
        <v>2011</v>
      </c>
    </row>
    <row r="2" spans="1:14">
      <c r="A2" s="657" t="s">
        <v>627</v>
      </c>
      <c r="B2" s="656" t="s">
        <v>626</v>
      </c>
      <c r="C2" s="656" t="s">
        <v>625</v>
      </c>
      <c r="D2" s="656" t="s">
        <v>624</v>
      </c>
      <c r="E2" s="656" t="s">
        <v>623</v>
      </c>
      <c r="F2" s="656" t="s">
        <v>622</v>
      </c>
      <c r="G2" s="656" t="s">
        <v>621</v>
      </c>
      <c r="H2" s="656" t="s">
        <v>620</v>
      </c>
      <c r="I2" s="656" t="s">
        <v>619</v>
      </c>
      <c r="J2" s="656" t="s">
        <v>618</v>
      </c>
      <c r="K2" s="656" t="s">
        <v>617</v>
      </c>
      <c r="L2" s="656" t="s">
        <v>616</v>
      </c>
      <c r="M2" s="656" t="s">
        <v>615</v>
      </c>
    </row>
    <row r="3" spans="1:14">
      <c r="A3" s="45" t="s">
        <v>614</v>
      </c>
      <c r="B3" s="46">
        <v>31</v>
      </c>
      <c r="C3" s="46">
        <v>28</v>
      </c>
      <c r="D3" s="46">
        <v>31</v>
      </c>
      <c r="E3" s="46">
        <v>30</v>
      </c>
      <c r="F3" s="46">
        <v>31</v>
      </c>
      <c r="G3" s="46">
        <v>30</v>
      </c>
      <c r="H3" s="46">
        <v>31</v>
      </c>
      <c r="I3" s="46">
        <v>31</v>
      </c>
      <c r="J3" s="46">
        <v>30</v>
      </c>
      <c r="K3" s="46">
        <v>31</v>
      </c>
      <c r="L3" s="46">
        <v>30</v>
      </c>
      <c r="M3" s="46">
        <v>31</v>
      </c>
    </row>
    <row r="4" spans="1:14" ht="15.75">
      <c r="A4" s="45" t="s">
        <v>613</v>
      </c>
      <c r="B4" s="655">
        <v>1.47E-2</v>
      </c>
      <c r="C4" s="655">
        <v>1.47E-2</v>
      </c>
      <c r="D4" s="655">
        <v>1.47E-2</v>
      </c>
      <c r="E4" s="655">
        <v>1.47E-2</v>
      </c>
      <c r="F4" s="655">
        <v>1.47E-2</v>
      </c>
      <c r="G4" s="655">
        <v>1.47E-2</v>
      </c>
      <c r="H4" s="655">
        <v>1.47E-2</v>
      </c>
      <c r="I4" s="655">
        <v>1.47E-2</v>
      </c>
      <c r="J4" s="655">
        <v>1.47E-2</v>
      </c>
      <c r="K4" s="655">
        <v>1.47E-2</v>
      </c>
      <c r="L4" s="655">
        <v>1.47E-2</v>
      </c>
      <c r="M4" s="655">
        <v>1.47E-2</v>
      </c>
      <c r="N4" s="50"/>
    </row>
    <row r="5" spans="1:14">
      <c r="B5" s="650"/>
      <c r="C5" s="650"/>
      <c r="D5" s="650"/>
      <c r="E5" s="650"/>
      <c r="F5" s="650"/>
      <c r="G5" s="650"/>
      <c r="H5" s="650"/>
      <c r="I5" s="650"/>
      <c r="J5" s="650"/>
      <c r="K5" s="650"/>
      <c r="L5" s="650"/>
      <c r="M5" s="650"/>
      <c r="N5" s="650"/>
    </row>
    <row r="6" spans="1:14" ht="15.75">
      <c r="A6" s="654" t="s">
        <v>612</v>
      </c>
      <c r="B6" s="650"/>
      <c r="C6" s="650"/>
      <c r="D6" s="650"/>
      <c r="E6" s="650"/>
      <c r="F6" s="650"/>
      <c r="G6" s="650">
        <f>'[6]2011-14 LRAMVA Summary'!O26</f>
        <v>8478.6597155280033</v>
      </c>
      <c r="H6" s="650">
        <f t="shared" ref="H6:M6" si="0">G8</f>
        <v>8478.6597155280033</v>
      </c>
      <c r="I6" s="650">
        <f t="shared" si="0"/>
        <v>8478.6597155280033</v>
      </c>
      <c r="J6" s="650">
        <f t="shared" si="0"/>
        <v>8478.6597155280033</v>
      </c>
      <c r="K6" s="650">
        <f t="shared" si="0"/>
        <v>8478.6597155280033</v>
      </c>
      <c r="L6" s="650">
        <f t="shared" si="0"/>
        <v>8478.6597155280033</v>
      </c>
      <c r="M6" s="650">
        <f t="shared" si="0"/>
        <v>8478.6597155280033</v>
      </c>
      <c r="N6" s="650"/>
    </row>
    <row r="7" spans="1:14">
      <c r="B7" s="650"/>
      <c r="C7" s="650"/>
      <c r="D7" s="650"/>
      <c r="E7" s="650"/>
      <c r="F7" s="650"/>
      <c r="G7" s="650"/>
      <c r="H7" s="650"/>
      <c r="I7" s="650"/>
      <c r="J7" s="650"/>
      <c r="K7" s="650"/>
      <c r="L7" s="650"/>
      <c r="M7" s="650"/>
      <c r="N7" s="650"/>
    </row>
    <row r="8" spans="1:14" ht="16.5" thickBot="1">
      <c r="A8" s="653" t="s">
        <v>611</v>
      </c>
      <c r="B8" s="652">
        <f t="shared" ref="B8:M8" si="1">SUM(B6:B6)</f>
        <v>0</v>
      </c>
      <c r="C8" s="652">
        <f t="shared" si="1"/>
        <v>0</v>
      </c>
      <c r="D8" s="652">
        <f t="shared" si="1"/>
        <v>0</v>
      </c>
      <c r="E8" s="652">
        <f t="shared" si="1"/>
        <v>0</v>
      </c>
      <c r="F8" s="652">
        <f t="shared" si="1"/>
        <v>0</v>
      </c>
      <c r="G8" s="652">
        <f t="shared" si="1"/>
        <v>8478.6597155280033</v>
      </c>
      <c r="H8" s="652">
        <f t="shared" si="1"/>
        <v>8478.6597155280033</v>
      </c>
      <c r="I8" s="652">
        <f t="shared" si="1"/>
        <v>8478.6597155280033</v>
      </c>
      <c r="J8" s="652">
        <f t="shared" si="1"/>
        <v>8478.6597155280033</v>
      </c>
      <c r="K8" s="652">
        <f t="shared" si="1"/>
        <v>8478.6597155280033</v>
      </c>
      <c r="L8" s="652">
        <f t="shared" si="1"/>
        <v>8478.6597155280033</v>
      </c>
      <c r="M8" s="652">
        <f t="shared" si="1"/>
        <v>8478.6597155280033</v>
      </c>
      <c r="N8" s="651"/>
    </row>
    <row r="9" spans="1:14">
      <c r="B9" s="650"/>
      <c r="C9" s="650"/>
      <c r="D9" s="650"/>
      <c r="E9" s="650"/>
      <c r="F9" s="650"/>
      <c r="G9" s="650"/>
      <c r="H9" s="650"/>
      <c r="I9" s="650"/>
      <c r="J9" s="650"/>
      <c r="K9" s="650"/>
      <c r="L9" s="650"/>
      <c r="M9" s="650"/>
      <c r="N9" s="650"/>
    </row>
    <row r="10" spans="1:14">
      <c r="B10" s="650"/>
      <c r="C10" s="650"/>
      <c r="D10" s="650"/>
      <c r="E10" s="650"/>
      <c r="F10" s="650"/>
      <c r="G10" s="650"/>
      <c r="H10" s="650"/>
      <c r="I10" s="650"/>
      <c r="J10" s="650"/>
      <c r="K10" s="650"/>
      <c r="L10" s="650"/>
      <c r="M10" s="650"/>
      <c r="N10" s="650"/>
    </row>
    <row r="11" spans="1:14">
      <c r="A11" s="45" t="s">
        <v>610</v>
      </c>
      <c r="B11" s="650">
        <f>B6*B4/365*B3</f>
        <v>0</v>
      </c>
      <c r="C11" s="650">
        <f>C6*C4/365*C3</f>
        <v>0</v>
      </c>
      <c r="D11" s="650">
        <f>D6*D4/365*D3</f>
        <v>0</v>
      </c>
      <c r="E11" s="650">
        <f>E6*E4/365*E3</f>
        <v>0</v>
      </c>
      <c r="F11" s="650">
        <f>F6*F4/365*F3</f>
        <v>0</v>
      </c>
      <c r="G11" s="650">
        <f t="shared" ref="G11:M11" si="2">F8*G4/365*G3</f>
        <v>0</v>
      </c>
      <c r="H11" s="650">
        <f t="shared" si="2"/>
        <v>10.585548581824961</v>
      </c>
      <c r="I11" s="650">
        <f t="shared" si="2"/>
        <v>10.585548581824961</v>
      </c>
      <c r="J11" s="650">
        <f t="shared" si="2"/>
        <v>10.244079272733833</v>
      </c>
      <c r="K11" s="650">
        <f t="shared" si="2"/>
        <v>10.585548581824961</v>
      </c>
      <c r="L11" s="650">
        <f t="shared" si="2"/>
        <v>10.244079272733833</v>
      </c>
      <c r="M11" s="650">
        <f t="shared" si="2"/>
        <v>10.585548581824961</v>
      </c>
      <c r="N11" s="650"/>
    </row>
    <row r="12" spans="1:14">
      <c r="A12" s="45" t="s">
        <v>609</v>
      </c>
      <c r="B12" s="650"/>
      <c r="C12" s="650">
        <f t="shared" ref="C12:M12" si="3">B12+C11</f>
        <v>0</v>
      </c>
      <c r="D12" s="650">
        <f t="shared" si="3"/>
        <v>0</v>
      </c>
      <c r="E12" s="650">
        <f t="shared" si="3"/>
        <v>0</v>
      </c>
      <c r="F12" s="650">
        <f t="shared" si="3"/>
        <v>0</v>
      </c>
      <c r="G12" s="650">
        <f t="shared" si="3"/>
        <v>0</v>
      </c>
      <c r="H12" s="650">
        <f t="shared" si="3"/>
        <v>10.585548581824961</v>
      </c>
      <c r="I12" s="650">
        <f t="shared" si="3"/>
        <v>21.171097163649922</v>
      </c>
      <c r="J12" s="650">
        <f t="shared" si="3"/>
        <v>31.415176436383753</v>
      </c>
      <c r="K12" s="650">
        <f t="shared" si="3"/>
        <v>42.000725018208712</v>
      </c>
      <c r="L12" s="650">
        <f t="shared" si="3"/>
        <v>52.244804290942547</v>
      </c>
      <c r="M12" s="650">
        <f t="shared" si="3"/>
        <v>62.830352872767506</v>
      </c>
      <c r="N12" s="650"/>
    </row>
    <row r="13" spans="1:14">
      <c r="B13" s="50"/>
      <c r="C13" s="50"/>
      <c r="D13" s="50"/>
      <c r="E13" s="50"/>
      <c r="F13" s="50"/>
      <c r="G13" s="50"/>
      <c r="H13" s="50"/>
      <c r="I13" s="50"/>
      <c r="J13" s="50"/>
      <c r="K13" s="50"/>
      <c r="L13" s="50"/>
      <c r="M13" s="50"/>
      <c r="N13" s="50"/>
    </row>
    <row r="14" spans="1:14">
      <c r="B14" s="50"/>
      <c r="C14" s="50"/>
      <c r="D14" s="50"/>
      <c r="E14" s="50"/>
      <c r="F14" s="50"/>
      <c r="G14" s="50"/>
      <c r="H14" s="50"/>
      <c r="I14" s="50"/>
      <c r="J14" s="50"/>
      <c r="K14" s="50"/>
      <c r="L14" s="50"/>
      <c r="M14" s="50"/>
      <c r="N14" s="50"/>
    </row>
    <row r="15" spans="1:14">
      <c r="A15" s="52" t="s">
        <v>17</v>
      </c>
      <c r="B15" s="663"/>
      <c r="C15" s="664"/>
      <c r="D15" s="664"/>
      <c r="E15" s="664"/>
      <c r="F15" s="664"/>
      <c r="G15" s="664">
        <f>'[7]2011-14 LRAMVA Summary'!O21</f>
        <v>3628.453061611805</v>
      </c>
      <c r="H15" s="664">
        <f t="shared" ref="H15:M15" si="4">G15</f>
        <v>3628.453061611805</v>
      </c>
      <c r="I15" s="664">
        <f t="shared" si="4"/>
        <v>3628.453061611805</v>
      </c>
      <c r="J15" s="664">
        <f t="shared" si="4"/>
        <v>3628.453061611805</v>
      </c>
      <c r="K15" s="664">
        <f t="shared" si="4"/>
        <v>3628.453061611805</v>
      </c>
      <c r="L15" s="664">
        <f t="shared" si="4"/>
        <v>3628.453061611805</v>
      </c>
      <c r="M15" s="664">
        <f t="shared" si="4"/>
        <v>3628.453061611805</v>
      </c>
      <c r="N15" s="50"/>
    </row>
    <row r="16" spans="1:14">
      <c r="A16" s="45" t="s">
        <v>610</v>
      </c>
      <c r="B16" s="650"/>
      <c r="C16" s="650"/>
      <c r="D16" s="650"/>
      <c r="E16" s="650"/>
      <c r="F16" s="650"/>
      <c r="G16" s="650"/>
      <c r="H16" s="673">
        <f>G15*H4/365*H3</f>
        <v>4.5300987950041085</v>
      </c>
      <c r="I16" s="673">
        <f t="shared" ref="I16:M16" si="5">H15*I4/365*I3</f>
        <v>4.5300987950041085</v>
      </c>
      <c r="J16" s="673">
        <f t="shared" si="5"/>
        <v>4.3839665758104278</v>
      </c>
      <c r="K16" s="673">
        <f t="shared" si="5"/>
        <v>4.5300987950041085</v>
      </c>
      <c r="L16" s="673">
        <f t="shared" si="5"/>
        <v>4.3839665758104278</v>
      </c>
      <c r="M16" s="673">
        <f t="shared" si="5"/>
        <v>4.5300987950041085</v>
      </c>
      <c r="N16" s="50"/>
    </row>
    <row r="17" spans="1:14">
      <c r="A17" s="45" t="s">
        <v>609</v>
      </c>
      <c r="B17" s="650"/>
      <c r="C17" s="666"/>
      <c r="D17" s="666"/>
      <c r="E17" s="666"/>
      <c r="F17" s="666"/>
      <c r="G17" s="666">
        <f t="shared" ref="G17:M17" si="6">F17+G16</f>
        <v>0</v>
      </c>
      <c r="H17" s="666">
        <f t="shared" si="6"/>
        <v>4.5300987950041085</v>
      </c>
      <c r="I17" s="666">
        <f t="shared" si="6"/>
        <v>9.060197590008217</v>
      </c>
      <c r="J17" s="666">
        <f t="shared" si="6"/>
        <v>13.444164165818645</v>
      </c>
      <c r="K17" s="666">
        <f t="shared" si="6"/>
        <v>17.974262960822752</v>
      </c>
      <c r="L17" s="666">
        <f t="shared" si="6"/>
        <v>22.358229536633182</v>
      </c>
      <c r="M17" s="666">
        <f t="shared" si="6"/>
        <v>26.88832833163729</v>
      </c>
      <c r="N17" s="50"/>
    </row>
    <row r="18" spans="1:14">
      <c r="A18" s="52" t="s">
        <v>86</v>
      </c>
      <c r="B18" s="663"/>
      <c r="C18" s="664"/>
      <c r="D18" s="664"/>
      <c r="E18" s="664"/>
      <c r="F18" s="664"/>
      <c r="G18" s="664">
        <f>'[7]2011-14 LRAMVA Summary'!O22</f>
        <v>3359.5600412636568</v>
      </c>
      <c r="H18" s="664">
        <f t="shared" ref="H18:M18" si="7">G18</f>
        <v>3359.5600412636568</v>
      </c>
      <c r="I18" s="664">
        <f t="shared" si="7"/>
        <v>3359.5600412636568</v>
      </c>
      <c r="J18" s="664">
        <f t="shared" si="7"/>
        <v>3359.5600412636568</v>
      </c>
      <c r="K18" s="664">
        <f t="shared" si="7"/>
        <v>3359.5600412636568</v>
      </c>
      <c r="L18" s="664">
        <f t="shared" si="7"/>
        <v>3359.5600412636568</v>
      </c>
      <c r="M18" s="664">
        <f t="shared" si="7"/>
        <v>3359.5600412636568</v>
      </c>
      <c r="N18" s="50"/>
    </row>
    <row r="19" spans="1:14">
      <c r="A19" s="45" t="s">
        <v>610</v>
      </c>
      <c r="B19" s="650"/>
      <c r="C19" s="650"/>
      <c r="D19" s="650"/>
      <c r="E19" s="650"/>
      <c r="F19" s="650"/>
      <c r="G19" s="650"/>
      <c r="H19" s="650">
        <f>G18*H4/365*H3</f>
        <v>4.1943877008324613</v>
      </c>
      <c r="I19" s="650">
        <f t="shared" ref="I19:M19" si="8">H18*I4/365*I3</f>
        <v>4.1943877008324613</v>
      </c>
      <c r="J19" s="650">
        <f t="shared" si="8"/>
        <v>4.059084871773349</v>
      </c>
      <c r="K19" s="650">
        <f t="shared" si="8"/>
        <v>4.1943877008324613</v>
      </c>
      <c r="L19" s="650">
        <f t="shared" si="8"/>
        <v>4.059084871773349</v>
      </c>
      <c r="M19" s="650">
        <f t="shared" si="8"/>
        <v>4.1943877008324613</v>
      </c>
      <c r="N19" s="50"/>
    </row>
    <row r="20" spans="1:14">
      <c r="A20" s="45" t="s">
        <v>609</v>
      </c>
      <c r="B20" s="665"/>
      <c r="C20" s="666"/>
      <c r="D20" s="666"/>
      <c r="E20" s="666"/>
      <c r="F20" s="666"/>
      <c r="G20" s="666"/>
      <c r="H20" s="666">
        <f t="shared" ref="H20:M20" si="9">G20+H19</f>
        <v>4.1943877008324613</v>
      </c>
      <c r="I20" s="666">
        <f t="shared" si="9"/>
        <v>8.3887754016649225</v>
      </c>
      <c r="J20" s="666">
        <f t="shared" si="9"/>
        <v>12.447860273438272</v>
      </c>
      <c r="K20" s="666">
        <f t="shared" si="9"/>
        <v>16.642247974270731</v>
      </c>
      <c r="L20" s="666">
        <f t="shared" si="9"/>
        <v>20.701332846044082</v>
      </c>
      <c r="M20" s="666">
        <f t="shared" si="9"/>
        <v>24.895720546876543</v>
      </c>
      <c r="N20" s="50"/>
    </row>
    <row r="21" spans="1:14">
      <c r="A21" s="52" t="s">
        <v>88</v>
      </c>
      <c r="B21" s="663"/>
      <c r="C21" s="664"/>
      <c r="D21" s="664"/>
      <c r="E21" s="664"/>
      <c r="F21" s="664"/>
      <c r="G21" s="664">
        <f>'[7]2011-14 LRAMVA Summary'!O23</f>
        <v>778.71451631015952</v>
      </c>
      <c r="H21" s="664">
        <f t="shared" ref="H21:M21" si="10">G21</f>
        <v>778.71451631015952</v>
      </c>
      <c r="I21" s="664">
        <f t="shared" si="10"/>
        <v>778.71451631015952</v>
      </c>
      <c r="J21" s="664">
        <f t="shared" si="10"/>
        <v>778.71451631015952</v>
      </c>
      <c r="K21" s="664">
        <f t="shared" si="10"/>
        <v>778.71451631015952</v>
      </c>
      <c r="L21" s="664">
        <f t="shared" si="10"/>
        <v>778.71451631015952</v>
      </c>
      <c r="M21" s="664">
        <f t="shared" si="10"/>
        <v>778.71451631015952</v>
      </c>
      <c r="N21" s="50"/>
    </row>
    <row r="22" spans="1:14">
      <c r="A22" s="45" t="s">
        <v>610</v>
      </c>
      <c r="B22" s="665"/>
      <c r="C22" s="650"/>
      <c r="D22" s="650"/>
      <c r="E22" s="650"/>
      <c r="F22" s="650"/>
      <c r="G22" s="650"/>
      <c r="H22" s="650">
        <f>G21*H4/365*H3</f>
        <v>0.9722197399521636</v>
      </c>
      <c r="I22" s="650">
        <f t="shared" ref="I22:M22" si="11">H21*I4/365*I3</f>
        <v>0.9722197399521636</v>
      </c>
      <c r="J22" s="650">
        <f t="shared" si="11"/>
        <v>0.94085781285693248</v>
      </c>
      <c r="K22" s="650">
        <f t="shared" si="11"/>
        <v>0.9722197399521636</v>
      </c>
      <c r="L22" s="650">
        <f t="shared" si="11"/>
        <v>0.94085781285693248</v>
      </c>
      <c r="M22" s="650">
        <f t="shared" si="11"/>
        <v>0.9722197399521636</v>
      </c>
      <c r="N22" s="50"/>
    </row>
    <row r="23" spans="1:14">
      <c r="A23" s="45" t="s">
        <v>609</v>
      </c>
      <c r="B23" s="665"/>
      <c r="C23" s="666"/>
      <c r="D23" s="666"/>
      <c r="E23" s="666"/>
      <c r="F23" s="666"/>
      <c r="G23" s="666"/>
      <c r="H23" s="666">
        <f t="shared" ref="H23:M23" si="12">G23+H22</f>
        <v>0.9722197399521636</v>
      </c>
      <c r="I23" s="666">
        <f t="shared" si="12"/>
        <v>1.9444394799043272</v>
      </c>
      <c r="J23" s="666">
        <f t="shared" si="12"/>
        <v>2.8852972927612597</v>
      </c>
      <c r="K23" s="666">
        <f t="shared" si="12"/>
        <v>3.8575170327134232</v>
      </c>
      <c r="L23" s="666">
        <f t="shared" si="12"/>
        <v>4.7983748455703559</v>
      </c>
      <c r="M23" s="666">
        <f t="shared" si="12"/>
        <v>5.7705945855225194</v>
      </c>
      <c r="N23" s="50"/>
    </row>
    <row r="24" spans="1:14">
      <c r="A24" s="52" t="s">
        <v>57</v>
      </c>
      <c r="B24" s="674"/>
      <c r="C24" s="674"/>
      <c r="D24" s="674"/>
      <c r="E24" s="674"/>
      <c r="F24" s="674"/>
      <c r="G24" s="674">
        <f>'[7]2011-14 LRAMVA Summary'!O24</f>
        <v>711.93209634238144</v>
      </c>
      <c r="H24" s="674">
        <f t="shared" ref="H24:M24" si="13">G24</f>
        <v>711.93209634238144</v>
      </c>
      <c r="I24" s="674">
        <f t="shared" si="13"/>
        <v>711.93209634238144</v>
      </c>
      <c r="J24" s="674">
        <f t="shared" si="13"/>
        <v>711.93209634238144</v>
      </c>
      <c r="K24" s="674">
        <f t="shared" si="13"/>
        <v>711.93209634238144</v>
      </c>
      <c r="L24" s="674">
        <f t="shared" si="13"/>
        <v>711.93209634238144</v>
      </c>
      <c r="M24" s="674">
        <f t="shared" si="13"/>
        <v>711.93209634238144</v>
      </c>
      <c r="N24" s="50"/>
    </row>
    <row r="25" spans="1:14">
      <c r="A25" s="45" t="s">
        <v>610</v>
      </c>
      <c r="B25" s="667"/>
      <c r="C25" s="650"/>
      <c r="D25" s="650"/>
      <c r="E25" s="650"/>
      <c r="F25" s="650"/>
      <c r="G25" s="650"/>
      <c r="H25" s="650">
        <f>G24*H4/365*H3</f>
        <v>0.88884234603622803</v>
      </c>
      <c r="I25" s="650">
        <f t="shared" ref="I25:L25" si="14">H24*I4/365*I3</f>
        <v>0.88884234603622803</v>
      </c>
      <c r="J25" s="650">
        <f t="shared" si="14"/>
        <v>0.86017001229312384</v>
      </c>
      <c r="K25" s="650">
        <f t="shared" si="14"/>
        <v>0.88884234603622803</v>
      </c>
      <c r="L25" s="650">
        <f t="shared" si="14"/>
        <v>0.86017001229312384</v>
      </c>
      <c r="M25" s="650">
        <f>L24*M4/365*M3</f>
        <v>0.88884234603622803</v>
      </c>
      <c r="N25" s="53"/>
    </row>
    <row r="26" spans="1:14">
      <c r="A26" s="45" t="s">
        <v>609</v>
      </c>
      <c r="B26" s="671"/>
      <c r="C26" s="672"/>
      <c r="D26" s="672"/>
      <c r="E26" s="672"/>
      <c r="F26" s="672"/>
      <c r="G26" s="672"/>
      <c r="H26" s="672">
        <f t="shared" ref="H26:M26" si="15">G26+H25</f>
        <v>0.88884234603622803</v>
      </c>
      <c r="I26" s="672">
        <f t="shared" si="15"/>
        <v>1.7776846920724561</v>
      </c>
      <c r="J26" s="672">
        <f t="shared" si="15"/>
        <v>2.63785470436558</v>
      </c>
      <c r="K26" s="672">
        <f t="shared" si="15"/>
        <v>3.526697050401808</v>
      </c>
      <c r="L26" s="672">
        <f t="shared" si="15"/>
        <v>4.3868670626949315</v>
      </c>
      <c r="M26" s="672">
        <f t="shared" si="15"/>
        <v>5.27570940873116</v>
      </c>
      <c r="N26" s="53"/>
    </row>
    <row r="27" spans="1:14">
      <c r="B27" s="671"/>
    </row>
    <row r="28" spans="1:14">
      <c r="B28" s="671"/>
    </row>
    <row r="29" spans="1:14">
      <c r="B29" s="672"/>
      <c r="L29" s="46" t="s">
        <v>636</v>
      </c>
      <c r="M29" s="672">
        <f>M17+M20+M23+M26-M12</f>
        <v>0</v>
      </c>
    </row>
  </sheetData>
  <pageMargins left="0.7" right="0.7" top="0.75" bottom="0.75" header="0.3" footer="0.3"/>
  <pageSetup scale="5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zoomScale="70" zoomScaleNormal="70" workbookViewId="0"/>
  </sheetViews>
  <sheetFormatPr defaultRowHeight="15"/>
  <cols>
    <col min="1" max="1" width="53" style="45" bestFit="1" customWidth="1"/>
    <col min="2" max="6" width="13.7109375" style="46" customWidth="1"/>
    <col min="7" max="13" width="14.5703125" style="46" bestFit="1" customWidth="1"/>
    <col min="14" max="14" width="4.5703125" style="46" customWidth="1"/>
    <col min="15" max="255" width="8.7109375" style="45"/>
    <col min="256" max="256" width="53" style="45" bestFit="1" customWidth="1"/>
    <col min="257" max="268" width="13.7109375" style="45" customWidth="1"/>
    <col min="269" max="269" width="4.5703125" style="45" customWidth="1"/>
    <col min="270" max="270" width="12.28515625" style="45" bestFit="1" customWidth="1"/>
    <col min="271" max="511" width="8.7109375" style="45"/>
    <col min="512" max="512" width="53" style="45" bestFit="1" customWidth="1"/>
    <col min="513" max="524" width="13.7109375" style="45" customWidth="1"/>
    <col min="525" max="525" width="4.5703125" style="45" customWidth="1"/>
    <col min="526" max="526" width="12.28515625" style="45" bestFit="1" customWidth="1"/>
    <col min="527" max="767" width="8.7109375" style="45"/>
    <col min="768" max="768" width="53" style="45" bestFit="1" customWidth="1"/>
    <col min="769" max="780" width="13.7109375" style="45" customWidth="1"/>
    <col min="781" max="781" width="4.5703125" style="45" customWidth="1"/>
    <col min="782" max="782" width="12.28515625" style="45" bestFit="1" customWidth="1"/>
    <col min="783" max="1023" width="8.7109375" style="45"/>
    <col min="1024" max="1024" width="53" style="45" bestFit="1" customWidth="1"/>
    <col min="1025" max="1036" width="13.7109375" style="45" customWidth="1"/>
    <col min="1037" max="1037" width="4.5703125" style="45" customWidth="1"/>
    <col min="1038" max="1038" width="12.28515625" style="45" bestFit="1" customWidth="1"/>
    <col min="1039" max="1279" width="8.7109375" style="45"/>
    <col min="1280" max="1280" width="53" style="45" bestFit="1" customWidth="1"/>
    <col min="1281" max="1292" width="13.7109375" style="45" customWidth="1"/>
    <col min="1293" max="1293" width="4.5703125" style="45" customWidth="1"/>
    <col min="1294" max="1294" width="12.28515625" style="45" bestFit="1" customWidth="1"/>
    <col min="1295" max="1535" width="8.7109375" style="45"/>
    <col min="1536" max="1536" width="53" style="45" bestFit="1" customWidth="1"/>
    <col min="1537" max="1548" width="13.7109375" style="45" customWidth="1"/>
    <col min="1549" max="1549" width="4.5703125" style="45" customWidth="1"/>
    <col min="1550" max="1550" width="12.28515625" style="45" bestFit="1" customWidth="1"/>
    <col min="1551" max="1791" width="8.7109375" style="45"/>
    <col min="1792" max="1792" width="53" style="45" bestFit="1" customWidth="1"/>
    <col min="1793" max="1804" width="13.7109375" style="45" customWidth="1"/>
    <col min="1805" max="1805" width="4.5703125" style="45" customWidth="1"/>
    <col min="1806" max="1806" width="12.28515625" style="45" bestFit="1" customWidth="1"/>
    <col min="1807" max="2047" width="8.7109375" style="45"/>
    <col min="2048" max="2048" width="53" style="45" bestFit="1" customWidth="1"/>
    <col min="2049" max="2060" width="13.7109375" style="45" customWidth="1"/>
    <col min="2061" max="2061" width="4.5703125" style="45" customWidth="1"/>
    <col min="2062" max="2062" width="12.28515625" style="45" bestFit="1" customWidth="1"/>
    <col min="2063" max="2303" width="8.7109375" style="45"/>
    <col min="2304" max="2304" width="53" style="45" bestFit="1" customWidth="1"/>
    <col min="2305" max="2316" width="13.7109375" style="45" customWidth="1"/>
    <col min="2317" max="2317" width="4.5703125" style="45" customWidth="1"/>
    <col min="2318" max="2318" width="12.28515625" style="45" bestFit="1" customWidth="1"/>
    <col min="2319" max="2559" width="8.7109375" style="45"/>
    <col min="2560" max="2560" width="53" style="45" bestFit="1" customWidth="1"/>
    <col min="2561" max="2572" width="13.7109375" style="45" customWidth="1"/>
    <col min="2573" max="2573" width="4.5703125" style="45" customWidth="1"/>
    <col min="2574" max="2574" width="12.28515625" style="45" bestFit="1" customWidth="1"/>
    <col min="2575" max="2815" width="8.7109375" style="45"/>
    <col min="2816" max="2816" width="53" style="45" bestFit="1" customWidth="1"/>
    <col min="2817" max="2828" width="13.7109375" style="45" customWidth="1"/>
    <col min="2829" max="2829" width="4.5703125" style="45" customWidth="1"/>
    <col min="2830" max="2830" width="12.28515625" style="45" bestFit="1" customWidth="1"/>
    <col min="2831" max="3071" width="8.7109375" style="45"/>
    <col min="3072" max="3072" width="53" style="45" bestFit="1" customWidth="1"/>
    <col min="3073" max="3084" width="13.7109375" style="45" customWidth="1"/>
    <col min="3085" max="3085" width="4.5703125" style="45" customWidth="1"/>
    <col min="3086" max="3086" width="12.28515625" style="45" bestFit="1" customWidth="1"/>
    <col min="3087" max="3327" width="8.7109375" style="45"/>
    <col min="3328" max="3328" width="53" style="45" bestFit="1" customWidth="1"/>
    <col min="3329" max="3340" width="13.7109375" style="45" customWidth="1"/>
    <col min="3341" max="3341" width="4.5703125" style="45" customWidth="1"/>
    <col min="3342" max="3342" width="12.28515625" style="45" bestFit="1" customWidth="1"/>
    <col min="3343" max="3583" width="8.7109375" style="45"/>
    <col min="3584" max="3584" width="53" style="45" bestFit="1" customWidth="1"/>
    <col min="3585" max="3596" width="13.7109375" style="45" customWidth="1"/>
    <col min="3597" max="3597" width="4.5703125" style="45" customWidth="1"/>
    <col min="3598" max="3598" width="12.28515625" style="45" bestFit="1" customWidth="1"/>
    <col min="3599" max="3839" width="8.7109375" style="45"/>
    <col min="3840" max="3840" width="53" style="45" bestFit="1" customWidth="1"/>
    <col min="3841" max="3852" width="13.7109375" style="45" customWidth="1"/>
    <col min="3853" max="3853" width="4.5703125" style="45" customWidth="1"/>
    <col min="3854" max="3854" width="12.28515625" style="45" bestFit="1" customWidth="1"/>
    <col min="3855" max="4095" width="8.7109375" style="45"/>
    <col min="4096" max="4096" width="53" style="45" bestFit="1" customWidth="1"/>
    <col min="4097" max="4108" width="13.7109375" style="45" customWidth="1"/>
    <col min="4109" max="4109" width="4.5703125" style="45" customWidth="1"/>
    <col min="4110" max="4110" width="12.28515625" style="45" bestFit="1" customWidth="1"/>
    <col min="4111" max="4351" width="8.7109375" style="45"/>
    <col min="4352" max="4352" width="53" style="45" bestFit="1" customWidth="1"/>
    <col min="4353" max="4364" width="13.7109375" style="45" customWidth="1"/>
    <col min="4365" max="4365" width="4.5703125" style="45" customWidth="1"/>
    <col min="4366" max="4366" width="12.28515625" style="45" bestFit="1" customWidth="1"/>
    <col min="4367" max="4607" width="8.7109375" style="45"/>
    <col min="4608" max="4608" width="53" style="45" bestFit="1" customWidth="1"/>
    <col min="4609" max="4620" width="13.7109375" style="45" customWidth="1"/>
    <col min="4621" max="4621" width="4.5703125" style="45" customWidth="1"/>
    <col min="4622" max="4622" width="12.28515625" style="45" bestFit="1" customWidth="1"/>
    <col min="4623" max="4863" width="8.7109375" style="45"/>
    <col min="4864" max="4864" width="53" style="45" bestFit="1" customWidth="1"/>
    <col min="4865" max="4876" width="13.7109375" style="45" customWidth="1"/>
    <col min="4877" max="4877" width="4.5703125" style="45" customWidth="1"/>
    <col min="4878" max="4878" width="12.28515625" style="45" bestFit="1" customWidth="1"/>
    <col min="4879" max="5119" width="8.7109375" style="45"/>
    <col min="5120" max="5120" width="53" style="45" bestFit="1" customWidth="1"/>
    <col min="5121" max="5132" width="13.7109375" style="45" customWidth="1"/>
    <col min="5133" max="5133" width="4.5703125" style="45" customWidth="1"/>
    <col min="5134" max="5134" width="12.28515625" style="45" bestFit="1" customWidth="1"/>
    <col min="5135" max="5375" width="8.7109375" style="45"/>
    <col min="5376" max="5376" width="53" style="45" bestFit="1" customWidth="1"/>
    <col min="5377" max="5388" width="13.7109375" style="45" customWidth="1"/>
    <col min="5389" max="5389" width="4.5703125" style="45" customWidth="1"/>
    <col min="5390" max="5390" width="12.28515625" style="45" bestFit="1" customWidth="1"/>
    <col min="5391" max="5631" width="8.7109375" style="45"/>
    <col min="5632" max="5632" width="53" style="45" bestFit="1" customWidth="1"/>
    <col min="5633" max="5644" width="13.7109375" style="45" customWidth="1"/>
    <col min="5645" max="5645" width="4.5703125" style="45" customWidth="1"/>
    <col min="5646" max="5646" width="12.28515625" style="45" bestFit="1" customWidth="1"/>
    <col min="5647" max="5887" width="8.7109375" style="45"/>
    <col min="5888" max="5888" width="53" style="45" bestFit="1" customWidth="1"/>
    <col min="5889" max="5900" width="13.7109375" style="45" customWidth="1"/>
    <col min="5901" max="5901" width="4.5703125" style="45" customWidth="1"/>
    <col min="5902" max="5902" width="12.28515625" style="45" bestFit="1" customWidth="1"/>
    <col min="5903" max="6143" width="8.7109375" style="45"/>
    <col min="6144" max="6144" width="53" style="45" bestFit="1" customWidth="1"/>
    <col min="6145" max="6156" width="13.7109375" style="45" customWidth="1"/>
    <col min="6157" max="6157" width="4.5703125" style="45" customWidth="1"/>
    <col min="6158" max="6158" width="12.28515625" style="45" bestFit="1" customWidth="1"/>
    <col min="6159" max="6399" width="8.7109375" style="45"/>
    <col min="6400" max="6400" width="53" style="45" bestFit="1" customWidth="1"/>
    <col min="6401" max="6412" width="13.7109375" style="45" customWidth="1"/>
    <col min="6413" max="6413" width="4.5703125" style="45" customWidth="1"/>
    <col min="6414" max="6414" width="12.28515625" style="45" bestFit="1" customWidth="1"/>
    <col min="6415" max="6655" width="8.7109375" style="45"/>
    <col min="6656" max="6656" width="53" style="45" bestFit="1" customWidth="1"/>
    <col min="6657" max="6668" width="13.7109375" style="45" customWidth="1"/>
    <col min="6669" max="6669" width="4.5703125" style="45" customWidth="1"/>
    <col min="6670" max="6670" width="12.28515625" style="45" bestFit="1" customWidth="1"/>
    <col min="6671" max="6911" width="8.7109375" style="45"/>
    <col min="6912" max="6912" width="53" style="45" bestFit="1" customWidth="1"/>
    <col min="6913" max="6924" width="13.7109375" style="45" customWidth="1"/>
    <col min="6925" max="6925" width="4.5703125" style="45" customWidth="1"/>
    <col min="6926" max="6926" width="12.28515625" style="45" bestFit="1" customWidth="1"/>
    <col min="6927" max="7167" width="8.7109375" style="45"/>
    <col min="7168" max="7168" width="53" style="45" bestFit="1" customWidth="1"/>
    <col min="7169" max="7180" width="13.7109375" style="45" customWidth="1"/>
    <col min="7181" max="7181" width="4.5703125" style="45" customWidth="1"/>
    <col min="7182" max="7182" width="12.28515625" style="45" bestFit="1" customWidth="1"/>
    <col min="7183" max="7423" width="8.7109375" style="45"/>
    <col min="7424" max="7424" width="53" style="45" bestFit="1" customWidth="1"/>
    <col min="7425" max="7436" width="13.7109375" style="45" customWidth="1"/>
    <col min="7437" max="7437" width="4.5703125" style="45" customWidth="1"/>
    <col min="7438" max="7438" width="12.28515625" style="45" bestFit="1" customWidth="1"/>
    <col min="7439" max="7679" width="8.7109375" style="45"/>
    <col min="7680" max="7680" width="53" style="45" bestFit="1" customWidth="1"/>
    <col min="7681" max="7692" width="13.7109375" style="45" customWidth="1"/>
    <col min="7693" max="7693" width="4.5703125" style="45" customWidth="1"/>
    <col min="7694" max="7694" width="12.28515625" style="45" bestFit="1" customWidth="1"/>
    <col min="7695" max="7935" width="8.7109375" style="45"/>
    <col min="7936" max="7936" width="53" style="45" bestFit="1" customWidth="1"/>
    <col min="7937" max="7948" width="13.7109375" style="45" customWidth="1"/>
    <col min="7949" max="7949" width="4.5703125" style="45" customWidth="1"/>
    <col min="7950" max="7950" width="12.28515625" style="45" bestFit="1" customWidth="1"/>
    <col min="7951" max="8191" width="8.7109375" style="45"/>
    <col min="8192" max="8192" width="53" style="45" bestFit="1" customWidth="1"/>
    <col min="8193" max="8204" width="13.7109375" style="45" customWidth="1"/>
    <col min="8205" max="8205" width="4.5703125" style="45" customWidth="1"/>
    <col min="8206" max="8206" width="12.28515625" style="45" bestFit="1" customWidth="1"/>
    <col min="8207" max="8447" width="8.7109375" style="45"/>
    <col min="8448" max="8448" width="53" style="45" bestFit="1" customWidth="1"/>
    <col min="8449" max="8460" width="13.7109375" style="45" customWidth="1"/>
    <col min="8461" max="8461" width="4.5703125" style="45" customWidth="1"/>
    <col min="8462" max="8462" width="12.28515625" style="45" bestFit="1" customWidth="1"/>
    <col min="8463" max="8703" width="8.7109375" style="45"/>
    <col min="8704" max="8704" width="53" style="45" bestFit="1" customWidth="1"/>
    <col min="8705" max="8716" width="13.7109375" style="45" customWidth="1"/>
    <col min="8717" max="8717" width="4.5703125" style="45" customWidth="1"/>
    <col min="8718" max="8718" width="12.28515625" style="45" bestFit="1" customWidth="1"/>
    <col min="8719" max="8959" width="8.7109375" style="45"/>
    <col min="8960" max="8960" width="53" style="45" bestFit="1" customWidth="1"/>
    <col min="8961" max="8972" width="13.7109375" style="45" customWidth="1"/>
    <col min="8973" max="8973" width="4.5703125" style="45" customWidth="1"/>
    <col min="8974" max="8974" width="12.28515625" style="45" bestFit="1" customWidth="1"/>
    <col min="8975" max="9215" width="8.7109375" style="45"/>
    <col min="9216" max="9216" width="53" style="45" bestFit="1" customWidth="1"/>
    <col min="9217" max="9228" width="13.7109375" style="45" customWidth="1"/>
    <col min="9229" max="9229" width="4.5703125" style="45" customWidth="1"/>
    <col min="9230" max="9230" width="12.28515625" style="45" bestFit="1" customWidth="1"/>
    <col min="9231" max="9471" width="8.7109375" style="45"/>
    <col min="9472" max="9472" width="53" style="45" bestFit="1" customWidth="1"/>
    <col min="9473" max="9484" width="13.7109375" style="45" customWidth="1"/>
    <col min="9485" max="9485" width="4.5703125" style="45" customWidth="1"/>
    <col min="9486" max="9486" width="12.28515625" style="45" bestFit="1" customWidth="1"/>
    <col min="9487" max="9727" width="8.7109375" style="45"/>
    <col min="9728" max="9728" width="53" style="45" bestFit="1" customWidth="1"/>
    <col min="9729" max="9740" width="13.7109375" style="45" customWidth="1"/>
    <col min="9741" max="9741" width="4.5703125" style="45" customWidth="1"/>
    <col min="9742" max="9742" width="12.28515625" style="45" bestFit="1" customWidth="1"/>
    <col min="9743" max="9983" width="8.7109375" style="45"/>
    <col min="9984" max="9984" width="53" style="45" bestFit="1" customWidth="1"/>
    <col min="9985" max="9996" width="13.7109375" style="45" customWidth="1"/>
    <col min="9997" max="9997" width="4.5703125" style="45" customWidth="1"/>
    <col min="9998" max="9998" width="12.28515625" style="45" bestFit="1" customWidth="1"/>
    <col min="9999" max="10239" width="8.7109375" style="45"/>
    <col min="10240" max="10240" width="53" style="45" bestFit="1" customWidth="1"/>
    <col min="10241" max="10252" width="13.7109375" style="45" customWidth="1"/>
    <col min="10253" max="10253" width="4.5703125" style="45" customWidth="1"/>
    <col min="10254" max="10254" width="12.28515625" style="45" bestFit="1" customWidth="1"/>
    <col min="10255" max="10495" width="8.7109375" style="45"/>
    <col min="10496" max="10496" width="53" style="45" bestFit="1" customWidth="1"/>
    <col min="10497" max="10508" width="13.7109375" style="45" customWidth="1"/>
    <col min="10509" max="10509" width="4.5703125" style="45" customWidth="1"/>
    <col min="10510" max="10510" width="12.28515625" style="45" bestFit="1" customWidth="1"/>
    <col min="10511" max="10751" width="8.7109375" style="45"/>
    <col min="10752" max="10752" width="53" style="45" bestFit="1" customWidth="1"/>
    <col min="10753" max="10764" width="13.7109375" style="45" customWidth="1"/>
    <col min="10765" max="10765" width="4.5703125" style="45" customWidth="1"/>
    <col min="10766" max="10766" width="12.28515625" style="45" bestFit="1" customWidth="1"/>
    <col min="10767" max="11007" width="8.7109375" style="45"/>
    <col min="11008" max="11008" width="53" style="45" bestFit="1" customWidth="1"/>
    <col min="11009" max="11020" width="13.7109375" style="45" customWidth="1"/>
    <col min="11021" max="11021" width="4.5703125" style="45" customWidth="1"/>
    <col min="11022" max="11022" width="12.28515625" style="45" bestFit="1" customWidth="1"/>
    <col min="11023" max="11263" width="8.7109375" style="45"/>
    <col min="11264" max="11264" width="53" style="45" bestFit="1" customWidth="1"/>
    <col min="11265" max="11276" width="13.7109375" style="45" customWidth="1"/>
    <col min="11277" max="11277" width="4.5703125" style="45" customWidth="1"/>
    <col min="11278" max="11278" width="12.28515625" style="45" bestFit="1" customWidth="1"/>
    <col min="11279" max="11519" width="8.7109375" style="45"/>
    <col min="11520" max="11520" width="53" style="45" bestFit="1" customWidth="1"/>
    <col min="11521" max="11532" width="13.7109375" style="45" customWidth="1"/>
    <col min="11533" max="11533" width="4.5703125" style="45" customWidth="1"/>
    <col min="11534" max="11534" width="12.28515625" style="45" bestFit="1" customWidth="1"/>
    <col min="11535" max="11775" width="8.7109375" style="45"/>
    <col min="11776" max="11776" width="53" style="45" bestFit="1" customWidth="1"/>
    <col min="11777" max="11788" width="13.7109375" style="45" customWidth="1"/>
    <col min="11789" max="11789" width="4.5703125" style="45" customWidth="1"/>
    <col min="11790" max="11790" width="12.28515625" style="45" bestFit="1" customWidth="1"/>
    <col min="11791" max="12031" width="8.7109375" style="45"/>
    <col min="12032" max="12032" width="53" style="45" bestFit="1" customWidth="1"/>
    <col min="12033" max="12044" width="13.7109375" style="45" customWidth="1"/>
    <col min="12045" max="12045" width="4.5703125" style="45" customWidth="1"/>
    <col min="12046" max="12046" width="12.28515625" style="45" bestFit="1" customWidth="1"/>
    <col min="12047" max="12287" width="8.7109375" style="45"/>
    <col min="12288" max="12288" width="53" style="45" bestFit="1" customWidth="1"/>
    <col min="12289" max="12300" width="13.7109375" style="45" customWidth="1"/>
    <col min="12301" max="12301" width="4.5703125" style="45" customWidth="1"/>
    <col min="12302" max="12302" width="12.28515625" style="45" bestFit="1" customWidth="1"/>
    <col min="12303" max="12543" width="8.7109375" style="45"/>
    <col min="12544" max="12544" width="53" style="45" bestFit="1" customWidth="1"/>
    <col min="12545" max="12556" width="13.7109375" style="45" customWidth="1"/>
    <col min="12557" max="12557" width="4.5703125" style="45" customWidth="1"/>
    <col min="12558" max="12558" width="12.28515625" style="45" bestFit="1" customWidth="1"/>
    <col min="12559" max="12799" width="8.7109375" style="45"/>
    <col min="12800" max="12800" width="53" style="45" bestFit="1" customWidth="1"/>
    <col min="12801" max="12812" width="13.7109375" style="45" customWidth="1"/>
    <col min="12813" max="12813" width="4.5703125" style="45" customWidth="1"/>
    <col min="12814" max="12814" width="12.28515625" style="45" bestFit="1" customWidth="1"/>
    <col min="12815" max="13055" width="8.7109375" style="45"/>
    <col min="13056" max="13056" width="53" style="45" bestFit="1" customWidth="1"/>
    <col min="13057" max="13068" width="13.7109375" style="45" customWidth="1"/>
    <col min="13069" max="13069" width="4.5703125" style="45" customWidth="1"/>
    <col min="13070" max="13070" width="12.28515625" style="45" bestFit="1" customWidth="1"/>
    <col min="13071" max="13311" width="8.7109375" style="45"/>
    <col min="13312" max="13312" width="53" style="45" bestFit="1" customWidth="1"/>
    <col min="13313" max="13324" width="13.7109375" style="45" customWidth="1"/>
    <col min="13325" max="13325" width="4.5703125" style="45" customWidth="1"/>
    <col min="13326" max="13326" width="12.28515625" style="45" bestFit="1" customWidth="1"/>
    <col min="13327" max="13567" width="8.7109375" style="45"/>
    <col min="13568" max="13568" width="53" style="45" bestFit="1" customWidth="1"/>
    <col min="13569" max="13580" width="13.7109375" style="45" customWidth="1"/>
    <col min="13581" max="13581" width="4.5703125" style="45" customWidth="1"/>
    <col min="13582" max="13582" width="12.28515625" style="45" bestFit="1" customWidth="1"/>
    <col min="13583" max="13823" width="8.7109375" style="45"/>
    <col min="13824" max="13824" width="53" style="45" bestFit="1" customWidth="1"/>
    <col min="13825" max="13836" width="13.7109375" style="45" customWidth="1"/>
    <col min="13837" max="13837" width="4.5703125" style="45" customWidth="1"/>
    <col min="13838" max="13838" width="12.28515625" style="45" bestFit="1" customWidth="1"/>
    <col min="13839" max="14079" width="8.7109375" style="45"/>
    <col min="14080" max="14080" width="53" style="45" bestFit="1" customWidth="1"/>
    <col min="14081" max="14092" width="13.7109375" style="45" customWidth="1"/>
    <col min="14093" max="14093" width="4.5703125" style="45" customWidth="1"/>
    <col min="14094" max="14094" width="12.28515625" style="45" bestFit="1" customWidth="1"/>
    <col min="14095" max="14335" width="8.7109375" style="45"/>
    <col min="14336" max="14336" width="53" style="45" bestFit="1" customWidth="1"/>
    <col min="14337" max="14348" width="13.7109375" style="45" customWidth="1"/>
    <col min="14349" max="14349" width="4.5703125" style="45" customWidth="1"/>
    <col min="14350" max="14350" width="12.28515625" style="45" bestFit="1" customWidth="1"/>
    <col min="14351" max="14591" width="8.7109375" style="45"/>
    <col min="14592" max="14592" width="53" style="45" bestFit="1" customWidth="1"/>
    <col min="14593" max="14604" width="13.7109375" style="45" customWidth="1"/>
    <col min="14605" max="14605" width="4.5703125" style="45" customWidth="1"/>
    <col min="14606" max="14606" width="12.28515625" style="45" bestFit="1" customWidth="1"/>
    <col min="14607" max="14847" width="8.7109375" style="45"/>
    <col min="14848" max="14848" width="53" style="45" bestFit="1" customWidth="1"/>
    <col min="14849" max="14860" width="13.7109375" style="45" customWidth="1"/>
    <col min="14861" max="14861" width="4.5703125" style="45" customWidth="1"/>
    <col min="14862" max="14862" width="12.28515625" style="45" bestFit="1" customWidth="1"/>
    <col min="14863" max="15103" width="8.7109375" style="45"/>
    <col min="15104" max="15104" width="53" style="45" bestFit="1" customWidth="1"/>
    <col min="15105" max="15116" width="13.7109375" style="45" customWidth="1"/>
    <col min="15117" max="15117" width="4.5703125" style="45" customWidth="1"/>
    <col min="15118" max="15118" width="12.28515625" style="45" bestFit="1" customWidth="1"/>
    <col min="15119" max="15359" width="8.7109375" style="45"/>
    <col min="15360" max="15360" width="53" style="45" bestFit="1" customWidth="1"/>
    <col min="15361" max="15372" width="13.7109375" style="45" customWidth="1"/>
    <col min="15373" max="15373" width="4.5703125" style="45" customWidth="1"/>
    <col min="15374" max="15374" width="12.28515625" style="45" bestFit="1" customWidth="1"/>
    <col min="15375" max="15615" width="8.7109375" style="45"/>
    <col min="15616" max="15616" width="53" style="45" bestFit="1" customWidth="1"/>
    <col min="15617" max="15628" width="13.7109375" style="45" customWidth="1"/>
    <col min="15629" max="15629" width="4.5703125" style="45" customWidth="1"/>
    <col min="15630" max="15630" width="12.28515625" style="45" bestFit="1" customWidth="1"/>
    <col min="15631" max="15871" width="8.7109375" style="45"/>
    <col min="15872" max="15872" width="53" style="45" bestFit="1" customWidth="1"/>
    <col min="15873" max="15884" width="13.7109375" style="45" customWidth="1"/>
    <col min="15885" max="15885" width="4.5703125" style="45" customWidth="1"/>
    <col min="15886" max="15886" width="12.28515625" style="45" bestFit="1" customWidth="1"/>
    <col min="15887" max="16127" width="8.7109375" style="45"/>
    <col min="16128" max="16128" width="53" style="45" bestFit="1" customWidth="1"/>
    <col min="16129" max="16140" width="13.7109375" style="45" customWidth="1"/>
    <col min="16141" max="16141" width="4.5703125" style="45" customWidth="1"/>
    <col min="16142" max="16142" width="12.28515625" style="45" bestFit="1" customWidth="1"/>
    <col min="16143" max="16384" width="8.7109375" style="45"/>
  </cols>
  <sheetData>
    <row r="1" spans="1:14" ht="18.75">
      <c r="A1" s="658">
        <v>2012</v>
      </c>
    </row>
    <row r="2" spans="1:14">
      <c r="A2" s="657" t="s">
        <v>627</v>
      </c>
      <c r="B2" s="656" t="s">
        <v>626</v>
      </c>
      <c r="C2" s="656" t="s">
        <v>625</v>
      </c>
      <c r="D2" s="656" t="s">
        <v>624</v>
      </c>
      <c r="E2" s="656" t="s">
        <v>623</v>
      </c>
      <c r="F2" s="656" t="s">
        <v>622</v>
      </c>
      <c r="G2" s="656" t="s">
        <v>621</v>
      </c>
      <c r="H2" s="656" t="s">
        <v>620</v>
      </c>
      <c r="I2" s="656" t="s">
        <v>619</v>
      </c>
      <c r="J2" s="656" t="s">
        <v>618</v>
      </c>
      <c r="K2" s="656" t="s">
        <v>617</v>
      </c>
      <c r="L2" s="656" t="s">
        <v>616</v>
      </c>
      <c r="M2" s="656" t="s">
        <v>615</v>
      </c>
    </row>
    <row r="3" spans="1:14">
      <c r="A3" s="45" t="s">
        <v>614</v>
      </c>
      <c r="B3" s="46">
        <v>31</v>
      </c>
      <c r="C3" s="46">
        <v>28</v>
      </c>
      <c r="D3" s="46">
        <v>31</v>
      </c>
      <c r="E3" s="46">
        <v>30</v>
      </c>
      <c r="F3" s="46">
        <v>31</v>
      </c>
      <c r="G3" s="46">
        <v>30</v>
      </c>
      <c r="H3" s="46">
        <v>31</v>
      </c>
      <c r="I3" s="46">
        <v>31</v>
      </c>
      <c r="J3" s="46">
        <v>30</v>
      </c>
      <c r="K3" s="46">
        <v>31</v>
      </c>
      <c r="L3" s="46">
        <v>30</v>
      </c>
      <c r="M3" s="46">
        <v>31</v>
      </c>
    </row>
    <row r="4" spans="1:14" ht="15.75">
      <c r="A4" s="45" t="s">
        <v>613</v>
      </c>
      <c r="B4" s="655">
        <v>1.47E-2</v>
      </c>
      <c r="C4" s="655">
        <v>1.47E-2</v>
      </c>
      <c r="D4" s="655">
        <v>1.47E-2</v>
      </c>
      <c r="E4" s="655">
        <v>1.47E-2</v>
      </c>
      <c r="F4" s="655">
        <v>1.47E-2</v>
      </c>
      <c r="G4" s="655">
        <v>1.47E-2</v>
      </c>
      <c r="H4" s="655">
        <v>1.47E-2</v>
      </c>
      <c r="I4" s="655">
        <v>1.47E-2</v>
      </c>
      <c r="J4" s="655">
        <v>1.47E-2</v>
      </c>
      <c r="K4" s="655">
        <v>1.47E-2</v>
      </c>
      <c r="L4" s="655">
        <v>1.47E-2</v>
      </c>
      <c r="M4" s="655">
        <v>1.47E-2</v>
      </c>
      <c r="N4" s="50"/>
    </row>
    <row r="5" spans="1:14">
      <c r="B5" s="650"/>
      <c r="C5" s="650"/>
      <c r="D5" s="650"/>
      <c r="E5" s="650"/>
      <c r="F5" s="650"/>
      <c r="G5" s="650"/>
      <c r="H5" s="650"/>
      <c r="I5" s="650"/>
      <c r="J5" s="650"/>
      <c r="K5" s="650"/>
      <c r="L5" s="650"/>
      <c r="M5" s="650"/>
      <c r="N5" s="650"/>
    </row>
    <row r="6" spans="1:14" ht="15.75">
      <c r="A6" s="654" t="s">
        <v>612</v>
      </c>
      <c r="B6" s="650">
        <f>'[7]Carrying Charges 2011'!M6</f>
        <v>8478.6597155280033</v>
      </c>
      <c r="C6" s="650">
        <f>B9</f>
        <v>8478.6597155280033</v>
      </c>
      <c r="D6" s="650">
        <f>C9</f>
        <v>8478.6597155280033</v>
      </c>
      <c r="E6" s="650">
        <f>D9</f>
        <v>8478.6597155280033</v>
      </c>
      <c r="F6" s="650">
        <f>E9</f>
        <v>8478.6597155280033</v>
      </c>
      <c r="G6" s="650">
        <f>F9</f>
        <v>8478.6597155280033</v>
      </c>
      <c r="H6" s="650">
        <f t="shared" ref="H6:M7" si="0">G6</f>
        <v>8478.6597155280033</v>
      </c>
      <c r="I6" s="650">
        <f t="shared" si="0"/>
        <v>8478.6597155280033</v>
      </c>
      <c r="J6" s="650">
        <f t="shared" si="0"/>
        <v>8478.6597155280033</v>
      </c>
      <c r="K6" s="650">
        <f t="shared" si="0"/>
        <v>8478.6597155280033</v>
      </c>
      <c r="L6" s="650">
        <f t="shared" si="0"/>
        <v>8478.6597155280033</v>
      </c>
      <c r="M6" s="650">
        <f t="shared" si="0"/>
        <v>8478.6597155280033</v>
      </c>
      <c r="N6" s="650"/>
    </row>
    <row r="7" spans="1:14" ht="15.75">
      <c r="A7" s="654" t="s">
        <v>628</v>
      </c>
      <c r="B7" s="650"/>
      <c r="C7" s="650"/>
      <c r="D7" s="650"/>
      <c r="E7" s="650"/>
      <c r="F7" s="650"/>
      <c r="G7" s="650">
        <f>'[6]2011-14 LRAMVA Summary'!O36</f>
        <v>29267.53192465306</v>
      </c>
      <c r="H7" s="650">
        <f t="shared" si="0"/>
        <v>29267.53192465306</v>
      </c>
      <c r="I7" s="650">
        <f t="shared" si="0"/>
        <v>29267.53192465306</v>
      </c>
      <c r="J7" s="650">
        <f t="shared" si="0"/>
        <v>29267.53192465306</v>
      </c>
      <c r="K7" s="650">
        <f t="shared" si="0"/>
        <v>29267.53192465306</v>
      </c>
      <c r="L7" s="650">
        <f t="shared" si="0"/>
        <v>29267.53192465306</v>
      </c>
      <c r="M7" s="650">
        <f t="shared" si="0"/>
        <v>29267.53192465306</v>
      </c>
      <c r="N7" s="650"/>
    </row>
    <row r="8" spans="1:14">
      <c r="B8" s="650"/>
      <c r="C8" s="650"/>
      <c r="D8" s="650"/>
      <c r="E8" s="650"/>
      <c r="F8" s="650"/>
      <c r="G8" s="650"/>
      <c r="H8" s="650"/>
      <c r="I8" s="650"/>
      <c r="J8" s="650"/>
      <c r="K8" s="650"/>
      <c r="L8" s="650"/>
      <c r="M8" s="650"/>
      <c r="N8" s="650"/>
    </row>
    <row r="9" spans="1:14" ht="16.5" thickBot="1">
      <c r="A9" s="653" t="s">
        <v>611</v>
      </c>
      <c r="B9" s="652">
        <f t="shared" ref="B9:M9" si="1">SUM(B6:B7)</f>
        <v>8478.6597155280033</v>
      </c>
      <c r="C9" s="652">
        <f t="shared" si="1"/>
        <v>8478.6597155280033</v>
      </c>
      <c r="D9" s="652">
        <f t="shared" si="1"/>
        <v>8478.6597155280033</v>
      </c>
      <c r="E9" s="652">
        <f t="shared" si="1"/>
        <v>8478.6597155280033</v>
      </c>
      <c r="F9" s="652">
        <f t="shared" si="1"/>
        <v>8478.6597155280033</v>
      </c>
      <c r="G9" s="652">
        <f t="shared" si="1"/>
        <v>37746.191640181059</v>
      </c>
      <c r="H9" s="652">
        <f t="shared" si="1"/>
        <v>37746.191640181059</v>
      </c>
      <c r="I9" s="652">
        <f t="shared" si="1"/>
        <v>37746.191640181059</v>
      </c>
      <c r="J9" s="652">
        <f t="shared" si="1"/>
        <v>37746.191640181059</v>
      </c>
      <c r="K9" s="652">
        <f t="shared" si="1"/>
        <v>37746.191640181059</v>
      </c>
      <c r="L9" s="652">
        <f t="shared" si="1"/>
        <v>37746.191640181059</v>
      </c>
      <c r="M9" s="652">
        <f t="shared" si="1"/>
        <v>37746.191640181059</v>
      </c>
      <c r="N9" s="651"/>
    </row>
    <row r="10" spans="1:14">
      <c r="B10" s="650"/>
      <c r="C10" s="650"/>
      <c r="D10" s="650"/>
      <c r="E10" s="650"/>
      <c r="F10" s="650"/>
      <c r="G10" s="650"/>
      <c r="H10" s="650"/>
      <c r="I10" s="650"/>
      <c r="J10" s="650"/>
      <c r="K10" s="650"/>
      <c r="L10" s="650"/>
      <c r="M10" s="650"/>
      <c r="N10" s="650"/>
    </row>
    <row r="11" spans="1:14">
      <c r="B11" s="650"/>
      <c r="C11" s="650"/>
      <c r="D11" s="650"/>
      <c r="E11" s="650"/>
      <c r="F11" s="650"/>
      <c r="G11" s="650"/>
      <c r="H11" s="650"/>
      <c r="I11" s="650"/>
      <c r="J11" s="650"/>
      <c r="K11" s="650"/>
      <c r="L11" s="650"/>
      <c r="M11" s="650"/>
      <c r="N11" s="650"/>
    </row>
    <row r="12" spans="1:14">
      <c r="A12" s="45" t="s">
        <v>610</v>
      </c>
      <c r="B12" s="650">
        <f>'[7]Carrying Charges 2011'!M6*B4/365*B3</f>
        <v>10.585548581824961</v>
      </c>
      <c r="C12" s="650">
        <f t="shared" ref="C12:M12" si="2">B9*C4/365*C3</f>
        <v>9.5611406545515774</v>
      </c>
      <c r="D12" s="650">
        <f t="shared" si="2"/>
        <v>10.585548581824961</v>
      </c>
      <c r="E12" s="650">
        <f t="shared" si="2"/>
        <v>10.244079272733833</v>
      </c>
      <c r="F12" s="650">
        <f t="shared" si="2"/>
        <v>10.585548581824961</v>
      </c>
      <c r="G12" s="650">
        <f t="shared" si="2"/>
        <v>10.244079272733833</v>
      </c>
      <c r="H12" s="650">
        <f t="shared" si="2"/>
        <v>47.125861727206868</v>
      </c>
      <c r="I12" s="650">
        <f t="shared" si="2"/>
        <v>47.125861727206868</v>
      </c>
      <c r="J12" s="650">
        <f t="shared" si="2"/>
        <v>45.605672639232452</v>
      </c>
      <c r="K12" s="650">
        <f t="shared" si="2"/>
        <v>47.125861727206868</v>
      </c>
      <c r="L12" s="650">
        <f t="shared" si="2"/>
        <v>45.605672639232452</v>
      </c>
      <c r="M12" s="650">
        <f t="shared" si="2"/>
        <v>47.125861727206868</v>
      </c>
      <c r="N12" s="650"/>
    </row>
    <row r="13" spans="1:14">
      <c r="A13" s="45" t="s">
        <v>609</v>
      </c>
      <c r="B13" s="650">
        <f>'[7]Carrying Charges 2011'!M12+B12</f>
        <v>73.415901454592472</v>
      </c>
      <c r="C13" s="650">
        <f t="shared" ref="C13:M13" si="3">B13+C12</f>
        <v>82.977042109144051</v>
      </c>
      <c r="D13" s="650">
        <f t="shared" si="3"/>
        <v>93.562590690969017</v>
      </c>
      <c r="E13" s="650">
        <f t="shared" si="3"/>
        <v>103.80666996370284</v>
      </c>
      <c r="F13" s="650">
        <f t="shared" si="3"/>
        <v>114.39221854552781</v>
      </c>
      <c r="G13" s="650">
        <f t="shared" si="3"/>
        <v>124.63629781826164</v>
      </c>
      <c r="H13" s="650">
        <f t="shared" si="3"/>
        <v>171.76215954546851</v>
      </c>
      <c r="I13" s="650">
        <f t="shared" si="3"/>
        <v>218.88802127267536</v>
      </c>
      <c r="J13" s="650">
        <f t="shared" si="3"/>
        <v>264.49369391190783</v>
      </c>
      <c r="K13" s="650">
        <f t="shared" si="3"/>
        <v>311.61955563911471</v>
      </c>
      <c r="L13" s="650">
        <f t="shared" si="3"/>
        <v>357.22522827834717</v>
      </c>
      <c r="M13" s="650">
        <f t="shared" si="3"/>
        <v>404.35109000555406</v>
      </c>
      <c r="N13" s="650"/>
    </row>
    <row r="14" spans="1:14">
      <c r="B14" s="50"/>
      <c r="C14" s="50"/>
      <c r="D14" s="50"/>
      <c r="E14" s="50"/>
      <c r="F14" s="50"/>
      <c r="G14" s="50"/>
      <c r="H14" s="50"/>
      <c r="I14" s="50"/>
      <c r="J14" s="50"/>
      <c r="K14" s="50"/>
      <c r="L14" s="50"/>
      <c r="M14" s="50"/>
      <c r="N14" s="50"/>
    </row>
    <row r="15" spans="1:14">
      <c r="B15" s="50"/>
      <c r="C15" s="50"/>
      <c r="D15" s="50"/>
      <c r="E15" s="50"/>
      <c r="F15" s="50"/>
      <c r="G15" s="50"/>
      <c r="H15" s="50"/>
      <c r="I15" s="50"/>
      <c r="J15" s="50"/>
      <c r="K15" s="50"/>
      <c r="L15" s="50"/>
      <c r="M15" s="50"/>
      <c r="N15" s="50"/>
    </row>
    <row r="16" spans="1:14">
      <c r="B16" s="50"/>
      <c r="C16" s="50"/>
      <c r="D16" s="50"/>
      <c r="E16" s="50"/>
      <c r="F16" s="50"/>
      <c r="G16" s="50"/>
      <c r="H16" s="50"/>
      <c r="I16" s="50"/>
      <c r="J16" s="50"/>
      <c r="K16" s="50"/>
      <c r="L16" s="50"/>
      <c r="M16" s="50"/>
      <c r="N16" s="50"/>
    </row>
    <row r="17" spans="1:14">
      <c r="B17" s="50"/>
      <c r="C17" s="50"/>
      <c r="D17" s="50"/>
      <c r="E17" s="50"/>
      <c r="F17" s="50"/>
      <c r="G17" s="50"/>
      <c r="H17" s="50"/>
      <c r="I17" s="50"/>
      <c r="J17" s="50"/>
      <c r="K17" s="50"/>
      <c r="L17" s="50"/>
      <c r="M17" s="50"/>
      <c r="N17" s="50"/>
    </row>
    <row r="18" spans="1:14">
      <c r="A18" s="52" t="s">
        <v>17</v>
      </c>
      <c r="B18" s="663">
        <f>'[7]Carrying Charges 2011'!M15</f>
        <v>3628.453061611805</v>
      </c>
      <c r="C18" s="664">
        <f>B18</f>
        <v>3628.453061611805</v>
      </c>
      <c r="D18" s="664">
        <f t="shared" ref="D18:M18" si="4">C18</f>
        <v>3628.453061611805</v>
      </c>
      <c r="E18" s="664">
        <f t="shared" si="4"/>
        <v>3628.453061611805</v>
      </c>
      <c r="F18" s="664">
        <f t="shared" si="4"/>
        <v>3628.453061611805</v>
      </c>
      <c r="G18" s="664">
        <f>F18+'[7]2011-14 LRAMVA Summary'!O31</f>
        <v>13873.902834430826</v>
      </c>
      <c r="H18" s="664">
        <f t="shared" si="4"/>
        <v>13873.902834430826</v>
      </c>
      <c r="I18" s="664">
        <f t="shared" si="4"/>
        <v>13873.902834430826</v>
      </c>
      <c r="J18" s="664">
        <f t="shared" si="4"/>
        <v>13873.902834430826</v>
      </c>
      <c r="K18" s="664">
        <f t="shared" si="4"/>
        <v>13873.902834430826</v>
      </c>
      <c r="L18" s="664">
        <f t="shared" si="4"/>
        <v>13873.902834430826</v>
      </c>
      <c r="M18" s="664">
        <f t="shared" si="4"/>
        <v>13873.902834430826</v>
      </c>
      <c r="N18" s="50"/>
    </row>
    <row r="19" spans="1:14">
      <c r="A19" s="45" t="s">
        <v>610</v>
      </c>
      <c r="B19" s="673">
        <f>'[7]Carrying Charges 2011'!M15*B4/365*B3</f>
        <v>4.5300987950041085</v>
      </c>
      <c r="C19" s="673">
        <f>B18*C4/365*C3</f>
        <v>4.0917021374230655</v>
      </c>
      <c r="D19" s="673">
        <f t="shared" ref="D19:M19" si="5">C18*D4/365*D3</f>
        <v>4.5300987950041085</v>
      </c>
      <c r="E19" s="673">
        <f t="shared" si="5"/>
        <v>4.3839665758104278</v>
      </c>
      <c r="F19" s="673">
        <f t="shared" si="5"/>
        <v>4.5300987950041085</v>
      </c>
      <c r="G19" s="673">
        <f t="shared" si="5"/>
        <v>4.3839665758104278</v>
      </c>
      <c r="H19" s="673">
        <f t="shared" si="5"/>
        <v>17.321472662055143</v>
      </c>
      <c r="I19" s="673">
        <f t="shared" si="5"/>
        <v>17.321472662055143</v>
      </c>
      <c r="J19" s="673">
        <f t="shared" si="5"/>
        <v>16.762715479408204</v>
      </c>
      <c r="K19" s="673">
        <f t="shared" si="5"/>
        <v>17.321472662055143</v>
      </c>
      <c r="L19" s="673">
        <f t="shared" si="5"/>
        <v>16.762715479408204</v>
      </c>
      <c r="M19" s="673">
        <f t="shared" si="5"/>
        <v>17.321472662055143</v>
      </c>
      <c r="N19" s="50"/>
    </row>
    <row r="20" spans="1:14">
      <c r="A20" s="45" t="s">
        <v>609</v>
      </c>
      <c r="B20" s="665">
        <f>B19+'[7]Carrying Charges 2011'!M17</f>
        <v>31.418427126641397</v>
      </c>
      <c r="C20" s="666">
        <f>B20+C19</f>
        <v>35.51012926406446</v>
      </c>
      <c r="D20" s="666">
        <f t="shared" ref="D20:M20" si="6">C20+D19</f>
        <v>40.040228059068568</v>
      </c>
      <c r="E20" s="666">
        <f t="shared" si="6"/>
        <v>44.424194634878994</v>
      </c>
      <c r="F20" s="666">
        <f t="shared" si="6"/>
        <v>48.954293429883101</v>
      </c>
      <c r="G20" s="666">
        <f t="shared" si="6"/>
        <v>53.338260005693527</v>
      </c>
      <c r="H20" s="666">
        <f t="shared" si="6"/>
        <v>70.659732667748671</v>
      </c>
      <c r="I20" s="666">
        <f t="shared" si="6"/>
        <v>87.981205329803814</v>
      </c>
      <c r="J20" s="666">
        <f t="shared" si="6"/>
        <v>104.74392080921201</v>
      </c>
      <c r="K20" s="666">
        <f t="shared" si="6"/>
        <v>122.06539347126716</v>
      </c>
      <c r="L20" s="666">
        <f t="shared" si="6"/>
        <v>138.82810895067536</v>
      </c>
      <c r="M20" s="666">
        <f t="shared" si="6"/>
        <v>156.14958161273051</v>
      </c>
      <c r="N20" s="50"/>
    </row>
    <row r="21" spans="1:14">
      <c r="A21" s="52" t="s">
        <v>86</v>
      </c>
      <c r="B21" s="663">
        <f>'[7]Carrying Charges 2011'!M18</f>
        <v>3359.5600412636568</v>
      </c>
      <c r="C21" s="664">
        <f>B21</f>
        <v>3359.5600412636568</v>
      </c>
      <c r="D21" s="664">
        <f t="shared" ref="D21:M21" si="7">C21</f>
        <v>3359.5600412636568</v>
      </c>
      <c r="E21" s="664">
        <f t="shared" si="7"/>
        <v>3359.5600412636568</v>
      </c>
      <c r="F21" s="664">
        <f t="shared" si="7"/>
        <v>3359.5600412636568</v>
      </c>
      <c r="G21" s="664">
        <f>F21+'[7]2011-14 LRAMVA Summary'!O32</f>
        <v>16556.312928149353</v>
      </c>
      <c r="H21" s="664">
        <f t="shared" si="7"/>
        <v>16556.312928149353</v>
      </c>
      <c r="I21" s="664">
        <f t="shared" si="7"/>
        <v>16556.312928149353</v>
      </c>
      <c r="J21" s="664">
        <f t="shared" si="7"/>
        <v>16556.312928149353</v>
      </c>
      <c r="K21" s="664">
        <f t="shared" si="7"/>
        <v>16556.312928149353</v>
      </c>
      <c r="L21" s="664">
        <f t="shared" si="7"/>
        <v>16556.312928149353</v>
      </c>
      <c r="M21" s="664">
        <f t="shared" si="7"/>
        <v>16556.312928149353</v>
      </c>
      <c r="N21" s="50"/>
    </row>
    <row r="22" spans="1:14">
      <c r="A22" s="45" t="s">
        <v>610</v>
      </c>
      <c r="B22" s="665">
        <f>'[7]Carrying Charges 2011'!M18*'[7]Carrying Charges 2012'!B4/365*'[7]Carrying Charges 2012'!B3</f>
        <v>4.1943877008324613</v>
      </c>
      <c r="C22" s="666">
        <f>B21*C4/365*C3</f>
        <v>3.7884792136551262</v>
      </c>
      <c r="D22" s="666">
        <f t="shared" ref="D22:M22" si="8">C21*D4/365*D3</f>
        <v>4.1943877008324613</v>
      </c>
      <c r="E22" s="666">
        <f t="shared" si="8"/>
        <v>4.059084871773349</v>
      </c>
      <c r="F22" s="666">
        <f t="shared" si="8"/>
        <v>4.1943877008324613</v>
      </c>
      <c r="G22" s="666">
        <f t="shared" si="8"/>
        <v>4.059084871773349</v>
      </c>
      <c r="H22" s="666">
        <f t="shared" si="8"/>
        <v>20.67044329139085</v>
      </c>
      <c r="I22" s="666">
        <f t="shared" si="8"/>
        <v>20.67044329139085</v>
      </c>
      <c r="J22" s="666">
        <f t="shared" si="8"/>
        <v>20.003654798120177</v>
      </c>
      <c r="K22" s="666">
        <f t="shared" si="8"/>
        <v>20.67044329139085</v>
      </c>
      <c r="L22" s="666">
        <f t="shared" si="8"/>
        <v>20.003654798120177</v>
      </c>
      <c r="M22" s="666">
        <f t="shared" si="8"/>
        <v>20.67044329139085</v>
      </c>
      <c r="N22" s="50"/>
    </row>
    <row r="23" spans="1:14">
      <c r="A23" s="45" t="s">
        <v>609</v>
      </c>
      <c r="B23" s="665">
        <f>'[7]Carrying Charges 2011'!M20+'[7]Carrying Charges 2012'!B22</f>
        <v>29.090108247709004</v>
      </c>
      <c r="C23" s="666">
        <f>B23+C22</f>
        <v>32.878587461364134</v>
      </c>
      <c r="D23" s="666">
        <f t="shared" ref="D23:M23" si="9">C23+D22</f>
        <v>37.072975162196599</v>
      </c>
      <c r="E23" s="666">
        <f t="shared" si="9"/>
        <v>41.13206003396995</v>
      </c>
      <c r="F23" s="666">
        <f t="shared" si="9"/>
        <v>45.326447734802414</v>
      </c>
      <c r="G23" s="666">
        <f t="shared" si="9"/>
        <v>49.385532606575765</v>
      </c>
      <c r="H23" s="666">
        <f t="shared" si="9"/>
        <v>70.055975897966619</v>
      </c>
      <c r="I23" s="666">
        <f t="shared" si="9"/>
        <v>90.726419189357472</v>
      </c>
      <c r="J23" s="666">
        <f t="shared" si="9"/>
        <v>110.73007398747765</v>
      </c>
      <c r="K23" s="666">
        <f t="shared" si="9"/>
        <v>131.40051727886851</v>
      </c>
      <c r="L23" s="666">
        <f t="shared" si="9"/>
        <v>151.40417207698869</v>
      </c>
      <c r="M23" s="666">
        <f t="shared" si="9"/>
        <v>172.07461536837954</v>
      </c>
      <c r="N23" s="50"/>
    </row>
    <row r="24" spans="1:14">
      <c r="A24" s="52" t="s">
        <v>88</v>
      </c>
      <c r="B24" s="663">
        <f>'[7]Carrying Charges 2011'!M21</f>
        <v>778.71451631015952</v>
      </c>
      <c r="C24" s="664">
        <f>B24</f>
        <v>778.71451631015952</v>
      </c>
      <c r="D24" s="664">
        <f t="shared" ref="D24:M24" si="10">C24</f>
        <v>778.71451631015952</v>
      </c>
      <c r="E24" s="664">
        <f t="shared" si="10"/>
        <v>778.71451631015952</v>
      </c>
      <c r="F24" s="664">
        <f t="shared" si="10"/>
        <v>778.71451631015952</v>
      </c>
      <c r="G24" s="664">
        <f>F24+'[7]2011-14 LRAMVA Summary'!O33</f>
        <v>4535.4261850763551</v>
      </c>
      <c r="H24" s="664">
        <f t="shared" si="10"/>
        <v>4535.4261850763551</v>
      </c>
      <c r="I24" s="664">
        <f t="shared" si="10"/>
        <v>4535.4261850763551</v>
      </c>
      <c r="J24" s="664">
        <f t="shared" si="10"/>
        <v>4535.4261850763551</v>
      </c>
      <c r="K24" s="664">
        <f t="shared" si="10"/>
        <v>4535.4261850763551</v>
      </c>
      <c r="L24" s="664">
        <f t="shared" si="10"/>
        <v>4535.4261850763551</v>
      </c>
      <c r="M24" s="664">
        <f t="shared" si="10"/>
        <v>4535.4261850763551</v>
      </c>
      <c r="N24" s="50"/>
    </row>
    <row r="25" spans="1:14">
      <c r="A25" s="45" t="s">
        <v>610</v>
      </c>
      <c r="B25" s="665">
        <f>'[7]Carrying Charges 2011'!M21*'[7]Carrying Charges 2012'!B4/365*'[7]Carrying Charges 2012'!B3</f>
        <v>0.9722197399521636</v>
      </c>
      <c r="C25" s="666">
        <f>B24*C4/365*C3</f>
        <v>0.87813395866647037</v>
      </c>
      <c r="D25" s="666">
        <f t="shared" ref="D25:M25" si="11">C24*D4/365*D3</f>
        <v>0.9722197399521636</v>
      </c>
      <c r="E25" s="666">
        <f t="shared" si="11"/>
        <v>0.94085781285693248</v>
      </c>
      <c r="F25" s="666">
        <f t="shared" si="11"/>
        <v>0.9722197399521636</v>
      </c>
      <c r="G25" s="666">
        <f t="shared" si="11"/>
        <v>0.94085781285693248</v>
      </c>
      <c r="H25" s="666">
        <f t="shared" si="11"/>
        <v>5.6624485275049183</v>
      </c>
      <c r="I25" s="666">
        <f t="shared" si="11"/>
        <v>5.6624485275049183</v>
      </c>
      <c r="J25" s="666">
        <f t="shared" si="11"/>
        <v>5.4797888975854043</v>
      </c>
      <c r="K25" s="666">
        <f t="shared" si="11"/>
        <v>5.6624485275049183</v>
      </c>
      <c r="L25" s="666">
        <f t="shared" si="11"/>
        <v>5.4797888975854043</v>
      </c>
      <c r="M25" s="666">
        <f t="shared" si="11"/>
        <v>5.6624485275049183</v>
      </c>
      <c r="N25" s="666"/>
    </row>
    <row r="26" spans="1:14">
      <c r="A26" s="45" t="s">
        <v>609</v>
      </c>
      <c r="B26" s="665">
        <f>'[7]Carrying Charges 2011'!M23+'[7]Carrying Charges 2012'!B25</f>
        <v>6.7428143254746828</v>
      </c>
      <c r="C26" s="666">
        <f>B26+C25</f>
        <v>7.6209482841411536</v>
      </c>
      <c r="D26" s="666">
        <f t="shared" ref="D26:M26" si="12">C26+D25</f>
        <v>8.5931680240933179</v>
      </c>
      <c r="E26" s="666">
        <f t="shared" si="12"/>
        <v>9.5340258369502511</v>
      </c>
      <c r="F26" s="666">
        <f t="shared" si="12"/>
        <v>10.506245576902415</v>
      </c>
      <c r="G26" s="666">
        <f t="shared" si="12"/>
        <v>11.447103389759349</v>
      </c>
      <c r="H26" s="666">
        <f t="shared" si="12"/>
        <v>17.109551917264266</v>
      </c>
      <c r="I26" s="666">
        <f t="shared" si="12"/>
        <v>22.772000444769184</v>
      </c>
      <c r="J26" s="666">
        <f t="shared" si="12"/>
        <v>28.251789342354588</v>
      </c>
      <c r="K26" s="666">
        <f t="shared" si="12"/>
        <v>33.914237869859505</v>
      </c>
      <c r="L26" s="666">
        <f t="shared" si="12"/>
        <v>39.394026767444913</v>
      </c>
      <c r="M26" s="666">
        <f t="shared" si="12"/>
        <v>45.056475294949834</v>
      </c>
      <c r="N26" s="53"/>
    </row>
    <row r="27" spans="1:14">
      <c r="A27" s="52" t="s">
        <v>57</v>
      </c>
      <c r="B27" s="674">
        <f>'[7]Carrying Charges 2011'!M24</f>
        <v>711.93209634238144</v>
      </c>
      <c r="C27" s="675">
        <f>B27</f>
        <v>711.93209634238144</v>
      </c>
      <c r="D27" s="675">
        <f t="shared" ref="D27:M27" si="13">C27</f>
        <v>711.93209634238144</v>
      </c>
      <c r="E27" s="675">
        <f t="shared" si="13"/>
        <v>711.93209634238144</v>
      </c>
      <c r="F27" s="675">
        <f t="shared" si="13"/>
        <v>711.93209634238144</v>
      </c>
      <c r="G27" s="675">
        <f>F27+'[7]2011-14 LRAMVA Summary'!O34</f>
        <v>2615.6848702527473</v>
      </c>
      <c r="H27" s="675">
        <f t="shared" si="13"/>
        <v>2615.6848702527473</v>
      </c>
      <c r="I27" s="675">
        <f t="shared" si="13"/>
        <v>2615.6848702527473</v>
      </c>
      <c r="J27" s="675">
        <f t="shared" si="13"/>
        <v>2615.6848702527473</v>
      </c>
      <c r="K27" s="675">
        <f t="shared" si="13"/>
        <v>2615.6848702527473</v>
      </c>
      <c r="L27" s="675">
        <f t="shared" si="13"/>
        <v>2615.6848702527473</v>
      </c>
      <c r="M27" s="675">
        <f t="shared" si="13"/>
        <v>2615.6848702527473</v>
      </c>
      <c r="N27" s="53"/>
    </row>
    <row r="28" spans="1:14">
      <c r="A28" s="45" t="s">
        <v>610</v>
      </c>
      <c r="B28" s="667">
        <f>'[7]Carrying Charges 2011'!M24*'[7]Carrying Charges 2012'!B4/365*'[7]Carrying Charges 2012'!B3</f>
        <v>0.88884234603622803</v>
      </c>
      <c r="C28" s="667">
        <f>B27*'[7]Carrying Charges 2012'!C4/365*'[7]Carrying Charges 2012'!C3</f>
        <v>0.80282534480691559</v>
      </c>
      <c r="D28" s="667">
        <f>C27*'[7]Carrying Charges 2012'!D4/365*'[7]Carrying Charges 2012'!D3</f>
        <v>0.88884234603622803</v>
      </c>
      <c r="E28" s="667">
        <f>D27*'[7]Carrying Charges 2012'!E4/365*'[7]Carrying Charges 2012'!E3</f>
        <v>0.86017001229312384</v>
      </c>
      <c r="F28" s="667">
        <f>E27*'[7]Carrying Charges 2012'!F4/365*'[7]Carrying Charges 2012'!F3</f>
        <v>0.88884234603622803</v>
      </c>
      <c r="G28" s="667">
        <f>F27*'[7]Carrying Charges 2012'!G4/365*'[7]Carrying Charges 2012'!G3</f>
        <v>0.86017001229312384</v>
      </c>
      <c r="H28" s="667">
        <f>G27*'[7]Carrying Charges 2012'!H4/365*'[7]Carrying Charges 2012'!H3</f>
        <v>3.2656646448607582</v>
      </c>
      <c r="I28" s="667">
        <f>H27*'[7]Carrying Charges 2012'!I4/365*'[7]Carrying Charges 2012'!I3</f>
        <v>3.2656646448607582</v>
      </c>
      <c r="J28" s="667">
        <f>I27*'[7]Carrying Charges 2012'!J4/365*'[7]Carrying Charges 2012'!J3</f>
        <v>3.160320624058798</v>
      </c>
      <c r="K28" s="667">
        <f>J27*'[7]Carrying Charges 2012'!K4/365*'[7]Carrying Charges 2012'!K3</f>
        <v>3.2656646448607582</v>
      </c>
      <c r="L28" s="667">
        <f>K27*'[7]Carrying Charges 2012'!L4/365*'[7]Carrying Charges 2012'!L3</f>
        <v>3.160320624058798</v>
      </c>
      <c r="M28" s="667">
        <f>L27*'[7]Carrying Charges 2012'!M4/365*'[7]Carrying Charges 2012'!M3</f>
        <v>3.2656646448607582</v>
      </c>
    </row>
    <row r="29" spans="1:14">
      <c r="A29" s="45" t="s">
        <v>609</v>
      </c>
      <c r="B29" s="671">
        <f>B28+'[7]Carrying Charges 2011'!M26</f>
        <v>6.1645517547673876</v>
      </c>
      <c r="C29" s="672">
        <f>B29+C28</f>
        <v>6.9673770995743034</v>
      </c>
      <c r="D29" s="672">
        <f t="shared" ref="D29:M29" si="14">C29+D28</f>
        <v>7.856219445610531</v>
      </c>
      <c r="E29" s="672">
        <f t="shared" si="14"/>
        <v>8.716389457903654</v>
      </c>
      <c r="F29" s="672">
        <f t="shared" si="14"/>
        <v>9.6052318039398816</v>
      </c>
      <c r="G29" s="672">
        <f t="shared" si="14"/>
        <v>10.465401816233005</v>
      </c>
      <c r="H29" s="672">
        <f t="shared" si="14"/>
        <v>13.731066461093762</v>
      </c>
      <c r="I29" s="672">
        <f t="shared" si="14"/>
        <v>16.99673110595452</v>
      </c>
      <c r="J29" s="672">
        <f t="shared" si="14"/>
        <v>20.157051730013318</v>
      </c>
      <c r="K29" s="672">
        <f t="shared" si="14"/>
        <v>23.422716374874078</v>
      </c>
      <c r="L29" s="672">
        <f t="shared" si="14"/>
        <v>26.583036998932876</v>
      </c>
      <c r="M29" s="672">
        <f t="shared" si="14"/>
        <v>29.848701643793635</v>
      </c>
    </row>
    <row r="30" spans="1:14" s="52" customFormat="1">
      <c r="A30" s="52" t="s">
        <v>496</v>
      </c>
      <c r="B30" s="662"/>
      <c r="C30" s="662"/>
      <c r="D30" s="662"/>
      <c r="E30" s="662"/>
      <c r="F30" s="662"/>
      <c r="G30" s="676">
        <f>'[7]2011-14 LRAMVA Summary'!O35</f>
        <v>164.86482227178084</v>
      </c>
      <c r="H30" s="677">
        <f>G30</f>
        <v>164.86482227178084</v>
      </c>
      <c r="I30" s="677">
        <f t="shared" ref="I30:M30" si="15">H30</f>
        <v>164.86482227178084</v>
      </c>
      <c r="J30" s="677">
        <f t="shared" si="15"/>
        <v>164.86482227178084</v>
      </c>
      <c r="K30" s="677">
        <f t="shared" si="15"/>
        <v>164.86482227178084</v>
      </c>
      <c r="L30" s="677">
        <f t="shared" si="15"/>
        <v>164.86482227178084</v>
      </c>
      <c r="M30" s="677">
        <f t="shared" si="15"/>
        <v>164.86482227178084</v>
      </c>
      <c r="N30" s="662"/>
    </row>
    <row r="31" spans="1:14">
      <c r="A31" s="45" t="s">
        <v>610</v>
      </c>
      <c r="G31" s="667">
        <f>F30*'[7]Carrying Charges 2012'!G4/365*'[7]Carrying Charges 2012'!G3</f>
        <v>0</v>
      </c>
      <c r="H31" s="667">
        <f>G30*'[7]Carrying Charges 2012'!H4/365*'[7]Carrying Charges 2012'!H3</f>
        <v>0.20583260139520693</v>
      </c>
      <c r="I31" s="667">
        <f>H30*'[7]Carrying Charges 2012'!I4/365*'[7]Carrying Charges 2012'!I3</f>
        <v>0.20583260139520693</v>
      </c>
      <c r="J31" s="667">
        <f>I30*'[7]Carrying Charges 2012'!J4/365*'[7]Carrying Charges 2012'!J3</f>
        <v>0.19919284005987767</v>
      </c>
      <c r="K31" s="667">
        <f>J30*'[7]Carrying Charges 2012'!K4/365*'[7]Carrying Charges 2012'!K3</f>
        <v>0.20583260139520693</v>
      </c>
      <c r="L31" s="667">
        <f>K30*'[7]Carrying Charges 2012'!L4/365*'[7]Carrying Charges 2012'!L3</f>
        <v>0.19919284005987767</v>
      </c>
      <c r="M31" s="667">
        <f>L30*'[7]Carrying Charges 2012'!M4/365*'[7]Carrying Charges 2012'!M3</f>
        <v>0.20583260139520693</v>
      </c>
      <c r="N31" s="667"/>
    </row>
    <row r="32" spans="1:14">
      <c r="A32" s="45" t="s">
        <v>609</v>
      </c>
      <c r="H32" s="672">
        <f>G32+H31</f>
        <v>0.20583260139520693</v>
      </c>
      <c r="I32" s="672">
        <f t="shared" ref="I32:M32" si="16">H32+I31</f>
        <v>0.41166520279041385</v>
      </c>
      <c r="J32" s="672">
        <f t="shared" si="16"/>
        <v>0.61085804285029155</v>
      </c>
      <c r="K32" s="672">
        <f t="shared" si="16"/>
        <v>0.81669064424549842</v>
      </c>
      <c r="L32" s="672">
        <f t="shared" si="16"/>
        <v>1.0158834843053761</v>
      </c>
      <c r="M32" s="672">
        <f t="shared" si="16"/>
        <v>1.2217160857005831</v>
      </c>
    </row>
    <row r="35" spans="12:13" s="45" customFormat="1">
      <c r="L35" s="46" t="s">
        <v>636</v>
      </c>
      <c r="M35" s="672">
        <f>M13-M20-M23-M26-M29-M32</f>
        <v>-5.1292303737682232E-14</v>
      </c>
    </row>
  </sheetData>
  <pageMargins left="0.7" right="0.7" top="0.75" bottom="0.75" header="0.3" footer="0.3"/>
  <pageSetup scale="54"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zoomScale="70" zoomScaleNormal="70" workbookViewId="0">
      <selection activeCell="M42" sqref="M42"/>
    </sheetView>
  </sheetViews>
  <sheetFormatPr defaultRowHeight="15"/>
  <cols>
    <col min="1" max="1" width="53" style="45" bestFit="1" customWidth="1"/>
    <col min="2" max="13" width="14.5703125" style="46" bestFit="1" customWidth="1"/>
    <col min="14" max="14" width="4.5703125" style="46" customWidth="1"/>
    <col min="15" max="255" width="8.7109375" style="45"/>
    <col min="256" max="256" width="53" style="45" bestFit="1" customWidth="1"/>
    <col min="257" max="268" width="13.7109375" style="45" customWidth="1"/>
    <col min="269" max="269" width="4.5703125" style="45" customWidth="1"/>
    <col min="270" max="270" width="12.28515625" style="45" bestFit="1" customWidth="1"/>
    <col min="271" max="511" width="8.7109375" style="45"/>
    <col min="512" max="512" width="53" style="45" bestFit="1" customWidth="1"/>
    <col min="513" max="524" width="13.7109375" style="45" customWidth="1"/>
    <col min="525" max="525" width="4.5703125" style="45" customWidth="1"/>
    <col min="526" max="526" width="12.28515625" style="45" bestFit="1" customWidth="1"/>
    <col min="527" max="767" width="8.7109375" style="45"/>
    <col min="768" max="768" width="53" style="45" bestFit="1" customWidth="1"/>
    <col min="769" max="780" width="13.7109375" style="45" customWidth="1"/>
    <col min="781" max="781" width="4.5703125" style="45" customWidth="1"/>
    <col min="782" max="782" width="12.28515625" style="45" bestFit="1" customWidth="1"/>
    <col min="783" max="1023" width="8.7109375" style="45"/>
    <col min="1024" max="1024" width="53" style="45" bestFit="1" customWidth="1"/>
    <col min="1025" max="1036" width="13.7109375" style="45" customWidth="1"/>
    <col min="1037" max="1037" width="4.5703125" style="45" customWidth="1"/>
    <col min="1038" max="1038" width="12.28515625" style="45" bestFit="1" customWidth="1"/>
    <col min="1039" max="1279" width="8.7109375" style="45"/>
    <col min="1280" max="1280" width="53" style="45" bestFit="1" customWidth="1"/>
    <col min="1281" max="1292" width="13.7109375" style="45" customWidth="1"/>
    <col min="1293" max="1293" width="4.5703125" style="45" customWidth="1"/>
    <col min="1294" max="1294" width="12.28515625" style="45" bestFit="1" customWidth="1"/>
    <col min="1295" max="1535" width="8.7109375" style="45"/>
    <col min="1536" max="1536" width="53" style="45" bestFit="1" customWidth="1"/>
    <col min="1537" max="1548" width="13.7109375" style="45" customWidth="1"/>
    <col min="1549" max="1549" width="4.5703125" style="45" customWidth="1"/>
    <col min="1550" max="1550" width="12.28515625" style="45" bestFit="1" customWidth="1"/>
    <col min="1551" max="1791" width="8.7109375" style="45"/>
    <col min="1792" max="1792" width="53" style="45" bestFit="1" customWidth="1"/>
    <col min="1793" max="1804" width="13.7109375" style="45" customWidth="1"/>
    <col min="1805" max="1805" width="4.5703125" style="45" customWidth="1"/>
    <col min="1806" max="1806" width="12.28515625" style="45" bestFit="1" customWidth="1"/>
    <col min="1807" max="2047" width="8.7109375" style="45"/>
    <col min="2048" max="2048" width="53" style="45" bestFit="1" customWidth="1"/>
    <col min="2049" max="2060" width="13.7109375" style="45" customWidth="1"/>
    <col min="2061" max="2061" width="4.5703125" style="45" customWidth="1"/>
    <col min="2062" max="2062" width="12.28515625" style="45" bestFit="1" customWidth="1"/>
    <col min="2063" max="2303" width="8.7109375" style="45"/>
    <col min="2304" max="2304" width="53" style="45" bestFit="1" customWidth="1"/>
    <col min="2305" max="2316" width="13.7109375" style="45" customWidth="1"/>
    <col min="2317" max="2317" width="4.5703125" style="45" customWidth="1"/>
    <col min="2318" max="2318" width="12.28515625" style="45" bestFit="1" customWidth="1"/>
    <col min="2319" max="2559" width="8.7109375" style="45"/>
    <col min="2560" max="2560" width="53" style="45" bestFit="1" customWidth="1"/>
    <col min="2561" max="2572" width="13.7109375" style="45" customWidth="1"/>
    <col min="2573" max="2573" width="4.5703125" style="45" customWidth="1"/>
    <col min="2574" max="2574" width="12.28515625" style="45" bestFit="1" customWidth="1"/>
    <col min="2575" max="2815" width="8.7109375" style="45"/>
    <col min="2816" max="2816" width="53" style="45" bestFit="1" customWidth="1"/>
    <col min="2817" max="2828" width="13.7109375" style="45" customWidth="1"/>
    <col min="2829" max="2829" width="4.5703125" style="45" customWidth="1"/>
    <col min="2830" max="2830" width="12.28515625" style="45" bestFit="1" customWidth="1"/>
    <col min="2831" max="3071" width="8.7109375" style="45"/>
    <col min="3072" max="3072" width="53" style="45" bestFit="1" customWidth="1"/>
    <col min="3073" max="3084" width="13.7109375" style="45" customWidth="1"/>
    <col min="3085" max="3085" width="4.5703125" style="45" customWidth="1"/>
    <col min="3086" max="3086" width="12.28515625" style="45" bestFit="1" customWidth="1"/>
    <col min="3087" max="3327" width="8.7109375" style="45"/>
    <col min="3328" max="3328" width="53" style="45" bestFit="1" customWidth="1"/>
    <col min="3329" max="3340" width="13.7109375" style="45" customWidth="1"/>
    <col min="3341" max="3341" width="4.5703125" style="45" customWidth="1"/>
    <col min="3342" max="3342" width="12.28515625" style="45" bestFit="1" customWidth="1"/>
    <col min="3343" max="3583" width="8.7109375" style="45"/>
    <col min="3584" max="3584" width="53" style="45" bestFit="1" customWidth="1"/>
    <col min="3585" max="3596" width="13.7109375" style="45" customWidth="1"/>
    <col min="3597" max="3597" width="4.5703125" style="45" customWidth="1"/>
    <col min="3598" max="3598" width="12.28515625" style="45" bestFit="1" customWidth="1"/>
    <col min="3599" max="3839" width="8.7109375" style="45"/>
    <col min="3840" max="3840" width="53" style="45" bestFit="1" customWidth="1"/>
    <col min="3841" max="3852" width="13.7109375" style="45" customWidth="1"/>
    <col min="3853" max="3853" width="4.5703125" style="45" customWidth="1"/>
    <col min="3854" max="3854" width="12.28515625" style="45" bestFit="1" customWidth="1"/>
    <col min="3855" max="4095" width="8.7109375" style="45"/>
    <col min="4096" max="4096" width="53" style="45" bestFit="1" customWidth="1"/>
    <col min="4097" max="4108" width="13.7109375" style="45" customWidth="1"/>
    <col min="4109" max="4109" width="4.5703125" style="45" customWidth="1"/>
    <col min="4110" max="4110" width="12.28515625" style="45" bestFit="1" customWidth="1"/>
    <col min="4111" max="4351" width="8.7109375" style="45"/>
    <col min="4352" max="4352" width="53" style="45" bestFit="1" customWidth="1"/>
    <col min="4353" max="4364" width="13.7109375" style="45" customWidth="1"/>
    <col min="4365" max="4365" width="4.5703125" style="45" customWidth="1"/>
    <col min="4366" max="4366" width="12.28515625" style="45" bestFit="1" customWidth="1"/>
    <col min="4367" max="4607" width="8.7109375" style="45"/>
    <col min="4608" max="4608" width="53" style="45" bestFit="1" customWidth="1"/>
    <col min="4609" max="4620" width="13.7109375" style="45" customWidth="1"/>
    <col min="4621" max="4621" width="4.5703125" style="45" customWidth="1"/>
    <col min="4622" max="4622" width="12.28515625" style="45" bestFit="1" customWidth="1"/>
    <col min="4623" max="4863" width="8.7109375" style="45"/>
    <col min="4864" max="4864" width="53" style="45" bestFit="1" customWidth="1"/>
    <col min="4865" max="4876" width="13.7109375" style="45" customWidth="1"/>
    <col min="4877" max="4877" width="4.5703125" style="45" customWidth="1"/>
    <col min="4878" max="4878" width="12.28515625" style="45" bestFit="1" customWidth="1"/>
    <col min="4879" max="5119" width="8.7109375" style="45"/>
    <col min="5120" max="5120" width="53" style="45" bestFit="1" customWidth="1"/>
    <col min="5121" max="5132" width="13.7109375" style="45" customWidth="1"/>
    <col min="5133" max="5133" width="4.5703125" style="45" customWidth="1"/>
    <col min="5134" max="5134" width="12.28515625" style="45" bestFit="1" customWidth="1"/>
    <col min="5135" max="5375" width="8.7109375" style="45"/>
    <col min="5376" max="5376" width="53" style="45" bestFit="1" customWidth="1"/>
    <col min="5377" max="5388" width="13.7109375" style="45" customWidth="1"/>
    <col min="5389" max="5389" width="4.5703125" style="45" customWidth="1"/>
    <col min="5390" max="5390" width="12.28515625" style="45" bestFit="1" customWidth="1"/>
    <col min="5391" max="5631" width="8.7109375" style="45"/>
    <col min="5632" max="5632" width="53" style="45" bestFit="1" customWidth="1"/>
    <col min="5633" max="5644" width="13.7109375" style="45" customWidth="1"/>
    <col min="5645" max="5645" width="4.5703125" style="45" customWidth="1"/>
    <col min="5646" max="5646" width="12.28515625" style="45" bestFit="1" customWidth="1"/>
    <col min="5647" max="5887" width="8.7109375" style="45"/>
    <col min="5888" max="5888" width="53" style="45" bestFit="1" customWidth="1"/>
    <col min="5889" max="5900" width="13.7109375" style="45" customWidth="1"/>
    <col min="5901" max="5901" width="4.5703125" style="45" customWidth="1"/>
    <col min="5902" max="5902" width="12.28515625" style="45" bestFit="1" customWidth="1"/>
    <col min="5903" max="6143" width="8.7109375" style="45"/>
    <col min="6144" max="6144" width="53" style="45" bestFit="1" customWidth="1"/>
    <col min="6145" max="6156" width="13.7109375" style="45" customWidth="1"/>
    <col min="6157" max="6157" width="4.5703125" style="45" customWidth="1"/>
    <col min="6158" max="6158" width="12.28515625" style="45" bestFit="1" customWidth="1"/>
    <col min="6159" max="6399" width="8.7109375" style="45"/>
    <col min="6400" max="6400" width="53" style="45" bestFit="1" customWidth="1"/>
    <col min="6401" max="6412" width="13.7109375" style="45" customWidth="1"/>
    <col min="6413" max="6413" width="4.5703125" style="45" customWidth="1"/>
    <col min="6414" max="6414" width="12.28515625" style="45" bestFit="1" customWidth="1"/>
    <col min="6415" max="6655" width="8.7109375" style="45"/>
    <col min="6656" max="6656" width="53" style="45" bestFit="1" customWidth="1"/>
    <col min="6657" max="6668" width="13.7109375" style="45" customWidth="1"/>
    <col min="6669" max="6669" width="4.5703125" style="45" customWidth="1"/>
    <col min="6670" max="6670" width="12.28515625" style="45" bestFit="1" customWidth="1"/>
    <col min="6671" max="6911" width="8.7109375" style="45"/>
    <col min="6912" max="6912" width="53" style="45" bestFit="1" customWidth="1"/>
    <col min="6913" max="6924" width="13.7109375" style="45" customWidth="1"/>
    <col min="6925" max="6925" width="4.5703125" style="45" customWidth="1"/>
    <col min="6926" max="6926" width="12.28515625" style="45" bestFit="1" customWidth="1"/>
    <col min="6927" max="7167" width="8.7109375" style="45"/>
    <col min="7168" max="7168" width="53" style="45" bestFit="1" customWidth="1"/>
    <col min="7169" max="7180" width="13.7109375" style="45" customWidth="1"/>
    <col min="7181" max="7181" width="4.5703125" style="45" customWidth="1"/>
    <col min="7182" max="7182" width="12.28515625" style="45" bestFit="1" customWidth="1"/>
    <col min="7183" max="7423" width="8.7109375" style="45"/>
    <col min="7424" max="7424" width="53" style="45" bestFit="1" customWidth="1"/>
    <col min="7425" max="7436" width="13.7109375" style="45" customWidth="1"/>
    <col min="7437" max="7437" width="4.5703125" style="45" customWidth="1"/>
    <col min="7438" max="7438" width="12.28515625" style="45" bestFit="1" customWidth="1"/>
    <col min="7439" max="7679" width="8.7109375" style="45"/>
    <col min="7680" max="7680" width="53" style="45" bestFit="1" customWidth="1"/>
    <col min="7681" max="7692" width="13.7109375" style="45" customWidth="1"/>
    <col min="7693" max="7693" width="4.5703125" style="45" customWidth="1"/>
    <col min="7694" max="7694" width="12.28515625" style="45" bestFit="1" customWidth="1"/>
    <col min="7695" max="7935" width="8.7109375" style="45"/>
    <col min="7936" max="7936" width="53" style="45" bestFit="1" customWidth="1"/>
    <col min="7937" max="7948" width="13.7109375" style="45" customWidth="1"/>
    <col min="7949" max="7949" width="4.5703125" style="45" customWidth="1"/>
    <col min="7950" max="7950" width="12.28515625" style="45" bestFit="1" customWidth="1"/>
    <col min="7951" max="8191" width="8.7109375" style="45"/>
    <col min="8192" max="8192" width="53" style="45" bestFit="1" customWidth="1"/>
    <col min="8193" max="8204" width="13.7109375" style="45" customWidth="1"/>
    <col min="8205" max="8205" width="4.5703125" style="45" customWidth="1"/>
    <col min="8206" max="8206" width="12.28515625" style="45" bestFit="1" customWidth="1"/>
    <col min="8207" max="8447" width="8.7109375" style="45"/>
    <col min="8448" max="8448" width="53" style="45" bestFit="1" customWidth="1"/>
    <col min="8449" max="8460" width="13.7109375" style="45" customWidth="1"/>
    <col min="8461" max="8461" width="4.5703125" style="45" customWidth="1"/>
    <col min="8462" max="8462" width="12.28515625" style="45" bestFit="1" customWidth="1"/>
    <col min="8463" max="8703" width="8.7109375" style="45"/>
    <col min="8704" max="8704" width="53" style="45" bestFit="1" customWidth="1"/>
    <col min="8705" max="8716" width="13.7109375" style="45" customWidth="1"/>
    <col min="8717" max="8717" width="4.5703125" style="45" customWidth="1"/>
    <col min="8718" max="8718" width="12.28515625" style="45" bestFit="1" customWidth="1"/>
    <col min="8719" max="8959" width="8.7109375" style="45"/>
    <col min="8960" max="8960" width="53" style="45" bestFit="1" customWidth="1"/>
    <col min="8961" max="8972" width="13.7109375" style="45" customWidth="1"/>
    <col min="8973" max="8973" width="4.5703125" style="45" customWidth="1"/>
    <col min="8974" max="8974" width="12.28515625" style="45" bestFit="1" customWidth="1"/>
    <col min="8975" max="9215" width="8.7109375" style="45"/>
    <col min="9216" max="9216" width="53" style="45" bestFit="1" customWidth="1"/>
    <col min="9217" max="9228" width="13.7109375" style="45" customWidth="1"/>
    <col min="9229" max="9229" width="4.5703125" style="45" customWidth="1"/>
    <col min="9230" max="9230" width="12.28515625" style="45" bestFit="1" customWidth="1"/>
    <col min="9231" max="9471" width="8.7109375" style="45"/>
    <col min="9472" max="9472" width="53" style="45" bestFit="1" customWidth="1"/>
    <col min="9473" max="9484" width="13.7109375" style="45" customWidth="1"/>
    <col min="9485" max="9485" width="4.5703125" style="45" customWidth="1"/>
    <col min="9486" max="9486" width="12.28515625" style="45" bestFit="1" customWidth="1"/>
    <col min="9487" max="9727" width="8.7109375" style="45"/>
    <col min="9728" max="9728" width="53" style="45" bestFit="1" customWidth="1"/>
    <col min="9729" max="9740" width="13.7109375" style="45" customWidth="1"/>
    <col min="9741" max="9741" width="4.5703125" style="45" customWidth="1"/>
    <col min="9742" max="9742" width="12.28515625" style="45" bestFit="1" customWidth="1"/>
    <col min="9743" max="9983" width="8.7109375" style="45"/>
    <col min="9984" max="9984" width="53" style="45" bestFit="1" customWidth="1"/>
    <col min="9985" max="9996" width="13.7109375" style="45" customWidth="1"/>
    <col min="9997" max="9997" width="4.5703125" style="45" customWidth="1"/>
    <col min="9998" max="9998" width="12.28515625" style="45" bestFit="1" customWidth="1"/>
    <col min="9999" max="10239" width="8.7109375" style="45"/>
    <col min="10240" max="10240" width="53" style="45" bestFit="1" customWidth="1"/>
    <col min="10241" max="10252" width="13.7109375" style="45" customWidth="1"/>
    <col min="10253" max="10253" width="4.5703125" style="45" customWidth="1"/>
    <col min="10254" max="10254" width="12.28515625" style="45" bestFit="1" customWidth="1"/>
    <col min="10255" max="10495" width="8.7109375" style="45"/>
    <col min="10496" max="10496" width="53" style="45" bestFit="1" customWidth="1"/>
    <col min="10497" max="10508" width="13.7109375" style="45" customWidth="1"/>
    <col min="10509" max="10509" width="4.5703125" style="45" customWidth="1"/>
    <col min="10510" max="10510" width="12.28515625" style="45" bestFit="1" customWidth="1"/>
    <col min="10511" max="10751" width="8.7109375" style="45"/>
    <col min="10752" max="10752" width="53" style="45" bestFit="1" customWidth="1"/>
    <col min="10753" max="10764" width="13.7109375" style="45" customWidth="1"/>
    <col min="10765" max="10765" width="4.5703125" style="45" customWidth="1"/>
    <col min="10766" max="10766" width="12.28515625" style="45" bestFit="1" customWidth="1"/>
    <col min="10767" max="11007" width="8.7109375" style="45"/>
    <col min="11008" max="11008" width="53" style="45" bestFit="1" customWidth="1"/>
    <col min="11009" max="11020" width="13.7109375" style="45" customWidth="1"/>
    <col min="11021" max="11021" width="4.5703125" style="45" customWidth="1"/>
    <col min="11022" max="11022" width="12.28515625" style="45" bestFit="1" customWidth="1"/>
    <col min="11023" max="11263" width="8.7109375" style="45"/>
    <col min="11264" max="11264" width="53" style="45" bestFit="1" customWidth="1"/>
    <col min="11265" max="11276" width="13.7109375" style="45" customWidth="1"/>
    <col min="11277" max="11277" width="4.5703125" style="45" customWidth="1"/>
    <col min="11278" max="11278" width="12.28515625" style="45" bestFit="1" customWidth="1"/>
    <col min="11279" max="11519" width="8.7109375" style="45"/>
    <col min="11520" max="11520" width="53" style="45" bestFit="1" customWidth="1"/>
    <col min="11521" max="11532" width="13.7109375" style="45" customWidth="1"/>
    <col min="11533" max="11533" width="4.5703125" style="45" customWidth="1"/>
    <col min="11534" max="11534" width="12.28515625" style="45" bestFit="1" customWidth="1"/>
    <col min="11535" max="11775" width="8.7109375" style="45"/>
    <col min="11776" max="11776" width="53" style="45" bestFit="1" customWidth="1"/>
    <col min="11777" max="11788" width="13.7109375" style="45" customWidth="1"/>
    <col min="11789" max="11789" width="4.5703125" style="45" customWidth="1"/>
    <col min="11790" max="11790" width="12.28515625" style="45" bestFit="1" customWidth="1"/>
    <col min="11791" max="12031" width="8.7109375" style="45"/>
    <col min="12032" max="12032" width="53" style="45" bestFit="1" customWidth="1"/>
    <col min="12033" max="12044" width="13.7109375" style="45" customWidth="1"/>
    <col min="12045" max="12045" width="4.5703125" style="45" customWidth="1"/>
    <col min="12046" max="12046" width="12.28515625" style="45" bestFit="1" customWidth="1"/>
    <col min="12047" max="12287" width="8.7109375" style="45"/>
    <col min="12288" max="12288" width="53" style="45" bestFit="1" customWidth="1"/>
    <col min="12289" max="12300" width="13.7109375" style="45" customWidth="1"/>
    <col min="12301" max="12301" width="4.5703125" style="45" customWidth="1"/>
    <col min="12302" max="12302" width="12.28515625" style="45" bestFit="1" customWidth="1"/>
    <col min="12303" max="12543" width="8.7109375" style="45"/>
    <col min="12544" max="12544" width="53" style="45" bestFit="1" customWidth="1"/>
    <col min="12545" max="12556" width="13.7109375" style="45" customWidth="1"/>
    <col min="12557" max="12557" width="4.5703125" style="45" customWidth="1"/>
    <col min="12558" max="12558" width="12.28515625" style="45" bestFit="1" customWidth="1"/>
    <col min="12559" max="12799" width="8.7109375" style="45"/>
    <col min="12800" max="12800" width="53" style="45" bestFit="1" customWidth="1"/>
    <col min="12801" max="12812" width="13.7109375" style="45" customWidth="1"/>
    <col min="12813" max="12813" width="4.5703125" style="45" customWidth="1"/>
    <col min="12814" max="12814" width="12.28515625" style="45" bestFit="1" customWidth="1"/>
    <col min="12815" max="13055" width="8.7109375" style="45"/>
    <col min="13056" max="13056" width="53" style="45" bestFit="1" customWidth="1"/>
    <col min="13057" max="13068" width="13.7109375" style="45" customWidth="1"/>
    <col min="13069" max="13069" width="4.5703125" style="45" customWidth="1"/>
    <col min="13070" max="13070" width="12.28515625" style="45" bestFit="1" customWidth="1"/>
    <col min="13071" max="13311" width="8.7109375" style="45"/>
    <col min="13312" max="13312" width="53" style="45" bestFit="1" customWidth="1"/>
    <col min="13313" max="13324" width="13.7109375" style="45" customWidth="1"/>
    <col min="13325" max="13325" width="4.5703125" style="45" customWidth="1"/>
    <col min="13326" max="13326" width="12.28515625" style="45" bestFit="1" customWidth="1"/>
    <col min="13327" max="13567" width="8.7109375" style="45"/>
    <col min="13568" max="13568" width="53" style="45" bestFit="1" customWidth="1"/>
    <col min="13569" max="13580" width="13.7109375" style="45" customWidth="1"/>
    <col min="13581" max="13581" width="4.5703125" style="45" customWidth="1"/>
    <col min="13582" max="13582" width="12.28515625" style="45" bestFit="1" customWidth="1"/>
    <col min="13583" max="13823" width="8.7109375" style="45"/>
    <col min="13824" max="13824" width="53" style="45" bestFit="1" customWidth="1"/>
    <col min="13825" max="13836" width="13.7109375" style="45" customWidth="1"/>
    <col min="13837" max="13837" width="4.5703125" style="45" customWidth="1"/>
    <col min="13838" max="13838" width="12.28515625" style="45" bestFit="1" customWidth="1"/>
    <col min="13839" max="14079" width="8.7109375" style="45"/>
    <col min="14080" max="14080" width="53" style="45" bestFit="1" customWidth="1"/>
    <col min="14081" max="14092" width="13.7109375" style="45" customWidth="1"/>
    <col min="14093" max="14093" width="4.5703125" style="45" customWidth="1"/>
    <col min="14094" max="14094" width="12.28515625" style="45" bestFit="1" customWidth="1"/>
    <col min="14095" max="14335" width="8.7109375" style="45"/>
    <col min="14336" max="14336" width="53" style="45" bestFit="1" customWidth="1"/>
    <col min="14337" max="14348" width="13.7109375" style="45" customWidth="1"/>
    <col min="14349" max="14349" width="4.5703125" style="45" customWidth="1"/>
    <col min="14350" max="14350" width="12.28515625" style="45" bestFit="1" customWidth="1"/>
    <col min="14351" max="14591" width="8.7109375" style="45"/>
    <col min="14592" max="14592" width="53" style="45" bestFit="1" customWidth="1"/>
    <col min="14593" max="14604" width="13.7109375" style="45" customWidth="1"/>
    <col min="14605" max="14605" width="4.5703125" style="45" customWidth="1"/>
    <col min="14606" max="14606" width="12.28515625" style="45" bestFit="1" customWidth="1"/>
    <col min="14607" max="14847" width="8.7109375" style="45"/>
    <col min="14848" max="14848" width="53" style="45" bestFit="1" customWidth="1"/>
    <col min="14849" max="14860" width="13.7109375" style="45" customWidth="1"/>
    <col min="14861" max="14861" width="4.5703125" style="45" customWidth="1"/>
    <col min="14862" max="14862" width="12.28515625" style="45" bestFit="1" customWidth="1"/>
    <col min="14863" max="15103" width="8.7109375" style="45"/>
    <col min="15104" max="15104" width="53" style="45" bestFit="1" customWidth="1"/>
    <col min="15105" max="15116" width="13.7109375" style="45" customWidth="1"/>
    <col min="15117" max="15117" width="4.5703125" style="45" customWidth="1"/>
    <col min="15118" max="15118" width="12.28515625" style="45" bestFit="1" customWidth="1"/>
    <col min="15119" max="15359" width="8.7109375" style="45"/>
    <col min="15360" max="15360" width="53" style="45" bestFit="1" customWidth="1"/>
    <col min="15361" max="15372" width="13.7109375" style="45" customWidth="1"/>
    <col min="15373" max="15373" width="4.5703125" style="45" customWidth="1"/>
    <col min="15374" max="15374" width="12.28515625" style="45" bestFit="1" customWidth="1"/>
    <col min="15375" max="15615" width="8.7109375" style="45"/>
    <col min="15616" max="15616" width="53" style="45" bestFit="1" customWidth="1"/>
    <col min="15617" max="15628" width="13.7109375" style="45" customWidth="1"/>
    <col min="15629" max="15629" width="4.5703125" style="45" customWidth="1"/>
    <col min="15630" max="15630" width="12.28515625" style="45" bestFit="1" customWidth="1"/>
    <col min="15631" max="15871" width="8.7109375" style="45"/>
    <col min="15872" max="15872" width="53" style="45" bestFit="1" customWidth="1"/>
    <col min="15873" max="15884" width="13.7109375" style="45" customWidth="1"/>
    <col min="15885" max="15885" width="4.5703125" style="45" customWidth="1"/>
    <col min="15886" max="15886" width="12.28515625" style="45" bestFit="1" customWidth="1"/>
    <col min="15887" max="16127" width="8.7109375" style="45"/>
    <col min="16128" max="16128" width="53" style="45" bestFit="1" customWidth="1"/>
    <col min="16129" max="16140" width="13.7109375" style="45" customWidth="1"/>
    <col min="16141" max="16141" width="4.5703125" style="45" customWidth="1"/>
    <col min="16142" max="16142" width="12.28515625" style="45" bestFit="1" customWidth="1"/>
    <col min="16143" max="16384" width="8.7109375" style="45"/>
  </cols>
  <sheetData>
    <row r="1" spans="1:14" ht="18.75">
      <c r="A1" s="658">
        <v>2013</v>
      </c>
    </row>
    <row r="2" spans="1:14">
      <c r="A2" s="657" t="s">
        <v>627</v>
      </c>
      <c r="B2" s="656" t="s">
        <v>626</v>
      </c>
      <c r="C2" s="656" t="s">
        <v>625</v>
      </c>
      <c r="D2" s="656" t="s">
        <v>624</v>
      </c>
      <c r="E2" s="656" t="s">
        <v>623</v>
      </c>
      <c r="F2" s="656" t="s">
        <v>622</v>
      </c>
      <c r="G2" s="656" t="s">
        <v>621</v>
      </c>
      <c r="H2" s="656" t="s">
        <v>620</v>
      </c>
      <c r="I2" s="656" t="s">
        <v>619</v>
      </c>
      <c r="J2" s="656" t="s">
        <v>618</v>
      </c>
      <c r="K2" s="656" t="s">
        <v>617</v>
      </c>
      <c r="L2" s="656" t="s">
        <v>616</v>
      </c>
      <c r="M2" s="656" t="s">
        <v>615</v>
      </c>
    </row>
    <row r="3" spans="1:14">
      <c r="A3" s="45" t="s">
        <v>614</v>
      </c>
      <c r="B3" s="46">
        <v>31</v>
      </c>
      <c r="C3" s="46">
        <v>28</v>
      </c>
      <c r="D3" s="46">
        <v>31</v>
      </c>
      <c r="E3" s="46">
        <v>30</v>
      </c>
      <c r="F3" s="46">
        <v>31</v>
      </c>
      <c r="G3" s="46">
        <v>30</v>
      </c>
      <c r="H3" s="46">
        <v>31</v>
      </c>
      <c r="I3" s="46">
        <v>31</v>
      </c>
      <c r="J3" s="46">
        <v>30</v>
      </c>
      <c r="K3" s="46">
        <v>31</v>
      </c>
      <c r="L3" s="46">
        <v>30</v>
      </c>
      <c r="M3" s="46">
        <v>31</v>
      </c>
    </row>
    <row r="4" spans="1:14" ht="15.75">
      <c r="A4" s="45" t="s">
        <v>613</v>
      </c>
      <c r="B4" s="655">
        <v>1.47E-2</v>
      </c>
      <c r="C4" s="655">
        <v>1.47E-2</v>
      </c>
      <c r="D4" s="655">
        <v>1.47E-2</v>
      </c>
      <c r="E4" s="655">
        <v>1.47E-2</v>
      </c>
      <c r="F4" s="655">
        <v>1.47E-2</v>
      </c>
      <c r="G4" s="655">
        <v>1.47E-2</v>
      </c>
      <c r="H4" s="655">
        <v>1.47E-2</v>
      </c>
      <c r="I4" s="655">
        <v>1.47E-2</v>
      </c>
      <c r="J4" s="655">
        <v>1.47E-2</v>
      </c>
      <c r="K4" s="655">
        <v>1.47E-2</v>
      </c>
      <c r="L4" s="655">
        <v>1.47E-2</v>
      </c>
      <c r="M4" s="655">
        <v>1.47E-2</v>
      </c>
      <c r="N4" s="50"/>
    </row>
    <row r="5" spans="1:14">
      <c r="B5" s="650"/>
      <c r="C5" s="650"/>
      <c r="D5" s="650"/>
      <c r="E5" s="650"/>
      <c r="F5" s="650"/>
      <c r="G5" s="650"/>
      <c r="H5" s="650"/>
      <c r="I5" s="650"/>
      <c r="J5" s="650"/>
      <c r="K5" s="650"/>
      <c r="L5" s="650"/>
      <c r="M5" s="650"/>
      <c r="N5" s="650"/>
    </row>
    <row r="6" spans="1:14" ht="15.75">
      <c r="A6" s="654" t="s">
        <v>612</v>
      </c>
      <c r="B6" s="650">
        <f>'[6]2011-14 LRAMVA Summary'!O26</f>
        <v>8478.6597155280033</v>
      </c>
      <c r="C6" s="650">
        <f>B6</f>
        <v>8478.6597155280033</v>
      </c>
      <c r="D6" s="650">
        <f t="shared" ref="D6:M6" si="0">C6</f>
        <v>8478.6597155280033</v>
      </c>
      <c r="E6" s="650">
        <f t="shared" si="0"/>
        <v>8478.6597155280033</v>
      </c>
      <c r="F6" s="650">
        <f t="shared" si="0"/>
        <v>8478.6597155280033</v>
      </c>
      <c r="G6" s="650">
        <f t="shared" si="0"/>
        <v>8478.6597155280033</v>
      </c>
      <c r="H6" s="650">
        <f t="shared" si="0"/>
        <v>8478.6597155280033</v>
      </c>
      <c r="I6" s="650">
        <f t="shared" si="0"/>
        <v>8478.6597155280033</v>
      </c>
      <c r="J6" s="650">
        <f t="shared" si="0"/>
        <v>8478.6597155280033</v>
      </c>
      <c r="K6" s="650">
        <f t="shared" si="0"/>
        <v>8478.6597155280033</v>
      </c>
      <c r="L6" s="650">
        <f t="shared" si="0"/>
        <v>8478.6597155280033</v>
      </c>
      <c r="M6" s="650">
        <f t="shared" si="0"/>
        <v>8478.6597155280033</v>
      </c>
      <c r="N6" s="650"/>
    </row>
    <row r="7" spans="1:14" ht="15.75">
      <c r="A7" s="654" t="s">
        <v>628</v>
      </c>
      <c r="B7" s="650">
        <f>'[6]2011-14 LRAMVA Summary'!O36</f>
        <v>29267.53192465306</v>
      </c>
      <c r="C7" s="650">
        <f t="shared" ref="C7:M8" si="1">B7</f>
        <v>29267.53192465306</v>
      </c>
      <c r="D7" s="650">
        <f t="shared" si="1"/>
        <v>29267.53192465306</v>
      </c>
      <c r="E7" s="650">
        <f t="shared" si="1"/>
        <v>29267.53192465306</v>
      </c>
      <c r="F7" s="650">
        <f t="shared" si="1"/>
        <v>29267.53192465306</v>
      </c>
      <c r="G7" s="650">
        <f t="shared" si="1"/>
        <v>29267.53192465306</v>
      </c>
      <c r="H7" s="650">
        <f t="shared" si="1"/>
        <v>29267.53192465306</v>
      </c>
      <c r="I7" s="650">
        <f t="shared" si="1"/>
        <v>29267.53192465306</v>
      </c>
      <c r="J7" s="650">
        <f t="shared" si="1"/>
        <v>29267.53192465306</v>
      </c>
      <c r="K7" s="650">
        <f t="shared" si="1"/>
        <v>29267.53192465306</v>
      </c>
      <c r="L7" s="650">
        <f t="shared" si="1"/>
        <v>29267.53192465306</v>
      </c>
      <c r="M7" s="650">
        <f t="shared" si="1"/>
        <v>29267.53192465306</v>
      </c>
      <c r="N7" s="650"/>
    </row>
    <row r="8" spans="1:14" ht="15.75">
      <c r="A8" s="654" t="s">
        <v>629</v>
      </c>
      <c r="B8" s="650"/>
      <c r="C8" s="650"/>
      <c r="D8" s="650"/>
      <c r="E8" s="650"/>
      <c r="F8" s="650"/>
      <c r="G8" s="650">
        <f>'[6]2011-14 LRAMVA Summary'!O46</f>
        <v>58724.370076271647</v>
      </c>
      <c r="H8" s="650">
        <f t="shared" si="1"/>
        <v>58724.370076271647</v>
      </c>
      <c r="I8" s="650">
        <f t="shared" si="1"/>
        <v>58724.370076271647</v>
      </c>
      <c r="J8" s="650">
        <f t="shared" si="1"/>
        <v>58724.370076271647</v>
      </c>
      <c r="K8" s="650">
        <f t="shared" si="1"/>
        <v>58724.370076271647</v>
      </c>
      <c r="L8" s="650">
        <f t="shared" si="1"/>
        <v>58724.370076271647</v>
      </c>
      <c r="M8" s="650">
        <f t="shared" si="1"/>
        <v>58724.370076271647</v>
      </c>
      <c r="N8" s="650"/>
    </row>
    <row r="9" spans="1:14">
      <c r="B9" s="650"/>
      <c r="C9" s="650"/>
      <c r="D9" s="650"/>
      <c r="E9" s="650"/>
      <c r="F9" s="650"/>
      <c r="G9" s="650"/>
      <c r="H9" s="650"/>
      <c r="I9" s="650"/>
      <c r="J9" s="650"/>
      <c r="K9" s="650"/>
      <c r="L9" s="650"/>
      <c r="M9" s="650"/>
      <c r="N9" s="650"/>
    </row>
    <row r="10" spans="1:14" ht="16.5" thickBot="1">
      <c r="A10" s="653" t="s">
        <v>611</v>
      </c>
      <c r="B10" s="652">
        <f t="shared" ref="B10:M10" si="2">SUM(B6:B8)</f>
        <v>37746.191640181059</v>
      </c>
      <c r="C10" s="652">
        <f t="shared" si="2"/>
        <v>37746.191640181059</v>
      </c>
      <c r="D10" s="652">
        <f t="shared" si="2"/>
        <v>37746.191640181059</v>
      </c>
      <c r="E10" s="652">
        <f t="shared" si="2"/>
        <v>37746.191640181059</v>
      </c>
      <c r="F10" s="652">
        <f t="shared" si="2"/>
        <v>37746.191640181059</v>
      </c>
      <c r="G10" s="652">
        <f t="shared" si="2"/>
        <v>96470.561716452707</v>
      </c>
      <c r="H10" s="652">
        <f t="shared" si="2"/>
        <v>96470.561716452707</v>
      </c>
      <c r="I10" s="652">
        <f t="shared" si="2"/>
        <v>96470.561716452707</v>
      </c>
      <c r="J10" s="652">
        <f t="shared" si="2"/>
        <v>96470.561716452707</v>
      </c>
      <c r="K10" s="652">
        <f t="shared" si="2"/>
        <v>96470.561716452707</v>
      </c>
      <c r="L10" s="652">
        <f t="shared" si="2"/>
        <v>96470.561716452707</v>
      </c>
      <c r="M10" s="652">
        <f t="shared" si="2"/>
        <v>96470.561716452707</v>
      </c>
      <c r="N10" s="651"/>
    </row>
    <row r="11" spans="1:14">
      <c r="B11" s="650"/>
      <c r="C11" s="650"/>
      <c r="D11" s="650"/>
      <c r="E11" s="650"/>
      <c r="F11" s="650"/>
      <c r="G11" s="650"/>
      <c r="H11" s="650"/>
      <c r="I11" s="650"/>
      <c r="J11" s="650"/>
      <c r="K11" s="650"/>
      <c r="L11" s="650"/>
      <c r="M11" s="650"/>
      <c r="N11" s="650"/>
    </row>
    <row r="12" spans="1:14">
      <c r="B12" s="650"/>
      <c r="C12" s="650"/>
      <c r="D12" s="650"/>
      <c r="E12" s="650"/>
      <c r="F12" s="650"/>
      <c r="G12" s="650"/>
      <c r="H12" s="650"/>
      <c r="I12" s="650"/>
      <c r="J12" s="650"/>
      <c r="K12" s="650"/>
      <c r="L12" s="650"/>
      <c r="M12" s="650"/>
      <c r="N12" s="650"/>
    </row>
    <row r="13" spans="1:14">
      <c r="A13" s="45" t="s">
        <v>610</v>
      </c>
      <c r="B13" s="650">
        <f>'[7]Carrying Charges 2012'!M9*B4/365*B3</f>
        <v>47.125861727206868</v>
      </c>
      <c r="C13" s="650">
        <f t="shared" ref="C13:M13" si="3">B10*C4/365*C3</f>
        <v>42.565294463283621</v>
      </c>
      <c r="D13" s="650">
        <f t="shared" si="3"/>
        <v>47.125861727206868</v>
      </c>
      <c r="E13" s="650">
        <f t="shared" si="3"/>
        <v>45.605672639232452</v>
      </c>
      <c r="F13" s="650">
        <f t="shared" si="3"/>
        <v>47.125861727206868</v>
      </c>
      <c r="G13" s="650">
        <f t="shared" si="3"/>
        <v>45.605672639232452</v>
      </c>
      <c r="H13" s="650">
        <f t="shared" si="3"/>
        <v>120.44283554571916</v>
      </c>
      <c r="I13" s="650">
        <f t="shared" si="3"/>
        <v>120.44283554571916</v>
      </c>
      <c r="J13" s="650">
        <f t="shared" si="3"/>
        <v>116.55758278617984</v>
      </c>
      <c r="K13" s="650">
        <f t="shared" si="3"/>
        <v>120.44283554571916</v>
      </c>
      <c r="L13" s="650">
        <f t="shared" si="3"/>
        <v>116.55758278617984</v>
      </c>
      <c r="M13" s="650">
        <f t="shared" si="3"/>
        <v>120.44283554571916</v>
      </c>
      <c r="N13" s="650"/>
    </row>
    <row r="14" spans="1:14">
      <c r="A14" s="45" t="s">
        <v>609</v>
      </c>
      <c r="B14" s="650">
        <f>'[7]Carrying Charges 2012'!M13+B13</f>
        <v>451.47695173276094</v>
      </c>
      <c r="C14" s="650">
        <f t="shared" ref="C14:M14" si="4">B14+C13</f>
        <v>494.04224619604457</v>
      </c>
      <c r="D14" s="650">
        <f t="shared" si="4"/>
        <v>541.16810792325145</v>
      </c>
      <c r="E14" s="650">
        <f t="shared" si="4"/>
        <v>586.77378056248392</v>
      </c>
      <c r="F14" s="650">
        <f t="shared" si="4"/>
        <v>633.89964228969075</v>
      </c>
      <c r="G14" s="650">
        <f t="shared" si="4"/>
        <v>679.50531492892321</v>
      </c>
      <c r="H14" s="650">
        <f t="shared" si="4"/>
        <v>799.94815047464238</v>
      </c>
      <c r="I14" s="650">
        <f t="shared" si="4"/>
        <v>920.39098602036154</v>
      </c>
      <c r="J14" s="650">
        <f t="shared" si="4"/>
        <v>1036.9485688065413</v>
      </c>
      <c r="K14" s="650">
        <f t="shared" si="4"/>
        <v>1157.3914043522605</v>
      </c>
      <c r="L14" s="650">
        <f t="shared" si="4"/>
        <v>1273.9489871384403</v>
      </c>
      <c r="M14" s="650">
        <f t="shared" si="4"/>
        <v>1394.3918226841595</v>
      </c>
      <c r="N14" s="650"/>
    </row>
    <row r="15" spans="1:14">
      <c r="B15" s="50"/>
      <c r="C15" s="50"/>
      <c r="D15" s="50"/>
      <c r="E15" s="50"/>
      <c r="F15" s="50"/>
      <c r="G15" s="50"/>
      <c r="H15" s="50"/>
      <c r="I15" s="50"/>
      <c r="J15" s="50"/>
      <c r="K15" s="50"/>
      <c r="L15" s="50"/>
      <c r="M15" s="50"/>
      <c r="N15" s="50"/>
    </row>
    <row r="16" spans="1:14">
      <c r="B16" s="50"/>
      <c r="C16" s="50"/>
      <c r="D16" s="50"/>
      <c r="E16" s="50"/>
      <c r="F16" s="50"/>
      <c r="G16" s="50"/>
      <c r="H16" s="50"/>
      <c r="I16" s="50"/>
      <c r="J16" s="50"/>
      <c r="K16" s="50"/>
      <c r="L16" s="50"/>
      <c r="M16" s="50"/>
      <c r="N16" s="50"/>
    </row>
    <row r="17" spans="1:14">
      <c r="B17" s="50"/>
      <c r="C17" s="50"/>
      <c r="D17" s="50"/>
      <c r="E17" s="50"/>
      <c r="F17" s="50"/>
      <c r="G17" s="50"/>
      <c r="H17" s="50"/>
      <c r="I17" s="50"/>
      <c r="J17" s="50"/>
      <c r="K17" s="50"/>
      <c r="L17" s="50"/>
      <c r="M17" s="50"/>
      <c r="N17" s="50"/>
    </row>
    <row r="18" spans="1:14">
      <c r="A18" s="52" t="s">
        <v>17</v>
      </c>
      <c r="B18" s="663">
        <f>'[7]Carrying Charges 2012'!M18</f>
        <v>13873.902834430826</v>
      </c>
      <c r="C18" s="664">
        <f>B18</f>
        <v>13873.902834430826</v>
      </c>
      <c r="D18" s="664">
        <f t="shared" ref="D18:M18" si="5">C18</f>
        <v>13873.902834430826</v>
      </c>
      <c r="E18" s="664">
        <f t="shared" si="5"/>
        <v>13873.902834430826</v>
      </c>
      <c r="F18" s="664">
        <f t="shared" si="5"/>
        <v>13873.902834430826</v>
      </c>
      <c r="G18" s="664">
        <f>F18+'[7]2011-14 LRAMVA Summary'!O41</f>
        <v>30461.111812465177</v>
      </c>
      <c r="H18" s="664">
        <f t="shared" si="5"/>
        <v>30461.111812465177</v>
      </c>
      <c r="I18" s="664">
        <f t="shared" si="5"/>
        <v>30461.111812465177</v>
      </c>
      <c r="J18" s="664">
        <f t="shared" si="5"/>
        <v>30461.111812465177</v>
      </c>
      <c r="K18" s="664">
        <f t="shared" si="5"/>
        <v>30461.111812465177</v>
      </c>
      <c r="L18" s="664">
        <f t="shared" si="5"/>
        <v>30461.111812465177</v>
      </c>
      <c r="M18" s="664">
        <f t="shared" si="5"/>
        <v>30461.111812465177</v>
      </c>
      <c r="N18" s="50"/>
    </row>
    <row r="19" spans="1:14">
      <c r="A19" s="45" t="s">
        <v>610</v>
      </c>
      <c r="B19" s="665">
        <f>'[7]Carrying Charges 2012'!M18*'[7]Carrying Charges 2013'!B4/365*'[7]Carrying Charges 2013'!B3</f>
        <v>17.321472662055143</v>
      </c>
      <c r="C19" s="666">
        <f>B18*C4/365*C3</f>
        <v>15.645201114114322</v>
      </c>
      <c r="D19" s="666">
        <f t="shared" ref="D19:M19" si="6">C18*D4/365*D3</f>
        <v>17.321472662055143</v>
      </c>
      <c r="E19" s="666">
        <f t="shared" si="6"/>
        <v>16.762715479408204</v>
      </c>
      <c r="F19" s="666">
        <f t="shared" si="6"/>
        <v>17.321472662055143</v>
      </c>
      <c r="G19" s="666">
        <f t="shared" si="6"/>
        <v>16.762715479408204</v>
      </c>
      <c r="H19" s="666">
        <f t="shared" si="6"/>
        <v>38.03048946011063</v>
      </c>
      <c r="I19" s="666">
        <f t="shared" si="6"/>
        <v>38.03048946011063</v>
      </c>
      <c r="J19" s="666">
        <f t="shared" si="6"/>
        <v>36.803699477526415</v>
      </c>
      <c r="K19" s="666">
        <f t="shared" si="6"/>
        <v>38.03048946011063</v>
      </c>
      <c r="L19" s="666">
        <f t="shared" si="6"/>
        <v>36.803699477526415</v>
      </c>
      <c r="M19" s="666">
        <f t="shared" si="6"/>
        <v>38.03048946011063</v>
      </c>
      <c r="N19" s="50"/>
    </row>
    <row r="20" spans="1:14">
      <c r="A20" s="45" t="s">
        <v>609</v>
      </c>
      <c r="B20" s="665">
        <f>'[7]Carrying Charges 2012'!M20+B19</f>
        <v>173.47105427478567</v>
      </c>
      <c r="C20" s="666">
        <f>B20+C19</f>
        <v>189.11625538889999</v>
      </c>
      <c r="D20" s="666">
        <f t="shared" ref="D20:M20" si="7">C20+D19</f>
        <v>206.43772805095512</v>
      </c>
      <c r="E20" s="666">
        <f t="shared" si="7"/>
        <v>223.20044353036332</v>
      </c>
      <c r="F20" s="666">
        <f t="shared" si="7"/>
        <v>240.52191619241847</v>
      </c>
      <c r="G20" s="666">
        <f t="shared" si="7"/>
        <v>257.28463167182667</v>
      </c>
      <c r="H20" s="666">
        <f t="shared" si="7"/>
        <v>295.3151211319373</v>
      </c>
      <c r="I20" s="666">
        <f t="shared" si="7"/>
        <v>333.34561059204793</v>
      </c>
      <c r="J20" s="666">
        <f t="shared" si="7"/>
        <v>370.14931006957437</v>
      </c>
      <c r="K20" s="666">
        <f t="shared" si="7"/>
        <v>408.179799529685</v>
      </c>
      <c r="L20" s="666">
        <f t="shared" si="7"/>
        <v>444.98349900721144</v>
      </c>
      <c r="M20" s="666">
        <f t="shared" si="7"/>
        <v>483.01398846732206</v>
      </c>
      <c r="N20" s="50"/>
    </row>
    <row r="21" spans="1:14">
      <c r="A21" s="52" t="s">
        <v>86</v>
      </c>
      <c r="B21" s="663">
        <f>'[7]Carrying Charges 2012'!M21</f>
        <v>16556.312928149353</v>
      </c>
      <c r="C21" s="664">
        <f>B21</f>
        <v>16556.312928149353</v>
      </c>
      <c r="D21" s="664">
        <f t="shared" ref="D21:M21" si="8">C21</f>
        <v>16556.312928149353</v>
      </c>
      <c r="E21" s="664">
        <f t="shared" si="8"/>
        <v>16556.312928149353</v>
      </c>
      <c r="F21" s="664">
        <f t="shared" si="8"/>
        <v>16556.312928149353</v>
      </c>
      <c r="G21" s="664">
        <f>F21+'[7]2011-14 LRAMVA Summary'!O42</f>
        <v>38363.76117791007</v>
      </c>
      <c r="H21" s="664">
        <f t="shared" si="8"/>
        <v>38363.76117791007</v>
      </c>
      <c r="I21" s="664">
        <f t="shared" si="8"/>
        <v>38363.76117791007</v>
      </c>
      <c r="J21" s="664">
        <f t="shared" si="8"/>
        <v>38363.76117791007</v>
      </c>
      <c r="K21" s="664">
        <f t="shared" si="8"/>
        <v>38363.76117791007</v>
      </c>
      <c r="L21" s="664">
        <f t="shared" si="8"/>
        <v>38363.76117791007</v>
      </c>
      <c r="M21" s="664">
        <f t="shared" si="8"/>
        <v>38363.76117791007</v>
      </c>
      <c r="N21" s="50"/>
    </row>
    <row r="22" spans="1:14">
      <c r="A22" s="45" t="s">
        <v>610</v>
      </c>
      <c r="B22" s="665">
        <f>'[7]Carrying Charges 2012'!M21*'[7]Carrying Charges 2013'!B4/365*'[7]Carrying Charges 2013'!B3</f>
        <v>20.67044329139085</v>
      </c>
      <c r="C22" s="666">
        <f>B21*C4/365*C3</f>
        <v>18.670077811578832</v>
      </c>
      <c r="D22" s="666">
        <f t="shared" ref="D22:M22" si="9">C21*D4/365*D3</f>
        <v>20.67044329139085</v>
      </c>
      <c r="E22" s="666">
        <f t="shared" si="9"/>
        <v>20.003654798120177</v>
      </c>
      <c r="F22" s="666">
        <f t="shared" si="9"/>
        <v>20.67044329139085</v>
      </c>
      <c r="G22" s="666">
        <f t="shared" si="9"/>
        <v>20.003654798120177</v>
      </c>
      <c r="H22" s="666">
        <f t="shared" si="9"/>
        <v>47.896893065133199</v>
      </c>
      <c r="I22" s="666">
        <f t="shared" si="9"/>
        <v>47.896893065133199</v>
      </c>
      <c r="J22" s="666">
        <f t="shared" si="9"/>
        <v>46.351831998515998</v>
      </c>
      <c r="K22" s="666">
        <f t="shared" si="9"/>
        <v>47.896893065133199</v>
      </c>
      <c r="L22" s="666">
        <f t="shared" si="9"/>
        <v>46.351831998515998</v>
      </c>
      <c r="M22" s="666">
        <f t="shared" si="9"/>
        <v>47.896893065133199</v>
      </c>
      <c r="N22" s="50"/>
    </row>
    <row r="23" spans="1:14">
      <c r="A23" s="45" t="s">
        <v>609</v>
      </c>
      <c r="B23" s="665">
        <f>'[7]Carrying Charges 2012'!M23+B22</f>
        <v>192.74505865977039</v>
      </c>
      <c r="C23" s="666">
        <f>B23+C22</f>
        <v>211.41513647134923</v>
      </c>
      <c r="D23" s="666">
        <f t="shared" ref="D23:M23" si="10">C23+D22</f>
        <v>232.08557976274008</v>
      </c>
      <c r="E23" s="666">
        <f t="shared" si="10"/>
        <v>252.08923456086026</v>
      </c>
      <c r="F23" s="666">
        <f t="shared" si="10"/>
        <v>272.75967785225112</v>
      </c>
      <c r="G23" s="666">
        <f t="shared" si="10"/>
        <v>292.7633326503713</v>
      </c>
      <c r="H23" s="666">
        <f t="shared" si="10"/>
        <v>340.66022571550451</v>
      </c>
      <c r="I23" s="666">
        <f t="shared" si="10"/>
        <v>388.55711878063772</v>
      </c>
      <c r="J23" s="666">
        <f t="shared" si="10"/>
        <v>434.90895077915371</v>
      </c>
      <c r="K23" s="666">
        <f t="shared" si="10"/>
        <v>482.80584384428693</v>
      </c>
      <c r="L23" s="666">
        <f t="shared" si="10"/>
        <v>529.15767584280297</v>
      </c>
      <c r="M23" s="666">
        <f t="shared" si="10"/>
        <v>577.05456890793619</v>
      </c>
      <c r="N23" s="50"/>
    </row>
    <row r="24" spans="1:14">
      <c r="A24" s="52" t="s">
        <v>88</v>
      </c>
      <c r="B24" s="663">
        <f>'[7]Carrying Charges 2012'!M24</f>
        <v>4535.4261850763551</v>
      </c>
      <c r="C24" s="664">
        <f>B24</f>
        <v>4535.4261850763551</v>
      </c>
      <c r="D24" s="664">
        <f t="shared" ref="D24:M24" si="11">C24</f>
        <v>4535.4261850763551</v>
      </c>
      <c r="E24" s="664">
        <f t="shared" si="11"/>
        <v>4535.4261850763551</v>
      </c>
      <c r="F24" s="664">
        <f t="shared" si="11"/>
        <v>4535.4261850763551</v>
      </c>
      <c r="G24" s="664">
        <f>F24+'[7]2011-14 LRAMVA Summary'!O43</f>
        <v>11611.622976743332</v>
      </c>
      <c r="H24" s="664">
        <f t="shared" si="11"/>
        <v>11611.622976743332</v>
      </c>
      <c r="I24" s="664">
        <f t="shared" si="11"/>
        <v>11611.622976743332</v>
      </c>
      <c r="J24" s="664">
        <f t="shared" si="11"/>
        <v>11611.622976743332</v>
      </c>
      <c r="K24" s="664">
        <f t="shared" si="11"/>
        <v>11611.622976743332</v>
      </c>
      <c r="L24" s="664">
        <f t="shared" si="11"/>
        <v>11611.622976743332</v>
      </c>
      <c r="M24" s="664">
        <f t="shared" si="11"/>
        <v>11611.622976743332</v>
      </c>
      <c r="N24" s="50"/>
    </row>
    <row r="25" spans="1:14">
      <c r="A25" s="45" t="s">
        <v>610</v>
      </c>
      <c r="B25" s="667">
        <f>'[7]Carrying Charges 2012'!M24*'[7]Carrying Charges 2013'!B4/365*'[7]Carrying Charges 2013'!B3</f>
        <v>5.6624485275049183</v>
      </c>
      <c r="C25" s="668">
        <f>B24*C4/365*C3</f>
        <v>5.1144696377463772</v>
      </c>
      <c r="D25" s="668">
        <f t="shared" ref="D25:M25" si="12">C24*D4/365*D3</f>
        <v>5.6624485275049183</v>
      </c>
      <c r="E25" s="668">
        <f t="shared" si="12"/>
        <v>5.4797888975854043</v>
      </c>
      <c r="F25" s="668">
        <f t="shared" si="12"/>
        <v>5.6624485275049183</v>
      </c>
      <c r="G25" s="668">
        <f t="shared" si="12"/>
        <v>5.4797888975854043</v>
      </c>
      <c r="H25" s="668">
        <f t="shared" si="12"/>
        <v>14.497031754799826</v>
      </c>
      <c r="I25" s="668">
        <f t="shared" si="12"/>
        <v>14.497031754799826</v>
      </c>
      <c r="J25" s="668">
        <f t="shared" si="12"/>
        <v>14.029385569161123</v>
      </c>
      <c r="K25" s="668">
        <f t="shared" si="12"/>
        <v>14.497031754799826</v>
      </c>
      <c r="L25" s="668">
        <f t="shared" si="12"/>
        <v>14.029385569161123</v>
      </c>
      <c r="M25" s="668">
        <f t="shared" si="12"/>
        <v>14.497031754799826</v>
      </c>
      <c r="N25" s="50"/>
    </row>
    <row r="26" spans="1:14">
      <c r="A26" s="45" t="s">
        <v>609</v>
      </c>
      <c r="B26" s="667">
        <f>B25+'[7]Carrying Charges 2012'!M26</f>
        <v>50.718923822454755</v>
      </c>
      <c r="C26" s="668">
        <f>B26+C25</f>
        <v>55.83339346020113</v>
      </c>
      <c r="D26" s="666">
        <f t="shared" ref="D26:M26" si="13">C26+D25</f>
        <v>61.495841987706051</v>
      </c>
      <c r="E26" s="668">
        <f t="shared" si="13"/>
        <v>66.975630885291451</v>
      </c>
      <c r="F26" s="668">
        <f t="shared" si="13"/>
        <v>72.638079412796372</v>
      </c>
      <c r="G26" s="668">
        <f t="shared" si="13"/>
        <v>78.11786831038178</v>
      </c>
      <c r="H26" s="668">
        <f t="shared" si="13"/>
        <v>92.614900065181601</v>
      </c>
      <c r="I26" s="668">
        <f t="shared" si="13"/>
        <v>107.11193181998142</v>
      </c>
      <c r="J26" s="668">
        <f t="shared" si="13"/>
        <v>121.14131738914254</v>
      </c>
      <c r="K26" s="668">
        <f t="shared" si="13"/>
        <v>135.63834914394238</v>
      </c>
      <c r="L26" s="668">
        <f t="shared" si="13"/>
        <v>149.6677347131035</v>
      </c>
      <c r="M26" s="668">
        <f t="shared" si="13"/>
        <v>164.16476646790332</v>
      </c>
      <c r="N26" s="50"/>
    </row>
    <row r="27" spans="1:14">
      <c r="A27" s="52" t="s">
        <v>57</v>
      </c>
      <c r="B27" s="669">
        <f>'[7]Carrying Charges 2012'!M27</f>
        <v>2615.6848702527473</v>
      </c>
      <c r="C27" s="670">
        <f>B27</f>
        <v>2615.6848702527473</v>
      </c>
      <c r="D27" s="670">
        <f t="shared" ref="D27:M27" si="14">C27</f>
        <v>2615.6848702527473</v>
      </c>
      <c r="E27" s="670">
        <f t="shared" si="14"/>
        <v>2615.6848702527473</v>
      </c>
      <c r="F27" s="670">
        <f t="shared" si="14"/>
        <v>2615.6848702527473</v>
      </c>
      <c r="G27" s="670">
        <f>F27+'[7]2011-14 LRAMVA Summary'!O44</f>
        <v>5000.5380458086202</v>
      </c>
      <c r="H27" s="670">
        <f t="shared" si="14"/>
        <v>5000.5380458086202</v>
      </c>
      <c r="I27" s="670">
        <f t="shared" si="14"/>
        <v>5000.5380458086202</v>
      </c>
      <c r="J27" s="670">
        <f t="shared" si="14"/>
        <v>5000.5380458086202</v>
      </c>
      <c r="K27" s="670">
        <f t="shared" si="14"/>
        <v>5000.5380458086202</v>
      </c>
      <c r="L27" s="670">
        <f t="shared" si="14"/>
        <v>5000.5380458086202</v>
      </c>
      <c r="M27" s="670">
        <f t="shared" si="14"/>
        <v>5000.5380458086202</v>
      </c>
      <c r="N27" s="53"/>
    </row>
    <row r="28" spans="1:14">
      <c r="A28" s="45" t="s">
        <v>610</v>
      </c>
      <c r="B28" s="671">
        <f>'[7]Carrying Charges 2012'!M27*'[7]Carrying Charges 2013'!B4/365*'[7]Carrying Charges 2013'!B3</f>
        <v>3.2656646448607582</v>
      </c>
      <c r="C28" s="672">
        <f>B27*C4/365*C3</f>
        <v>2.9496325824548784</v>
      </c>
      <c r="D28" s="672">
        <f t="shared" ref="D28:M28" si="15">C27*D4/365*D3</f>
        <v>3.2656646448607582</v>
      </c>
      <c r="E28" s="672">
        <f t="shared" si="15"/>
        <v>3.160320624058798</v>
      </c>
      <c r="F28" s="672">
        <f t="shared" si="15"/>
        <v>3.2656646448607582</v>
      </c>
      <c r="G28" s="672">
        <f t="shared" si="15"/>
        <v>3.160320624058798</v>
      </c>
      <c r="H28" s="672">
        <f t="shared" si="15"/>
        <v>6.2431374999314748</v>
      </c>
      <c r="I28" s="672">
        <f t="shared" si="15"/>
        <v>6.2431374999314748</v>
      </c>
      <c r="J28" s="672">
        <f t="shared" si="15"/>
        <v>6.0417459676756202</v>
      </c>
      <c r="K28" s="672">
        <f t="shared" si="15"/>
        <v>6.2431374999314748</v>
      </c>
      <c r="L28" s="672">
        <f t="shared" si="15"/>
        <v>6.0417459676756202</v>
      </c>
      <c r="M28" s="672">
        <f t="shared" si="15"/>
        <v>6.2431374999314748</v>
      </c>
      <c r="N28" s="53"/>
    </row>
    <row r="29" spans="1:14">
      <c r="A29" s="45" t="s">
        <v>609</v>
      </c>
      <c r="B29" s="671">
        <f>'[7]Carrying Charges 2012'!M29+B28</f>
        <v>33.114366288654395</v>
      </c>
      <c r="C29" s="672">
        <f>B29+C28</f>
        <v>36.063998871109277</v>
      </c>
      <c r="D29" s="666">
        <f t="shared" ref="D29:M29" si="16">C29+D28</f>
        <v>39.329663515970033</v>
      </c>
      <c r="E29" s="672">
        <f t="shared" si="16"/>
        <v>42.489984140028831</v>
      </c>
      <c r="F29" s="672">
        <f t="shared" si="16"/>
        <v>45.755648784889587</v>
      </c>
      <c r="G29" s="672">
        <f t="shared" si="16"/>
        <v>48.915969408948385</v>
      </c>
      <c r="H29" s="672">
        <f t="shared" si="16"/>
        <v>55.159106908879863</v>
      </c>
      <c r="I29" s="672">
        <f t="shared" si="16"/>
        <v>61.402244408811342</v>
      </c>
      <c r="J29" s="672">
        <f t="shared" si="16"/>
        <v>67.443990376486965</v>
      </c>
      <c r="K29" s="672">
        <f t="shared" si="16"/>
        <v>73.687127876418444</v>
      </c>
      <c r="L29" s="672">
        <f t="shared" si="16"/>
        <v>79.728873844094068</v>
      </c>
      <c r="M29" s="672">
        <f t="shared" si="16"/>
        <v>85.972011344025546</v>
      </c>
    </row>
    <row r="30" spans="1:14">
      <c r="A30" s="52" t="s">
        <v>637</v>
      </c>
      <c r="B30" s="669">
        <f>'[7]Carrying Charges 2012'!M30</f>
        <v>164.86482227178084</v>
      </c>
      <c r="C30" s="670">
        <f>B30</f>
        <v>164.86482227178084</v>
      </c>
      <c r="D30" s="670">
        <f t="shared" ref="D30:M30" si="17">C30</f>
        <v>164.86482227178084</v>
      </c>
      <c r="E30" s="670">
        <f t="shared" si="17"/>
        <v>164.86482227178084</v>
      </c>
      <c r="F30" s="670">
        <f t="shared" si="17"/>
        <v>164.86482227178084</v>
      </c>
      <c r="G30" s="670">
        <f>F30+'[7]2011-14 LRAMVA Summary'!O45</f>
        <v>11033.527703525508</v>
      </c>
      <c r="H30" s="670">
        <f t="shared" si="17"/>
        <v>11033.527703525508</v>
      </c>
      <c r="I30" s="670">
        <f t="shared" si="17"/>
        <v>11033.527703525508</v>
      </c>
      <c r="J30" s="670">
        <f t="shared" si="17"/>
        <v>11033.527703525508</v>
      </c>
      <c r="K30" s="670">
        <f t="shared" si="17"/>
        <v>11033.527703525508</v>
      </c>
      <c r="L30" s="670">
        <f t="shared" si="17"/>
        <v>11033.527703525508</v>
      </c>
      <c r="M30" s="670">
        <f t="shared" si="17"/>
        <v>11033.527703525508</v>
      </c>
    </row>
    <row r="31" spans="1:14">
      <c r="A31" s="45" t="s">
        <v>610</v>
      </c>
      <c r="B31" s="671">
        <f>'[7]Carrying Charges 2012'!M30*'[7]Carrying Charges 2013'!B4/365*'[7]Carrying Charges 2013'!B3</f>
        <v>0.20583260139520693</v>
      </c>
      <c r="C31" s="672">
        <f>B30*C4/365*C3</f>
        <v>0.18591331738921915</v>
      </c>
      <c r="D31" s="672">
        <f t="shared" ref="D31:M31" si="18">C30*D4/365*D3</f>
        <v>0.20583260139520693</v>
      </c>
      <c r="E31" s="672">
        <f t="shared" si="18"/>
        <v>0.19919284005987767</v>
      </c>
      <c r="F31" s="672">
        <f t="shared" si="18"/>
        <v>0.20583260139520693</v>
      </c>
      <c r="G31" s="672">
        <f t="shared" si="18"/>
        <v>0.19919284005987767</v>
      </c>
      <c r="H31" s="672">
        <f t="shared" si="18"/>
        <v>13.775283765744037</v>
      </c>
      <c r="I31" s="672">
        <f t="shared" si="18"/>
        <v>13.775283765744037</v>
      </c>
      <c r="J31" s="672">
        <f t="shared" si="18"/>
        <v>13.330919773300682</v>
      </c>
      <c r="K31" s="672">
        <f t="shared" si="18"/>
        <v>13.775283765744037</v>
      </c>
      <c r="L31" s="672">
        <f t="shared" si="18"/>
        <v>13.330919773300682</v>
      </c>
      <c r="M31" s="672">
        <f t="shared" si="18"/>
        <v>13.775283765744037</v>
      </c>
    </row>
    <row r="32" spans="1:14">
      <c r="A32" s="45" t="s">
        <v>609</v>
      </c>
      <c r="B32" s="671">
        <f>'[7]Carrying Charges 2012'!M32+B31</f>
        <v>1.4275486870957901</v>
      </c>
      <c r="C32" s="672">
        <f>B32+C31</f>
        <v>1.6134620044850092</v>
      </c>
      <c r="D32" s="666">
        <f t="shared" ref="D32:M32" si="19">C32+D31</f>
        <v>1.8192946058802162</v>
      </c>
      <c r="E32" s="672">
        <f t="shared" si="19"/>
        <v>2.0184874459400937</v>
      </c>
      <c r="F32" s="672">
        <f t="shared" si="19"/>
        <v>2.2243200473353006</v>
      </c>
      <c r="G32" s="672">
        <f t="shared" si="19"/>
        <v>2.4235128873951783</v>
      </c>
      <c r="H32" s="672">
        <f t="shared" si="19"/>
        <v>16.198796653139215</v>
      </c>
      <c r="I32" s="672">
        <f t="shared" si="19"/>
        <v>29.974080418883254</v>
      </c>
      <c r="J32" s="672">
        <f t="shared" si="19"/>
        <v>43.30500019218394</v>
      </c>
      <c r="K32" s="672">
        <f t="shared" si="19"/>
        <v>57.080283957927975</v>
      </c>
      <c r="L32" s="672">
        <f t="shared" si="19"/>
        <v>70.411203731228653</v>
      </c>
      <c r="M32" s="672">
        <f t="shared" si="19"/>
        <v>84.186487496972688</v>
      </c>
    </row>
    <row r="33" spans="2:13" s="45" customFormat="1">
      <c r="B33" s="671"/>
      <c r="C33" s="46"/>
      <c r="D33" s="46"/>
      <c r="E33" s="46"/>
      <c r="F33" s="46"/>
      <c r="G33" s="46"/>
      <c r="H33" s="46"/>
      <c r="I33" s="46"/>
      <c r="J33" s="46"/>
      <c r="K33" s="46"/>
      <c r="L33" s="46"/>
      <c r="M33" s="46"/>
    </row>
    <row r="34" spans="2:13" s="45" customFormat="1">
      <c r="B34" s="671"/>
      <c r="C34" s="46"/>
      <c r="D34" s="46"/>
      <c r="E34" s="46"/>
      <c r="F34" s="46"/>
      <c r="G34" s="46"/>
      <c r="H34" s="46"/>
      <c r="I34" s="46"/>
      <c r="J34" s="46"/>
      <c r="K34" s="46"/>
      <c r="L34" s="46"/>
      <c r="M34" s="46"/>
    </row>
    <row r="35" spans="2:13" s="45" customFormat="1">
      <c r="B35" s="46"/>
      <c r="C35" s="46"/>
      <c r="D35" s="46"/>
      <c r="E35" s="46"/>
      <c r="F35" s="46"/>
      <c r="G35" s="46"/>
      <c r="H35" s="46"/>
      <c r="I35" s="46"/>
      <c r="J35" s="46"/>
      <c r="K35" s="46"/>
      <c r="L35" s="46"/>
      <c r="M35" s="46"/>
    </row>
    <row r="36" spans="2:13" s="45" customFormat="1">
      <c r="B36" s="672"/>
      <c r="C36" s="672"/>
      <c r="D36" s="672"/>
      <c r="E36" s="672"/>
      <c r="F36" s="672"/>
      <c r="G36" s="672"/>
      <c r="H36" s="672"/>
      <c r="I36" s="672"/>
      <c r="J36" s="672"/>
      <c r="K36" s="672"/>
      <c r="L36" s="672" t="s">
        <v>636</v>
      </c>
      <c r="M36" s="672">
        <f>M20+M23+M26+M29+M32-M14</f>
        <v>0</v>
      </c>
    </row>
  </sheetData>
  <pageMargins left="0.7" right="0.7" top="0.75" bottom="0.75" header="0.3" footer="0.3"/>
  <pageSetup scale="53" orientation="landscape" r:id="rId1"/>
  <headerFooter>
    <oddFooter>&amp;R&amp;Z&amp;F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7"/>
  <sheetViews>
    <sheetView zoomScale="70" zoomScaleNormal="70" workbookViewId="0">
      <selection activeCell="H43" sqref="H43"/>
    </sheetView>
  </sheetViews>
  <sheetFormatPr defaultRowHeight="15"/>
  <cols>
    <col min="1" max="1" width="53" style="45" bestFit="1" customWidth="1"/>
    <col min="2" max="13" width="19" style="46" bestFit="1" customWidth="1"/>
    <col min="14" max="14" width="4.5703125" style="46" customWidth="1"/>
    <col min="15" max="255" width="8.7109375" style="45"/>
    <col min="256" max="256" width="53" style="45" bestFit="1" customWidth="1"/>
    <col min="257" max="268" width="13.7109375" style="45" customWidth="1"/>
    <col min="269" max="269" width="4.5703125" style="45" customWidth="1"/>
    <col min="270" max="270" width="12.28515625" style="45" bestFit="1" customWidth="1"/>
    <col min="271" max="511" width="8.7109375" style="45"/>
    <col min="512" max="512" width="53" style="45" bestFit="1" customWidth="1"/>
    <col min="513" max="524" width="13.7109375" style="45" customWidth="1"/>
    <col min="525" max="525" width="4.5703125" style="45" customWidth="1"/>
    <col min="526" max="526" width="12.28515625" style="45" bestFit="1" customWidth="1"/>
    <col min="527" max="767" width="8.7109375" style="45"/>
    <col min="768" max="768" width="53" style="45" bestFit="1" customWidth="1"/>
    <col min="769" max="780" width="13.7109375" style="45" customWidth="1"/>
    <col min="781" max="781" width="4.5703125" style="45" customWidth="1"/>
    <col min="782" max="782" width="12.28515625" style="45" bestFit="1" customWidth="1"/>
    <col min="783" max="1023" width="8.7109375" style="45"/>
    <col min="1024" max="1024" width="53" style="45" bestFit="1" customWidth="1"/>
    <col min="1025" max="1036" width="13.7109375" style="45" customWidth="1"/>
    <col min="1037" max="1037" width="4.5703125" style="45" customWidth="1"/>
    <col min="1038" max="1038" width="12.28515625" style="45" bestFit="1" customWidth="1"/>
    <col min="1039" max="1279" width="8.7109375" style="45"/>
    <col min="1280" max="1280" width="53" style="45" bestFit="1" customWidth="1"/>
    <col min="1281" max="1292" width="13.7109375" style="45" customWidth="1"/>
    <col min="1293" max="1293" width="4.5703125" style="45" customWidth="1"/>
    <col min="1294" max="1294" width="12.28515625" style="45" bestFit="1" customWidth="1"/>
    <col min="1295" max="1535" width="8.7109375" style="45"/>
    <col min="1536" max="1536" width="53" style="45" bestFit="1" customWidth="1"/>
    <col min="1537" max="1548" width="13.7109375" style="45" customWidth="1"/>
    <col min="1549" max="1549" width="4.5703125" style="45" customWidth="1"/>
    <col min="1550" max="1550" width="12.28515625" style="45" bestFit="1" customWidth="1"/>
    <col min="1551" max="1791" width="8.7109375" style="45"/>
    <col min="1792" max="1792" width="53" style="45" bestFit="1" customWidth="1"/>
    <col min="1793" max="1804" width="13.7109375" style="45" customWidth="1"/>
    <col min="1805" max="1805" width="4.5703125" style="45" customWidth="1"/>
    <col min="1806" max="1806" width="12.28515625" style="45" bestFit="1" customWidth="1"/>
    <col min="1807" max="2047" width="8.7109375" style="45"/>
    <col min="2048" max="2048" width="53" style="45" bestFit="1" customWidth="1"/>
    <col min="2049" max="2060" width="13.7109375" style="45" customWidth="1"/>
    <col min="2061" max="2061" width="4.5703125" style="45" customWidth="1"/>
    <col min="2062" max="2062" width="12.28515625" style="45" bestFit="1" customWidth="1"/>
    <col min="2063" max="2303" width="8.7109375" style="45"/>
    <col min="2304" max="2304" width="53" style="45" bestFit="1" customWidth="1"/>
    <col min="2305" max="2316" width="13.7109375" style="45" customWidth="1"/>
    <col min="2317" max="2317" width="4.5703125" style="45" customWidth="1"/>
    <col min="2318" max="2318" width="12.28515625" style="45" bestFit="1" customWidth="1"/>
    <col min="2319" max="2559" width="8.7109375" style="45"/>
    <col min="2560" max="2560" width="53" style="45" bestFit="1" customWidth="1"/>
    <col min="2561" max="2572" width="13.7109375" style="45" customWidth="1"/>
    <col min="2573" max="2573" width="4.5703125" style="45" customWidth="1"/>
    <col min="2574" max="2574" width="12.28515625" style="45" bestFit="1" customWidth="1"/>
    <col min="2575" max="2815" width="8.7109375" style="45"/>
    <col min="2816" max="2816" width="53" style="45" bestFit="1" customWidth="1"/>
    <col min="2817" max="2828" width="13.7109375" style="45" customWidth="1"/>
    <col min="2829" max="2829" width="4.5703125" style="45" customWidth="1"/>
    <col min="2830" max="2830" width="12.28515625" style="45" bestFit="1" customWidth="1"/>
    <col min="2831" max="3071" width="8.7109375" style="45"/>
    <col min="3072" max="3072" width="53" style="45" bestFit="1" customWidth="1"/>
    <col min="3073" max="3084" width="13.7109375" style="45" customWidth="1"/>
    <col min="3085" max="3085" width="4.5703125" style="45" customWidth="1"/>
    <col min="3086" max="3086" width="12.28515625" style="45" bestFit="1" customWidth="1"/>
    <col min="3087" max="3327" width="8.7109375" style="45"/>
    <col min="3328" max="3328" width="53" style="45" bestFit="1" customWidth="1"/>
    <col min="3329" max="3340" width="13.7109375" style="45" customWidth="1"/>
    <col min="3341" max="3341" width="4.5703125" style="45" customWidth="1"/>
    <col min="3342" max="3342" width="12.28515625" style="45" bestFit="1" customWidth="1"/>
    <col min="3343" max="3583" width="8.7109375" style="45"/>
    <col min="3584" max="3584" width="53" style="45" bestFit="1" customWidth="1"/>
    <col min="3585" max="3596" width="13.7109375" style="45" customWidth="1"/>
    <col min="3597" max="3597" width="4.5703125" style="45" customWidth="1"/>
    <col min="3598" max="3598" width="12.28515625" style="45" bestFit="1" customWidth="1"/>
    <col min="3599" max="3839" width="8.7109375" style="45"/>
    <col min="3840" max="3840" width="53" style="45" bestFit="1" customWidth="1"/>
    <col min="3841" max="3852" width="13.7109375" style="45" customWidth="1"/>
    <col min="3853" max="3853" width="4.5703125" style="45" customWidth="1"/>
    <col min="3854" max="3854" width="12.28515625" style="45" bestFit="1" customWidth="1"/>
    <col min="3855" max="4095" width="8.7109375" style="45"/>
    <col min="4096" max="4096" width="53" style="45" bestFit="1" customWidth="1"/>
    <col min="4097" max="4108" width="13.7109375" style="45" customWidth="1"/>
    <col min="4109" max="4109" width="4.5703125" style="45" customWidth="1"/>
    <col min="4110" max="4110" width="12.28515625" style="45" bestFit="1" customWidth="1"/>
    <col min="4111" max="4351" width="8.7109375" style="45"/>
    <col min="4352" max="4352" width="53" style="45" bestFit="1" customWidth="1"/>
    <col min="4353" max="4364" width="13.7109375" style="45" customWidth="1"/>
    <col min="4365" max="4365" width="4.5703125" style="45" customWidth="1"/>
    <col min="4366" max="4366" width="12.28515625" style="45" bestFit="1" customWidth="1"/>
    <col min="4367" max="4607" width="8.7109375" style="45"/>
    <col min="4608" max="4608" width="53" style="45" bestFit="1" customWidth="1"/>
    <col min="4609" max="4620" width="13.7109375" style="45" customWidth="1"/>
    <col min="4621" max="4621" width="4.5703125" style="45" customWidth="1"/>
    <col min="4622" max="4622" width="12.28515625" style="45" bestFit="1" customWidth="1"/>
    <col min="4623" max="4863" width="8.7109375" style="45"/>
    <col min="4864" max="4864" width="53" style="45" bestFit="1" customWidth="1"/>
    <col min="4865" max="4876" width="13.7109375" style="45" customWidth="1"/>
    <col min="4877" max="4877" width="4.5703125" style="45" customWidth="1"/>
    <col min="4878" max="4878" width="12.28515625" style="45" bestFit="1" customWidth="1"/>
    <col min="4879" max="5119" width="8.7109375" style="45"/>
    <col min="5120" max="5120" width="53" style="45" bestFit="1" customWidth="1"/>
    <col min="5121" max="5132" width="13.7109375" style="45" customWidth="1"/>
    <col min="5133" max="5133" width="4.5703125" style="45" customWidth="1"/>
    <col min="5134" max="5134" width="12.28515625" style="45" bestFit="1" customWidth="1"/>
    <col min="5135" max="5375" width="8.7109375" style="45"/>
    <col min="5376" max="5376" width="53" style="45" bestFit="1" customWidth="1"/>
    <col min="5377" max="5388" width="13.7109375" style="45" customWidth="1"/>
    <col min="5389" max="5389" width="4.5703125" style="45" customWidth="1"/>
    <col min="5390" max="5390" width="12.28515625" style="45" bestFit="1" customWidth="1"/>
    <col min="5391" max="5631" width="8.7109375" style="45"/>
    <col min="5632" max="5632" width="53" style="45" bestFit="1" customWidth="1"/>
    <col min="5633" max="5644" width="13.7109375" style="45" customWidth="1"/>
    <col min="5645" max="5645" width="4.5703125" style="45" customWidth="1"/>
    <col min="5646" max="5646" width="12.28515625" style="45" bestFit="1" customWidth="1"/>
    <col min="5647" max="5887" width="8.7109375" style="45"/>
    <col min="5888" max="5888" width="53" style="45" bestFit="1" customWidth="1"/>
    <col min="5889" max="5900" width="13.7109375" style="45" customWidth="1"/>
    <col min="5901" max="5901" width="4.5703125" style="45" customWidth="1"/>
    <col min="5902" max="5902" width="12.28515625" style="45" bestFit="1" customWidth="1"/>
    <col min="5903" max="6143" width="8.7109375" style="45"/>
    <col min="6144" max="6144" width="53" style="45" bestFit="1" customWidth="1"/>
    <col min="6145" max="6156" width="13.7109375" style="45" customWidth="1"/>
    <col min="6157" max="6157" width="4.5703125" style="45" customWidth="1"/>
    <col min="6158" max="6158" width="12.28515625" style="45" bestFit="1" customWidth="1"/>
    <col min="6159" max="6399" width="8.7109375" style="45"/>
    <col min="6400" max="6400" width="53" style="45" bestFit="1" customWidth="1"/>
    <col min="6401" max="6412" width="13.7109375" style="45" customWidth="1"/>
    <col min="6413" max="6413" width="4.5703125" style="45" customWidth="1"/>
    <col min="6414" max="6414" width="12.28515625" style="45" bestFit="1" customWidth="1"/>
    <col min="6415" max="6655" width="8.7109375" style="45"/>
    <col min="6656" max="6656" width="53" style="45" bestFit="1" customWidth="1"/>
    <col min="6657" max="6668" width="13.7109375" style="45" customWidth="1"/>
    <col min="6669" max="6669" width="4.5703125" style="45" customWidth="1"/>
    <col min="6670" max="6670" width="12.28515625" style="45" bestFit="1" customWidth="1"/>
    <col min="6671" max="6911" width="8.7109375" style="45"/>
    <col min="6912" max="6912" width="53" style="45" bestFit="1" customWidth="1"/>
    <col min="6913" max="6924" width="13.7109375" style="45" customWidth="1"/>
    <col min="6925" max="6925" width="4.5703125" style="45" customWidth="1"/>
    <col min="6926" max="6926" width="12.28515625" style="45" bestFit="1" customWidth="1"/>
    <col min="6927" max="7167" width="8.7109375" style="45"/>
    <col min="7168" max="7168" width="53" style="45" bestFit="1" customWidth="1"/>
    <col min="7169" max="7180" width="13.7109375" style="45" customWidth="1"/>
    <col min="7181" max="7181" width="4.5703125" style="45" customWidth="1"/>
    <col min="7182" max="7182" width="12.28515625" style="45" bestFit="1" customWidth="1"/>
    <col min="7183" max="7423" width="8.7109375" style="45"/>
    <col min="7424" max="7424" width="53" style="45" bestFit="1" customWidth="1"/>
    <col min="7425" max="7436" width="13.7109375" style="45" customWidth="1"/>
    <col min="7437" max="7437" width="4.5703125" style="45" customWidth="1"/>
    <col min="7438" max="7438" width="12.28515625" style="45" bestFit="1" customWidth="1"/>
    <col min="7439" max="7679" width="8.7109375" style="45"/>
    <col min="7680" max="7680" width="53" style="45" bestFit="1" customWidth="1"/>
    <col min="7681" max="7692" width="13.7109375" style="45" customWidth="1"/>
    <col min="7693" max="7693" width="4.5703125" style="45" customWidth="1"/>
    <col min="7694" max="7694" width="12.28515625" style="45" bestFit="1" customWidth="1"/>
    <col min="7695" max="7935" width="8.7109375" style="45"/>
    <col min="7936" max="7936" width="53" style="45" bestFit="1" customWidth="1"/>
    <col min="7937" max="7948" width="13.7109375" style="45" customWidth="1"/>
    <col min="7949" max="7949" width="4.5703125" style="45" customWidth="1"/>
    <col min="7950" max="7950" width="12.28515625" style="45" bestFit="1" customWidth="1"/>
    <col min="7951" max="8191" width="8.7109375" style="45"/>
    <col min="8192" max="8192" width="53" style="45" bestFit="1" customWidth="1"/>
    <col min="8193" max="8204" width="13.7109375" style="45" customWidth="1"/>
    <col min="8205" max="8205" width="4.5703125" style="45" customWidth="1"/>
    <col min="8206" max="8206" width="12.28515625" style="45" bestFit="1" customWidth="1"/>
    <col min="8207" max="8447" width="8.7109375" style="45"/>
    <col min="8448" max="8448" width="53" style="45" bestFit="1" customWidth="1"/>
    <col min="8449" max="8460" width="13.7109375" style="45" customWidth="1"/>
    <col min="8461" max="8461" width="4.5703125" style="45" customWidth="1"/>
    <col min="8462" max="8462" width="12.28515625" style="45" bestFit="1" customWidth="1"/>
    <col min="8463" max="8703" width="8.7109375" style="45"/>
    <col min="8704" max="8704" width="53" style="45" bestFit="1" customWidth="1"/>
    <col min="8705" max="8716" width="13.7109375" style="45" customWidth="1"/>
    <col min="8717" max="8717" width="4.5703125" style="45" customWidth="1"/>
    <col min="8718" max="8718" width="12.28515625" style="45" bestFit="1" customWidth="1"/>
    <col min="8719" max="8959" width="8.7109375" style="45"/>
    <col min="8960" max="8960" width="53" style="45" bestFit="1" customWidth="1"/>
    <col min="8961" max="8972" width="13.7109375" style="45" customWidth="1"/>
    <col min="8973" max="8973" width="4.5703125" style="45" customWidth="1"/>
    <col min="8974" max="8974" width="12.28515625" style="45" bestFit="1" customWidth="1"/>
    <col min="8975" max="9215" width="8.7109375" style="45"/>
    <col min="9216" max="9216" width="53" style="45" bestFit="1" customWidth="1"/>
    <col min="9217" max="9228" width="13.7109375" style="45" customWidth="1"/>
    <col min="9229" max="9229" width="4.5703125" style="45" customWidth="1"/>
    <col min="9230" max="9230" width="12.28515625" style="45" bestFit="1" customWidth="1"/>
    <col min="9231" max="9471" width="8.7109375" style="45"/>
    <col min="9472" max="9472" width="53" style="45" bestFit="1" customWidth="1"/>
    <col min="9473" max="9484" width="13.7109375" style="45" customWidth="1"/>
    <col min="9485" max="9485" width="4.5703125" style="45" customWidth="1"/>
    <col min="9486" max="9486" width="12.28515625" style="45" bestFit="1" customWidth="1"/>
    <col min="9487" max="9727" width="8.7109375" style="45"/>
    <col min="9728" max="9728" width="53" style="45" bestFit="1" customWidth="1"/>
    <col min="9729" max="9740" width="13.7109375" style="45" customWidth="1"/>
    <col min="9741" max="9741" width="4.5703125" style="45" customWidth="1"/>
    <col min="9742" max="9742" width="12.28515625" style="45" bestFit="1" customWidth="1"/>
    <col min="9743" max="9983" width="8.7109375" style="45"/>
    <col min="9984" max="9984" width="53" style="45" bestFit="1" customWidth="1"/>
    <col min="9985" max="9996" width="13.7109375" style="45" customWidth="1"/>
    <col min="9997" max="9997" width="4.5703125" style="45" customWidth="1"/>
    <col min="9998" max="9998" width="12.28515625" style="45" bestFit="1" customWidth="1"/>
    <col min="9999" max="10239" width="8.7109375" style="45"/>
    <col min="10240" max="10240" width="53" style="45" bestFit="1" customWidth="1"/>
    <col min="10241" max="10252" width="13.7109375" style="45" customWidth="1"/>
    <col min="10253" max="10253" width="4.5703125" style="45" customWidth="1"/>
    <col min="10254" max="10254" width="12.28515625" style="45" bestFit="1" customWidth="1"/>
    <col min="10255" max="10495" width="8.7109375" style="45"/>
    <col min="10496" max="10496" width="53" style="45" bestFit="1" customWidth="1"/>
    <col min="10497" max="10508" width="13.7109375" style="45" customWidth="1"/>
    <col min="10509" max="10509" width="4.5703125" style="45" customWidth="1"/>
    <col min="10510" max="10510" width="12.28515625" style="45" bestFit="1" customWidth="1"/>
    <col min="10511" max="10751" width="8.7109375" style="45"/>
    <col min="10752" max="10752" width="53" style="45" bestFit="1" customWidth="1"/>
    <col min="10753" max="10764" width="13.7109375" style="45" customWidth="1"/>
    <col min="10765" max="10765" width="4.5703125" style="45" customWidth="1"/>
    <col min="10766" max="10766" width="12.28515625" style="45" bestFit="1" customWidth="1"/>
    <col min="10767" max="11007" width="8.7109375" style="45"/>
    <col min="11008" max="11008" width="53" style="45" bestFit="1" customWidth="1"/>
    <col min="11009" max="11020" width="13.7109375" style="45" customWidth="1"/>
    <col min="11021" max="11021" width="4.5703125" style="45" customWidth="1"/>
    <col min="11022" max="11022" width="12.28515625" style="45" bestFit="1" customWidth="1"/>
    <col min="11023" max="11263" width="8.7109375" style="45"/>
    <col min="11264" max="11264" width="53" style="45" bestFit="1" customWidth="1"/>
    <col min="11265" max="11276" width="13.7109375" style="45" customWidth="1"/>
    <col min="11277" max="11277" width="4.5703125" style="45" customWidth="1"/>
    <col min="11278" max="11278" width="12.28515625" style="45" bestFit="1" customWidth="1"/>
    <col min="11279" max="11519" width="8.7109375" style="45"/>
    <col min="11520" max="11520" width="53" style="45" bestFit="1" customWidth="1"/>
    <col min="11521" max="11532" width="13.7109375" style="45" customWidth="1"/>
    <col min="11533" max="11533" width="4.5703125" style="45" customWidth="1"/>
    <col min="11534" max="11534" width="12.28515625" style="45" bestFit="1" customWidth="1"/>
    <col min="11535" max="11775" width="8.7109375" style="45"/>
    <col min="11776" max="11776" width="53" style="45" bestFit="1" customWidth="1"/>
    <col min="11777" max="11788" width="13.7109375" style="45" customWidth="1"/>
    <col min="11789" max="11789" width="4.5703125" style="45" customWidth="1"/>
    <col min="11790" max="11790" width="12.28515625" style="45" bestFit="1" customWidth="1"/>
    <col min="11791" max="12031" width="8.7109375" style="45"/>
    <col min="12032" max="12032" width="53" style="45" bestFit="1" customWidth="1"/>
    <col min="12033" max="12044" width="13.7109375" style="45" customWidth="1"/>
    <col min="12045" max="12045" width="4.5703125" style="45" customWidth="1"/>
    <col min="12046" max="12046" width="12.28515625" style="45" bestFit="1" customWidth="1"/>
    <col min="12047" max="12287" width="8.7109375" style="45"/>
    <col min="12288" max="12288" width="53" style="45" bestFit="1" customWidth="1"/>
    <col min="12289" max="12300" width="13.7109375" style="45" customWidth="1"/>
    <col min="12301" max="12301" width="4.5703125" style="45" customWidth="1"/>
    <col min="12302" max="12302" width="12.28515625" style="45" bestFit="1" customWidth="1"/>
    <col min="12303" max="12543" width="8.7109375" style="45"/>
    <col min="12544" max="12544" width="53" style="45" bestFit="1" customWidth="1"/>
    <col min="12545" max="12556" width="13.7109375" style="45" customWidth="1"/>
    <col min="12557" max="12557" width="4.5703125" style="45" customWidth="1"/>
    <col min="12558" max="12558" width="12.28515625" style="45" bestFit="1" customWidth="1"/>
    <col min="12559" max="12799" width="8.7109375" style="45"/>
    <col min="12800" max="12800" width="53" style="45" bestFit="1" customWidth="1"/>
    <col min="12801" max="12812" width="13.7109375" style="45" customWidth="1"/>
    <col min="12813" max="12813" width="4.5703125" style="45" customWidth="1"/>
    <col min="12814" max="12814" width="12.28515625" style="45" bestFit="1" customWidth="1"/>
    <col min="12815" max="13055" width="8.7109375" style="45"/>
    <col min="13056" max="13056" width="53" style="45" bestFit="1" customWidth="1"/>
    <col min="13057" max="13068" width="13.7109375" style="45" customWidth="1"/>
    <col min="13069" max="13069" width="4.5703125" style="45" customWidth="1"/>
    <col min="13070" max="13070" width="12.28515625" style="45" bestFit="1" customWidth="1"/>
    <col min="13071" max="13311" width="8.7109375" style="45"/>
    <col min="13312" max="13312" width="53" style="45" bestFit="1" customWidth="1"/>
    <col min="13313" max="13324" width="13.7109375" style="45" customWidth="1"/>
    <col min="13325" max="13325" width="4.5703125" style="45" customWidth="1"/>
    <col min="13326" max="13326" width="12.28515625" style="45" bestFit="1" customWidth="1"/>
    <col min="13327" max="13567" width="8.7109375" style="45"/>
    <col min="13568" max="13568" width="53" style="45" bestFit="1" customWidth="1"/>
    <col min="13569" max="13580" width="13.7109375" style="45" customWidth="1"/>
    <col min="13581" max="13581" width="4.5703125" style="45" customWidth="1"/>
    <col min="13582" max="13582" width="12.28515625" style="45" bestFit="1" customWidth="1"/>
    <col min="13583" max="13823" width="8.7109375" style="45"/>
    <col min="13824" max="13824" width="53" style="45" bestFit="1" customWidth="1"/>
    <col min="13825" max="13836" width="13.7109375" style="45" customWidth="1"/>
    <col min="13837" max="13837" width="4.5703125" style="45" customWidth="1"/>
    <col min="13838" max="13838" width="12.28515625" style="45" bestFit="1" customWidth="1"/>
    <col min="13839" max="14079" width="8.7109375" style="45"/>
    <col min="14080" max="14080" width="53" style="45" bestFit="1" customWidth="1"/>
    <col min="14081" max="14092" width="13.7109375" style="45" customWidth="1"/>
    <col min="14093" max="14093" width="4.5703125" style="45" customWidth="1"/>
    <col min="14094" max="14094" width="12.28515625" style="45" bestFit="1" customWidth="1"/>
    <col min="14095" max="14335" width="8.7109375" style="45"/>
    <col min="14336" max="14336" width="53" style="45" bestFit="1" customWidth="1"/>
    <col min="14337" max="14348" width="13.7109375" style="45" customWidth="1"/>
    <col min="14349" max="14349" width="4.5703125" style="45" customWidth="1"/>
    <col min="14350" max="14350" width="12.28515625" style="45" bestFit="1" customWidth="1"/>
    <col min="14351" max="14591" width="8.7109375" style="45"/>
    <col min="14592" max="14592" width="53" style="45" bestFit="1" customWidth="1"/>
    <col min="14593" max="14604" width="13.7109375" style="45" customWidth="1"/>
    <col min="14605" max="14605" width="4.5703125" style="45" customWidth="1"/>
    <col min="14606" max="14606" width="12.28515625" style="45" bestFit="1" customWidth="1"/>
    <col min="14607" max="14847" width="8.7109375" style="45"/>
    <col min="14848" max="14848" width="53" style="45" bestFit="1" customWidth="1"/>
    <col min="14849" max="14860" width="13.7109375" style="45" customWidth="1"/>
    <col min="14861" max="14861" width="4.5703125" style="45" customWidth="1"/>
    <col min="14862" max="14862" width="12.28515625" style="45" bestFit="1" customWidth="1"/>
    <col min="14863" max="15103" width="8.7109375" style="45"/>
    <col min="15104" max="15104" width="53" style="45" bestFit="1" customWidth="1"/>
    <col min="15105" max="15116" width="13.7109375" style="45" customWidth="1"/>
    <col min="15117" max="15117" width="4.5703125" style="45" customWidth="1"/>
    <col min="15118" max="15118" width="12.28515625" style="45" bestFit="1" customWidth="1"/>
    <col min="15119" max="15359" width="8.7109375" style="45"/>
    <col min="15360" max="15360" width="53" style="45" bestFit="1" customWidth="1"/>
    <col min="15361" max="15372" width="13.7109375" style="45" customWidth="1"/>
    <col min="15373" max="15373" width="4.5703125" style="45" customWidth="1"/>
    <col min="15374" max="15374" width="12.28515625" style="45" bestFit="1" customWidth="1"/>
    <col min="15375" max="15615" width="8.7109375" style="45"/>
    <col min="15616" max="15616" width="53" style="45" bestFit="1" customWidth="1"/>
    <col min="15617" max="15628" width="13.7109375" style="45" customWidth="1"/>
    <col min="15629" max="15629" width="4.5703125" style="45" customWidth="1"/>
    <col min="15630" max="15630" width="12.28515625" style="45" bestFit="1" customWidth="1"/>
    <col min="15631" max="15871" width="8.7109375" style="45"/>
    <col min="15872" max="15872" width="53" style="45" bestFit="1" customWidth="1"/>
    <col min="15873" max="15884" width="13.7109375" style="45" customWidth="1"/>
    <col min="15885" max="15885" width="4.5703125" style="45" customWidth="1"/>
    <col min="15886" max="15886" width="12.28515625" style="45" bestFit="1" customWidth="1"/>
    <col min="15887" max="16127" width="8.7109375" style="45"/>
    <col min="16128" max="16128" width="53" style="45" bestFit="1" customWidth="1"/>
    <col min="16129" max="16140" width="13.7109375" style="45" customWidth="1"/>
    <col min="16141" max="16141" width="4.5703125" style="45" customWidth="1"/>
    <col min="16142" max="16142" width="12.28515625" style="45" bestFit="1" customWidth="1"/>
    <col min="16143" max="16384" width="8.7109375" style="45"/>
  </cols>
  <sheetData>
    <row r="1" spans="1:14" ht="18.75">
      <c r="A1" s="658">
        <v>2014</v>
      </c>
    </row>
    <row r="2" spans="1:14">
      <c r="A2" s="657" t="s">
        <v>627</v>
      </c>
      <c r="B2" s="656" t="s">
        <v>626</v>
      </c>
      <c r="C2" s="656" t="s">
        <v>625</v>
      </c>
      <c r="D2" s="656" t="s">
        <v>624</v>
      </c>
      <c r="E2" s="656" t="s">
        <v>623</v>
      </c>
      <c r="F2" s="656" t="s">
        <v>622</v>
      </c>
      <c r="G2" s="656" t="s">
        <v>621</v>
      </c>
      <c r="H2" s="656" t="s">
        <v>620</v>
      </c>
      <c r="I2" s="656" t="s">
        <v>619</v>
      </c>
      <c r="J2" s="656" t="s">
        <v>618</v>
      </c>
      <c r="K2" s="656" t="s">
        <v>617</v>
      </c>
      <c r="L2" s="656" t="s">
        <v>616</v>
      </c>
      <c r="M2" s="656" t="s">
        <v>615</v>
      </c>
    </row>
    <row r="3" spans="1:14">
      <c r="A3" s="45" t="s">
        <v>614</v>
      </c>
      <c r="B3" s="46">
        <v>31</v>
      </c>
      <c r="C3" s="46">
        <v>28</v>
      </c>
      <c r="D3" s="46">
        <v>31</v>
      </c>
      <c r="E3" s="46">
        <v>30</v>
      </c>
      <c r="F3" s="46">
        <v>31</v>
      </c>
      <c r="G3" s="46">
        <v>30</v>
      </c>
      <c r="H3" s="46">
        <v>31</v>
      </c>
      <c r="I3" s="46">
        <v>31</v>
      </c>
      <c r="J3" s="46">
        <v>30</v>
      </c>
      <c r="K3" s="46">
        <v>31</v>
      </c>
      <c r="L3" s="46">
        <v>30</v>
      </c>
      <c r="M3" s="46">
        <v>31</v>
      </c>
    </row>
    <row r="4" spans="1:14" ht="15.75">
      <c r="A4" s="45" t="s">
        <v>613</v>
      </c>
      <c r="B4" s="655">
        <v>1.47E-2</v>
      </c>
      <c r="C4" s="655">
        <v>1.47E-2</v>
      </c>
      <c r="D4" s="655">
        <v>1.47E-2</v>
      </c>
      <c r="E4" s="655">
        <v>1.47E-2</v>
      </c>
      <c r="F4" s="655">
        <v>1.47E-2</v>
      </c>
      <c r="G4" s="655">
        <v>1.47E-2</v>
      </c>
      <c r="H4" s="655">
        <v>1.47E-2</v>
      </c>
      <c r="I4" s="655">
        <v>1.47E-2</v>
      </c>
      <c r="J4" s="655">
        <v>1.47E-2</v>
      </c>
      <c r="K4" s="655">
        <v>1.47E-2</v>
      </c>
      <c r="L4" s="655">
        <v>1.47E-2</v>
      </c>
      <c r="M4" s="655">
        <v>1.47E-2</v>
      </c>
      <c r="N4" s="50"/>
    </row>
    <row r="5" spans="1:14">
      <c r="B5" s="650"/>
      <c r="C5" s="650"/>
      <c r="D5" s="650"/>
      <c r="E5" s="650"/>
      <c r="F5" s="650"/>
      <c r="G5" s="650"/>
      <c r="H5" s="650"/>
      <c r="I5" s="650"/>
      <c r="J5" s="650"/>
      <c r="K5" s="650"/>
      <c r="L5" s="650"/>
      <c r="M5" s="650"/>
      <c r="N5" s="650"/>
    </row>
    <row r="6" spans="1:14" ht="15.75">
      <c r="A6" s="654" t="s">
        <v>612</v>
      </c>
      <c r="B6" s="650">
        <f>'[6]2011-14 LRAMVA Summary'!O26</f>
        <v>8478.6597155280033</v>
      </c>
      <c r="C6" s="650">
        <f t="shared" ref="C6:M9" si="0">B6</f>
        <v>8478.6597155280033</v>
      </c>
      <c r="D6" s="650">
        <f t="shared" si="0"/>
        <v>8478.6597155280033</v>
      </c>
      <c r="E6" s="650">
        <f t="shared" si="0"/>
        <v>8478.6597155280033</v>
      </c>
      <c r="F6" s="650">
        <f t="shared" si="0"/>
        <v>8478.6597155280033</v>
      </c>
      <c r="G6" s="650">
        <f t="shared" si="0"/>
        <v>8478.6597155280033</v>
      </c>
      <c r="H6" s="650">
        <f t="shared" si="0"/>
        <v>8478.6597155280033</v>
      </c>
      <c r="I6" s="650">
        <f t="shared" si="0"/>
        <v>8478.6597155280033</v>
      </c>
      <c r="J6" s="650">
        <f t="shared" si="0"/>
        <v>8478.6597155280033</v>
      </c>
      <c r="K6" s="650">
        <f t="shared" si="0"/>
        <v>8478.6597155280033</v>
      </c>
      <c r="L6" s="650">
        <f t="shared" si="0"/>
        <v>8478.6597155280033</v>
      </c>
      <c r="M6" s="650">
        <f t="shared" si="0"/>
        <v>8478.6597155280033</v>
      </c>
      <c r="N6" s="650"/>
    </row>
    <row r="7" spans="1:14" ht="15.75">
      <c r="A7" s="654" t="s">
        <v>628</v>
      </c>
      <c r="B7" s="650">
        <f>'[6]2011-14 LRAMVA Summary'!O36</f>
        <v>29267.53192465306</v>
      </c>
      <c r="C7" s="650">
        <f t="shared" si="0"/>
        <v>29267.53192465306</v>
      </c>
      <c r="D7" s="650">
        <f t="shared" si="0"/>
        <v>29267.53192465306</v>
      </c>
      <c r="E7" s="650">
        <f t="shared" si="0"/>
        <v>29267.53192465306</v>
      </c>
      <c r="F7" s="650">
        <f t="shared" si="0"/>
        <v>29267.53192465306</v>
      </c>
      <c r="G7" s="650">
        <f t="shared" si="0"/>
        <v>29267.53192465306</v>
      </c>
      <c r="H7" s="650">
        <f t="shared" si="0"/>
        <v>29267.53192465306</v>
      </c>
      <c r="I7" s="650">
        <f t="shared" si="0"/>
        <v>29267.53192465306</v>
      </c>
      <c r="J7" s="650">
        <f t="shared" si="0"/>
        <v>29267.53192465306</v>
      </c>
      <c r="K7" s="650">
        <f t="shared" si="0"/>
        <v>29267.53192465306</v>
      </c>
      <c r="L7" s="650">
        <f t="shared" si="0"/>
        <v>29267.53192465306</v>
      </c>
      <c r="M7" s="650">
        <f t="shared" si="0"/>
        <v>29267.53192465306</v>
      </c>
      <c r="N7" s="650"/>
    </row>
    <row r="8" spans="1:14" ht="15.75">
      <c r="A8" s="654" t="s">
        <v>629</v>
      </c>
      <c r="B8" s="650">
        <f>'[6]2011-14 LRAMVA Summary'!O46</f>
        <v>58724.370076271647</v>
      </c>
      <c r="C8" s="650">
        <f t="shared" si="0"/>
        <v>58724.370076271647</v>
      </c>
      <c r="D8" s="650">
        <f t="shared" si="0"/>
        <v>58724.370076271647</v>
      </c>
      <c r="E8" s="650">
        <f t="shared" si="0"/>
        <v>58724.370076271647</v>
      </c>
      <c r="F8" s="650">
        <f t="shared" si="0"/>
        <v>58724.370076271647</v>
      </c>
      <c r="G8" s="650">
        <f t="shared" si="0"/>
        <v>58724.370076271647</v>
      </c>
      <c r="H8" s="650">
        <f t="shared" si="0"/>
        <v>58724.370076271647</v>
      </c>
      <c r="I8" s="650">
        <f t="shared" si="0"/>
        <v>58724.370076271647</v>
      </c>
      <c r="J8" s="650">
        <f t="shared" si="0"/>
        <v>58724.370076271647</v>
      </c>
      <c r="K8" s="650">
        <f t="shared" si="0"/>
        <v>58724.370076271647</v>
      </c>
      <c r="L8" s="650">
        <f t="shared" si="0"/>
        <v>58724.370076271647</v>
      </c>
      <c r="M8" s="650">
        <f t="shared" si="0"/>
        <v>58724.370076271647</v>
      </c>
      <c r="N8" s="650"/>
    </row>
    <row r="9" spans="1:14" ht="15.75">
      <c r="A9" s="654"/>
      <c r="B9" s="650"/>
      <c r="C9" s="650"/>
      <c r="D9" s="650"/>
      <c r="E9" s="650"/>
      <c r="F9" s="650"/>
      <c r="G9" s="650">
        <f>'[6]2011-14 LRAMVA Summary'!O56</f>
        <v>89789.778344181876</v>
      </c>
      <c r="H9" s="650">
        <f t="shared" si="0"/>
        <v>89789.778344181876</v>
      </c>
      <c r="I9" s="650">
        <f t="shared" si="0"/>
        <v>89789.778344181876</v>
      </c>
      <c r="J9" s="650">
        <f t="shared" si="0"/>
        <v>89789.778344181876</v>
      </c>
      <c r="K9" s="650">
        <f t="shared" si="0"/>
        <v>89789.778344181876</v>
      </c>
      <c r="L9" s="650">
        <f t="shared" si="0"/>
        <v>89789.778344181876</v>
      </c>
      <c r="M9" s="650">
        <f t="shared" si="0"/>
        <v>89789.778344181876</v>
      </c>
      <c r="N9" s="650"/>
    </row>
    <row r="10" spans="1:14">
      <c r="B10" s="650"/>
      <c r="C10" s="650"/>
      <c r="D10" s="650"/>
      <c r="E10" s="650"/>
      <c r="F10" s="650"/>
      <c r="G10" s="650"/>
      <c r="H10" s="650"/>
      <c r="I10" s="650"/>
      <c r="J10" s="650"/>
      <c r="K10" s="650"/>
      <c r="L10" s="650"/>
      <c r="M10" s="650"/>
      <c r="N10" s="650"/>
    </row>
    <row r="11" spans="1:14" ht="16.5" thickBot="1">
      <c r="A11" s="653" t="s">
        <v>611</v>
      </c>
      <c r="B11" s="652">
        <f t="shared" ref="B11:M11" si="1">SUM(B6:B9)</f>
        <v>96470.561716452707</v>
      </c>
      <c r="C11" s="652">
        <f t="shared" si="1"/>
        <v>96470.561716452707</v>
      </c>
      <c r="D11" s="652">
        <f t="shared" si="1"/>
        <v>96470.561716452707</v>
      </c>
      <c r="E11" s="652">
        <f t="shared" si="1"/>
        <v>96470.561716452707</v>
      </c>
      <c r="F11" s="652">
        <f t="shared" si="1"/>
        <v>96470.561716452707</v>
      </c>
      <c r="G11" s="652">
        <f t="shared" si="1"/>
        <v>186260.3400606346</v>
      </c>
      <c r="H11" s="652">
        <f t="shared" si="1"/>
        <v>186260.3400606346</v>
      </c>
      <c r="I11" s="652">
        <f t="shared" si="1"/>
        <v>186260.3400606346</v>
      </c>
      <c r="J11" s="652">
        <f t="shared" si="1"/>
        <v>186260.3400606346</v>
      </c>
      <c r="K11" s="652">
        <f t="shared" si="1"/>
        <v>186260.3400606346</v>
      </c>
      <c r="L11" s="652">
        <f t="shared" si="1"/>
        <v>186260.3400606346</v>
      </c>
      <c r="M11" s="652">
        <f t="shared" si="1"/>
        <v>186260.3400606346</v>
      </c>
      <c r="N11" s="651"/>
    </row>
    <row r="12" spans="1:14">
      <c r="B12" s="650"/>
      <c r="C12" s="650"/>
      <c r="D12" s="650"/>
      <c r="E12" s="650"/>
      <c r="F12" s="650"/>
      <c r="G12" s="650"/>
      <c r="H12" s="650"/>
      <c r="I12" s="650"/>
      <c r="J12" s="650"/>
      <c r="K12" s="650"/>
      <c r="L12" s="650"/>
      <c r="M12" s="650"/>
      <c r="N12" s="650"/>
    </row>
    <row r="13" spans="1:14">
      <c r="B13" s="650"/>
      <c r="C13" s="650"/>
      <c r="D13" s="650"/>
      <c r="E13" s="650"/>
      <c r="F13" s="650"/>
      <c r="G13" s="650"/>
      <c r="H13" s="650"/>
      <c r="I13" s="650"/>
      <c r="J13" s="650"/>
      <c r="K13" s="650"/>
      <c r="L13" s="650"/>
      <c r="M13" s="650"/>
      <c r="N13" s="650"/>
    </row>
    <row r="14" spans="1:14">
      <c r="A14" s="45" t="s">
        <v>610</v>
      </c>
      <c r="B14" s="650">
        <f>'[7]Carrying Charges 2013'!M10*B4/365*B3</f>
        <v>120.44283554571916</v>
      </c>
      <c r="C14" s="650">
        <f t="shared" ref="C14:M14" si="2">B11*C4/365*C3</f>
        <v>108.78707726710118</v>
      </c>
      <c r="D14" s="650">
        <f t="shared" si="2"/>
        <v>120.44283554571916</v>
      </c>
      <c r="E14" s="650">
        <f t="shared" si="2"/>
        <v>116.55758278617984</v>
      </c>
      <c r="F14" s="650">
        <f t="shared" si="2"/>
        <v>120.44283554571916</v>
      </c>
      <c r="G14" s="650">
        <f t="shared" si="2"/>
        <v>116.55758278617984</v>
      </c>
      <c r="H14" s="650">
        <f t="shared" si="2"/>
        <v>232.54475880994843</v>
      </c>
      <c r="I14" s="650">
        <f t="shared" si="2"/>
        <v>232.54475880994843</v>
      </c>
      <c r="J14" s="650">
        <f t="shared" si="2"/>
        <v>225.04331497736945</v>
      </c>
      <c r="K14" s="650">
        <f t="shared" si="2"/>
        <v>232.54475880994843</v>
      </c>
      <c r="L14" s="650">
        <f t="shared" si="2"/>
        <v>225.04331497736945</v>
      </c>
      <c r="M14" s="650">
        <f t="shared" si="2"/>
        <v>232.54475880994843</v>
      </c>
      <c r="N14" s="650"/>
    </row>
    <row r="15" spans="1:14">
      <c r="A15" s="45" t="s">
        <v>609</v>
      </c>
      <c r="B15" s="650">
        <f>'[7]Carrying Charges 2013'!M14+B14</f>
        <v>1514.8346582298786</v>
      </c>
      <c r="C15" s="650">
        <f t="shared" ref="C15:M15" si="3">B15+C14</f>
        <v>1623.6217354969799</v>
      </c>
      <c r="D15" s="650">
        <f t="shared" si="3"/>
        <v>1744.0645710426991</v>
      </c>
      <c r="E15" s="650">
        <f t="shared" si="3"/>
        <v>1860.6221538288789</v>
      </c>
      <c r="F15" s="650">
        <f t="shared" si="3"/>
        <v>1981.0649893745981</v>
      </c>
      <c r="G15" s="650">
        <f t="shared" si="3"/>
        <v>2097.622572160778</v>
      </c>
      <c r="H15" s="650">
        <f t="shared" si="3"/>
        <v>2330.1673309707262</v>
      </c>
      <c r="I15" s="650">
        <f t="shared" si="3"/>
        <v>2562.7120897806744</v>
      </c>
      <c r="J15" s="650">
        <f t="shared" si="3"/>
        <v>2787.7554047580438</v>
      </c>
      <c r="K15" s="650">
        <f t="shared" si="3"/>
        <v>3020.3001635679921</v>
      </c>
      <c r="L15" s="650">
        <f t="shared" si="3"/>
        <v>3245.3434785453614</v>
      </c>
      <c r="M15" s="650">
        <f t="shared" si="3"/>
        <v>3477.8882373553097</v>
      </c>
      <c r="N15" s="650"/>
    </row>
    <row r="16" spans="1:14">
      <c r="B16" s="50"/>
      <c r="C16" s="50"/>
      <c r="D16" s="50"/>
      <c r="E16" s="50"/>
      <c r="F16" s="50"/>
      <c r="G16" s="50"/>
      <c r="H16" s="50"/>
      <c r="I16" s="50"/>
      <c r="J16" s="50"/>
      <c r="K16" s="50"/>
      <c r="L16" s="50"/>
      <c r="M16" s="50"/>
      <c r="N16" s="50"/>
    </row>
    <row r="17" spans="1:14">
      <c r="B17" s="50"/>
      <c r="C17" s="50"/>
      <c r="D17" s="50"/>
      <c r="E17" s="50"/>
      <c r="F17" s="50"/>
      <c r="G17" s="50"/>
      <c r="H17" s="50"/>
      <c r="I17" s="50"/>
      <c r="J17" s="50"/>
      <c r="K17" s="50"/>
      <c r="L17" s="50"/>
      <c r="M17" s="50"/>
      <c r="N17" s="50"/>
    </row>
    <row r="18" spans="1:14">
      <c r="B18" s="50"/>
      <c r="C18" s="50"/>
      <c r="D18" s="50"/>
      <c r="E18" s="50"/>
      <c r="F18" s="50"/>
      <c r="G18" s="50"/>
      <c r="H18" s="50"/>
      <c r="I18" s="50"/>
      <c r="J18" s="50"/>
      <c r="K18" s="50"/>
      <c r="L18" s="50"/>
      <c r="M18" s="50"/>
      <c r="N18" s="50"/>
    </row>
    <row r="19" spans="1:14">
      <c r="B19" s="50"/>
      <c r="C19" s="50"/>
      <c r="D19" s="50"/>
      <c r="E19" s="50"/>
      <c r="F19" s="50"/>
      <c r="G19" s="50"/>
      <c r="H19" s="50"/>
      <c r="I19" s="50"/>
      <c r="J19" s="50"/>
      <c r="K19" s="50"/>
      <c r="L19" s="50"/>
      <c r="M19" s="50"/>
      <c r="N19" s="50"/>
    </row>
    <row r="20" spans="1:14" s="52" customFormat="1">
      <c r="A20" s="52" t="s">
        <v>17</v>
      </c>
      <c r="B20" s="663">
        <f>'[7]Carrying Charges 2013'!M18</f>
        <v>30461.111812465177</v>
      </c>
      <c r="C20" s="664">
        <f>B20</f>
        <v>30461.111812465177</v>
      </c>
      <c r="D20" s="664">
        <f t="shared" ref="D20:L20" si="4">C20</f>
        <v>30461.111812465177</v>
      </c>
      <c r="E20" s="664">
        <f t="shared" si="4"/>
        <v>30461.111812465177</v>
      </c>
      <c r="F20" s="664">
        <f t="shared" si="4"/>
        <v>30461.111812465177</v>
      </c>
      <c r="G20" s="664">
        <f>F20+'[7]2011-14 LRAMVA Summary'!O51</f>
        <v>58785.32052364527</v>
      </c>
      <c r="H20" s="664">
        <f t="shared" si="4"/>
        <v>58785.32052364527</v>
      </c>
      <c r="I20" s="664">
        <f t="shared" si="4"/>
        <v>58785.32052364527</v>
      </c>
      <c r="J20" s="664">
        <f t="shared" si="4"/>
        <v>58785.32052364527</v>
      </c>
      <c r="K20" s="664">
        <f t="shared" si="4"/>
        <v>58785.32052364527</v>
      </c>
      <c r="L20" s="664">
        <f t="shared" si="4"/>
        <v>58785.32052364527</v>
      </c>
      <c r="M20" s="664">
        <f>L20</f>
        <v>58785.32052364527</v>
      </c>
      <c r="N20" s="678"/>
    </row>
    <row r="21" spans="1:14">
      <c r="A21" s="45" t="s">
        <v>610</v>
      </c>
      <c r="B21" s="666">
        <f>'[7]Carrying Charges 2013'!M18*'[7]Carrying Charges 2014'!B4/365*'[7]Carrying Charges 2014'!B3</f>
        <v>38.03048946011063</v>
      </c>
      <c r="C21" s="666">
        <f>B20*C4/365*C3</f>
        <v>34.350119512357992</v>
      </c>
      <c r="D21" s="666">
        <f t="shared" ref="D21:M21" si="5">C20*D4/365*D3</f>
        <v>38.03048946011063</v>
      </c>
      <c r="E21" s="666">
        <f t="shared" si="5"/>
        <v>36.803699477526415</v>
      </c>
      <c r="F21" s="666">
        <f t="shared" si="5"/>
        <v>38.03048946011063</v>
      </c>
      <c r="G21" s="666">
        <f t="shared" si="5"/>
        <v>36.803699477526415</v>
      </c>
      <c r="H21" s="666">
        <f t="shared" si="5"/>
        <v>73.393070034589456</v>
      </c>
      <c r="I21" s="666">
        <f t="shared" si="5"/>
        <v>73.393070034589456</v>
      </c>
      <c r="J21" s="666">
        <f t="shared" si="5"/>
        <v>71.025551646376897</v>
      </c>
      <c r="K21" s="666">
        <f t="shared" si="5"/>
        <v>73.393070034589456</v>
      </c>
      <c r="L21" s="666">
        <f t="shared" si="5"/>
        <v>71.025551646376897</v>
      </c>
      <c r="M21" s="666">
        <f t="shared" si="5"/>
        <v>73.393070034589456</v>
      </c>
      <c r="N21" s="50"/>
    </row>
    <row r="22" spans="1:14">
      <c r="A22" s="45" t="s">
        <v>609</v>
      </c>
      <c r="B22" s="666">
        <f>'[7]Carrying Charges 2013'!M20+B21</f>
        <v>521.04447792743269</v>
      </c>
      <c r="C22" s="666">
        <f>B22+C21</f>
        <v>555.39459743979069</v>
      </c>
      <c r="D22" s="666">
        <f t="shared" ref="D22:L22" si="6">C22+D21</f>
        <v>593.42508689990132</v>
      </c>
      <c r="E22" s="666">
        <f t="shared" si="6"/>
        <v>630.2287863774277</v>
      </c>
      <c r="F22" s="666">
        <f t="shared" si="6"/>
        <v>668.25927583753833</v>
      </c>
      <c r="G22" s="666">
        <f t="shared" si="6"/>
        <v>705.0629753150647</v>
      </c>
      <c r="H22" s="666">
        <f t="shared" si="6"/>
        <v>778.45604534965412</v>
      </c>
      <c r="I22" s="666">
        <f t="shared" si="6"/>
        <v>851.84911538424353</v>
      </c>
      <c r="J22" s="666">
        <f t="shared" si="6"/>
        <v>922.87466703062046</v>
      </c>
      <c r="K22" s="666">
        <f t="shared" si="6"/>
        <v>996.26773706520987</v>
      </c>
      <c r="L22" s="666">
        <f t="shared" si="6"/>
        <v>1067.2932887115867</v>
      </c>
      <c r="M22" s="666">
        <f>L22+M21</f>
        <v>1140.6863587461762</v>
      </c>
      <c r="N22" s="50"/>
    </row>
    <row r="23" spans="1:14" s="52" customFormat="1">
      <c r="A23" s="52" t="s">
        <v>86</v>
      </c>
      <c r="B23" s="663">
        <f>'[7]Carrying Charges 2013'!M21</f>
        <v>38363.76117791007</v>
      </c>
      <c r="C23" s="664">
        <f>B23</f>
        <v>38363.76117791007</v>
      </c>
      <c r="D23" s="664">
        <f t="shared" ref="D23:M23" si="7">C23</f>
        <v>38363.76117791007</v>
      </c>
      <c r="E23" s="664">
        <f t="shared" si="7"/>
        <v>38363.76117791007</v>
      </c>
      <c r="F23" s="664">
        <f t="shared" si="7"/>
        <v>38363.76117791007</v>
      </c>
      <c r="G23" s="664">
        <f>F23+'[7]2011-14 LRAMVA Summary'!O52</f>
        <v>66069.877978881908</v>
      </c>
      <c r="H23" s="664">
        <f t="shared" si="7"/>
        <v>66069.877978881908</v>
      </c>
      <c r="I23" s="664">
        <f t="shared" si="7"/>
        <v>66069.877978881908</v>
      </c>
      <c r="J23" s="664">
        <f t="shared" si="7"/>
        <v>66069.877978881908</v>
      </c>
      <c r="K23" s="664">
        <f t="shared" si="7"/>
        <v>66069.877978881908</v>
      </c>
      <c r="L23" s="664">
        <f t="shared" si="7"/>
        <v>66069.877978881908</v>
      </c>
      <c r="M23" s="664">
        <f t="shared" si="7"/>
        <v>66069.877978881908</v>
      </c>
      <c r="N23" s="678"/>
    </row>
    <row r="24" spans="1:14">
      <c r="A24" s="45" t="s">
        <v>610</v>
      </c>
      <c r="B24" s="666">
        <f>'[7]Carrying Charges 2013'!M21*'[7]Carrying Charges 2014'!B4/365*'[7]Carrying Charges 2014'!B3</f>
        <v>47.896893065133199</v>
      </c>
      <c r="C24" s="666">
        <f>B23*C4/365*C3</f>
        <v>43.261709865281603</v>
      </c>
      <c r="D24" s="666">
        <f t="shared" ref="D24:M24" si="8">C23*D4/365*D3</f>
        <v>47.896893065133199</v>
      </c>
      <c r="E24" s="666">
        <f t="shared" si="8"/>
        <v>46.351831998515998</v>
      </c>
      <c r="F24" s="666">
        <f t="shared" si="8"/>
        <v>47.896893065133199</v>
      </c>
      <c r="G24" s="666">
        <f t="shared" si="8"/>
        <v>46.351831998515998</v>
      </c>
      <c r="H24" s="666">
        <f t="shared" si="8"/>
        <v>82.487790123223249</v>
      </c>
      <c r="I24" s="666">
        <f t="shared" si="8"/>
        <v>82.487790123223249</v>
      </c>
      <c r="J24" s="666">
        <f t="shared" si="8"/>
        <v>79.826893667635403</v>
      </c>
      <c r="K24" s="666">
        <f t="shared" si="8"/>
        <v>82.487790123223249</v>
      </c>
      <c r="L24" s="666">
        <f t="shared" si="8"/>
        <v>79.826893667635403</v>
      </c>
      <c r="M24" s="666">
        <f t="shared" si="8"/>
        <v>82.487790123223249</v>
      </c>
      <c r="N24" s="50"/>
    </row>
    <row r="25" spans="1:14">
      <c r="A25" s="45" t="s">
        <v>609</v>
      </c>
      <c r="B25" s="666">
        <f>'[7]Carrying Charges 2013'!M23+B24</f>
        <v>624.9514619730694</v>
      </c>
      <c r="C25" s="666">
        <f>B25+C24</f>
        <v>668.21317183835095</v>
      </c>
      <c r="D25" s="666">
        <f t="shared" ref="D25:M25" si="9">C25+D24</f>
        <v>716.11006490348416</v>
      </c>
      <c r="E25" s="666">
        <f t="shared" si="9"/>
        <v>762.46189690200015</v>
      </c>
      <c r="F25" s="666">
        <f t="shared" si="9"/>
        <v>810.35878996713336</v>
      </c>
      <c r="G25" s="666">
        <f t="shared" si="9"/>
        <v>856.71062196564935</v>
      </c>
      <c r="H25" s="666">
        <f t="shared" si="9"/>
        <v>939.1984120888726</v>
      </c>
      <c r="I25" s="666">
        <f t="shared" si="9"/>
        <v>1021.6862022120958</v>
      </c>
      <c r="J25" s="666">
        <f t="shared" si="9"/>
        <v>1101.5130958797313</v>
      </c>
      <c r="K25" s="666">
        <f t="shared" si="9"/>
        <v>1184.0008860029545</v>
      </c>
      <c r="L25" s="666">
        <f t="shared" si="9"/>
        <v>1263.82777967059</v>
      </c>
      <c r="M25" s="666">
        <f t="shared" si="9"/>
        <v>1346.3155697938132</v>
      </c>
      <c r="N25" s="50"/>
    </row>
    <row r="26" spans="1:14" s="52" customFormat="1">
      <c r="A26" s="52" t="s">
        <v>88</v>
      </c>
      <c r="B26" s="663">
        <f>'[7]Carrying Charges 2013'!M24</f>
        <v>11611.622976743332</v>
      </c>
      <c r="C26" s="664">
        <f>B26</f>
        <v>11611.622976743332</v>
      </c>
      <c r="D26" s="664">
        <f t="shared" ref="D26:M26" si="10">C26</f>
        <v>11611.622976743332</v>
      </c>
      <c r="E26" s="664">
        <f t="shared" si="10"/>
        <v>11611.622976743332</v>
      </c>
      <c r="F26" s="664">
        <f t="shared" si="10"/>
        <v>11611.622976743332</v>
      </c>
      <c r="G26" s="664">
        <f>F26+'[7]2011-14 LRAMVA Summary'!O53</f>
        <v>21224.956881571739</v>
      </c>
      <c r="H26" s="664">
        <f t="shared" si="10"/>
        <v>21224.956881571739</v>
      </c>
      <c r="I26" s="664">
        <f t="shared" si="10"/>
        <v>21224.956881571739</v>
      </c>
      <c r="J26" s="664">
        <f t="shared" si="10"/>
        <v>21224.956881571739</v>
      </c>
      <c r="K26" s="664">
        <f t="shared" si="10"/>
        <v>21224.956881571739</v>
      </c>
      <c r="L26" s="664">
        <f t="shared" si="10"/>
        <v>21224.956881571739</v>
      </c>
      <c r="M26" s="664">
        <f t="shared" si="10"/>
        <v>21224.956881571739</v>
      </c>
      <c r="N26" s="678"/>
    </row>
    <row r="27" spans="1:14">
      <c r="A27" s="45" t="s">
        <v>610</v>
      </c>
      <c r="B27" s="666">
        <f>'[7]Carrying Charges 2013'!M24*'[7]Carrying Charges 2014'!B4/365*'[7]Carrying Charges 2014'!B3</f>
        <v>14.497031754799826</v>
      </c>
      <c r="C27" s="666">
        <f>B26*C4/365*C3</f>
        <v>13.094093197883714</v>
      </c>
      <c r="D27" s="666">
        <f t="shared" ref="D27:M27" si="11">C26*D4/365*D3</f>
        <v>14.497031754799826</v>
      </c>
      <c r="E27" s="666">
        <f t="shared" si="11"/>
        <v>14.029385569161123</v>
      </c>
      <c r="F27" s="666">
        <f t="shared" si="11"/>
        <v>14.497031754799826</v>
      </c>
      <c r="G27" s="666">
        <f t="shared" si="11"/>
        <v>14.029385569161123</v>
      </c>
      <c r="H27" s="666">
        <f t="shared" si="11"/>
        <v>26.49921329022532</v>
      </c>
      <c r="I27" s="666">
        <f t="shared" si="11"/>
        <v>26.49921329022532</v>
      </c>
      <c r="J27" s="666">
        <f t="shared" si="11"/>
        <v>25.644399958282566</v>
      </c>
      <c r="K27" s="666">
        <f t="shared" si="11"/>
        <v>26.49921329022532</v>
      </c>
      <c r="L27" s="666">
        <f t="shared" si="11"/>
        <v>25.644399958282566</v>
      </c>
      <c r="M27" s="666">
        <f t="shared" si="11"/>
        <v>26.49921329022532</v>
      </c>
      <c r="N27" s="50"/>
    </row>
    <row r="28" spans="1:14">
      <c r="A28" s="45" t="s">
        <v>609</v>
      </c>
      <c r="B28" s="666">
        <f>'[7]Carrying Charges 2013'!M26+B27</f>
        <v>178.66179822270314</v>
      </c>
      <c r="C28" s="666">
        <f>B28+C27</f>
        <v>191.75589142058686</v>
      </c>
      <c r="D28" s="666">
        <f t="shared" ref="D28:M28" si="12">C28+D27</f>
        <v>206.25292317538668</v>
      </c>
      <c r="E28" s="666">
        <f t="shared" si="12"/>
        <v>220.28230874454781</v>
      </c>
      <c r="F28" s="666">
        <f t="shared" si="12"/>
        <v>234.77934049934763</v>
      </c>
      <c r="G28" s="666">
        <f t="shared" si="12"/>
        <v>248.80872606850875</v>
      </c>
      <c r="H28" s="666">
        <f t="shared" si="12"/>
        <v>275.30793935873407</v>
      </c>
      <c r="I28" s="666">
        <f t="shared" si="12"/>
        <v>301.8071526489594</v>
      </c>
      <c r="J28" s="666">
        <f t="shared" si="12"/>
        <v>327.45155260724198</v>
      </c>
      <c r="K28" s="666">
        <f t="shared" si="12"/>
        <v>353.95076589746731</v>
      </c>
      <c r="L28" s="666">
        <f t="shared" si="12"/>
        <v>379.59516585574988</v>
      </c>
      <c r="M28" s="666">
        <f t="shared" si="12"/>
        <v>406.09437914597521</v>
      </c>
      <c r="N28" s="53"/>
    </row>
    <row r="29" spans="1:14" s="52" customFormat="1">
      <c r="A29" s="52" t="s">
        <v>57</v>
      </c>
      <c r="B29" s="674">
        <f>'[7]Carrying Charges 2013'!M27</f>
        <v>5000.5380458086202</v>
      </c>
      <c r="C29" s="675">
        <f>B29</f>
        <v>5000.5380458086202</v>
      </c>
      <c r="D29" s="675">
        <f t="shared" ref="D29:M29" si="13">C29</f>
        <v>5000.5380458086202</v>
      </c>
      <c r="E29" s="675">
        <f t="shared" si="13"/>
        <v>5000.5380458086202</v>
      </c>
      <c r="F29" s="675">
        <f t="shared" si="13"/>
        <v>5000.5380458086202</v>
      </c>
      <c r="G29" s="675">
        <f>F29+'[7]2011-14 LRAMVA Summary'!O54</f>
        <v>7441.0418630553568</v>
      </c>
      <c r="H29" s="675">
        <f t="shared" si="13"/>
        <v>7441.0418630553568</v>
      </c>
      <c r="I29" s="675">
        <f t="shared" si="13"/>
        <v>7441.0418630553568</v>
      </c>
      <c r="J29" s="675">
        <f t="shared" si="13"/>
        <v>7441.0418630553568</v>
      </c>
      <c r="K29" s="675">
        <f t="shared" si="13"/>
        <v>7441.0418630553568</v>
      </c>
      <c r="L29" s="675">
        <f t="shared" si="13"/>
        <v>7441.0418630553568</v>
      </c>
      <c r="M29" s="675">
        <f t="shared" si="13"/>
        <v>7441.0418630553568</v>
      </c>
      <c r="N29" s="679"/>
    </row>
    <row r="30" spans="1:14">
      <c r="A30" s="45" t="s">
        <v>610</v>
      </c>
      <c r="B30" s="668">
        <f>'[7]Carrying Charges 2013'!M27*'[7]Carrying Charges 2014'!B4/365*'[7]Carrying Charges 2014'!B3</f>
        <v>6.2431374999314748</v>
      </c>
      <c r="C30" s="668">
        <f>B29*C4/365*C3</f>
        <v>5.6389629031639128</v>
      </c>
      <c r="D30" s="668">
        <f t="shared" ref="D30:M30" si="14">C29*D4/365*D3</f>
        <v>6.2431374999314748</v>
      </c>
      <c r="E30" s="668">
        <f t="shared" si="14"/>
        <v>6.0417459676756202</v>
      </c>
      <c r="F30" s="668">
        <f t="shared" si="14"/>
        <v>6.2431374999314748</v>
      </c>
      <c r="G30" s="668">
        <f t="shared" si="14"/>
        <v>6.0417459676756202</v>
      </c>
      <c r="H30" s="668">
        <f t="shared" si="14"/>
        <v>9.2900897999844556</v>
      </c>
      <c r="I30" s="668">
        <f t="shared" si="14"/>
        <v>9.2900897999844556</v>
      </c>
      <c r="J30" s="668">
        <f t="shared" si="14"/>
        <v>8.9904094838559239</v>
      </c>
      <c r="K30" s="668">
        <f t="shared" si="14"/>
        <v>9.2900897999844556</v>
      </c>
      <c r="L30" s="668">
        <f t="shared" si="14"/>
        <v>8.9904094838559239</v>
      </c>
      <c r="M30" s="668">
        <f t="shared" si="14"/>
        <v>9.2900897999844556</v>
      </c>
    </row>
    <row r="31" spans="1:14">
      <c r="A31" s="45" t="s">
        <v>609</v>
      </c>
      <c r="B31" s="672">
        <f>'[7]Carrying Charges 2013'!M29+B30</f>
        <v>92.215148843957024</v>
      </c>
      <c r="C31" s="672">
        <f>B31+C30</f>
        <v>97.854111747120939</v>
      </c>
      <c r="D31" s="672">
        <f t="shared" ref="D31:M31" si="15">C31+D30</f>
        <v>104.09724924705242</v>
      </c>
      <c r="E31" s="672">
        <f t="shared" si="15"/>
        <v>110.13899521472804</v>
      </c>
      <c r="F31" s="672">
        <f t="shared" si="15"/>
        <v>116.38213271465952</v>
      </c>
      <c r="G31" s="672">
        <f t="shared" si="15"/>
        <v>122.42387868233514</v>
      </c>
      <c r="H31" s="672">
        <f t="shared" si="15"/>
        <v>131.71396848231959</v>
      </c>
      <c r="I31" s="672">
        <f t="shared" si="15"/>
        <v>141.00405828230404</v>
      </c>
      <c r="J31" s="672">
        <f t="shared" si="15"/>
        <v>149.99446776615997</v>
      </c>
      <c r="K31" s="672">
        <f t="shared" si="15"/>
        <v>159.28455756614443</v>
      </c>
      <c r="L31" s="672">
        <f t="shared" si="15"/>
        <v>168.27496705000036</v>
      </c>
      <c r="M31" s="672">
        <f t="shared" si="15"/>
        <v>177.56505684998481</v>
      </c>
    </row>
    <row r="32" spans="1:14" s="52" customFormat="1">
      <c r="A32" s="52" t="s">
        <v>637</v>
      </c>
      <c r="B32" s="669">
        <f>'[7]Carrying Charges 2013'!M30</f>
        <v>11033.527703525508</v>
      </c>
      <c r="C32" s="670">
        <f>B32</f>
        <v>11033.527703525508</v>
      </c>
      <c r="D32" s="670">
        <f t="shared" ref="D32:M32" si="16">C32</f>
        <v>11033.527703525508</v>
      </c>
      <c r="E32" s="670">
        <f t="shared" si="16"/>
        <v>11033.527703525508</v>
      </c>
      <c r="F32" s="670">
        <f t="shared" si="16"/>
        <v>11033.527703525508</v>
      </c>
      <c r="G32" s="670">
        <f>F32+'[7]2011-14 LRAMVA Summary'!O55</f>
        <v>32739.142813480306</v>
      </c>
      <c r="H32" s="670">
        <f t="shared" si="16"/>
        <v>32739.142813480306</v>
      </c>
      <c r="I32" s="670">
        <f t="shared" si="16"/>
        <v>32739.142813480306</v>
      </c>
      <c r="J32" s="670">
        <f t="shared" si="16"/>
        <v>32739.142813480306</v>
      </c>
      <c r="K32" s="670">
        <f t="shared" si="16"/>
        <v>32739.142813480306</v>
      </c>
      <c r="L32" s="670">
        <f t="shared" si="16"/>
        <v>32739.142813480306</v>
      </c>
      <c r="M32" s="670">
        <f t="shared" si="16"/>
        <v>32739.142813480306</v>
      </c>
      <c r="N32" s="662"/>
    </row>
    <row r="33" spans="1:13" s="45" customFormat="1">
      <c r="A33" s="45" t="s">
        <v>610</v>
      </c>
      <c r="B33" s="672">
        <f>'[7]Carrying Charges 2013'!M30*'[7]Carrying Charges 2014'!B4/365*'[7]Carrying Charges 2014'!B3</f>
        <v>13.775283765744037</v>
      </c>
      <c r="C33" s="672">
        <f>B32*C4/365*C3</f>
        <v>12.44219178841397</v>
      </c>
      <c r="D33" s="672">
        <f t="shared" ref="D33:M33" si="17">C32*D4/365*D3</f>
        <v>13.775283765744037</v>
      </c>
      <c r="E33" s="672">
        <f t="shared" si="17"/>
        <v>13.330919773300682</v>
      </c>
      <c r="F33" s="672">
        <f t="shared" si="17"/>
        <v>13.775283765744037</v>
      </c>
      <c r="G33" s="672">
        <f>F32*G4/365*G3</f>
        <v>13.330919773300682</v>
      </c>
      <c r="H33" s="672">
        <f t="shared" si="17"/>
        <v>40.874595561925958</v>
      </c>
      <c r="I33" s="672">
        <f t="shared" si="17"/>
        <v>40.874595561925958</v>
      </c>
      <c r="J33" s="672">
        <f t="shared" si="17"/>
        <v>39.556060221218672</v>
      </c>
      <c r="K33" s="672">
        <f t="shared" si="17"/>
        <v>40.874595561925958</v>
      </c>
      <c r="L33" s="672">
        <f t="shared" si="17"/>
        <v>39.556060221218672</v>
      </c>
      <c r="M33" s="672">
        <f t="shared" si="17"/>
        <v>40.874595561925958</v>
      </c>
    </row>
    <row r="34" spans="1:13" s="45" customFormat="1">
      <c r="A34" s="45" t="s">
        <v>609</v>
      </c>
      <c r="B34" s="672">
        <f>'[7]Carrying Charges 2013'!M32+B33</f>
        <v>97.961771262716724</v>
      </c>
      <c r="C34" s="672">
        <f>B34+C33</f>
        <v>110.40396305113069</v>
      </c>
      <c r="D34" s="672">
        <f t="shared" ref="D34:M34" si="18">C34+D33</f>
        <v>124.17924681687472</v>
      </c>
      <c r="E34" s="672">
        <f t="shared" si="18"/>
        <v>137.5101665901754</v>
      </c>
      <c r="F34" s="672">
        <f t="shared" si="18"/>
        <v>151.28545035591944</v>
      </c>
      <c r="G34" s="672">
        <f t="shared" si="18"/>
        <v>164.61637012922012</v>
      </c>
      <c r="H34" s="672">
        <f t="shared" si="18"/>
        <v>205.49096569114607</v>
      </c>
      <c r="I34" s="672">
        <f t="shared" si="18"/>
        <v>246.36556125307203</v>
      </c>
      <c r="J34" s="672">
        <f t="shared" si="18"/>
        <v>285.9216214742907</v>
      </c>
      <c r="K34" s="672">
        <f t="shared" si="18"/>
        <v>326.79621703621666</v>
      </c>
      <c r="L34" s="672">
        <f t="shared" si="18"/>
        <v>366.35227725743533</v>
      </c>
      <c r="M34" s="672">
        <f t="shared" si="18"/>
        <v>407.22687281936129</v>
      </c>
    </row>
    <row r="35" spans="1:13" s="45" customFormat="1">
      <c r="B35" s="46"/>
      <c r="C35" s="46"/>
      <c r="D35" s="46"/>
      <c r="E35" s="46"/>
      <c r="F35" s="46"/>
      <c r="G35" s="46"/>
      <c r="H35" s="46"/>
      <c r="I35" s="46"/>
      <c r="J35" s="46"/>
      <c r="K35" s="46"/>
      <c r="L35" s="46"/>
      <c r="M35" s="46"/>
    </row>
    <row r="36" spans="1:13" s="45" customFormat="1">
      <c r="B36" s="672">
        <f t="shared" ref="B36:K36" si="19">B22+B25+B28+B31+B34-B15</f>
        <v>0</v>
      </c>
      <c r="C36" s="672">
        <f t="shared" si="19"/>
        <v>0</v>
      </c>
      <c r="D36" s="672">
        <f t="shared" si="19"/>
        <v>0</v>
      </c>
      <c r="E36" s="672">
        <f t="shared" si="19"/>
        <v>0</v>
      </c>
      <c r="F36" s="672">
        <f t="shared" si="19"/>
        <v>0</v>
      </c>
      <c r="G36" s="672">
        <f t="shared" si="19"/>
        <v>0</v>
      </c>
      <c r="H36" s="672">
        <f t="shared" si="19"/>
        <v>0</v>
      </c>
      <c r="I36" s="672">
        <f t="shared" si="19"/>
        <v>0</v>
      </c>
      <c r="J36" s="672">
        <f t="shared" si="19"/>
        <v>0</v>
      </c>
      <c r="K36" s="672">
        <f t="shared" si="19"/>
        <v>0</v>
      </c>
      <c r="L36" s="672" t="s">
        <v>638</v>
      </c>
      <c r="M36" s="672">
        <f>M22+M25+M28+M31+M34-M15</f>
        <v>0</v>
      </c>
    </row>
    <row r="37" spans="1:13" s="45" customFormat="1">
      <c r="B37" s="672"/>
      <c r="C37" s="672"/>
      <c r="D37" s="672"/>
      <c r="E37" s="672"/>
      <c r="F37" s="672"/>
      <c r="G37" s="672"/>
      <c r="H37" s="672"/>
      <c r="I37" s="672"/>
      <c r="J37" s="672"/>
      <c r="K37" s="672"/>
      <c r="L37" s="672"/>
      <c r="M37" s="672"/>
    </row>
  </sheetData>
  <pageMargins left="0.7" right="0.7" top="0.75" bottom="0.75" header="0.3" footer="0.3"/>
  <pageSetup scale="43" orientation="landscape" r:id="rId1"/>
  <headerFooter>
    <oddFooter>&amp;R&amp;Z&amp;F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5"/>
  <sheetViews>
    <sheetView zoomScaleNormal="100" workbookViewId="0">
      <selection activeCell="K27" sqref="K27"/>
    </sheetView>
  </sheetViews>
  <sheetFormatPr defaultRowHeight="15"/>
  <cols>
    <col min="1" max="1" width="19.42578125" customWidth="1"/>
    <col min="2" max="3" width="9.85546875" bestFit="1" customWidth="1"/>
    <col min="4" max="7" width="11.28515625" bestFit="1" customWidth="1"/>
  </cols>
  <sheetData>
    <row r="2" spans="1:11">
      <c r="A2" s="648" t="s">
        <v>602</v>
      </c>
      <c r="B2" s="648"/>
      <c r="C2" s="648"/>
      <c r="D2" s="648"/>
      <c r="E2" s="648"/>
      <c r="F2" s="648"/>
      <c r="G2" s="648"/>
    </row>
    <row r="3" spans="1:11">
      <c r="A3" s="50" t="s">
        <v>607</v>
      </c>
      <c r="B3" s="46">
        <v>2015</v>
      </c>
      <c r="C3" s="46">
        <v>2016</v>
      </c>
      <c r="D3" s="46">
        <v>2017</v>
      </c>
      <c r="E3" s="46">
        <v>2018</v>
      </c>
      <c r="F3" s="46">
        <v>2019</v>
      </c>
      <c r="G3" s="46">
        <v>2020</v>
      </c>
    </row>
    <row r="4" spans="1:11" s="45" customFormat="1">
      <c r="A4" s="45" t="s">
        <v>608</v>
      </c>
      <c r="B4" s="46"/>
      <c r="C4" s="46"/>
      <c r="D4" s="46"/>
      <c r="E4" s="46"/>
      <c r="F4" s="46"/>
      <c r="G4" s="46"/>
    </row>
    <row r="5" spans="1:11">
      <c r="A5" t="s">
        <v>598</v>
      </c>
      <c r="B5" s="35">
        <f>'KH MWh Savings Pivot'!H123</f>
        <v>181705.71754005147</v>
      </c>
      <c r="C5" s="35">
        <f>'KH MWh Savings Pivot'!I123</f>
        <v>517974.41528087232</v>
      </c>
      <c r="D5" s="35">
        <f>'KH MWh Savings Pivot'!J123</f>
        <v>581568.95207366417</v>
      </c>
      <c r="E5" s="35">
        <f>'KH MWh Savings Pivot'!K123</f>
        <v>646823.06211642653</v>
      </c>
      <c r="F5" s="35">
        <f>'KH MWh Savings Pivot'!L123</f>
        <v>713736.74540915934</v>
      </c>
      <c r="G5" s="35">
        <f>'KH MWh Savings Pivot'!M123</f>
        <v>782310.00195186271</v>
      </c>
    </row>
    <row r="6" spans="1:11">
      <c r="A6" t="s">
        <v>599</v>
      </c>
      <c r="B6" s="35">
        <f>'KH MWh Savings Pivot'!H124</f>
        <v>135731.6256015221</v>
      </c>
      <c r="C6" s="35">
        <f>'KH MWh Savings Pivot'!I124</f>
        <v>997809.39378643211</v>
      </c>
      <c r="D6" s="35">
        <f>'KH MWh Savings Pivot'!J124</f>
        <v>1795482.0288606647</v>
      </c>
      <c r="E6" s="35">
        <f>'KH MWh Savings Pivot'!K124</f>
        <v>2673492.4927453413</v>
      </c>
      <c r="F6" s="35">
        <f>'KH MWh Savings Pivot'!L124</f>
        <v>3606696.2467060839</v>
      </c>
      <c r="G6" s="35">
        <f>'KH MWh Savings Pivot'!M124</f>
        <v>4607284.5822504694</v>
      </c>
    </row>
    <row r="7" spans="1:11" s="45" customFormat="1"/>
    <row r="8" spans="1:11">
      <c r="A8" t="s">
        <v>600</v>
      </c>
      <c r="B8" s="35">
        <f>'KH MW Savings Pivot'!B87</f>
        <v>156.91042178848343</v>
      </c>
      <c r="C8" s="35">
        <f>'KH MW Savings Pivot'!C87</f>
        <v>909.17818554723419</v>
      </c>
      <c r="D8" s="35">
        <f>'KH MW Savings Pivot'!D87</f>
        <v>1548.0266443894636</v>
      </c>
      <c r="E8" s="35">
        <f>'KH MW Savings Pivot'!E87</f>
        <v>2241.635972362405</v>
      </c>
      <c r="F8" s="35">
        <f>'KH MW Savings Pivot'!F87</f>
        <v>2928.935190843019</v>
      </c>
      <c r="G8" s="35">
        <f>'KH MW Savings Pivot'!G87</f>
        <v>3668.7394520496132</v>
      </c>
    </row>
    <row r="9" spans="1:11">
      <c r="A9" t="s">
        <v>601</v>
      </c>
      <c r="B9" s="35">
        <f>'KH MW Savings Pivot'!B88</f>
        <v>52.563779702415715</v>
      </c>
      <c r="C9" s="35">
        <f>'KH MW Savings Pivot'!C88</f>
        <v>450.94835336053939</v>
      </c>
      <c r="D9" s="35">
        <f>'KH MW Savings Pivot'!D88</f>
        <v>807.70089313520293</v>
      </c>
      <c r="E9" s="35">
        <f>'KH MW Savings Pivot'!E88</f>
        <v>1178.2824928291516</v>
      </c>
      <c r="F9" s="35">
        <f>'KH MW Savings Pivot'!F88</f>
        <v>1497.2432166807509</v>
      </c>
      <c r="G9" s="35">
        <f>'KH MW Savings Pivot'!G88</f>
        <v>1825.5213476421743</v>
      </c>
    </row>
    <row r="11" spans="1:11">
      <c r="A11" t="s">
        <v>603</v>
      </c>
    </row>
    <row r="12" spans="1:11" ht="43.5" customHeight="1">
      <c r="A12" s="739" t="s">
        <v>604</v>
      </c>
      <c r="B12" s="739"/>
      <c r="C12" s="739"/>
      <c r="D12" s="739"/>
      <c r="E12" s="739"/>
      <c r="F12" s="739"/>
      <c r="G12" s="739"/>
      <c r="H12" s="739"/>
      <c r="I12" s="739"/>
      <c r="J12" s="739"/>
      <c r="K12" s="739"/>
    </row>
    <row r="13" spans="1:11" ht="42" customHeight="1">
      <c r="A13" s="739" t="s">
        <v>605</v>
      </c>
      <c r="B13" s="739"/>
      <c r="C13" s="739"/>
      <c r="D13" s="739"/>
      <c r="E13" s="739"/>
      <c r="F13" s="739"/>
      <c r="G13" s="739"/>
      <c r="H13" s="739"/>
      <c r="I13" s="739"/>
      <c r="J13" s="739"/>
      <c r="K13" s="739"/>
    </row>
    <row r="14" spans="1:11" ht="29.1" customHeight="1">
      <c r="A14" s="739" t="s">
        <v>644</v>
      </c>
      <c r="B14" s="739"/>
      <c r="C14" s="739"/>
      <c r="D14" s="739"/>
      <c r="E14" s="739"/>
      <c r="F14" s="739"/>
      <c r="G14" s="739"/>
      <c r="H14" s="739"/>
      <c r="I14" s="739"/>
      <c r="J14" s="739"/>
      <c r="K14" s="739"/>
    </row>
    <row r="15" spans="1:11" ht="33" customHeight="1">
      <c r="A15" s="739" t="s">
        <v>606</v>
      </c>
      <c r="B15" s="739"/>
      <c r="C15" s="739"/>
      <c r="D15" s="739"/>
      <c r="E15" s="739"/>
      <c r="F15" s="739"/>
      <c r="G15" s="739"/>
      <c r="H15" s="739"/>
      <c r="I15" s="739"/>
      <c r="J15" s="739"/>
      <c r="K15" s="739"/>
    </row>
  </sheetData>
  <mergeCells count="4">
    <mergeCell ref="A12:K12"/>
    <mergeCell ref="A13:K13"/>
    <mergeCell ref="A15:K15"/>
    <mergeCell ref="A14:K14"/>
  </mergeCells>
  <pageMargins left="0.7" right="0.7" top="0.75" bottom="0.75" header="0.3" footer="0.3"/>
  <pageSetup scale="75"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F41"/>
  <sheetViews>
    <sheetView zoomScale="85" zoomScaleNormal="85" zoomScaleSheetLayoutView="100" zoomScalePageLayoutView="85" workbookViewId="0">
      <selection activeCell="O19" sqref="O19"/>
    </sheetView>
  </sheetViews>
  <sheetFormatPr defaultColWidth="8.7109375" defaultRowHeight="15"/>
  <cols>
    <col min="1" max="1" width="24.28515625" style="46" bestFit="1" customWidth="1"/>
    <col min="2" max="2" width="15.7109375" style="45" customWidth="1"/>
    <col min="3" max="3" width="14.7109375" style="45" customWidth="1"/>
    <col min="4" max="4" width="18.140625" style="45" customWidth="1"/>
    <col min="5" max="6" width="16.5703125" style="45" customWidth="1"/>
    <col min="7" max="16384" width="8.7109375" style="45"/>
  </cols>
  <sheetData>
    <row r="1" spans="1:6" ht="15.75">
      <c r="A1" s="744" t="s">
        <v>319</v>
      </c>
      <c r="B1" s="744"/>
      <c r="C1" s="744"/>
      <c r="D1" s="744"/>
      <c r="E1" s="744"/>
      <c r="F1" s="744"/>
    </row>
    <row r="2" spans="1:6" ht="90" customHeight="1">
      <c r="A2" s="752" t="s">
        <v>318</v>
      </c>
      <c r="B2" s="752"/>
      <c r="C2" s="752"/>
      <c r="D2" s="752"/>
      <c r="E2" s="752"/>
      <c r="F2" s="752"/>
    </row>
    <row r="3" spans="1:6" ht="15.75">
      <c r="A3" s="744" t="s">
        <v>317</v>
      </c>
      <c r="B3" s="744"/>
      <c r="C3" s="744"/>
      <c r="D3" s="744"/>
      <c r="E3" s="744"/>
      <c r="F3" s="744"/>
    </row>
    <row r="4" spans="1:6">
      <c r="A4" s="748"/>
      <c r="B4" s="748"/>
      <c r="C4" s="748"/>
      <c r="D4" s="748"/>
      <c r="E4" s="748"/>
      <c r="F4" s="749"/>
    </row>
    <row r="5" spans="1:6">
      <c r="A5" s="745" t="s">
        <v>312</v>
      </c>
      <c r="B5" s="747" t="s">
        <v>91</v>
      </c>
      <c r="C5" s="751"/>
      <c r="D5" s="751"/>
      <c r="E5" s="751"/>
      <c r="F5" s="749"/>
    </row>
    <row r="6" spans="1:6">
      <c r="A6" s="750"/>
      <c r="B6" s="382">
        <v>2011</v>
      </c>
      <c r="C6" s="382">
        <v>2012</v>
      </c>
      <c r="D6" s="382">
        <v>2013</v>
      </c>
      <c r="E6" s="382">
        <v>2014</v>
      </c>
      <c r="F6" s="749"/>
    </row>
    <row r="7" spans="1:6">
      <c r="A7" s="380" t="s">
        <v>309</v>
      </c>
      <c r="B7" s="377">
        <v>4.7050000000000001</v>
      </c>
      <c r="C7" s="377">
        <v>0.68700000000000006</v>
      </c>
      <c r="D7" s="377">
        <v>0.68700000000000006</v>
      </c>
      <c r="E7" s="377">
        <v>0.66500000000000004</v>
      </c>
      <c r="F7" s="749"/>
    </row>
    <row r="8" spans="1:6">
      <c r="A8" s="381" t="s">
        <v>308</v>
      </c>
      <c r="B8" s="378">
        <v>8.3000000000000004E-2</v>
      </c>
      <c r="C8" s="378">
        <v>5.4349999999999996</v>
      </c>
      <c r="D8" s="378">
        <v>1.056</v>
      </c>
      <c r="E8" s="378">
        <v>1.0249999999999999</v>
      </c>
      <c r="F8" s="749"/>
    </row>
    <row r="9" spans="1:6" ht="15.75" customHeight="1">
      <c r="A9" s="380" t="s">
        <v>307</v>
      </c>
      <c r="B9" s="378">
        <v>0</v>
      </c>
      <c r="C9" s="378">
        <v>4.4999999999999998E-2</v>
      </c>
      <c r="D9" s="378">
        <v>4.6870000000000003</v>
      </c>
      <c r="E9" s="378">
        <v>0.46700000000000003</v>
      </c>
      <c r="F9" s="749"/>
    </row>
    <row r="10" spans="1:6">
      <c r="A10" s="380" t="s">
        <v>306</v>
      </c>
      <c r="B10" s="378">
        <v>0</v>
      </c>
      <c r="C10" s="378">
        <v>4.0000000000000001E-3</v>
      </c>
      <c r="D10" s="378">
        <v>3.2000000000000001E-2</v>
      </c>
      <c r="E10" s="378">
        <v>5.327</v>
      </c>
      <c r="F10" s="749"/>
    </row>
    <row r="11" spans="1:6">
      <c r="A11" s="740" t="s">
        <v>316</v>
      </c>
      <c r="B11" s="740"/>
      <c r="C11" s="740"/>
      <c r="D11" s="740"/>
      <c r="E11" s="383">
        <v>7.484</v>
      </c>
      <c r="F11" s="749"/>
    </row>
    <row r="12" spans="1:6">
      <c r="A12" s="740" t="s">
        <v>315</v>
      </c>
      <c r="B12" s="740"/>
      <c r="C12" s="740"/>
      <c r="D12" s="740"/>
      <c r="E12" s="376">
        <v>6.63</v>
      </c>
      <c r="F12" s="749"/>
    </row>
    <row r="13" spans="1:6">
      <c r="A13" s="740" t="s">
        <v>314</v>
      </c>
      <c r="B13" s="740"/>
      <c r="C13" s="740"/>
      <c r="D13" s="740"/>
      <c r="E13" s="375">
        <v>1.128808</v>
      </c>
      <c r="F13" s="749"/>
    </row>
    <row r="14" spans="1:6">
      <c r="A14" s="749"/>
      <c r="B14" s="749"/>
      <c r="C14" s="749"/>
      <c r="D14" s="749"/>
      <c r="E14" s="749"/>
      <c r="F14" s="749"/>
    </row>
    <row r="15" spans="1:6" ht="15.75">
      <c r="A15" s="744" t="s">
        <v>313</v>
      </c>
      <c r="B15" s="744"/>
      <c r="C15" s="744"/>
      <c r="D15" s="744"/>
      <c r="E15" s="744"/>
      <c r="F15" s="744"/>
    </row>
    <row r="16" spans="1:6">
      <c r="A16" s="748"/>
      <c r="B16" s="748"/>
      <c r="C16" s="748"/>
      <c r="D16" s="748"/>
      <c r="E16" s="748"/>
      <c r="F16" s="748"/>
    </row>
    <row r="17" spans="1:6">
      <c r="A17" s="745" t="s">
        <v>312</v>
      </c>
      <c r="B17" s="747" t="s">
        <v>91</v>
      </c>
      <c r="C17" s="747"/>
      <c r="D17" s="747"/>
      <c r="E17" s="747"/>
      <c r="F17" s="382" t="s">
        <v>311</v>
      </c>
    </row>
    <row r="18" spans="1:6">
      <c r="A18" s="746"/>
      <c r="B18" s="382">
        <v>2011</v>
      </c>
      <c r="C18" s="382">
        <v>2012</v>
      </c>
      <c r="D18" s="382">
        <v>2013</v>
      </c>
      <c r="E18" s="382">
        <v>2014</v>
      </c>
      <c r="F18" s="382" t="s">
        <v>310</v>
      </c>
    </row>
    <row r="19" spans="1:6">
      <c r="A19" s="380" t="s">
        <v>309</v>
      </c>
      <c r="B19" s="377">
        <v>3.302</v>
      </c>
      <c r="C19" s="377">
        <v>3.1459999999999999</v>
      </c>
      <c r="D19" s="377">
        <v>3.145</v>
      </c>
      <c r="E19" s="377">
        <v>3.0870000000000002</v>
      </c>
      <c r="F19" s="377">
        <v>12.68</v>
      </c>
    </row>
    <row r="20" spans="1:6">
      <c r="A20" s="381" t="s">
        <v>308</v>
      </c>
      <c r="B20" s="378">
        <v>0.49099999999999999</v>
      </c>
      <c r="C20" s="378">
        <v>5.4160000000000004</v>
      </c>
      <c r="D20" s="378">
        <v>5.3490000000000002</v>
      </c>
      <c r="E20" s="378">
        <v>5.2460000000000004</v>
      </c>
      <c r="F20" s="377">
        <v>16.501999999999999</v>
      </c>
    </row>
    <row r="21" spans="1:6">
      <c r="A21" s="380" t="s">
        <v>307</v>
      </c>
      <c r="B21" s="378">
        <v>0</v>
      </c>
      <c r="C21" s="378">
        <v>0.14299999999999999</v>
      </c>
      <c r="D21" s="378">
        <v>6.1589999999999998</v>
      </c>
      <c r="E21" s="378">
        <v>6.0940000000000003</v>
      </c>
      <c r="F21" s="377">
        <v>12.396000000000001</v>
      </c>
    </row>
    <row r="22" spans="1:6">
      <c r="A22" s="380" t="s">
        <v>306</v>
      </c>
      <c r="B22" s="378">
        <v>4.4999999999999998E-2</v>
      </c>
      <c r="C22" s="378">
        <v>8.1000000000000003E-2</v>
      </c>
      <c r="D22" s="379">
        <v>0.32900000000000001</v>
      </c>
      <c r="E22" s="378">
        <v>3.927</v>
      </c>
      <c r="F22" s="377">
        <v>4.3819999999999997</v>
      </c>
    </row>
    <row r="23" spans="1:6">
      <c r="A23" s="740" t="s">
        <v>305</v>
      </c>
      <c r="B23" s="740"/>
      <c r="C23" s="740"/>
      <c r="D23" s="740"/>
      <c r="E23" s="740"/>
      <c r="F23" s="376">
        <v>45.96</v>
      </c>
    </row>
    <row r="24" spans="1:6">
      <c r="A24" s="741" t="s">
        <v>304</v>
      </c>
      <c r="B24" s="742"/>
      <c r="C24" s="742"/>
      <c r="D24" s="742"/>
      <c r="E24" s="743"/>
      <c r="F24" s="376">
        <v>37.159999999999997</v>
      </c>
    </row>
    <row r="25" spans="1:6">
      <c r="A25" s="740" t="s">
        <v>303</v>
      </c>
      <c r="B25" s="740"/>
      <c r="C25" s="740"/>
      <c r="D25" s="740"/>
      <c r="E25" s="740"/>
      <c r="F25" s="375">
        <v>1.2368140000000001</v>
      </c>
    </row>
    <row r="26" spans="1:6">
      <c r="A26" s="372" t="s">
        <v>302</v>
      </c>
      <c r="B26" s="374"/>
      <c r="C26" s="374"/>
      <c r="D26" s="374"/>
      <c r="E26" s="374"/>
      <c r="F26" s="373"/>
    </row>
    <row r="27" spans="1:6">
      <c r="A27" s="372" t="s">
        <v>165</v>
      </c>
      <c r="B27" s="166"/>
    </row>
    <row r="28" spans="1:6">
      <c r="A28" s="166"/>
      <c r="B28" s="166"/>
    </row>
    <row r="29" spans="1:6">
      <c r="A29" s="166"/>
      <c r="B29" s="166"/>
    </row>
    <row r="30" spans="1:6">
      <c r="A30" s="166"/>
      <c r="B30" s="166"/>
      <c r="C30" s="166"/>
      <c r="D30" s="166"/>
      <c r="E30" s="166"/>
      <c r="F30" s="166"/>
    </row>
    <row r="31" spans="1:6">
      <c r="A31" s="166"/>
      <c r="B31" s="166"/>
      <c r="C31" s="166"/>
      <c r="D31" s="166"/>
      <c r="E31" s="166"/>
      <c r="F31" s="166"/>
    </row>
    <row r="32" spans="1:6">
      <c r="A32" s="45"/>
    </row>
    <row r="33" spans="1:6">
      <c r="A33" s="166"/>
      <c r="B33" s="166"/>
      <c r="C33" s="166"/>
      <c r="D33" s="166"/>
      <c r="E33" s="166"/>
      <c r="F33" s="166"/>
    </row>
    <row r="34" spans="1:6">
      <c r="A34" s="166"/>
      <c r="B34" s="166"/>
      <c r="C34" s="166"/>
      <c r="D34" s="166"/>
      <c r="E34" s="166"/>
      <c r="F34" s="166"/>
    </row>
    <row r="35" spans="1:6">
      <c r="A35" s="166"/>
      <c r="B35" s="166"/>
      <c r="C35" s="166"/>
      <c r="D35" s="166"/>
      <c r="E35" s="166"/>
      <c r="F35" s="166"/>
    </row>
    <row r="36" spans="1:6">
      <c r="A36" s="45"/>
    </row>
    <row r="37" spans="1:6">
      <c r="A37" s="45"/>
    </row>
    <row r="38" spans="1:6">
      <c r="A38" s="45"/>
    </row>
    <row r="39" spans="1:6">
      <c r="A39" s="45"/>
    </row>
    <row r="40" spans="1:6">
      <c r="A40" s="45"/>
    </row>
    <row r="41" spans="1:6">
      <c r="A41" s="45"/>
    </row>
  </sheetData>
  <sheetProtection password="DF0E" sheet="1" objects="1" scenarios="1" autoFilter="0"/>
  <mergeCells count="18">
    <mergeCell ref="A1:F1"/>
    <mergeCell ref="A5:A6"/>
    <mergeCell ref="B5:E5"/>
    <mergeCell ref="A11:D11"/>
    <mergeCell ref="A3:F3"/>
    <mergeCell ref="A2:F2"/>
    <mergeCell ref="A4:E4"/>
    <mergeCell ref="A12:D12"/>
    <mergeCell ref="A24:E24"/>
    <mergeCell ref="A25:E25"/>
    <mergeCell ref="A15:F15"/>
    <mergeCell ref="A13:D13"/>
    <mergeCell ref="A17:A18"/>
    <mergeCell ref="B17:E17"/>
    <mergeCell ref="A23:E23"/>
    <mergeCell ref="A16:F16"/>
    <mergeCell ref="A14:F14"/>
    <mergeCell ref="F4:F13"/>
  </mergeCells>
  <printOptions horizontalCentered="1"/>
  <pageMargins left="0.55118110236220474" right="0.47244094488188981" top="0.74803149606299213" bottom="0.74803149606299213" header="0.31496062992125984" footer="0.31496062992125984"/>
  <pageSetup scale="85" orientation="portrait" cellComments="asDisplayed" r:id="rId1"/>
  <headerFooter>
    <oddFooter>&amp;L&amp;10Kingston Hydro Corporation&amp;C&amp;10_x000D_2011-2014 Final Results Report&amp;R&amp;P</oddFoot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73"/>
  <sheetViews>
    <sheetView topLeftCell="C9" zoomScale="85" zoomScaleNormal="85" zoomScaleSheetLayoutView="80" zoomScalePageLayoutView="85" workbookViewId="0">
      <selection activeCell="L9" sqref="L9"/>
    </sheetView>
  </sheetViews>
  <sheetFormatPr defaultColWidth="9.140625" defaultRowHeight="15"/>
  <cols>
    <col min="1" max="1" width="36.28515625" style="45" customWidth="1"/>
    <col min="2" max="2" width="12.42578125" style="45" customWidth="1"/>
    <col min="3" max="3" width="1.140625" style="45" customWidth="1"/>
    <col min="4" max="7" width="11.28515625" style="45" customWidth="1"/>
    <col min="8" max="8" width="1.140625" style="45" customWidth="1"/>
    <col min="9" max="11" width="11.28515625" style="45" customWidth="1"/>
    <col min="12" max="12" width="9.42578125" style="45" customWidth="1"/>
    <col min="13" max="13" width="1.140625" style="45" customWidth="1"/>
    <col min="14" max="17" width="12" style="45" bestFit="1" customWidth="1"/>
    <col min="18" max="18" width="1.140625" style="45" customWidth="1"/>
    <col min="19" max="19" width="18.5703125" style="45" customWidth="1"/>
    <col min="20" max="20" width="18.7109375" style="45" customWidth="1"/>
    <col min="21" max="16384" width="9.140625" style="45"/>
  </cols>
  <sheetData>
    <row r="1" spans="1:21" s="303" customFormat="1" ht="15.75" customHeight="1">
      <c r="A1" s="181"/>
      <c r="B1" s="181"/>
      <c r="C1" s="181"/>
      <c r="D1" s="181" t="s">
        <v>296</v>
      </c>
      <c r="E1" s="181"/>
      <c r="F1" s="181"/>
      <c r="G1" s="181"/>
      <c r="H1" s="181"/>
      <c r="I1" s="304"/>
      <c r="J1" s="304"/>
      <c r="K1" s="304"/>
      <c r="L1" s="304"/>
      <c r="M1" s="172"/>
      <c r="N1" s="172"/>
      <c r="O1" s="172"/>
      <c r="P1" s="172"/>
      <c r="Q1" s="172"/>
      <c r="R1" s="172"/>
      <c r="S1" s="172"/>
      <c r="T1" s="172"/>
    </row>
    <row r="2" spans="1:21" ht="30.75" customHeight="1">
      <c r="A2" s="762" t="s">
        <v>30</v>
      </c>
      <c r="B2" s="763" t="s">
        <v>130</v>
      </c>
      <c r="C2" s="181"/>
      <c r="D2" s="764" t="s">
        <v>131</v>
      </c>
      <c r="E2" s="765"/>
      <c r="F2" s="765"/>
      <c r="G2" s="766"/>
      <c r="H2" s="181"/>
      <c r="I2" s="770" t="s">
        <v>132</v>
      </c>
      <c r="J2" s="765"/>
      <c r="K2" s="765"/>
      <c r="L2" s="766"/>
      <c r="M2" s="172"/>
      <c r="N2" s="772" t="s">
        <v>133</v>
      </c>
      <c r="O2" s="773"/>
      <c r="P2" s="773"/>
      <c r="Q2" s="774"/>
      <c r="R2" s="172"/>
      <c r="S2" s="760" t="s">
        <v>152</v>
      </c>
      <c r="T2" s="761"/>
      <c r="U2" s="170"/>
    </row>
    <row r="3" spans="1:21" ht="39.75" customHeight="1">
      <c r="A3" s="762"/>
      <c r="B3" s="763"/>
      <c r="C3" s="181"/>
      <c r="D3" s="767"/>
      <c r="E3" s="768"/>
      <c r="F3" s="768"/>
      <c r="G3" s="769"/>
      <c r="H3" s="181"/>
      <c r="I3" s="771"/>
      <c r="J3" s="768"/>
      <c r="K3" s="768"/>
      <c r="L3" s="769"/>
      <c r="M3" s="172"/>
      <c r="N3" s="775"/>
      <c r="O3" s="776"/>
      <c r="P3" s="776"/>
      <c r="Q3" s="777"/>
      <c r="R3" s="172"/>
      <c r="S3" s="302" t="s">
        <v>134</v>
      </c>
      <c r="T3" s="301" t="s">
        <v>135</v>
      </c>
      <c r="U3" s="170"/>
    </row>
    <row r="4" spans="1:21">
      <c r="A4" s="762"/>
      <c r="B4" s="763"/>
      <c r="C4" s="181"/>
      <c r="D4" s="300" t="s">
        <v>153</v>
      </c>
      <c r="E4" s="298" t="s">
        <v>154</v>
      </c>
      <c r="F4" s="298" t="s">
        <v>155</v>
      </c>
      <c r="G4" s="299">
        <v>2014</v>
      </c>
      <c r="H4" s="181"/>
      <c r="I4" s="297">
        <v>2011</v>
      </c>
      <c r="J4" s="298">
        <v>2012</v>
      </c>
      <c r="K4" s="298">
        <v>2013</v>
      </c>
      <c r="L4" s="299">
        <v>2014</v>
      </c>
      <c r="M4" s="172"/>
      <c r="N4" s="297">
        <v>2011</v>
      </c>
      <c r="O4" s="298">
        <v>2012</v>
      </c>
      <c r="P4" s="298">
        <v>2013</v>
      </c>
      <c r="Q4" s="296">
        <v>2014</v>
      </c>
      <c r="R4" s="172"/>
      <c r="S4" s="297">
        <v>2014</v>
      </c>
      <c r="T4" s="296">
        <v>2014</v>
      </c>
      <c r="U4" s="170"/>
    </row>
    <row r="5" spans="1:21" ht="3.75" customHeight="1">
      <c r="A5" s="170"/>
      <c r="B5" s="170"/>
      <c r="C5" s="181"/>
      <c r="D5" s="170"/>
      <c r="E5" s="170"/>
      <c r="F5" s="170"/>
      <c r="G5" s="170"/>
      <c r="H5" s="181"/>
      <c r="I5" s="170"/>
      <c r="J5" s="170"/>
      <c r="K5" s="170"/>
      <c r="L5" s="170"/>
      <c r="M5" s="172"/>
      <c r="N5" s="295"/>
      <c r="O5" s="295"/>
      <c r="P5" s="295"/>
      <c r="Q5" s="295"/>
      <c r="R5" s="172"/>
      <c r="S5" s="170"/>
      <c r="T5" s="170"/>
      <c r="U5" s="170"/>
    </row>
    <row r="6" spans="1:21" ht="12" customHeight="1">
      <c r="A6" s="247" t="s">
        <v>107</v>
      </c>
      <c r="B6" s="246"/>
      <c r="C6" s="181"/>
      <c r="D6" s="249"/>
      <c r="E6" s="236"/>
      <c r="F6" s="236"/>
      <c r="G6" s="235"/>
      <c r="H6" s="181"/>
      <c r="I6" s="247"/>
      <c r="J6" s="248"/>
      <c r="K6" s="248"/>
      <c r="L6" s="246"/>
      <c r="M6" s="172"/>
      <c r="N6" s="247"/>
      <c r="O6" s="248"/>
      <c r="P6" s="248"/>
      <c r="Q6" s="246"/>
      <c r="R6" s="172"/>
      <c r="S6" s="247"/>
      <c r="T6" s="246"/>
      <c r="U6" s="230"/>
    </row>
    <row r="7" spans="1:21" ht="15" customHeight="1">
      <c r="A7" s="245" t="s">
        <v>21</v>
      </c>
      <c r="B7" s="228" t="s">
        <v>20</v>
      </c>
      <c r="C7" s="181"/>
      <c r="D7" s="227">
        <v>181.863</v>
      </c>
      <c r="E7" s="216">
        <v>90.66</v>
      </c>
      <c r="F7" s="216">
        <v>46.07</v>
      </c>
      <c r="G7" s="215">
        <v>56.07</v>
      </c>
      <c r="H7" s="185"/>
      <c r="I7" s="227">
        <v>9.7590000000000003</v>
      </c>
      <c r="J7" s="216">
        <v>5.1040000000000001</v>
      </c>
      <c r="K7" s="216">
        <v>3.1019999999999999</v>
      </c>
      <c r="L7" s="215">
        <v>4.3179999999999996</v>
      </c>
      <c r="M7" s="184"/>
      <c r="N7" s="214">
        <v>69601.599000000002</v>
      </c>
      <c r="O7" s="216">
        <v>36436.021999999997</v>
      </c>
      <c r="P7" s="216">
        <v>19133.287</v>
      </c>
      <c r="Q7" s="215">
        <v>23016.788</v>
      </c>
      <c r="R7" s="184"/>
      <c r="S7" s="214">
        <v>22.056000000000001</v>
      </c>
      <c r="T7" s="213">
        <v>448795.05499999999</v>
      </c>
      <c r="U7" s="170"/>
    </row>
    <row r="8" spans="1:21" ht="15" customHeight="1">
      <c r="A8" s="245" t="s">
        <v>19</v>
      </c>
      <c r="B8" s="220" t="s">
        <v>20</v>
      </c>
      <c r="C8" s="181"/>
      <c r="D8" s="214">
        <v>22.181999999999999</v>
      </c>
      <c r="E8" s="216">
        <v>66.924999999999997</v>
      </c>
      <c r="F8" s="216">
        <v>7</v>
      </c>
      <c r="G8" s="215">
        <v>41</v>
      </c>
      <c r="H8" s="185"/>
      <c r="I8" s="214">
        <v>2.2090000000000001</v>
      </c>
      <c r="J8" s="216">
        <v>9.3610000000000007</v>
      </c>
      <c r="K8" s="216">
        <v>1.45</v>
      </c>
      <c r="L8" s="215">
        <v>8.4949999999999992</v>
      </c>
      <c r="M8" s="184"/>
      <c r="N8" s="214">
        <v>2645.5569999999998</v>
      </c>
      <c r="O8" s="216">
        <v>16002.314</v>
      </c>
      <c r="P8" s="216">
        <v>2586.0790000000002</v>
      </c>
      <c r="Q8" s="215">
        <v>15147.035</v>
      </c>
      <c r="R8" s="184"/>
      <c r="S8" s="214">
        <v>20.061</v>
      </c>
      <c r="T8" s="213">
        <v>77607.710000000006</v>
      </c>
      <c r="U8" s="170"/>
    </row>
    <row r="9" spans="1:21" ht="15" customHeight="1">
      <c r="A9" s="245" t="s">
        <v>46</v>
      </c>
      <c r="B9" s="220" t="s">
        <v>26</v>
      </c>
      <c r="C9" s="181"/>
      <c r="D9" s="214">
        <v>293.39499999999998</v>
      </c>
      <c r="E9" s="216">
        <v>224.65799999999999</v>
      </c>
      <c r="F9" s="216">
        <v>178</v>
      </c>
      <c r="G9" s="215">
        <v>293</v>
      </c>
      <c r="H9" s="185"/>
      <c r="I9" s="214">
        <v>118.139</v>
      </c>
      <c r="J9" s="216">
        <v>52.904000000000003</v>
      </c>
      <c r="K9" s="216">
        <v>38.167000000000002</v>
      </c>
      <c r="L9" s="215">
        <v>65.462999999999994</v>
      </c>
      <c r="M9" s="184"/>
      <c r="N9" s="214">
        <v>230819.65400000001</v>
      </c>
      <c r="O9" s="216">
        <v>95798.091</v>
      </c>
      <c r="P9" s="216">
        <v>69935.744999999995</v>
      </c>
      <c r="Q9" s="215">
        <v>123220.02</v>
      </c>
      <c r="R9" s="184"/>
      <c r="S9" s="214">
        <v>274.67200000000003</v>
      </c>
      <c r="T9" s="213">
        <v>1473764.402</v>
      </c>
      <c r="U9" s="170"/>
    </row>
    <row r="10" spans="1:21" ht="15" customHeight="1">
      <c r="A10" s="244" t="s">
        <v>45</v>
      </c>
      <c r="B10" s="220" t="s">
        <v>136</v>
      </c>
      <c r="C10" s="181"/>
      <c r="D10" s="214">
        <v>2693.5520000000001</v>
      </c>
      <c r="E10" s="216">
        <v>154.87899999999999</v>
      </c>
      <c r="F10" s="216">
        <v>1744.52</v>
      </c>
      <c r="G10" s="215">
        <v>6774.5169999999998</v>
      </c>
      <c r="H10" s="185"/>
      <c r="I10" s="214">
        <v>6.1029999999999998</v>
      </c>
      <c r="J10" s="216">
        <v>1.155</v>
      </c>
      <c r="K10" s="216">
        <v>2.59</v>
      </c>
      <c r="L10" s="215">
        <v>13.194000000000001</v>
      </c>
      <c r="M10" s="184"/>
      <c r="N10" s="214">
        <v>98588.392000000007</v>
      </c>
      <c r="O10" s="216">
        <v>7010.2529999999997</v>
      </c>
      <c r="P10" s="216">
        <v>38643.947</v>
      </c>
      <c r="Q10" s="215">
        <v>184681.008</v>
      </c>
      <c r="R10" s="184"/>
      <c r="S10" s="214">
        <v>23.042999999999999</v>
      </c>
      <c r="T10" s="213">
        <v>677353.23100000003</v>
      </c>
      <c r="U10" s="170"/>
    </row>
    <row r="11" spans="1:21" ht="15" customHeight="1">
      <c r="A11" s="244" t="s">
        <v>43</v>
      </c>
      <c r="B11" s="220" t="s">
        <v>136</v>
      </c>
      <c r="C11" s="181"/>
      <c r="D11" s="214">
        <v>4773.8500000000004</v>
      </c>
      <c r="E11" s="216">
        <v>5319.1049999999996</v>
      </c>
      <c r="F11" s="216">
        <v>4736.8639999999996</v>
      </c>
      <c r="G11" s="215">
        <v>24190.161</v>
      </c>
      <c r="H11" s="185"/>
      <c r="I11" s="214">
        <v>8.4309999999999992</v>
      </c>
      <c r="J11" s="216">
        <v>7.42</v>
      </c>
      <c r="K11" s="216">
        <v>5.9349999999999996</v>
      </c>
      <c r="L11" s="215">
        <v>40.328000000000003</v>
      </c>
      <c r="M11" s="184"/>
      <c r="N11" s="214">
        <v>147341.815</v>
      </c>
      <c r="O11" s="216">
        <v>134276.97899999999</v>
      </c>
      <c r="P11" s="216">
        <v>86135.657999999996</v>
      </c>
      <c r="Q11" s="215">
        <v>616205.40899999999</v>
      </c>
      <c r="R11" s="184"/>
      <c r="S11" s="214">
        <v>62.113</v>
      </c>
      <c r="T11" s="213">
        <v>1780674.923</v>
      </c>
      <c r="U11" s="170"/>
    </row>
    <row r="12" spans="1:21" ht="15" customHeight="1">
      <c r="A12" s="244" t="s">
        <v>54</v>
      </c>
      <c r="B12" s="220" t="s">
        <v>136</v>
      </c>
      <c r="C12" s="181"/>
      <c r="D12" s="214">
        <v>0</v>
      </c>
      <c r="E12" s="216">
        <v>0</v>
      </c>
      <c r="F12" s="216">
        <v>0</v>
      </c>
      <c r="G12" s="215">
        <v>0</v>
      </c>
      <c r="H12" s="185"/>
      <c r="I12" s="214">
        <v>0</v>
      </c>
      <c r="J12" s="216">
        <v>0</v>
      </c>
      <c r="K12" s="216">
        <v>0</v>
      </c>
      <c r="L12" s="215">
        <v>0</v>
      </c>
      <c r="M12" s="184"/>
      <c r="N12" s="214">
        <v>0</v>
      </c>
      <c r="O12" s="216">
        <v>0</v>
      </c>
      <c r="P12" s="216">
        <v>0</v>
      </c>
      <c r="Q12" s="215">
        <v>0</v>
      </c>
      <c r="R12" s="184"/>
      <c r="S12" s="214">
        <v>0</v>
      </c>
      <c r="T12" s="213">
        <v>0</v>
      </c>
      <c r="U12" s="170"/>
    </row>
    <row r="13" spans="1:21" ht="15" customHeight="1">
      <c r="A13" s="274" t="s">
        <v>156</v>
      </c>
      <c r="B13" s="273" t="s">
        <v>137</v>
      </c>
      <c r="C13" s="174"/>
      <c r="D13" s="268">
        <v>0</v>
      </c>
      <c r="E13" s="271">
        <v>0</v>
      </c>
      <c r="F13" s="271">
        <v>0</v>
      </c>
      <c r="G13" s="270">
        <v>0</v>
      </c>
      <c r="H13" s="174"/>
      <c r="I13" s="268">
        <v>0</v>
      </c>
      <c r="J13" s="271">
        <v>0</v>
      </c>
      <c r="K13" s="271">
        <v>0</v>
      </c>
      <c r="L13" s="270">
        <v>0</v>
      </c>
      <c r="M13" s="172"/>
      <c r="N13" s="268">
        <v>0</v>
      </c>
      <c r="O13" s="271">
        <v>0</v>
      </c>
      <c r="P13" s="271">
        <v>0</v>
      </c>
      <c r="Q13" s="270">
        <v>0</v>
      </c>
      <c r="R13" s="172"/>
      <c r="S13" s="268">
        <v>0</v>
      </c>
      <c r="T13" s="267">
        <v>0</v>
      </c>
      <c r="U13" s="172"/>
    </row>
    <row r="14" spans="1:21" s="47" customFormat="1" ht="15" customHeight="1">
      <c r="A14" s="285" t="s">
        <v>157</v>
      </c>
      <c r="B14" s="284" t="s">
        <v>137</v>
      </c>
      <c r="C14" s="181"/>
      <c r="D14" s="282">
        <v>0</v>
      </c>
      <c r="E14" s="283">
        <v>0</v>
      </c>
      <c r="F14" s="283">
        <v>0</v>
      </c>
      <c r="G14" s="281">
        <v>0</v>
      </c>
      <c r="H14" s="185"/>
      <c r="I14" s="282">
        <v>0</v>
      </c>
      <c r="J14" s="283">
        <v>0</v>
      </c>
      <c r="K14" s="283">
        <v>0</v>
      </c>
      <c r="L14" s="281">
        <v>0</v>
      </c>
      <c r="M14" s="191"/>
      <c r="N14" s="282">
        <v>0</v>
      </c>
      <c r="O14" s="283">
        <v>0</v>
      </c>
      <c r="P14" s="283">
        <v>0</v>
      </c>
      <c r="Q14" s="281">
        <v>0</v>
      </c>
      <c r="R14" s="191"/>
      <c r="S14" s="282">
        <v>0</v>
      </c>
      <c r="T14" s="281">
        <v>0</v>
      </c>
      <c r="U14" s="174"/>
    </row>
    <row r="15" spans="1:21" ht="15" customHeight="1">
      <c r="A15" s="294" t="s">
        <v>108</v>
      </c>
      <c r="B15" s="293" t="s">
        <v>138</v>
      </c>
      <c r="C15" s="181"/>
      <c r="D15" s="241">
        <v>0</v>
      </c>
      <c r="E15" s="216">
        <v>0</v>
      </c>
      <c r="F15" s="216">
        <v>0</v>
      </c>
      <c r="G15" s="215">
        <v>0</v>
      </c>
      <c r="H15" s="185"/>
      <c r="I15" s="214">
        <v>0</v>
      </c>
      <c r="J15" s="216">
        <v>0</v>
      </c>
      <c r="K15" s="216">
        <v>0</v>
      </c>
      <c r="L15" s="215">
        <v>0</v>
      </c>
      <c r="M15" s="184"/>
      <c r="N15" s="214">
        <v>0</v>
      </c>
      <c r="O15" s="216">
        <v>0</v>
      </c>
      <c r="P15" s="216">
        <v>0</v>
      </c>
      <c r="Q15" s="215">
        <v>0</v>
      </c>
      <c r="R15" s="184"/>
      <c r="S15" s="214">
        <v>0</v>
      </c>
      <c r="T15" s="213">
        <v>0</v>
      </c>
      <c r="U15" s="170"/>
    </row>
    <row r="16" spans="1:21">
      <c r="A16" s="240" t="s">
        <v>109</v>
      </c>
      <c r="B16" s="239"/>
      <c r="C16" s="181"/>
      <c r="D16" s="238"/>
      <c r="E16" s="209"/>
      <c r="F16" s="209"/>
      <c r="G16" s="208"/>
      <c r="H16" s="185"/>
      <c r="I16" s="183">
        <v>144.64099999999999</v>
      </c>
      <c r="J16" s="183">
        <v>75.944000000000003</v>
      </c>
      <c r="K16" s="183">
        <v>51.244</v>
      </c>
      <c r="L16" s="183">
        <v>131.798</v>
      </c>
      <c r="M16" s="184"/>
      <c r="N16" s="183">
        <v>548997.01699999999</v>
      </c>
      <c r="O16" s="183">
        <v>289523.65899999999</v>
      </c>
      <c r="P16" s="183">
        <v>216434.71599999999</v>
      </c>
      <c r="Q16" s="183">
        <v>962270.26</v>
      </c>
      <c r="R16" s="184"/>
      <c r="S16" s="183">
        <v>401.94499999999999</v>
      </c>
      <c r="T16" s="183">
        <v>4458195.3210000005</v>
      </c>
      <c r="U16" s="207"/>
    </row>
    <row r="17" spans="1:24" ht="3.75" customHeight="1">
      <c r="A17" s="292"/>
      <c r="B17" s="264"/>
      <c r="C17" s="181"/>
      <c r="D17" s="264"/>
      <c r="E17" s="264"/>
      <c r="F17" s="264"/>
      <c r="G17" s="264"/>
      <c r="H17" s="185"/>
      <c r="I17" s="251"/>
      <c r="J17" s="251"/>
      <c r="K17" s="251"/>
      <c r="L17" s="251"/>
      <c r="M17" s="184"/>
      <c r="N17" s="251"/>
      <c r="O17" s="251"/>
      <c r="P17" s="184"/>
      <c r="Q17" s="184"/>
      <c r="R17" s="184"/>
      <c r="S17" s="193"/>
      <c r="T17" s="250"/>
      <c r="U17" s="170"/>
    </row>
    <row r="18" spans="1:24" ht="12" customHeight="1">
      <c r="A18" s="247" t="s">
        <v>110</v>
      </c>
      <c r="B18" s="246"/>
      <c r="C18" s="181"/>
      <c r="D18" s="249"/>
      <c r="E18" s="236"/>
      <c r="F18" s="236"/>
      <c r="G18" s="235"/>
      <c r="H18" s="185"/>
      <c r="I18" s="247"/>
      <c r="J18" s="248"/>
      <c r="K18" s="248"/>
      <c r="L18" s="246"/>
      <c r="M18" s="184"/>
      <c r="N18" s="247"/>
      <c r="O18" s="248"/>
      <c r="P18" s="248"/>
      <c r="Q18" s="246"/>
      <c r="R18" s="184"/>
      <c r="S18" s="247"/>
      <c r="T18" s="246"/>
      <c r="U18" s="230"/>
    </row>
    <row r="19" spans="1:24" ht="15" customHeight="1">
      <c r="A19" s="291" t="s">
        <v>12</v>
      </c>
      <c r="B19" s="290" t="s">
        <v>13</v>
      </c>
      <c r="C19" s="181"/>
      <c r="D19" s="227">
        <v>40</v>
      </c>
      <c r="E19" s="216">
        <v>63</v>
      </c>
      <c r="F19" s="216">
        <v>76</v>
      </c>
      <c r="G19" s="215">
        <v>75</v>
      </c>
      <c r="H19" s="185"/>
      <c r="I19" s="214">
        <v>360.25</v>
      </c>
      <c r="J19" s="216">
        <v>536.31100000000004</v>
      </c>
      <c r="K19" s="216">
        <v>240.24700000000001</v>
      </c>
      <c r="L19" s="215">
        <v>233.04300000000001</v>
      </c>
      <c r="M19" s="184"/>
      <c r="N19" s="214">
        <v>1921835.0060000001</v>
      </c>
      <c r="O19" s="216">
        <v>3121717.3080000002</v>
      </c>
      <c r="P19" s="216">
        <v>5089596.2699999996</v>
      </c>
      <c r="Q19" s="215">
        <v>1834237.828</v>
      </c>
      <c r="R19" s="184"/>
      <c r="S19" s="214">
        <v>1341.7860000000001</v>
      </c>
      <c r="T19" s="213">
        <v>28974239.383000001</v>
      </c>
      <c r="U19" s="289"/>
      <c r="V19" s="289"/>
      <c r="W19" s="289"/>
      <c r="X19" s="289"/>
    </row>
    <row r="20" spans="1:24" ht="15" customHeight="1">
      <c r="A20" s="288" t="s">
        <v>38</v>
      </c>
      <c r="B20" s="286" t="s">
        <v>13</v>
      </c>
      <c r="C20" s="181"/>
      <c r="D20" s="214">
        <v>108</v>
      </c>
      <c r="E20" s="216">
        <v>386</v>
      </c>
      <c r="F20" s="216">
        <v>62</v>
      </c>
      <c r="G20" s="215">
        <v>110</v>
      </c>
      <c r="H20" s="185"/>
      <c r="I20" s="214">
        <v>105.01300000000001</v>
      </c>
      <c r="J20" s="216">
        <v>237.71199999999999</v>
      </c>
      <c r="K20" s="216">
        <v>64.120999999999995</v>
      </c>
      <c r="L20" s="215">
        <v>93.215999999999994</v>
      </c>
      <c r="M20" s="184"/>
      <c r="N20" s="214">
        <v>264375.71100000001</v>
      </c>
      <c r="O20" s="216">
        <v>942754.88500000001</v>
      </c>
      <c r="P20" s="216">
        <v>222931.87599999999</v>
      </c>
      <c r="Q20" s="215">
        <v>338658.34600000002</v>
      </c>
      <c r="R20" s="184"/>
      <c r="S20" s="214">
        <v>477.26900000000001</v>
      </c>
      <c r="T20" s="213">
        <v>4602374.375</v>
      </c>
      <c r="U20" s="170"/>
    </row>
    <row r="21" spans="1:24" ht="15" customHeight="1">
      <c r="A21" s="288" t="s">
        <v>111</v>
      </c>
      <c r="B21" s="286" t="s">
        <v>53</v>
      </c>
      <c r="C21" s="181"/>
      <c r="D21" s="214">
        <v>0</v>
      </c>
      <c r="E21" s="216">
        <v>0</v>
      </c>
      <c r="F21" s="216">
        <v>0</v>
      </c>
      <c r="G21" s="215">
        <v>0</v>
      </c>
      <c r="H21" s="185"/>
      <c r="I21" s="214">
        <v>0</v>
      </c>
      <c r="J21" s="216">
        <v>0</v>
      </c>
      <c r="K21" s="216">
        <v>0</v>
      </c>
      <c r="L21" s="215">
        <v>0</v>
      </c>
      <c r="M21" s="184"/>
      <c r="N21" s="214">
        <v>0</v>
      </c>
      <c r="O21" s="216">
        <v>0</v>
      </c>
      <c r="P21" s="216">
        <v>0</v>
      </c>
      <c r="Q21" s="215">
        <v>0</v>
      </c>
      <c r="R21" s="184"/>
      <c r="S21" s="214">
        <v>0</v>
      </c>
      <c r="T21" s="213">
        <v>0</v>
      </c>
      <c r="U21" s="170"/>
    </row>
    <row r="22" spans="1:24" ht="15" customHeight="1">
      <c r="A22" s="287" t="s">
        <v>11</v>
      </c>
      <c r="B22" s="286" t="s">
        <v>53</v>
      </c>
      <c r="C22" s="181"/>
      <c r="D22" s="214">
        <v>0</v>
      </c>
      <c r="E22" s="216">
        <v>6</v>
      </c>
      <c r="F22" s="216">
        <v>2</v>
      </c>
      <c r="G22" s="215">
        <v>2</v>
      </c>
      <c r="H22" s="185"/>
      <c r="I22" s="214">
        <v>0</v>
      </c>
      <c r="J22" s="216">
        <v>0.73499999999999999</v>
      </c>
      <c r="K22" s="216">
        <v>21.6</v>
      </c>
      <c r="L22" s="215">
        <v>48.905000000000001</v>
      </c>
      <c r="M22" s="184"/>
      <c r="N22" s="214">
        <v>0</v>
      </c>
      <c r="O22" s="216">
        <v>1596.91</v>
      </c>
      <c r="P22" s="216">
        <v>58802.057999999997</v>
      </c>
      <c r="Q22" s="215">
        <v>84927.365999999995</v>
      </c>
      <c r="R22" s="184"/>
      <c r="S22" s="214">
        <v>71.241</v>
      </c>
      <c r="T22" s="213">
        <v>207322.212</v>
      </c>
      <c r="U22" s="170"/>
    </row>
    <row r="23" spans="1:24" ht="15" customHeight="1">
      <c r="A23" s="287" t="s">
        <v>40</v>
      </c>
      <c r="B23" s="286" t="s">
        <v>41</v>
      </c>
      <c r="C23" s="181"/>
      <c r="D23" s="214">
        <v>3</v>
      </c>
      <c r="E23" s="216">
        <v>7</v>
      </c>
      <c r="F23" s="216">
        <v>2</v>
      </c>
      <c r="G23" s="215">
        <v>5</v>
      </c>
      <c r="H23" s="185"/>
      <c r="I23" s="214">
        <v>0</v>
      </c>
      <c r="J23" s="216">
        <v>25.885999999999999</v>
      </c>
      <c r="K23" s="216">
        <v>17.625</v>
      </c>
      <c r="L23" s="215">
        <v>66.834999999999994</v>
      </c>
      <c r="M23" s="184"/>
      <c r="N23" s="214">
        <v>0</v>
      </c>
      <c r="O23" s="216">
        <v>125881.272</v>
      </c>
      <c r="P23" s="216">
        <v>96901.535999999993</v>
      </c>
      <c r="Q23" s="215">
        <v>326367.84999999998</v>
      </c>
      <c r="R23" s="184"/>
      <c r="S23" s="214">
        <v>110.346</v>
      </c>
      <c r="T23" s="213">
        <v>897814.73800000001</v>
      </c>
      <c r="U23" s="170"/>
    </row>
    <row r="24" spans="1:24" ht="15" customHeight="1">
      <c r="A24" s="274" t="s">
        <v>158</v>
      </c>
      <c r="B24" s="280" t="s">
        <v>137</v>
      </c>
      <c r="C24" s="174"/>
      <c r="D24" s="268">
        <v>0</v>
      </c>
      <c r="E24" s="271">
        <v>0</v>
      </c>
      <c r="F24" s="271">
        <v>0</v>
      </c>
      <c r="G24" s="270">
        <v>0</v>
      </c>
      <c r="H24" s="174"/>
      <c r="I24" s="268">
        <v>0</v>
      </c>
      <c r="J24" s="271">
        <v>0</v>
      </c>
      <c r="K24" s="271">
        <v>0</v>
      </c>
      <c r="L24" s="270">
        <v>0</v>
      </c>
      <c r="M24" s="172"/>
      <c r="N24" s="268">
        <v>0</v>
      </c>
      <c r="O24" s="271">
        <v>0</v>
      </c>
      <c r="P24" s="271">
        <v>0</v>
      </c>
      <c r="Q24" s="270">
        <v>0</v>
      </c>
      <c r="R24" s="172"/>
      <c r="S24" s="268">
        <v>0</v>
      </c>
      <c r="T24" s="267">
        <v>0</v>
      </c>
      <c r="U24" s="172"/>
    </row>
    <row r="25" spans="1:24" s="47" customFormat="1" ht="15" customHeight="1">
      <c r="A25" s="285" t="s">
        <v>159</v>
      </c>
      <c r="B25" s="284" t="s">
        <v>137</v>
      </c>
      <c r="C25" s="181"/>
      <c r="D25" s="282">
        <v>0</v>
      </c>
      <c r="E25" s="283">
        <v>0</v>
      </c>
      <c r="F25" s="283">
        <v>0</v>
      </c>
      <c r="G25" s="281">
        <v>0</v>
      </c>
      <c r="H25" s="185"/>
      <c r="I25" s="282">
        <v>0</v>
      </c>
      <c r="J25" s="283">
        <v>0</v>
      </c>
      <c r="K25" s="283">
        <v>0</v>
      </c>
      <c r="L25" s="281">
        <v>0</v>
      </c>
      <c r="M25" s="191"/>
      <c r="N25" s="282">
        <v>0</v>
      </c>
      <c r="O25" s="283">
        <v>0</v>
      </c>
      <c r="P25" s="283">
        <v>0</v>
      </c>
      <c r="Q25" s="281">
        <v>0</v>
      </c>
      <c r="R25" s="191"/>
      <c r="S25" s="282">
        <v>0</v>
      </c>
      <c r="T25" s="281">
        <v>0</v>
      </c>
      <c r="U25" s="174"/>
    </row>
    <row r="26" spans="1:24" ht="15" customHeight="1">
      <c r="A26" s="274" t="s">
        <v>49</v>
      </c>
      <c r="B26" s="280" t="s">
        <v>10</v>
      </c>
      <c r="C26" s="174"/>
      <c r="D26" s="272">
        <v>3</v>
      </c>
      <c r="E26" s="271">
        <v>3</v>
      </c>
      <c r="F26" s="271">
        <v>2</v>
      </c>
      <c r="G26" s="270">
        <v>2</v>
      </c>
      <c r="H26" s="174"/>
      <c r="I26" s="268">
        <v>4018.3739999999998</v>
      </c>
      <c r="J26" s="271">
        <v>4030.2179999999998</v>
      </c>
      <c r="K26" s="271">
        <v>3894.4540000000002</v>
      </c>
      <c r="L26" s="270">
        <v>4440.0330000000004</v>
      </c>
      <c r="M26" s="172"/>
      <c r="N26" s="268">
        <v>156889.29999999999</v>
      </c>
      <c r="O26" s="271">
        <v>58580.5</v>
      </c>
      <c r="P26" s="271">
        <v>52001.86</v>
      </c>
      <c r="Q26" s="270">
        <v>0</v>
      </c>
      <c r="R26" s="172"/>
      <c r="S26" s="268">
        <v>4440.0330000000004</v>
      </c>
      <c r="T26" s="267">
        <v>267471.65999999997</v>
      </c>
      <c r="U26" s="172"/>
    </row>
    <row r="27" spans="1:24">
      <c r="A27" s="240" t="s">
        <v>112</v>
      </c>
      <c r="B27" s="239"/>
      <c r="C27" s="181"/>
      <c r="D27" s="238"/>
      <c r="E27" s="209"/>
      <c r="F27" s="209"/>
      <c r="G27" s="208"/>
      <c r="H27" s="185"/>
      <c r="I27" s="183">
        <v>4483.6369999999997</v>
      </c>
      <c r="J27" s="183">
        <v>4830.8620000000001</v>
      </c>
      <c r="K27" s="183">
        <v>4238.0469999999996</v>
      </c>
      <c r="L27" s="183">
        <v>4882.0320000000002</v>
      </c>
      <c r="M27" s="184"/>
      <c r="N27" s="183">
        <v>2343100.017</v>
      </c>
      <c r="O27" s="183">
        <v>4250530.875</v>
      </c>
      <c r="P27" s="183">
        <v>5520233.5999999996</v>
      </c>
      <c r="Q27" s="183">
        <v>2584191.39</v>
      </c>
      <c r="R27" s="184"/>
      <c r="S27" s="183">
        <v>6440.6750000000002</v>
      </c>
      <c r="T27" s="183">
        <v>34949222.368000001</v>
      </c>
      <c r="U27" s="207"/>
    </row>
    <row r="28" spans="1:24" ht="3.75" customHeight="1">
      <c r="A28" s="279"/>
      <c r="B28" s="278"/>
      <c r="C28" s="181"/>
      <c r="D28" s="278"/>
      <c r="E28" s="278"/>
      <c r="F28" s="278"/>
      <c r="G28" s="278"/>
      <c r="H28" s="185"/>
      <c r="I28" s="277"/>
      <c r="J28" s="277"/>
      <c r="K28" s="277"/>
      <c r="L28" s="277"/>
      <c r="M28" s="184"/>
      <c r="N28" s="277"/>
      <c r="O28" s="277"/>
      <c r="P28" s="184"/>
      <c r="Q28" s="184"/>
      <c r="R28" s="184"/>
      <c r="S28" s="193"/>
      <c r="T28" s="194"/>
      <c r="U28" s="276"/>
    </row>
    <row r="29" spans="1:24" ht="12" customHeight="1">
      <c r="A29" s="247" t="s">
        <v>113</v>
      </c>
      <c r="B29" s="246"/>
      <c r="C29" s="181"/>
      <c r="D29" s="249"/>
      <c r="E29" s="236"/>
      <c r="F29" s="236"/>
      <c r="G29" s="235"/>
      <c r="H29" s="185"/>
      <c r="I29" s="247"/>
      <c r="J29" s="248"/>
      <c r="K29" s="248"/>
      <c r="L29" s="246"/>
      <c r="M29" s="184"/>
      <c r="N29" s="247"/>
      <c r="O29" s="248"/>
      <c r="P29" s="248"/>
      <c r="Q29" s="246"/>
      <c r="R29" s="184"/>
      <c r="S29" s="247"/>
      <c r="T29" s="246"/>
      <c r="U29" s="230"/>
    </row>
    <row r="30" spans="1:24" ht="15" customHeight="1">
      <c r="A30" s="245" t="s">
        <v>114</v>
      </c>
      <c r="B30" s="228" t="s">
        <v>13</v>
      </c>
      <c r="C30" s="181"/>
      <c r="D30" s="214">
        <v>0</v>
      </c>
      <c r="E30" s="216">
        <v>0</v>
      </c>
      <c r="F30" s="216">
        <v>0</v>
      </c>
      <c r="G30" s="215">
        <v>0</v>
      </c>
      <c r="H30" s="185"/>
      <c r="I30" s="214">
        <v>0</v>
      </c>
      <c r="J30" s="216">
        <v>0</v>
      </c>
      <c r="K30" s="216">
        <v>0</v>
      </c>
      <c r="L30" s="215">
        <v>0</v>
      </c>
      <c r="M30" s="184"/>
      <c r="N30" s="214">
        <v>0</v>
      </c>
      <c r="O30" s="216">
        <v>0</v>
      </c>
      <c r="P30" s="216">
        <v>0</v>
      </c>
      <c r="Q30" s="215">
        <v>0</v>
      </c>
      <c r="R30" s="184"/>
      <c r="S30" s="214">
        <v>0</v>
      </c>
      <c r="T30" s="213">
        <v>0</v>
      </c>
      <c r="U30" s="170"/>
    </row>
    <row r="31" spans="1:24" ht="15" customHeight="1">
      <c r="A31" s="244" t="s">
        <v>115</v>
      </c>
      <c r="B31" s="220" t="s">
        <v>13</v>
      </c>
      <c r="C31" s="181"/>
      <c r="D31" s="214">
        <v>0</v>
      </c>
      <c r="E31" s="216">
        <v>0</v>
      </c>
      <c r="F31" s="216">
        <v>0</v>
      </c>
      <c r="G31" s="215">
        <v>0</v>
      </c>
      <c r="H31" s="185"/>
      <c r="I31" s="214">
        <v>0</v>
      </c>
      <c r="J31" s="216">
        <v>0</v>
      </c>
      <c r="K31" s="216">
        <v>0</v>
      </c>
      <c r="L31" s="215">
        <v>0</v>
      </c>
      <c r="M31" s="184"/>
      <c r="N31" s="214">
        <v>0</v>
      </c>
      <c r="O31" s="216">
        <v>0</v>
      </c>
      <c r="P31" s="216">
        <v>0</v>
      </c>
      <c r="Q31" s="215">
        <v>0</v>
      </c>
      <c r="R31" s="184"/>
      <c r="S31" s="214">
        <v>0</v>
      </c>
      <c r="T31" s="213">
        <v>0</v>
      </c>
      <c r="U31" s="170"/>
    </row>
    <row r="32" spans="1:24" ht="15" customHeight="1">
      <c r="A32" s="244" t="s">
        <v>116</v>
      </c>
      <c r="B32" s="220" t="s">
        <v>13</v>
      </c>
      <c r="C32" s="181"/>
      <c r="D32" s="214">
        <v>0</v>
      </c>
      <c r="E32" s="216">
        <v>0</v>
      </c>
      <c r="F32" s="216">
        <v>0</v>
      </c>
      <c r="G32" s="215">
        <v>0</v>
      </c>
      <c r="H32" s="185"/>
      <c r="I32" s="214">
        <v>0</v>
      </c>
      <c r="J32" s="216">
        <v>0</v>
      </c>
      <c r="K32" s="216">
        <v>0</v>
      </c>
      <c r="L32" s="215">
        <v>0</v>
      </c>
      <c r="M32" s="184"/>
      <c r="N32" s="214">
        <v>0</v>
      </c>
      <c r="O32" s="216">
        <v>0</v>
      </c>
      <c r="P32" s="216">
        <v>0</v>
      </c>
      <c r="Q32" s="215">
        <v>0</v>
      </c>
      <c r="R32" s="184"/>
      <c r="S32" s="214">
        <v>0</v>
      </c>
      <c r="T32" s="213">
        <v>0</v>
      </c>
      <c r="U32" s="170"/>
    </row>
    <row r="33" spans="1:21" ht="15" customHeight="1">
      <c r="A33" s="275" t="s">
        <v>12</v>
      </c>
      <c r="B33" s="220" t="s">
        <v>13</v>
      </c>
      <c r="C33" s="181"/>
      <c r="D33" s="214">
        <v>0</v>
      </c>
      <c r="E33" s="216">
        <v>0</v>
      </c>
      <c r="F33" s="216">
        <v>0</v>
      </c>
      <c r="G33" s="215">
        <v>0</v>
      </c>
      <c r="H33" s="185"/>
      <c r="I33" s="214">
        <v>0</v>
      </c>
      <c r="J33" s="216">
        <v>0</v>
      </c>
      <c r="K33" s="216">
        <v>0</v>
      </c>
      <c r="L33" s="215">
        <v>0</v>
      </c>
      <c r="M33" s="184"/>
      <c r="N33" s="214">
        <v>0</v>
      </c>
      <c r="O33" s="216">
        <v>0</v>
      </c>
      <c r="P33" s="216">
        <v>0</v>
      </c>
      <c r="Q33" s="215">
        <v>0</v>
      </c>
      <c r="R33" s="184"/>
      <c r="S33" s="214">
        <v>0</v>
      </c>
      <c r="T33" s="213">
        <v>0</v>
      </c>
      <c r="U33" s="170"/>
    </row>
    <row r="34" spans="1:21" ht="15" customHeight="1">
      <c r="A34" s="274" t="s">
        <v>295</v>
      </c>
      <c r="B34" s="273" t="s">
        <v>10</v>
      </c>
      <c r="C34" s="174"/>
      <c r="D34" s="272">
        <v>0</v>
      </c>
      <c r="E34" s="271">
        <v>1</v>
      </c>
      <c r="F34" s="271">
        <v>1</v>
      </c>
      <c r="G34" s="270">
        <v>0</v>
      </c>
      <c r="H34" s="174"/>
      <c r="I34" s="268">
        <v>0</v>
      </c>
      <c r="J34" s="271">
        <v>349.20400000000001</v>
      </c>
      <c r="K34" s="271">
        <v>325.505</v>
      </c>
      <c r="L34" s="270">
        <v>0</v>
      </c>
      <c r="M34" s="269"/>
      <c r="N34" s="268">
        <v>0</v>
      </c>
      <c r="O34" s="271">
        <v>8415.6730000000007</v>
      </c>
      <c r="P34" s="271">
        <v>7411.9459999999999</v>
      </c>
      <c r="Q34" s="270">
        <v>0</v>
      </c>
      <c r="R34" s="269"/>
      <c r="S34" s="268">
        <v>0</v>
      </c>
      <c r="T34" s="267">
        <v>15827.619000000001</v>
      </c>
      <c r="U34" s="172"/>
    </row>
    <row r="35" spans="1:21">
      <c r="A35" s="240" t="s">
        <v>117</v>
      </c>
      <c r="B35" s="239"/>
      <c r="C35" s="181"/>
      <c r="D35" s="238"/>
      <c r="E35" s="209"/>
      <c r="F35" s="209"/>
      <c r="G35" s="208"/>
      <c r="H35" s="185"/>
      <c r="I35" s="183">
        <v>0</v>
      </c>
      <c r="J35" s="183">
        <v>349.20400000000001</v>
      </c>
      <c r="K35" s="183">
        <v>325.505</v>
      </c>
      <c r="L35" s="183">
        <v>0</v>
      </c>
      <c r="M35" s="184"/>
      <c r="N35" s="183">
        <v>0</v>
      </c>
      <c r="O35" s="183">
        <v>8415.6730000000007</v>
      </c>
      <c r="P35" s="183">
        <v>7411.9459999999999</v>
      </c>
      <c r="Q35" s="183">
        <v>0</v>
      </c>
      <c r="R35" s="184"/>
      <c r="S35" s="183">
        <v>0</v>
      </c>
      <c r="T35" s="183">
        <v>15827.619000000001</v>
      </c>
      <c r="U35" s="207"/>
    </row>
    <row r="36" spans="1:21" ht="3" customHeight="1">
      <c r="A36" s="266"/>
      <c r="B36" s="265"/>
      <c r="C36" s="181"/>
      <c r="D36" s="264"/>
      <c r="E36" s="264"/>
      <c r="F36" s="264"/>
      <c r="G36" s="264"/>
      <c r="H36" s="185"/>
      <c r="I36" s="251"/>
      <c r="J36" s="251"/>
      <c r="K36" s="251"/>
      <c r="L36" s="251"/>
      <c r="M36" s="184"/>
      <c r="N36" s="251"/>
      <c r="O36" s="251"/>
      <c r="P36" s="184"/>
      <c r="Q36" s="184"/>
      <c r="R36" s="184"/>
      <c r="S36" s="193"/>
      <c r="T36" s="250"/>
      <c r="U36" s="170"/>
    </row>
    <row r="37" spans="1:21" ht="12" customHeight="1">
      <c r="A37" s="247" t="s">
        <v>23</v>
      </c>
      <c r="B37" s="246"/>
      <c r="C37" s="181"/>
      <c r="D37" s="249"/>
      <c r="E37" s="236"/>
      <c r="F37" s="236"/>
      <c r="G37" s="235"/>
      <c r="H37" s="185"/>
      <c r="I37" s="247"/>
      <c r="J37" s="248"/>
      <c r="K37" s="248"/>
      <c r="L37" s="246"/>
      <c r="M37" s="184"/>
      <c r="N37" s="247"/>
      <c r="O37" s="248"/>
      <c r="P37" s="248"/>
      <c r="Q37" s="246"/>
      <c r="R37" s="184"/>
      <c r="S37" s="247"/>
      <c r="T37" s="246"/>
      <c r="U37" s="230"/>
    </row>
    <row r="38" spans="1:21" ht="15" customHeight="1">
      <c r="A38" s="243" t="s">
        <v>23</v>
      </c>
      <c r="B38" s="242" t="s">
        <v>138</v>
      </c>
      <c r="C38" s="181"/>
      <c r="D38" s="263">
        <v>0</v>
      </c>
      <c r="E38" s="262">
        <v>71</v>
      </c>
      <c r="F38" s="262">
        <v>349</v>
      </c>
      <c r="G38" s="261">
        <v>43</v>
      </c>
      <c r="H38" s="185"/>
      <c r="I38" s="214">
        <v>0</v>
      </c>
      <c r="J38" s="216">
        <v>5.8680000000000003</v>
      </c>
      <c r="K38" s="216">
        <v>26.881</v>
      </c>
      <c r="L38" s="215">
        <v>7.694</v>
      </c>
      <c r="M38" s="184"/>
      <c r="N38" s="214">
        <v>0</v>
      </c>
      <c r="O38" s="216">
        <v>48513.360999999997</v>
      </c>
      <c r="P38" s="216">
        <v>272016.255</v>
      </c>
      <c r="Q38" s="215">
        <v>46219.709000000003</v>
      </c>
      <c r="R38" s="184"/>
      <c r="S38" s="214">
        <v>40.155999999999999</v>
      </c>
      <c r="T38" s="213">
        <v>730261.64300000004</v>
      </c>
      <c r="U38" s="170"/>
    </row>
    <row r="39" spans="1:21">
      <c r="A39" s="240" t="s">
        <v>118</v>
      </c>
      <c r="B39" s="239"/>
      <c r="C39" s="181"/>
      <c r="D39" s="257"/>
      <c r="E39" s="256"/>
      <c r="F39" s="256"/>
      <c r="G39" s="255"/>
      <c r="H39" s="185"/>
      <c r="I39" s="183">
        <v>0</v>
      </c>
      <c r="J39" s="183">
        <v>5.8680000000000003</v>
      </c>
      <c r="K39" s="183">
        <v>26.881</v>
      </c>
      <c r="L39" s="183">
        <v>7.694</v>
      </c>
      <c r="M39" s="184"/>
      <c r="N39" s="183">
        <v>0</v>
      </c>
      <c r="O39" s="183">
        <v>48513.360999999997</v>
      </c>
      <c r="P39" s="183">
        <v>272016.255</v>
      </c>
      <c r="Q39" s="183">
        <v>46219.709000000003</v>
      </c>
      <c r="R39" s="184"/>
      <c r="S39" s="183">
        <v>40.155999999999999</v>
      </c>
      <c r="T39" s="183">
        <v>730261.64300000004</v>
      </c>
      <c r="U39" s="207"/>
    </row>
    <row r="40" spans="1:21" ht="3.75" customHeight="1">
      <c r="A40" s="254"/>
      <c r="B40" s="253"/>
      <c r="C40" s="181"/>
      <c r="D40" s="253"/>
      <c r="E40" s="253"/>
      <c r="F40" s="253"/>
      <c r="G40" s="253"/>
      <c r="H40" s="185"/>
      <c r="I40" s="252"/>
      <c r="J40" s="252"/>
      <c r="K40" s="252"/>
      <c r="L40" s="252"/>
      <c r="M40" s="184"/>
      <c r="N40" s="251"/>
      <c r="O40" s="251"/>
      <c r="P40" s="184"/>
      <c r="Q40" s="184"/>
      <c r="R40" s="184"/>
      <c r="S40" s="193"/>
      <c r="T40" s="250"/>
      <c r="U40" s="170"/>
    </row>
    <row r="41" spans="1:21" ht="12" customHeight="1">
      <c r="A41" s="247" t="s">
        <v>119</v>
      </c>
      <c r="B41" s="246"/>
      <c r="C41" s="181"/>
      <c r="D41" s="249"/>
      <c r="E41" s="236"/>
      <c r="F41" s="236"/>
      <c r="G41" s="235"/>
      <c r="H41" s="185"/>
      <c r="I41" s="247"/>
      <c r="J41" s="248"/>
      <c r="K41" s="248"/>
      <c r="L41" s="246"/>
      <c r="M41" s="184"/>
      <c r="N41" s="247"/>
      <c r="O41" s="248"/>
      <c r="P41" s="248"/>
      <c r="Q41" s="246"/>
      <c r="R41" s="184"/>
      <c r="S41" s="247"/>
      <c r="T41" s="246"/>
      <c r="U41" s="230"/>
    </row>
    <row r="42" spans="1:21" ht="15.75" customHeight="1">
      <c r="A42" s="229" t="s">
        <v>23</v>
      </c>
      <c r="B42" s="228" t="s">
        <v>138</v>
      </c>
      <c r="C42" s="181"/>
      <c r="D42" s="227">
        <v>0</v>
      </c>
      <c r="E42" s="216">
        <v>0</v>
      </c>
      <c r="F42" s="216">
        <v>0</v>
      </c>
      <c r="G42" s="215">
        <v>0</v>
      </c>
      <c r="H42" s="185"/>
      <c r="I42" s="214">
        <v>0</v>
      </c>
      <c r="J42" s="216">
        <v>0</v>
      </c>
      <c r="K42" s="216">
        <v>0</v>
      </c>
      <c r="L42" s="215">
        <v>0</v>
      </c>
      <c r="M42" s="184"/>
      <c r="N42" s="214">
        <v>0</v>
      </c>
      <c r="O42" s="216">
        <v>0</v>
      </c>
      <c r="P42" s="216">
        <v>0</v>
      </c>
      <c r="Q42" s="215">
        <v>0</v>
      </c>
      <c r="R42" s="184"/>
      <c r="S42" s="214">
        <v>0</v>
      </c>
      <c r="T42" s="213">
        <v>0</v>
      </c>
      <c r="U42" s="170"/>
    </row>
    <row r="43" spans="1:21" ht="15.75" customHeight="1">
      <c r="A43" s="221" t="s">
        <v>38</v>
      </c>
      <c r="B43" s="220" t="s">
        <v>13</v>
      </c>
      <c r="C43" s="181"/>
      <c r="D43" s="260">
        <v>0</v>
      </c>
      <c r="E43" s="259">
        <v>0</v>
      </c>
      <c r="F43" s="259">
        <v>0</v>
      </c>
      <c r="G43" s="258">
        <v>0</v>
      </c>
      <c r="H43" s="185"/>
      <c r="I43" s="214">
        <v>0</v>
      </c>
      <c r="J43" s="216">
        <v>0</v>
      </c>
      <c r="K43" s="216">
        <v>0</v>
      </c>
      <c r="L43" s="215">
        <v>0</v>
      </c>
      <c r="M43" s="184"/>
      <c r="N43" s="214">
        <v>0</v>
      </c>
      <c r="O43" s="216">
        <v>0</v>
      </c>
      <c r="P43" s="216">
        <v>0</v>
      </c>
      <c r="Q43" s="215">
        <v>0</v>
      </c>
      <c r="R43" s="184"/>
      <c r="S43" s="214">
        <v>0</v>
      </c>
      <c r="T43" s="213">
        <v>0</v>
      </c>
      <c r="U43" s="170"/>
    </row>
    <row r="44" spans="1:21">
      <c r="A44" s="240" t="s">
        <v>120</v>
      </c>
      <c r="B44" s="239"/>
      <c r="C44" s="181"/>
      <c r="D44" s="257"/>
      <c r="E44" s="256"/>
      <c r="F44" s="256"/>
      <c r="G44" s="255"/>
      <c r="H44" s="185"/>
      <c r="I44" s="183">
        <v>0</v>
      </c>
      <c r="J44" s="183">
        <v>0</v>
      </c>
      <c r="K44" s="183">
        <v>0</v>
      </c>
      <c r="L44" s="183">
        <v>0</v>
      </c>
      <c r="M44" s="184"/>
      <c r="N44" s="183">
        <v>0</v>
      </c>
      <c r="O44" s="183">
        <v>0</v>
      </c>
      <c r="P44" s="183">
        <v>0</v>
      </c>
      <c r="Q44" s="183">
        <v>0</v>
      </c>
      <c r="R44" s="184"/>
      <c r="S44" s="183">
        <v>0</v>
      </c>
      <c r="T44" s="183">
        <v>0</v>
      </c>
      <c r="U44" s="207"/>
    </row>
    <row r="45" spans="1:21" ht="3.75" customHeight="1">
      <c r="A45" s="254"/>
      <c r="B45" s="253"/>
      <c r="C45" s="181"/>
      <c r="D45" s="253"/>
      <c r="E45" s="253"/>
      <c r="F45" s="253"/>
      <c r="G45" s="253"/>
      <c r="H45" s="185"/>
      <c r="I45" s="252"/>
      <c r="J45" s="252"/>
      <c r="K45" s="252"/>
      <c r="L45" s="252"/>
      <c r="M45" s="184"/>
      <c r="N45" s="251"/>
      <c r="O45" s="251"/>
      <c r="P45" s="184"/>
      <c r="Q45" s="184"/>
      <c r="R45" s="184"/>
      <c r="S45" s="193"/>
      <c r="T45" s="250"/>
      <c r="U45" s="170"/>
    </row>
    <row r="46" spans="1:21" ht="12.75" customHeight="1">
      <c r="A46" s="247" t="s">
        <v>121</v>
      </c>
      <c r="B46" s="246"/>
      <c r="C46" s="181"/>
      <c r="D46" s="249"/>
      <c r="E46" s="236"/>
      <c r="F46" s="236"/>
      <c r="G46" s="235"/>
      <c r="H46" s="185"/>
      <c r="I46" s="247"/>
      <c r="J46" s="248"/>
      <c r="K46" s="248"/>
      <c r="L46" s="246"/>
      <c r="M46" s="184"/>
      <c r="N46" s="247"/>
      <c r="O46" s="248"/>
      <c r="P46" s="248"/>
      <c r="Q46" s="246"/>
      <c r="R46" s="184"/>
      <c r="S46" s="247"/>
      <c r="T46" s="246"/>
      <c r="U46" s="230"/>
    </row>
    <row r="47" spans="1:21" ht="15.75" customHeight="1">
      <c r="A47" s="245" t="s">
        <v>55</v>
      </c>
      <c r="B47" s="228" t="s">
        <v>13</v>
      </c>
      <c r="C47" s="181"/>
      <c r="D47" s="227">
        <v>3</v>
      </c>
      <c r="E47" s="216">
        <v>0</v>
      </c>
      <c r="F47" s="216">
        <v>0</v>
      </c>
      <c r="G47" s="215">
        <v>0</v>
      </c>
      <c r="H47" s="185"/>
      <c r="I47" s="214">
        <v>12.423</v>
      </c>
      <c r="J47" s="216">
        <v>0</v>
      </c>
      <c r="K47" s="216">
        <v>0</v>
      </c>
      <c r="L47" s="215">
        <v>0</v>
      </c>
      <c r="M47" s="184"/>
      <c r="N47" s="214">
        <v>79337.02</v>
      </c>
      <c r="O47" s="216">
        <v>0</v>
      </c>
      <c r="P47" s="216">
        <v>0</v>
      </c>
      <c r="Q47" s="215">
        <v>0</v>
      </c>
      <c r="R47" s="184"/>
      <c r="S47" s="214">
        <v>12.423</v>
      </c>
      <c r="T47" s="213">
        <v>317348.08199999999</v>
      </c>
      <c r="U47" s="170"/>
    </row>
    <row r="48" spans="1:21" ht="15.75" customHeight="1">
      <c r="A48" s="244" t="s">
        <v>42</v>
      </c>
      <c r="B48" s="220" t="s">
        <v>13</v>
      </c>
      <c r="C48" s="181"/>
      <c r="D48" s="214">
        <v>3</v>
      </c>
      <c r="E48" s="216">
        <v>2.0049999999999999</v>
      </c>
      <c r="F48" s="216">
        <v>0</v>
      </c>
      <c r="G48" s="215">
        <v>0</v>
      </c>
      <c r="H48" s="185"/>
      <c r="I48" s="214">
        <v>64.454999999999998</v>
      </c>
      <c r="J48" s="216">
        <v>90.391999999999996</v>
      </c>
      <c r="K48" s="216">
        <v>0</v>
      </c>
      <c r="L48" s="215">
        <v>0</v>
      </c>
      <c r="M48" s="184"/>
      <c r="N48" s="214">
        <v>331043.19699999999</v>
      </c>
      <c r="O48" s="216">
        <v>327225.69900000002</v>
      </c>
      <c r="P48" s="216">
        <v>0</v>
      </c>
      <c r="Q48" s="215">
        <v>0</v>
      </c>
      <c r="R48" s="184"/>
      <c r="S48" s="214">
        <v>154.84700000000001</v>
      </c>
      <c r="T48" s="213">
        <v>2305849.8840000001</v>
      </c>
      <c r="U48" s="170"/>
    </row>
    <row r="49" spans="1:21" ht="15.75" customHeight="1">
      <c r="A49" s="244" t="s">
        <v>139</v>
      </c>
      <c r="B49" s="220" t="s">
        <v>13</v>
      </c>
      <c r="C49" s="181"/>
      <c r="D49" s="214">
        <v>0</v>
      </c>
      <c r="E49" s="216">
        <v>0</v>
      </c>
      <c r="F49" s="216">
        <v>0</v>
      </c>
      <c r="G49" s="215">
        <v>0</v>
      </c>
      <c r="H49" s="185"/>
      <c r="I49" s="214">
        <v>0</v>
      </c>
      <c r="J49" s="216">
        <v>0</v>
      </c>
      <c r="K49" s="216">
        <v>0</v>
      </c>
      <c r="L49" s="215">
        <v>0</v>
      </c>
      <c r="M49" s="184"/>
      <c r="N49" s="214">
        <v>0</v>
      </c>
      <c r="O49" s="216">
        <v>0</v>
      </c>
      <c r="P49" s="216">
        <v>0</v>
      </c>
      <c r="Q49" s="215">
        <v>0</v>
      </c>
      <c r="R49" s="184"/>
      <c r="S49" s="214">
        <v>0</v>
      </c>
      <c r="T49" s="213">
        <v>0</v>
      </c>
      <c r="U49" s="170"/>
    </row>
    <row r="50" spans="1:21" ht="15.75" customHeight="1">
      <c r="A50" s="244" t="s">
        <v>140</v>
      </c>
      <c r="B50" s="220" t="s">
        <v>13</v>
      </c>
      <c r="C50" s="181"/>
      <c r="D50" s="214">
        <v>0</v>
      </c>
      <c r="E50" s="216">
        <v>0</v>
      </c>
      <c r="F50" s="216">
        <v>0</v>
      </c>
      <c r="G50" s="215">
        <v>0</v>
      </c>
      <c r="H50" s="185"/>
      <c r="I50" s="214">
        <v>0</v>
      </c>
      <c r="J50" s="216">
        <v>0</v>
      </c>
      <c r="K50" s="216">
        <v>0</v>
      </c>
      <c r="L50" s="215">
        <v>0</v>
      </c>
      <c r="M50" s="184"/>
      <c r="N50" s="214">
        <v>0</v>
      </c>
      <c r="O50" s="216">
        <v>0</v>
      </c>
      <c r="P50" s="216">
        <v>0</v>
      </c>
      <c r="Q50" s="215">
        <v>0</v>
      </c>
      <c r="R50" s="184"/>
      <c r="S50" s="214">
        <v>0</v>
      </c>
      <c r="T50" s="213">
        <v>0</v>
      </c>
      <c r="U50" s="170"/>
    </row>
    <row r="51" spans="1:21" ht="15.75" customHeight="1">
      <c r="A51" s="243" t="s">
        <v>141</v>
      </c>
      <c r="B51" s="242" t="s">
        <v>13</v>
      </c>
      <c r="C51" s="181"/>
      <c r="D51" s="241">
        <v>0</v>
      </c>
      <c r="E51" s="216">
        <v>0</v>
      </c>
      <c r="F51" s="216">
        <v>0</v>
      </c>
      <c r="G51" s="215">
        <v>0</v>
      </c>
      <c r="H51" s="185"/>
      <c r="I51" s="214">
        <v>0</v>
      </c>
      <c r="J51" s="216">
        <v>0</v>
      </c>
      <c r="K51" s="216">
        <v>0</v>
      </c>
      <c r="L51" s="215">
        <v>0</v>
      </c>
      <c r="M51" s="184"/>
      <c r="N51" s="214">
        <v>0</v>
      </c>
      <c r="O51" s="216">
        <v>0</v>
      </c>
      <c r="P51" s="216">
        <v>0</v>
      </c>
      <c r="Q51" s="215">
        <v>0</v>
      </c>
      <c r="R51" s="184"/>
      <c r="S51" s="214">
        <v>0</v>
      </c>
      <c r="T51" s="213">
        <v>0</v>
      </c>
      <c r="U51" s="170"/>
    </row>
    <row r="52" spans="1:21">
      <c r="A52" s="240" t="s">
        <v>122</v>
      </c>
      <c r="B52" s="239"/>
      <c r="C52" s="181"/>
      <c r="D52" s="238"/>
      <c r="E52" s="209"/>
      <c r="F52" s="209"/>
      <c r="G52" s="208"/>
      <c r="H52" s="185"/>
      <c r="I52" s="183">
        <v>76.878</v>
      </c>
      <c r="J52" s="183">
        <v>90.391999999999996</v>
      </c>
      <c r="K52" s="183">
        <v>0</v>
      </c>
      <c r="L52" s="183">
        <v>0</v>
      </c>
      <c r="M52" s="184"/>
      <c r="N52" s="183">
        <v>410380.217</v>
      </c>
      <c r="O52" s="183">
        <v>327225.69900000002</v>
      </c>
      <c r="P52" s="183">
        <v>0</v>
      </c>
      <c r="Q52" s="183">
        <v>0</v>
      </c>
      <c r="R52" s="184"/>
      <c r="S52" s="183">
        <v>167.27</v>
      </c>
      <c r="T52" s="183">
        <v>2623197.966</v>
      </c>
      <c r="U52" s="207"/>
    </row>
    <row r="53" spans="1:21" ht="4.5" customHeight="1">
      <c r="A53" s="197"/>
      <c r="B53" s="196"/>
      <c r="C53" s="181"/>
      <c r="D53" s="195"/>
      <c r="E53" s="195"/>
      <c r="F53" s="195"/>
      <c r="G53" s="195"/>
      <c r="H53" s="185"/>
      <c r="I53" s="194"/>
      <c r="J53" s="194"/>
      <c r="K53" s="194"/>
      <c r="L53" s="194"/>
      <c r="M53" s="184"/>
      <c r="N53" s="192"/>
      <c r="O53" s="192"/>
      <c r="P53" s="192"/>
      <c r="Q53" s="192"/>
      <c r="R53" s="184"/>
      <c r="S53" s="193"/>
      <c r="T53" s="193"/>
      <c r="U53" s="170"/>
    </row>
    <row r="54" spans="1:21" ht="12.75" customHeight="1">
      <c r="A54" s="232" t="s">
        <v>123</v>
      </c>
      <c r="B54" s="231"/>
      <c r="C54" s="181"/>
      <c r="D54" s="237"/>
      <c r="E54" s="236"/>
      <c r="F54" s="236"/>
      <c r="G54" s="235"/>
      <c r="H54" s="185"/>
      <c r="I54" s="232"/>
      <c r="J54" s="234"/>
      <c r="K54" s="234"/>
      <c r="L54" s="233"/>
      <c r="M54" s="184"/>
      <c r="N54" s="232"/>
      <c r="O54" s="234"/>
      <c r="P54" s="234"/>
      <c r="Q54" s="233"/>
      <c r="R54" s="184"/>
      <c r="S54" s="232"/>
      <c r="T54" s="231"/>
      <c r="U54" s="230"/>
    </row>
    <row r="55" spans="1:21" ht="15.75" customHeight="1">
      <c r="A55" s="229" t="s">
        <v>124</v>
      </c>
      <c r="B55" s="228" t="s">
        <v>13</v>
      </c>
      <c r="C55" s="181"/>
      <c r="D55" s="227">
        <v>0</v>
      </c>
      <c r="E55" s="226">
        <v>3</v>
      </c>
      <c r="F55" s="226">
        <v>6</v>
      </c>
      <c r="G55" s="225">
        <v>1</v>
      </c>
      <c r="H55" s="185"/>
      <c r="I55" s="214">
        <v>0</v>
      </c>
      <c r="J55" s="216">
        <v>0</v>
      </c>
      <c r="K55" s="216">
        <v>0</v>
      </c>
      <c r="L55" s="215">
        <v>0</v>
      </c>
      <c r="M55" s="184"/>
      <c r="N55" s="214">
        <v>0</v>
      </c>
      <c r="O55" s="216">
        <v>0</v>
      </c>
      <c r="P55" s="216">
        <v>0</v>
      </c>
      <c r="Q55" s="215">
        <v>4712</v>
      </c>
      <c r="R55" s="184"/>
      <c r="S55" s="214">
        <v>0</v>
      </c>
      <c r="T55" s="213">
        <v>4712</v>
      </c>
      <c r="U55" s="170"/>
    </row>
    <row r="56" spans="1:21" ht="15.75" customHeight="1">
      <c r="A56" s="221" t="s">
        <v>142</v>
      </c>
      <c r="B56" s="220" t="s">
        <v>138</v>
      </c>
      <c r="C56" s="181"/>
      <c r="D56" s="224">
        <v>0</v>
      </c>
      <c r="E56" s="223">
        <v>0</v>
      </c>
      <c r="F56" s="223">
        <v>0</v>
      </c>
      <c r="G56" s="222" t="s">
        <v>58</v>
      </c>
      <c r="H56" s="185"/>
      <c r="I56" s="214">
        <v>0</v>
      </c>
      <c r="J56" s="216">
        <v>0</v>
      </c>
      <c r="K56" s="216">
        <v>0</v>
      </c>
      <c r="L56" s="215">
        <v>273.14499999999998</v>
      </c>
      <c r="M56" s="184"/>
      <c r="N56" s="214">
        <v>0</v>
      </c>
      <c r="O56" s="216">
        <v>0</v>
      </c>
      <c r="P56" s="216">
        <v>0</v>
      </c>
      <c r="Q56" s="215">
        <v>0</v>
      </c>
      <c r="R56" s="184"/>
      <c r="S56" s="214">
        <v>273.14499999999998</v>
      </c>
      <c r="T56" s="213">
        <v>0</v>
      </c>
      <c r="U56" s="170"/>
    </row>
    <row r="57" spans="1:21" ht="15.75" customHeight="1">
      <c r="A57" s="221" t="s">
        <v>294</v>
      </c>
      <c r="B57" s="220" t="s">
        <v>13</v>
      </c>
      <c r="C57" s="181"/>
      <c r="D57" s="219">
        <v>0</v>
      </c>
      <c r="E57" s="218">
        <v>0</v>
      </c>
      <c r="F57" s="218">
        <v>0</v>
      </c>
      <c r="G57" s="217">
        <v>0</v>
      </c>
      <c r="H57" s="185"/>
      <c r="I57" s="214">
        <v>0</v>
      </c>
      <c r="J57" s="216">
        <v>0</v>
      </c>
      <c r="K57" s="216">
        <v>0</v>
      </c>
      <c r="L57" s="215">
        <v>0</v>
      </c>
      <c r="M57" s="184"/>
      <c r="N57" s="214">
        <v>0</v>
      </c>
      <c r="O57" s="216">
        <v>0</v>
      </c>
      <c r="P57" s="216">
        <v>0</v>
      </c>
      <c r="Q57" s="215">
        <v>0</v>
      </c>
      <c r="R57" s="184"/>
      <c r="S57" s="214">
        <v>0</v>
      </c>
      <c r="T57" s="213">
        <v>0</v>
      </c>
      <c r="U57" s="170"/>
    </row>
    <row r="58" spans="1:21">
      <c r="A58" s="212" t="s">
        <v>125</v>
      </c>
      <c r="B58" s="211"/>
      <c r="C58" s="181"/>
      <c r="D58" s="210"/>
      <c r="E58" s="209"/>
      <c r="F58" s="209"/>
      <c r="G58" s="208"/>
      <c r="H58" s="185"/>
      <c r="I58" s="183">
        <v>0</v>
      </c>
      <c r="J58" s="183">
        <v>0</v>
      </c>
      <c r="K58" s="183">
        <v>0</v>
      </c>
      <c r="L58" s="183">
        <v>273.14499999999998</v>
      </c>
      <c r="M58" s="191"/>
      <c r="N58" s="183">
        <v>0</v>
      </c>
      <c r="O58" s="183">
        <v>0</v>
      </c>
      <c r="P58" s="183">
        <v>0</v>
      </c>
      <c r="Q58" s="183">
        <v>4712</v>
      </c>
      <c r="R58" s="184"/>
      <c r="S58" s="183">
        <v>273.14499999999998</v>
      </c>
      <c r="T58" s="183">
        <v>4712</v>
      </c>
      <c r="U58" s="207"/>
    </row>
    <row r="59" spans="1:21" ht="4.5" customHeight="1">
      <c r="A59" s="197"/>
      <c r="B59" s="196"/>
      <c r="C59" s="181"/>
      <c r="D59" s="195"/>
      <c r="E59" s="195"/>
      <c r="F59" s="195"/>
      <c r="G59" s="195"/>
      <c r="H59" s="185"/>
      <c r="I59" s="194"/>
      <c r="J59" s="194"/>
      <c r="K59" s="194"/>
      <c r="L59" s="194"/>
      <c r="M59" s="191"/>
      <c r="N59" s="192"/>
      <c r="O59" s="192"/>
      <c r="P59" s="192"/>
      <c r="Q59" s="192"/>
      <c r="R59" s="184"/>
      <c r="S59" s="193"/>
      <c r="T59" s="193"/>
      <c r="U59" s="170"/>
    </row>
    <row r="60" spans="1:21" s="169" customFormat="1">
      <c r="A60" s="206" t="s">
        <v>160</v>
      </c>
      <c r="B60" s="205"/>
      <c r="C60" s="204"/>
      <c r="D60" s="754"/>
      <c r="E60" s="755"/>
      <c r="F60" s="755"/>
      <c r="G60" s="756"/>
      <c r="H60" s="203"/>
      <c r="I60" s="202"/>
      <c r="J60" s="201">
        <v>82.674999999999997</v>
      </c>
      <c r="K60" s="199">
        <v>0</v>
      </c>
      <c r="L60" s="199">
        <v>0.493550451</v>
      </c>
      <c r="M60" s="192"/>
      <c r="N60" s="199"/>
      <c r="O60" s="199">
        <v>491454.57299999997</v>
      </c>
      <c r="P60" s="199">
        <v>0</v>
      </c>
      <c r="Q60" s="199">
        <v>44852.081237810002</v>
      </c>
      <c r="R60" s="200"/>
      <c r="S60" s="199">
        <v>82.941000000000003</v>
      </c>
      <c r="T60" s="199">
        <v>2144346.3689999999</v>
      </c>
      <c r="U60" s="198"/>
    </row>
    <row r="61" spans="1:21" s="169" customFormat="1">
      <c r="A61" s="206" t="s">
        <v>161</v>
      </c>
      <c r="B61" s="205"/>
      <c r="C61" s="204"/>
      <c r="D61" s="754"/>
      <c r="E61" s="755"/>
      <c r="F61" s="755"/>
      <c r="G61" s="756"/>
      <c r="H61" s="203"/>
      <c r="I61" s="202"/>
      <c r="J61" s="201"/>
      <c r="K61" s="199">
        <v>45.237000000000002</v>
      </c>
      <c r="L61" s="199">
        <v>3.4106914660000003</v>
      </c>
      <c r="M61" s="192"/>
      <c r="N61" s="199"/>
      <c r="O61" s="199"/>
      <c r="P61" s="199">
        <v>142728.12299999999</v>
      </c>
      <c r="Q61" s="199">
        <v>35925.218333518002</v>
      </c>
      <c r="R61" s="200"/>
      <c r="S61" s="199">
        <v>48.646999999999998</v>
      </c>
      <c r="T61" s="199">
        <v>536052.42500000005</v>
      </c>
      <c r="U61" s="198"/>
    </row>
    <row r="62" spans="1:21" s="169" customFormat="1">
      <c r="A62" s="206" t="s">
        <v>162</v>
      </c>
      <c r="B62" s="205"/>
      <c r="C62" s="204"/>
      <c r="D62" s="754"/>
      <c r="E62" s="755"/>
      <c r="F62" s="755"/>
      <c r="G62" s="756"/>
      <c r="H62" s="203"/>
      <c r="I62" s="202"/>
      <c r="J62" s="201"/>
      <c r="K62" s="199"/>
      <c r="L62" s="199">
        <v>28.464109868999994</v>
      </c>
      <c r="M62" s="192"/>
      <c r="N62" s="199"/>
      <c r="O62" s="199"/>
      <c r="P62" s="199"/>
      <c r="Q62" s="199">
        <v>248397.26813659997</v>
      </c>
      <c r="R62" s="200"/>
      <c r="S62" s="199">
        <v>28.463999999999999</v>
      </c>
      <c r="T62" s="199">
        <v>496807.43400000001</v>
      </c>
      <c r="U62" s="198"/>
    </row>
    <row r="63" spans="1:21" ht="4.5" customHeight="1">
      <c r="A63" s="197"/>
      <c r="B63" s="196"/>
      <c r="C63" s="181"/>
      <c r="D63" s="195"/>
      <c r="E63" s="195"/>
      <c r="F63" s="195"/>
      <c r="G63" s="195"/>
      <c r="H63" s="185"/>
      <c r="I63" s="194"/>
      <c r="J63" s="194"/>
      <c r="K63" s="194"/>
      <c r="L63" s="194"/>
      <c r="M63" s="192"/>
      <c r="N63" s="192"/>
      <c r="O63" s="192"/>
      <c r="P63" s="192"/>
      <c r="Q63" s="192"/>
      <c r="R63" s="192"/>
      <c r="S63" s="192"/>
      <c r="T63" s="193"/>
      <c r="U63" s="170"/>
    </row>
    <row r="64" spans="1:21">
      <c r="A64" s="190" t="s">
        <v>143</v>
      </c>
      <c r="B64" s="189"/>
      <c r="C64" s="181"/>
      <c r="D64" s="188"/>
      <c r="E64" s="187"/>
      <c r="F64" s="187"/>
      <c r="G64" s="186"/>
      <c r="H64" s="185"/>
      <c r="I64" s="183">
        <v>686.78200000000004</v>
      </c>
      <c r="J64" s="183">
        <v>972.84799999999996</v>
      </c>
      <c r="K64" s="183">
        <v>421.71800000000002</v>
      </c>
      <c r="L64" s="183">
        <v>854.63599999999997</v>
      </c>
      <c r="M64" s="192"/>
      <c r="N64" s="183">
        <v>3145587.9509999999</v>
      </c>
      <c r="O64" s="183">
        <v>4857213.0939999996</v>
      </c>
      <c r="P64" s="183">
        <v>5956682.7110000001</v>
      </c>
      <c r="Q64" s="183">
        <v>3597393.3590000002</v>
      </c>
      <c r="R64" s="184"/>
      <c r="S64" s="183">
        <v>2883.1579999999999</v>
      </c>
      <c r="T64" s="183">
        <v>42498117.637999997</v>
      </c>
      <c r="U64" s="182"/>
    </row>
    <row r="65" spans="1:22">
      <c r="A65" s="190" t="s">
        <v>144</v>
      </c>
      <c r="B65" s="189"/>
      <c r="C65" s="181"/>
      <c r="D65" s="188"/>
      <c r="E65" s="187"/>
      <c r="F65" s="187"/>
      <c r="G65" s="186"/>
      <c r="H65" s="185"/>
      <c r="I65" s="183">
        <v>4018.3739999999998</v>
      </c>
      <c r="J65" s="183">
        <v>4379.4219999999996</v>
      </c>
      <c r="K65" s="183">
        <v>4219.9589999999998</v>
      </c>
      <c r="L65" s="183">
        <v>4440.0330000000004</v>
      </c>
      <c r="M65" s="192"/>
      <c r="N65" s="183">
        <v>156889.29999999999</v>
      </c>
      <c r="O65" s="183">
        <v>66996.172999999995</v>
      </c>
      <c r="P65" s="183">
        <v>59413.805999999997</v>
      </c>
      <c r="Q65" s="183">
        <v>0</v>
      </c>
      <c r="R65" s="184"/>
      <c r="S65" s="183">
        <v>4440.0330000000004</v>
      </c>
      <c r="T65" s="183">
        <v>283299.27899999998</v>
      </c>
      <c r="U65" s="182"/>
    </row>
    <row r="66" spans="1:22">
      <c r="A66" s="190" t="s">
        <v>163</v>
      </c>
      <c r="B66" s="189"/>
      <c r="C66" s="181"/>
      <c r="D66" s="188"/>
      <c r="E66" s="187"/>
      <c r="F66" s="187"/>
      <c r="G66" s="186"/>
      <c r="H66" s="185"/>
      <c r="I66" s="183">
        <v>0</v>
      </c>
      <c r="J66" s="183">
        <v>82.674999999999997</v>
      </c>
      <c r="K66" s="183">
        <v>45.237000000000002</v>
      </c>
      <c r="L66" s="183">
        <v>32.368000000000002</v>
      </c>
      <c r="M66" s="191"/>
      <c r="N66" s="183">
        <v>0</v>
      </c>
      <c r="O66" s="183">
        <v>491454.57299999997</v>
      </c>
      <c r="P66" s="183">
        <v>142728.12299999999</v>
      </c>
      <c r="Q66" s="183">
        <v>329174.56800000003</v>
      </c>
      <c r="R66" s="184"/>
      <c r="S66" s="183">
        <v>160.05199999999999</v>
      </c>
      <c r="T66" s="183">
        <v>3177206.2280000001</v>
      </c>
      <c r="U66" s="182"/>
    </row>
    <row r="67" spans="1:22">
      <c r="A67" s="190" t="s">
        <v>164</v>
      </c>
      <c r="B67" s="189"/>
      <c r="C67" s="181"/>
      <c r="D67" s="188"/>
      <c r="E67" s="187"/>
      <c r="F67" s="187"/>
      <c r="G67" s="186"/>
      <c r="H67" s="185"/>
      <c r="I67" s="183">
        <v>4705.1559999999999</v>
      </c>
      <c r="J67" s="183">
        <v>5434.9449999999997</v>
      </c>
      <c r="K67" s="183">
        <v>4686.9139999999998</v>
      </c>
      <c r="L67" s="183">
        <v>5327.0370000000003</v>
      </c>
      <c r="M67" s="184"/>
      <c r="N67" s="183">
        <v>3302477.2510000002</v>
      </c>
      <c r="O67" s="183">
        <v>5415663.8399999999</v>
      </c>
      <c r="P67" s="183">
        <v>6158824.6399999997</v>
      </c>
      <c r="Q67" s="183">
        <v>3926567.9270000001</v>
      </c>
      <c r="R67" s="184"/>
      <c r="S67" s="183">
        <v>7483.2430000000004</v>
      </c>
      <c r="T67" s="183">
        <v>45958623.145000003</v>
      </c>
      <c r="U67" s="182"/>
      <c r="V67" s="51"/>
    </row>
    <row r="68" spans="1:22" ht="3" customHeight="1">
      <c r="A68" s="174"/>
      <c r="B68" s="174"/>
      <c r="C68" s="181"/>
      <c r="D68" s="174"/>
      <c r="E68" s="174"/>
      <c r="F68" s="174"/>
      <c r="G68" s="174"/>
      <c r="H68" s="174"/>
      <c r="I68" s="173"/>
      <c r="J68" s="173"/>
      <c r="K68" s="173"/>
      <c r="L68" s="173"/>
      <c r="M68" s="173"/>
      <c r="N68" s="173"/>
      <c r="O68" s="173"/>
      <c r="P68" s="173"/>
      <c r="Q68" s="173"/>
      <c r="R68" s="172"/>
      <c r="S68" s="180"/>
      <c r="T68" s="180"/>
      <c r="U68" s="170"/>
    </row>
    <row r="69" spans="1:22" ht="16.5" customHeight="1">
      <c r="A69" s="757" t="s">
        <v>293</v>
      </c>
      <c r="B69" s="758"/>
      <c r="C69" s="758"/>
      <c r="D69" s="758"/>
      <c r="E69" s="758"/>
      <c r="F69" s="758"/>
      <c r="G69" s="759" t="s">
        <v>146</v>
      </c>
      <c r="H69" s="759"/>
      <c r="I69" s="759"/>
      <c r="J69" s="759"/>
      <c r="K69" s="759"/>
      <c r="L69" s="759"/>
      <c r="M69" s="178"/>
      <c r="N69" s="753" t="s">
        <v>145</v>
      </c>
      <c r="O69" s="753"/>
      <c r="P69" s="753"/>
      <c r="Q69" s="753"/>
      <c r="R69" s="177"/>
      <c r="S69" s="179">
        <v>6630</v>
      </c>
      <c r="T69" s="179">
        <v>37160000</v>
      </c>
      <c r="U69" s="170"/>
    </row>
    <row r="70" spans="1:22" ht="34.5" customHeight="1">
      <c r="A70" s="758"/>
      <c r="B70" s="758"/>
      <c r="C70" s="758"/>
      <c r="D70" s="758"/>
      <c r="E70" s="758"/>
      <c r="F70" s="758"/>
      <c r="G70" s="759" t="s">
        <v>165</v>
      </c>
      <c r="H70" s="759"/>
      <c r="I70" s="759"/>
      <c r="J70" s="759"/>
      <c r="K70" s="759"/>
      <c r="L70" s="759"/>
      <c r="M70" s="178"/>
      <c r="N70" s="753" t="s">
        <v>147</v>
      </c>
      <c r="O70" s="753"/>
      <c r="P70" s="753"/>
      <c r="Q70" s="753"/>
      <c r="R70" s="177"/>
      <c r="S70" s="176">
        <v>1.1286942684766215</v>
      </c>
      <c r="T70" s="176">
        <v>1.236776726184069</v>
      </c>
      <c r="U70" s="170"/>
    </row>
    <row r="71" spans="1:22" ht="18" customHeight="1">
      <c r="C71" s="174"/>
      <c r="D71" s="175"/>
      <c r="E71" s="174"/>
      <c r="F71" s="174"/>
      <c r="G71" s="174"/>
      <c r="H71" s="174"/>
      <c r="I71" s="173"/>
      <c r="J71" s="173"/>
      <c r="K71" s="173"/>
      <c r="L71" s="173"/>
      <c r="M71" s="173"/>
      <c r="N71" s="173"/>
      <c r="O71" s="173"/>
      <c r="P71" s="173"/>
      <c r="Q71" s="173"/>
      <c r="R71" s="172"/>
      <c r="S71" s="171"/>
      <c r="T71" s="171"/>
      <c r="U71" s="170"/>
    </row>
    <row r="73" spans="1:22">
      <c r="S73" s="51"/>
    </row>
  </sheetData>
  <mergeCells count="14">
    <mergeCell ref="D60:G60"/>
    <mergeCell ref="S2:T2"/>
    <mergeCell ref="A2:A4"/>
    <mergeCell ref="B2:B4"/>
    <mergeCell ref="D2:G3"/>
    <mergeCell ref="I2:L3"/>
    <mergeCell ref="N2:Q3"/>
    <mergeCell ref="N69:Q69"/>
    <mergeCell ref="D61:G61"/>
    <mergeCell ref="D62:G62"/>
    <mergeCell ref="A69:F70"/>
    <mergeCell ref="G69:L69"/>
    <mergeCell ref="G70:L70"/>
    <mergeCell ref="N70:Q70"/>
  </mergeCells>
  <printOptions horizontalCentered="1"/>
  <pageMargins left="0.23622047244094491" right="0.23622047244094491" top="0.47244094488188981" bottom="0.47244094488188981" header="0.15748031496062992" footer="0.15748031496062992"/>
  <pageSetup scale="55" orientation="landscape" cellComments="asDisplayed" r:id="rId1"/>
  <headerFooter>
    <oddHeader>&amp;L&amp;G</oddHeader>
    <oddFooter>&amp;L&amp;10Kingston Hydro Corporation&amp;C&amp;10_x000D_2011-2014 Final Results Report&amp;R&amp;P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51"/>
  <sheetViews>
    <sheetView topLeftCell="A22" zoomScaleNormal="100" zoomScaleSheetLayoutView="100" zoomScalePageLayoutView="85" workbookViewId="0">
      <selection activeCell="L9" sqref="L9"/>
    </sheetView>
  </sheetViews>
  <sheetFormatPr defaultColWidth="9.140625" defaultRowHeight="15"/>
  <cols>
    <col min="1" max="1" width="43.7109375" style="45" customWidth="1"/>
    <col min="2" max="2" width="1.140625" style="45" customWidth="1"/>
    <col min="3" max="4" width="8" style="45" customWidth="1"/>
    <col min="5" max="6" width="6.7109375" style="45" customWidth="1"/>
    <col min="7" max="8" width="8" style="45" customWidth="1"/>
    <col min="9" max="10" width="6.7109375" style="45" customWidth="1"/>
    <col min="11" max="11" width="1.140625" style="45" customWidth="1"/>
    <col min="12" max="13" width="8" style="45" customWidth="1"/>
    <col min="14" max="15" width="6.7109375" style="45" customWidth="1"/>
    <col min="16" max="17" width="8" style="45" customWidth="1"/>
    <col min="18" max="19" width="6.7109375" style="45" customWidth="1"/>
    <col min="20" max="16384" width="9.140625" style="45"/>
  </cols>
  <sheetData>
    <row r="1" spans="1:19" s="303" customFormat="1" ht="15.75" customHeight="1">
      <c r="A1" s="181"/>
      <c r="B1" s="181"/>
      <c r="D1" s="181"/>
      <c r="E1" s="371" t="s">
        <v>301</v>
      </c>
      <c r="F1" s="181"/>
      <c r="H1" s="181"/>
      <c r="I1" s="204"/>
      <c r="J1" s="181"/>
      <c r="K1" s="181"/>
      <c r="M1" s="181"/>
      <c r="N1" s="204"/>
      <c r="O1" s="181"/>
      <c r="Q1" s="181"/>
      <c r="R1" s="204"/>
      <c r="S1" s="181"/>
    </row>
    <row r="2" spans="1:19" ht="22.5" customHeight="1">
      <c r="A2" s="762" t="s">
        <v>30</v>
      </c>
      <c r="B2" s="181"/>
      <c r="C2" s="778" t="s">
        <v>300</v>
      </c>
      <c r="D2" s="778"/>
      <c r="E2" s="778"/>
      <c r="F2" s="778"/>
      <c r="G2" s="778"/>
      <c r="H2" s="778"/>
      <c r="I2" s="778"/>
      <c r="J2" s="778"/>
      <c r="K2" s="181"/>
      <c r="L2" s="778" t="s">
        <v>299</v>
      </c>
      <c r="M2" s="778"/>
      <c r="N2" s="778"/>
      <c r="O2" s="778"/>
      <c r="P2" s="778"/>
      <c r="Q2" s="778"/>
      <c r="R2" s="778"/>
      <c r="S2" s="778"/>
    </row>
    <row r="3" spans="1:19" ht="19.5" customHeight="1">
      <c r="A3" s="762"/>
      <c r="B3" s="181"/>
      <c r="C3" s="778" t="s">
        <v>298</v>
      </c>
      <c r="D3" s="778"/>
      <c r="E3" s="778"/>
      <c r="F3" s="778"/>
      <c r="G3" s="778" t="s">
        <v>297</v>
      </c>
      <c r="H3" s="778"/>
      <c r="I3" s="778"/>
      <c r="J3" s="778"/>
      <c r="K3" s="181"/>
      <c r="L3" s="778" t="s">
        <v>298</v>
      </c>
      <c r="M3" s="778"/>
      <c r="N3" s="778"/>
      <c r="O3" s="778"/>
      <c r="P3" s="778" t="s">
        <v>297</v>
      </c>
      <c r="Q3" s="778"/>
      <c r="R3" s="778"/>
      <c r="S3" s="778"/>
    </row>
    <row r="4" spans="1:19" ht="18" customHeight="1">
      <c r="A4" s="762"/>
      <c r="B4" s="181"/>
      <c r="C4" s="370">
        <v>2011</v>
      </c>
      <c r="D4" s="370">
        <v>2012</v>
      </c>
      <c r="E4" s="370">
        <v>2013</v>
      </c>
      <c r="F4" s="370">
        <v>2014</v>
      </c>
      <c r="G4" s="370">
        <v>2011</v>
      </c>
      <c r="H4" s="370">
        <v>2012</v>
      </c>
      <c r="I4" s="370">
        <v>2013</v>
      </c>
      <c r="J4" s="370">
        <v>2014</v>
      </c>
      <c r="K4" s="181"/>
      <c r="L4" s="370">
        <v>2011</v>
      </c>
      <c r="M4" s="370">
        <v>2012</v>
      </c>
      <c r="N4" s="370">
        <v>2013</v>
      </c>
      <c r="O4" s="370">
        <v>2014</v>
      </c>
      <c r="P4" s="370">
        <v>2011</v>
      </c>
      <c r="Q4" s="370">
        <v>2012</v>
      </c>
      <c r="R4" s="370">
        <v>2013</v>
      </c>
      <c r="S4" s="370">
        <v>2014</v>
      </c>
    </row>
    <row r="5" spans="1:19" ht="3.75" customHeight="1">
      <c r="A5" s="170"/>
      <c r="B5" s="181"/>
      <c r="C5" s="170"/>
      <c r="D5" s="170"/>
      <c r="E5" s="170"/>
      <c r="F5" s="170"/>
      <c r="G5" s="170"/>
      <c r="H5" s="170"/>
      <c r="I5" s="170"/>
      <c r="J5" s="170"/>
      <c r="K5" s="181"/>
      <c r="L5" s="170"/>
      <c r="M5" s="170"/>
      <c r="N5" s="170"/>
      <c r="O5" s="170"/>
      <c r="P5" s="170"/>
      <c r="Q5" s="170"/>
      <c r="R5" s="170"/>
      <c r="S5" s="170"/>
    </row>
    <row r="6" spans="1:19">
      <c r="A6" s="320" t="s">
        <v>107</v>
      </c>
      <c r="B6" s="174"/>
      <c r="C6" s="249"/>
      <c r="D6" s="319"/>
      <c r="E6" s="319"/>
      <c r="F6" s="369"/>
      <c r="G6" s="318"/>
      <c r="H6" s="315"/>
      <c r="I6" s="315"/>
      <c r="J6" s="317"/>
      <c r="K6" s="35"/>
      <c r="L6" s="316"/>
      <c r="M6" s="315"/>
      <c r="N6" s="315"/>
      <c r="O6" s="317"/>
      <c r="P6" s="316"/>
      <c r="Q6" s="315"/>
      <c r="R6" s="248"/>
      <c r="S6" s="246"/>
    </row>
    <row r="7" spans="1:19" ht="15" customHeight="1">
      <c r="A7" s="330" t="s">
        <v>21</v>
      </c>
      <c r="B7" s="181"/>
      <c r="C7" s="329">
        <v>1</v>
      </c>
      <c r="D7" s="324">
        <v>1</v>
      </c>
      <c r="E7" s="324" t="s">
        <v>58</v>
      </c>
      <c r="F7" s="324" t="s">
        <v>58</v>
      </c>
      <c r="G7" s="329">
        <v>0.49</v>
      </c>
      <c r="H7" s="324">
        <v>0.46</v>
      </c>
      <c r="I7" s="324">
        <v>0.42</v>
      </c>
      <c r="J7" s="328">
        <v>0.42</v>
      </c>
      <c r="K7" s="323"/>
      <c r="L7" s="329">
        <v>1</v>
      </c>
      <c r="M7" s="324">
        <v>1</v>
      </c>
      <c r="N7" s="324" t="s">
        <v>58</v>
      </c>
      <c r="O7" s="324" t="s">
        <v>58</v>
      </c>
      <c r="P7" s="329">
        <v>0.5</v>
      </c>
      <c r="Q7" s="324">
        <v>0.47</v>
      </c>
      <c r="R7" s="324">
        <v>0.44</v>
      </c>
      <c r="S7" s="328">
        <v>0.44</v>
      </c>
    </row>
    <row r="8" spans="1:19" ht="15" customHeight="1">
      <c r="A8" s="245" t="s">
        <v>19</v>
      </c>
      <c r="B8" s="181"/>
      <c r="C8" s="311">
        <v>1</v>
      </c>
      <c r="D8" s="313">
        <v>1</v>
      </c>
      <c r="E8" s="352">
        <v>1</v>
      </c>
      <c r="F8" s="352">
        <v>1</v>
      </c>
      <c r="G8" s="311">
        <v>0.52</v>
      </c>
      <c r="H8" s="313">
        <v>0.52</v>
      </c>
      <c r="I8" s="313">
        <v>0.53</v>
      </c>
      <c r="J8" s="312">
        <v>0.53</v>
      </c>
      <c r="K8" s="323"/>
      <c r="L8" s="311">
        <v>1</v>
      </c>
      <c r="M8" s="313">
        <v>1</v>
      </c>
      <c r="N8" s="313">
        <v>1</v>
      </c>
      <c r="O8" s="313">
        <v>1</v>
      </c>
      <c r="P8" s="311">
        <v>0.52</v>
      </c>
      <c r="Q8" s="313">
        <v>0.52</v>
      </c>
      <c r="R8" s="313">
        <v>0.53</v>
      </c>
      <c r="S8" s="312">
        <v>0.53</v>
      </c>
    </row>
    <row r="9" spans="1:19" ht="15" customHeight="1">
      <c r="A9" s="245" t="s">
        <v>46</v>
      </c>
      <c r="B9" s="181"/>
      <c r="C9" s="311">
        <v>1</v>
      </c>
      <c r="D9" s="313">
        <v>1</v>
      </c>
      <c r="E9" s="352" t="s">
        <v>58</v>
      </c>
      <c r="F9" s="352">
        <v>1</v>
      </c>
      <c r="G9" s="311">
        <v>0.6</v>
      </c>
      <c r="H9" s="313">
        <v>0.49</v>
      </c>
      <c r="I9" s="313">
        <v>0.48</v>
      </c>
      <c r="J9" s="312">
        <v>0.51</v>
      </c>
      <c r="K9" s="323"/>
      <c r="L9" s="311">
        <v>1</v>
      </c>
      <c r="M9" s="313">
        <v>1</v>
      </c>
      <c r="N9" s="313" t="s">
        <v>58</v>
      </c>
      <c r="O9" s="313">
        <v>1</v>
      </c>
      <c r="P9" s="311">
        <v>0.6</v>
      </c>
      <c r="Q9" s="313">
        <v>0.49</v>
      </c>
      <c r="R9" s="313">
        <v>0.48</v>
      </c>
      <c r="S9" s="312">
        <v>0.51</v>
      </c>
    </row>
    <row r="10" spans="1:19" ht="15" customHeight="1">
      <c r="A10" s="244" t="s">
        <v>45</v>
      </c>
      <c r="B10" s="181"/>
      <c r="C10" s="311">
        <v>1</v>
      </c>
      <c r="D10" s="313">
        <v>1</v>
      </c>
      <c r="E10" s="352">
        <v>1</v>
      </c>
      <c r="F10" s="352">
        <v>1</v>
      </c>
      <c r="G10" s="311">
        <v>1.1399999999999999</v>
      </c>
      <c r="H10" s="313">
        <v>1</v>
      </c>
      <c r="I10" s="313">
        <v>1.1100000000000001</v>
      </c>
      <c r="J10" s="312">
        <v>1.6</v>
      </c>
      <c r="K10" s="323"/>
      <c r="L10" s="311">
        <v>1</v>
      </c>
      <c r="M10" s="313">
        <v>1</v>
      </c>
      <c r="N10" s="313">
        <v>1</v>
      </c>
      <c r="O10" s="313">
        <v>1</v>
      </c>
      <c r="P10" s="311">
        <v>1.1100000000000001</v>
      </c>
      <c r="Q10" s="313">
        <v>1.05</v>
      </c>
      <c r="R10" s="313">
        <v>1.1299999999999999</v>
      </c>
      <c r="S10" s="312">
        <v>1.61</v>
      </c>
    </row>
    <row r="11" spans="1:19" ht="15" customHeight="1">
      <c r="A11" s="244" t="s">
        <v>43</v>
      </c>
      <c r="B11" s="181"/>
      <c r="C11" s="311">
        <v>1</v>
      </c>
      <c r="D11" s="313">
        <v>1</v>
      </c>
      <c r="E11" s="352">
        <v>1</v>
      </c>
      <c r="F11" s="352">
        <v>1</v>
      </c>
      <c r="G11" s="311">
        <v>1.1299999999999999</v>
      </c>
      <c r="H11" s="313">
        <v>0.91</v>
      </c>
      <c r="I11" s="313">
        <v>1.04</v>
      </c>
      <c r="J11" s="312">
        <v>1.74</v>
      </c>
      <c r="K11" s="323"/>
      <c r="L11" s="311">
        <v>1</v>
      </c>
      <c r="M11" s="313">
        <v>1</v>
      </c>
      <c r="N11" s="313">
        <v>1</v>
      </c>
      <c r="O11" s="313">
        <v>1</v>
      </c>
      <c r="P11" s="311">
        <v>1.1000000000000001</v>
      </c>
      <c r="Q11" s="313">
        <v>0.92</v>
      </c>
      <c r="R11" s="313">
        <v>1.04</v>
      </c>
      <c r="S11" s="312">
        <v>1.75</v>
      </c>
    </row>
    <row r="12" spans="1:19" ht="15" customHeight="1">
      <c r="A12" s="244" t="s">
        <v>54</v>
      </c>
      <c r="B12" s="181"/>
      <c r="C12" s="311" t="s">
        <v>58</v>
      </c>
      <c r="D12" s="313" t="s">
        <v>58</v>
      </c>
      <c r="E12" s="352" t="s">
        <v>58</v>
      </c>
      <c r="F12" s="352" t="s">
        <v>58</v>
      </c>
      <c r="G12" s="311" t="s">
        <v>58</v>
      </c>
      <c r="H12" s="313" t="s">
        <v>58</v>
      </c>
      <c r="I12" s="313" t="s">
        <v>58</v>
      </c>
      <c r="J12" s="312" t="s">
        <v>58</v>
      </c>
      <c r="K12" s="323"/>
      <c r="L12" s="311" t="s">
        <v>58</v>
      </c>
      <c r="M12" s="313" t="s">
        <v>58</v>
      </c>
      <c r="N12" s="313" t="s">
        <v>58</v>
      </c>
      <c r="O12" s="313" t="s">
        <v>58</v>
      </c>
      <c r="P12" s="311" t="s">
        <v>58</v>
      </c>
      <c r="Q12" s="313" t="s">
        <v>58</v>
      </c>
      <c r="R12" s="313" t="s">
        <v>58</v>
      </c>
      <c r="S12" s="312" t="s">
        <v>58</v>
      </c>
    </row>
    <row r="13" spans="1:19" ht="15" customHeight="1">
      <c r="A13" s="362" t="s">
        <v>156</v>
      </c>
      <c r="B13" s="174"/>
      <c r="C13" s="363" t="s">
        <v>58</v>
      </c>
      <c r="D13" s="359" t="s">
        <v>58</v>
      </c>
      <c r="E13" s="359" t="s">
        <v>58</v>
      </c>
      <c r="F13" s="359" t="s">
        <v>58</v>
      </c>
      <c r="G13" s="363" t="s">
        <v>58</v>
      </c>
      <c r="H13" s="359" t="s">
        <v>58</v>
      </c>
      <c r="I13" s="359" t="s">
        <v>58</v>
      </c>
      <c r="J13" s="358" t="s">
        <v>58</v>
      </c>
      <c r="K13" s="368"/>
      <c r="L13" s="363" t="s">
        <v>58</v>
      </c>
      <c r="M13" s="359" t="s">
        <v>58</v>
      </c>
      <c r="N13" s="359" t="s">
        <v>58</v>
      </c>
      <c r="O13" s="359" t="s">
        <v>58</v>
      </c>
      <c r="P13" s="363" t="s">
        <v>58</v>
      </c>
      <c r="Q13" s="359" t="s">
        <v>58</v>
      </c>
      <c r="R13" s="359" t="s">
        <v>58</v>
      </c>
      <c r="S13" s="358" t="s">
        <v>58</v>
      </c>
    </row>
    <row r="14" spans="1:19" ht="15" customHeight="1">
      <c r="A14" s="244" t="s">
        <v>157</v>
      </c>
      <c r="B14" s="181"/>
      <c r="C14" s="366" t="s">
        <v>58</v>
      </c>
      <c r="D14" s="313" t="s">
        <v>58</v>
      </c>
      <c r="E14" s="367" t="s">
        <v>58</v>
      </c>
      <c r="F14" s="367" t="s">
        <v>58</v>
      </c>
      <c r="G14" s="366" t="s">
        <v>58</v>
      </c>
      <c r="H14" s="313" t="s">
        <v>58</v>
      </c>
      <c r="I14" s="313" t="s">
        <v>58</v>
      </c>
      <c r="J14" s="312" t="s">
        <v>58</v>
      </c>
      <c r="K14" s="323"/>
      <c r="L14" s="366" t="s">
        <v>58</v>
      </c>
      <c r="M14" s="313" t="s">
        <v>58</v>
      </c>
      <c r="N14" s="313" t="s">
        <v>58</v>
      </c>
      <c r="O14" s="313" t="s">
        <v>58</v>
      </c>
      <c r="P14" s="366" t="s">
        <v>58</v>
      </c>
      <c r="Q14" s="313" t="s">
        <v>58</v>
      </c>
      <c r="R14" s="313" t="s">
        <v>58</v>
      </c>
      <c r="S14" s="312" t="s">
        <v>58</v>
      </c>
    </row>
    <row r="15" spans="1:19" ht="15" customHeight="1">
      <c r="A15" s="308" t="s">
        <v>108</v>
      </c>
      <c r="B15" s="181"/>
      <c r="C15" s="307" t="s">
        <v>58</v>
      </c>
      <c r="D15" s="326" t="s">
        <v>58</v>
      </c>
      <c r="E15" s="365" t="s">
        <v>58</v>
      </c>
      <c r="F15" s="365" t="s">
        <v>58</v>
      </c>
      <c r="G15" s="307" t="s">
        <v>58</v>
      </c>
      <c r="H15" s="326" t="s">
        <v>58</v>
      </c>
      <c r="I15" s="326" t="s">
        <v>58</v>
      </c>
      <c r="J15" s="325" t="s">
        <v>58</v>
      </c>
      <c r="K15" s="323"/>
      <c r="L15" s="307" t="s">
        <v>58</v>
      </c>
      <c r="M15" s="326" t="s">
        <v>58</v>
      </c>
      <c r="N15" s="326" t="s">
        <v>58</v>
      </c>
      <c r="O15" s="326" t="s">
        <v>58</v>
      </c>
      <c r="P15" s="307" t="s">
        <v>58</v>
      </c>
      <c r="Q15" s="326" t="s">
        <v>58</v>
      </c>
      <c r="R15" s="326" t="s">
        <v>58</v>
      </c>
      <c r="S15" s="325" t="s">
        <v>58</v>
      </c>
    </row>
    <row r="16" spans="1:19" ht="3.75" customHeight="1">
      <c r="A16" s="292"/>
      <c r="B16" s="181"/>
      <c r="C16" s="344"/>
      <c r="D16" s="342"/>
      <c r="E16" s="343"/>
      <c r="F16" s="343"/>
      <c r="G16" s="342"/>
      <c r="H16" s="342"/>
      <c r="I16" s="343"/>
      <c r="J16" s="343"/>
      <c r="K16" s="323"/>
      <c r="L16" s="342"/>
      <c r="M16" s="342"/>
      <c r="N16" s="343"/>
      <c r="O16" s="343"/>
      <c r="P16" s="342"/>
      <c r="Q16" s="342"/>
      <c r="R16" s="341"/>
      <c r="S16" s="341"/>
    </row>
    <row r="17" spans="1:19">
      <c r="A17" s="320" t="s">
        <v>110</v>
      </c>
      <c r="B17" s="174"/>
      <c r="C17" s="249"/>
      <c r="D17" s="319"/>
      <c r="E17" s="319"/>
      <c r="F17" s="319"/>
      <c r="G17" s="318"/>
      <c r="H17" s="315"/>
      <c r="I17" s="315"/>
      <c r="J17" s="317"/>
      <c r="K17" s="35"/>
      <c r="L17" s="316"/>
      <c r="M17" s="315"/>
      <c r="N17" s="315"/>
      <c r="O17" s="315"/>
      <c r="P17" s="316"/>
      <c r="Q17" s="315"/>
      <c r="R17" s="248"/>
      <c r="S17" s="246"/>
    </row>
    <row r="18" spans="1:19" ht="15" customHeight="1">
      <c r="A18" s="364" t="s">
        <v>12</v>
      </c>
      <c r="B18" s="181"/>
      <c r="C18" s="329">
        <v>0.93</v>
      </c>
      <c r="D18" s="324">
        <v>0.99</v>
      </c>
      <c r="E18" s="324">
        <v>0.92</v>
      </c>
      <c r="F18" s="324">
        <v>0.86</v>
      </c>
      <c r="G18" s="329">
        <v>0.69</v>
      </c>
      <c r="H18" s="324">
        <v>0.77</v>
      </c>
      <c r="I18" s="324">
        <v>0.74</v>
      </c>
      <c r="J18" s="328">
        <v>0.72</v>
      </c>
      <c r="K18" s="323"/>
      <c r="L18" s="329">
        <v>1.08</v>
      </c>
      <c r="M18" s="324">
        <v>1.0900000000000001</v>
      </c>
      <c r="N18" s="324">
        <v>0.96480538400000004</v>
      </c>
      <c r="O18" s="324">
        <v>1.077047785</v>
      </c>
      <c r="P18" s="329">
        <v>0.69</v>
      </c>
      <c r="Q18" s="324">
        <v>0.75</v>
      </c>
      <c r="R18" s="324">
        <v>0.66</v>
      </c>
      <c r="S18" s="328">
        <v>0.72</v>
      </c>
    </row>
    <row r="19" spans="1:19" ht="15" customHeight="1">
      <c r="A19" s="244" t="s">
        <v>38</v>
      </c>
      <c r="B19" s="181"/>
      <c r="C19" s="311">
        <v>1.08</v>
      </c>
      <c r="D19" s="313">
        <v>0.68</v>
      </c>
      <c r="E19" s="352">
        <v>0.81</v>
      </c>
      <c r="F19" s="352">
        <v>0.78</v>
      </c>
      <c r="G19" s="311">
        <v>0.93</v>
      </c>
      <c r="H19" s="313">
        <v>0.94</v>
      </c>
      <c r="I19" s="313">
        <v>0.94</v>
      </c>
      <c r="J19" s="312">
        <v>0.94</v>
      </c>
      <c r="K19" s="323"/>
      <c r="L19" s="311">
        <v>0.9</v>
      </c>
      <c r="M19" s="313">
        <v>0.85</v>
      </c>
      <c r="N19" s="313">
        <v>0.84353169900000002</v>
      </c>
      <c r="O19" s="313">
        <v>0.82617698699999997</v>
      </c>
      <c r="P19" s="311">
        <v>0.93</v>
      </c>
      <c r="Q19" s="313">
        <v>0.94</v>
      </c>
      <c r="R19" s="313">
        <v>0.94</v>
      </c>
      <c r="S19" s="312">
        <v>0.94</v>
      </c>
    </row>
    <row r="20" spans="1:19" ht="15" customHeight="1">
      <c r="A20" s="244" t="s">
        <v>111</v>
      </c>
      <c r="B20" s="181"/>
      <c r="C20" s="311" t="s">
        <v>58</v>
      </c>
      <c r="D20" s="313" t="s">
        <v>58</v>
      </c>
      <c r="E20" s="352" t="s">
        <v>58</v>
      </c>
      <c r="F20" s="352" t="s">
        <v>58</v>
      </c>
      <c r="G20" s="311" t="s">
        <v>58</v>
      </c>
      <c r="H20" s="313" t="s">
        <v>58</v>
      </c>
      <c r="I20" s="313" t="s">
        <v>58</v>
      </c>
      <c r="J20" s="312" t="s">
        <v>58</v>
      </c>
      <c r="K20" s="323"/>
      <c r="L20" s="311" t="s">
        <v>58</v>
      </c>
      <c r="M20" s="313" t="s">
        <v>58</v>
      </c>
      <c r="N20" s="313" t="s">
        <v>58</v>
      </c>
      <c r="O20" s="313" t="s">
        <v>58</v>
      </c>
      <c r="P20" s="311" t="s">
        <v>58</v>
      </c>
      <c r="Q20" s="313" t="s">
        <v>58</v>
      </c>
      <c r="R20" s="313" t="s">
        <v>58</v>
      </c>
      <c r="S20" s="312" t="s">
        <v>58</v>
      </c>
    </row>
    <row r="21" spans="1:19" ht="15" customHeight="1">
      <c r="A21" s="362" t="s">
        <v>11</v>
      </c>
      <c r="B21" s="181"/>
      <c r="C21" s="311" t="s">
        <v>58</v>
      </c>
      <c r="D21" s="313">
        <v>0.86</v>
      </c>
      <c r="E21" s="352">
        <v>1</v>
      </c>
      <c r="F21" s="352">
        <v>0.99</v>
      </c>
      <c r="G21" s="311" t="s">
        <v>58</v>
      </c>
      <c r="H21" s="313">
        <v>0.49</v>
      </c>
      <c r="I21" s="313">
        <v>0.54</v>
      </c>
      <c r="J21" s="312">
        <v>0.54</v>
      </c>
      <c r="K21" s="323"/>
      <c r="L21" s="311" t="s">
        <v>58</v>
      </c>
      <c r="M21" s="313">
        <v>0.84</v>
      </c>
      <c r="N21" s="313">
        <v>1</v>
      </c>
      <c r="O21" s="313">
        <v>1</v>
      </c>
      <c r="P21" s="311" t="s">
        <v>58</v>
      </c>
      <c r="Q21" s="313">
        <v>0.49</v>
      </c>
      <c r="R21" s="313">
        <v>0.54</v>
      </c>
      <c r="S21" s="312">
        <v>0.54</v>
      </c>
    </row>
    <row r="22" spans="1:19" ht="15" customHeight="1">
      <c r="A22" s="362" t="s">
        <v>40</v>
      </c>
      <c r="B22" s="181"/>
      <c r="C22" s="311" t="s">
        <v>58</v>
      </c>
      <c r="D22" s="313" t="s">
        <v>58</v>
      </c>
      <c r="E22" s="352">
        <v>1.02</v>
      </c>
      <c r="F22" s="352">
        <v>0.96</v>
      </c>
      <c r="G22" s="311" t="s">
        <v>58</v>
      </c>
      <c r="H22" s="313" t="s">
        <v>58</v>
      </c>
      <c r="I22" s="313">
        <v>0.66</v>
      </c>
      <c r="J22" s="312">
        <v>0.68</v>
      </c>
      <c r="K22" s="323"/>
      <c r="L22" s="311" t="s">
        <v>58</v>
      </c>
      <c r="M22" s="313" t="s">
        <v>58</v>
      </c>
      <c r="N22" s="313">
        <v>0.96648201600000005</v>
      </c>
      <c r="O22" s="313">
        <v>0.997</v>
      </c>
      <c r="P22" s="311" t="s">
        <v>58</v>
      </c>
      <c r="Q22" s="313" t="s">
        <v>58</v>
      </c>
      <c r="R22" s="313">
        <v>0.66</v>
      </c>
      <c r="S22" s="312">
        <v>0.67</v>
      </c>
    </row>
    <row r="23" spans="1:19" ht="15" customHeight="1">
      <c r="A23" s="362" t="s">
        <v>158</v>
      </c>
      <c r="B23" s="174"/>
      <c r="C23" s="363" t="s">
        <v>58</v>
      </c>
      <c r="D23" s="359" t="s">
        <v>58</v>
      </c>
      <c r="E23" s="359" t="s">
        <v>58</v>
      </c>
      <c r="F23" s="359" t="s">
        <v>58</v>
      </c>
      <c r="G23" s="363" t="s">
        <v>58</v>
      </c>
      <c r="H23" s="359" t="s">
        <v>58</v>
      </c>
      <c r="I23" s="359" t="s">
        <v>58</v>
      </c>
      <c r="J23" s="358" t="s">
        <v>58</v>
      </c>
      <c r="K23" s="353"/>
      <c r="L23" s="363" t="s">
        <v>58</v>
      </c>
      <c r="M23" s="359" t="s">
        <v>58</v>
      </c>
      <c r="N23" s="359" t="s">
        <v>58</v>
      </c>
      <c r="O23" s="359" t="s">
        <v>58</v>
      </c>
      <c r="P23" s="363" t="s">
        <v>58</v>
      </c>
      <c r="Q23" s="359" t="s">
        <v>58</v>
      </c>
      <c r="R23" s="359" t="s">
        <v>58</v>
      </c>
      <c r="S23" s="358" t="s">
        <v>58</v>
      </c>
    </row>
    <row r="24" spans="1:19" ht="15" customHeight="1">
      <c r="A24" s="362" t="s">
        <v>159</v>
      </c>
      <c r="B24" s="181"/>
      <c r="C24" s="360" t="s">
        <v>58</v>
      </c>
      <c r="D24" s="359" t="s">
        <v>58</v>
      </c>
      <c r="E24" s="361" t="s">
        <v>58</v>
      </c>
      <c r="F24" s="361" t="s">
        <v>58</v>
      </c>
      <c r="G24" s="360" t="s">
        <v>58</v>
      </c>
      <c r="H24" s="359" t="s">
        <v>58</v>
      </c>
      <c r="I24" s="359" t="s">
        <v>58</v>
      </c>
      <c r="J24" s="358" t="s">
        <v>58</v>
      </c>
      <c r="K24" s="353"/>
      <c r="L24" s="360" t="s">
        <v>58</v>
      </c>
      <c r="M24" s="359" t="s">
        <v>58</v>
      </c>
      <c r="N24" s="359" t="s">
        <v>58</v>
      </c>
      <c r="O24" s="359" t="s">
        <v>58</v>
      </c>
      <c r="P24" s="360" t="s">
        <v>58</v>
      </c>
      <c r="Q24" s="359" t="s">
        <v>58</v>
      </c>
      <c r="R24" s="359" t="s">
        <v>58</v>
      </c>
      <c r="S24" s="358" t="s">
        <v>58</v>
      </c>
    </row>
    <row r="25" spans="1:19" ht="15" customHeight="1">
      <c r="A25" s="348" t="s">
        <v>49</v>
      </c>
      <c r="B25" s="174"/>
      <c r="C25" s="347">
        <v>0.76</v>
      </c>
      <c r="D25" s="346" t="s">
        <v>58</v>
      </c>
      <c r="E25" s="346" t="s">
        <v>58</v>
      </c>
      <c r="F25" s="346" t="s">
        <v>58</v>
      </c>
      <c r="G25" s="347" t="s">
        <v>58</v>
      </c>
      <c r="H25" s="346" t="s">
        <v>58</v>
      </c>
      <c r="I25" s="346" t="s">
        <v>58</v>
      </c>
      <c r="J25" s="345" t="s">
        <v>58</v>
      </c>
      <c r="K25" s="353"/>
      <c r="L25" s="347">
        <v>1</v>
      </c>
      <c r="M25" s="346" t="s">
        <v>58</v>
      </c>
      <c r="N25" s="346" t="s">
        <v>58</v>
      </c>
      <c r="O25" s="346" t="s">
        <v>58</v>
      </c>
      <c r="P25" s="347" t="s">
        <v>58</v>
      </c>
      <c r="Q25" s="346" t="s">
        <v>58</v>
      </c>
      <c r="R25" s="346" t="s">
        <v>58</v>
      </c>
      <c r="S25" s="345" t="s">
        <v>58</v>
      </c>
    </row>
    <row r="26" spans="1:19" ht="3.75" customHeight="1">
      <c r="A26" s="279"/>
      <c r="B26" s="181"/>
      <c r="C26" s="357"/>
      <c r="D26" s="355"/>
      <c r="E26" s="356"/>
      <c r="F26" s="356"/>
      <c r="G26" s="355"/>
      <c r="H26" s="355"/>
      <c r="I26" s="356"/>
      <c r="J26" s="356"/>
      <c r="K26" s="353"/>
      <c r="L26" s="355"/>
      <c r="M26" s="355"/>
      <c r="N26" s="356"/>
      <c r="O26" s="356"/>
      <c r="P26" s="355"/>
      <c r="Q26" s="355"/>
      <c r="R26" s="354"/>
      <c r="S26" s="354"/>
    </row>
    <row r="27" spans="1:19">
      <c r="A27" s="320" t="s">
        <v>113</v>
      </c>
      <c r="B27" s="174"/>
      <c r="C27" s="249"/>
      <c r="D27" s="319"/>
      <c r="E27" s="319"/>
      <c r="F27" s="319"/>
      <c r="G27" s="318"/>
      <c r="H27" s="315"/>
      <c r="I27" s="315"/>
      <c r="J27" s="317"/>
      <c r="K27" s="353"/>
      <c r="L27" s="316"/>
      <c r="M27" s="315"/>
      <c r="N27" s="315"/>
      <c r="O27" s="315"/>
      <c r="P27" s="316"/>
      <c r="Q27" s="315"/>
      <c r="R27" s="248"/>
      <c r="S27" s="246"/>
    </row>
    <row r="28" spans="1:19" ht="15" customHeight="1">
      <c r="A28" s="245" t="s">
        <v>114</v>
      </c>
      <c r="B28" s="181"/>
      <c r="C28" s="329" t="s">
        <v>58</v>
      </c>
      <c r="D28" s="324" t="s">
        <v>58</v>
      </c>
      <c r="E28" s="324" t="s">
        <v>58</v>
      </c>
      <c r="F28" s="324" t="s">
        <v>58</v>
      </c>
      <c r="G28" s="329" t="s">
        <v>58</v>
      </c>
      <c r="H28" s="324" t="s">
        <v>58</v>
      </c>
      <c r="I28" s="324" t="s">
        <v>58</v>
      </c>
      <c r="J28" s="328" t="s">
        <v>58</v>
      </c>
      <c r="K28" s="353"/>
      <c r="L28" s="329" t="s">
        <v>58</v>
      </c>
      <c r="M28" s="324" t="s">
        <v>58</v>
      </c>
      <c r="N28" s="324" t="s">
        <v>58</v>
      </c>
      <c r="O28" s="324" t="s">
        <v>58</v>
      </c>
      <c r="P28" s="329" t="s">
        <v>58</v>
      </c>
      <c r="Q28" s="324" t="s">
        <v>58</v>
      </c>
      <c r="R28" s="324" t="s">
        <v>58</v>
      </c>
      <c r="S28" s="328" t="s">
        <v>58</v>
      </c>
    </row>
    <row r="29" spans="1:19" ht="15" customHeight="1">
      <c r="A29" s="244" t="s">
        <v>115</v>
      </c>
      <c r="B29" s="181"/>
      <c r="C29" s="311" t="s">
        <v>58</v>
      </c>
      <c r="D29" s="313" t="s">
        <v>58</v>
      </c>
      <c r="E29" s="352" t="s">
        <v>58</v>
      </c>
      <c r="F29" s="352" t="s">
        <v>58</v>
      </c>
      <c r="G29" s="311" t="s">
        <v>58</v>
      </c>
      <c r="H29" s="313" t="s">
        <v>58</v>
      </c>
      <c r="I29" s="313" t="s">
        <v>58</v>
      </c>
      <c r="J29" s="312" t="s">
        <v>58</v>
      </c>
      <c r="K29" s="353"/>
      <c r="L29" s="311" t="s">
        <v>58</v>
      </c>
      <c r="M29" s="313" t="s">
        <v>58</v>
      </c>
      <c r="N29" s="313" t="s">
        <v>58</v>
      </c>
      <c r="O29" s="313" t="s">
        <v>58</v>
      </c>
      <c r="P29" s="311" t="s">
        <v>58</v>
      </c>
      <c r="Q29" s="313" t="s">
        <v>58</v>
      </c>
      <c r="R29" s="313" t="s">
        <v>58</v>
      </c>
      <c r="S29" s="312" t="s">
        <v>58</v>
      </c>
    </row>
    <row r="30" spans="1:19" ht="15" customHeight="1">
      <c r="A30" s="244" t="s">
        <v>116</v>
      </c>
      <c r="B30" s="181"/>
      <c r="C30" s="311" t="s">
        <v>58</v>
      </c>
      <c r="D30" s="313" t="s">
        <v>58</v>
      </c>
      <c r="E30" s="352" t="s">
        <v>58</v>
      </c>
      <c r="F30" s="352" t="s">
        <v>58</v>
      </c>
      <c r="G30" s="311" t="s">
        <v>58</v>
      </c>
      <c r="H30" s="313" t="s">
        <v>58</v>
      </c>
      <c r="I30" s="313" t="s">
        <v>58</v>
      </c>
      <c r="J30" s="312" t="s">
        <v>58</v>
      </c>
      <c r="K30" s="323"/>
      <c r="L30" s="311" t="s">
        <v>58</v>
      </c>
      <c r="M30" s="313" t="s">
        <v>58</v>
      </c>
      <c r="N30" s="313" t="s">
        <v>58</v>
      </c>
      <c r="O30" s="313" t="s">
        <v>58</v>
      </c>
      <c r="P30" s="311" t="s">
        <v>58</v>
      </c>
      <c r="Q30" s="313" t="s">
        <v>58</v>
      </c>
      <c r="R30" s="313" t="s">
        <v>58</v>
      </c>
      <c r="S30" s="312" t="s">
        <v>58</v>
      </c>
    </row>
    <row r="31" spans="1:19" ht="15" customHeight="1">
      <c r="A31" s="275" t="s">
        <v>12</v>
      </c>
      <c r="B31" s="181"/>
      <c r="C31" s="351"/>
      <c r="D31" s="350"/>
      <c r="E31" s="350"/>
      <c r="F31" s="350"/>
      <c r="G31" s="351"/>
      <c r="H31" s="350"/>
      <c r="I31" s="350"/>
      <c r="J31" s="349"/>
      <c r="K31" s="323"/>
      <c r="L31" s="351"/>
      <c r="M31" s="350"/>
      <c r="N31" s="350"/>
      <c r="O31" s="350"/>
      <c r="P31" s="351"/>
      <c r="Q31" s="350"/>
      <c r="R31" s="350"/>
      <c r="S31" s="349"/>
    </row>
    <row r="32" spans="1:19" ht="15" customHeight="1">
      <c r="A32" s="348" t="s">
        <v>49</v>
      </c>
      <c r="B32" s="174"/>
      <c r="C32" s="347">
        <v>0.84</v>
      </c>
      <c r="D32" s="346" t="s">
        <v>58</v>
      </c>
      <c r="E32" s="346" t="s">
        <v>58</v>
      </c>
      <c r="F32" s="346" t="s">
        <v>58</v>
      </c>
      <c r="G32" s="347" t="s">
        <v>58</v>
      </c>
      <c r="H32" s="346" t="s">
        <v>58</v>
      </c>
      <c r="I32" s="346" t="s">
        <v>58</v>
      </c>
      <c r="J32" s="345" t="s">
        <v>58</v>
      </c>
      <c r="K32" s="323"/>
      <c r="L32" s="347">
        <v>1</v>
      </c>
      <c r="M32" s="346" t="s">
        <v>58</v>
      </c>
      <c r="N32" s="346" t="s">
        <v>58</v>
      </c>
      <c r="O32" s="346" t="s">
        <v>58</v>
      </c>
      <c r="P32" s="347" t="s">
        <v>58</v>
      </c>
      <c r="Q32" s="346" t="s">
        <v>58</v>
      </c>
      <c r="R32" s="346" t="s">
        <v>58</v>
      </c>
      <c r="S32" s="345" t="s">
        <v>58</v>
      </c>
    </row>
    <row r="33" spans="1:19" ht="3" customHeight="1">
      <c r="A33" s="266"/>
      <c r="B33" s="181"/>
      <c r="C33" s="344"/>
      <c r="D33" s="342"/>
      <c r="E33" s="343"/>
      <c r="F33" s="343"/>
      <c r="G33" s="342"/>
      <c r="H33" s="342"/>
      <c r="I33" s="343"/>
      <c r="J33" s="343"/>
      <c r="K33" s="323"/>
      <c r="L33" s="342"/>
      <c r="M33" s="342"/>
      <c r="N33" s="343"/>
      <c r="O33" s="343"/>
      <c r="P33" s="342"/>
      <c r="Q33" s="342"/>
      <c r="R33" s="341"/>
      <c r="S33" s="341"/>
    </row>
    <row r="34" spans="1:19">
      <c r="A34" s="320" t="s">
        <v>23</v>
      </c>
      <c r="B34" s="174"/>
      <c r="C34" s="249"/>
      <c r="D34" s="319"/>
      <c r="E34" s="319"/>
      <c r="F34" s="319"/>
      <c r="G34" s="318"/>
      <c r="H34" s="315"/>
      <c r="I34" s="315"/>
      <c r="J34" s="317"/>
      <c r="K34" s="323"/>
      <c r="L34" s="316"/>
      <c r="M34" s="315"/>
      <c r="N34" s="315"/>
      <c r="O34" s="315"/>
      <c r="P34" s="316"/>
      <c r="Q34" s="315"/>
      <c r="R34" s="248"/>
      <c r="S34" s="246"/>
    </row>
    <row r="35" spans="1:19" ht="15" customHeight="1">
      <c r="A35" s="340" t="s">
        <v>23</v>
      </c>
      <c r="B35" s="181"/>
      <c r="C35" s="339" t="s">
        <v>58</v>
      </c>
      <c r="D35" s="338">
        <v>0.16</v>
      </c>
      <c r="E35" s="338">
        <v>0.55000000000000004</v>
      </c>
      <c r="F35" s="338">
        <v>0.19</v>
      </c>
      <c r="G35" s="339" t="s">
        <v>58</v>
      </c>
      <c r="H35" s="338">
        <v>1</v>
      </c>
      <c r="I35" s="338">
        <v>1</v>
      </c>
      <c r="J35" s="337">
        <v>1</v>
      </c>
      <c r="K35" s="323"/>
      <c r="L35" s="339" t="s">
        <v>58</v>
      </c>
      <c r="M35" s="338">
        <v>0.98</v>
      </c>
      <c r="N35" s="338">
        <v>0.89401793500000004</v>
      </c>
      <c r="O35" s="338">
        <v>0.81321471899999997</v>
      </c>
      <c r="P35" s="339" t="s">
        <v>58</v>
      </c>
      <c r="Q35" s="338">
        <v>1</v>
      </c>
      <c r="R35" s="338">
        <v>1</v>
      </c>
      <c r="S35" s="337">
        <v>1</v>
      </c>
    </row>
    <row r="36" spans="1:19" ht="3.75" customHeight="1">
      <c r="A36" s="254"/>
      <c r="B36" s="181"/>
      <c r="C36" s="334"/>
      <c r="D36" s="332"/>
      <c r="E36" s="333"/>
      <c r="F36" s="333"/>
      <c r="G36" s="332"/>
      <c r="H36" s="332"/>
      <c r="I36" s="333"/>
      <c r="J36" s="333"/>
      <c r="K36" s="323"/>
      <c r="L36" s="332"/>
      <c r="M36" s="332"/>
      <c r="N36" s="333"/>
      <c r="O36" s="333"/>
      <c r="P36" s="332"/>
      <c r="Q36" s="332"/>
      <c r="R36" s="331"/>
      <c r="S36" s="331"/>
    </row>
    <row r="37" spans="1:19">
      <c r="A37" s="320" t="s">
        <v>119</v>
      </c>
      <c r="B37" s="174"/>
      <c r="C37" s="249"/>
      <c r="D37" s="319"/>
      <c r="E37" s="319"/>
      <c r="F37" s="319"/>
      <c r="G37" s="318"/>
      <c r="H37" s="315"/>
      <c r="I37" s="315"/>
      <c r="J37" s="317"/>
      <c r="K37" s="35"/>
      <c r="L37" s="316"/>
      <c r="M37" s="315"/>
      <c r="N37" s="315"/>
      <c r="O37" s="315"/>
      <c r="P37" s="316"/>
      <c r="Q37" s="315"/>
      <c r="R37" s="248"/>
      <c r="S37" s="246"/>
    </row>
    <row r="38" spans="1:19">
      <c r="A38" s="229" t="s">
        <v>23</v>
      </c>
      <c r="C38" s="314" t="s">
        <v>58</v>
      </c>
      <c r="D38" s="313" t="s">
        <v>58</v>
      </c>
      <c r="E38" s="313" t="s">
        <v>58</v>
      </c>
      <c r="F38" s="313" t="s">
        <v>58</v>
      </c>
      <c r="G38" s="314" t="s">
        <v>58</v>
      </c>
      <c r="H38" s="313" t="s">
        <v>58</v>
      </c>
      <c r="I38" s="313" t="s">
        <v>58</v>
      </c>
      <c r="J38" s="312" t="s">
        <v>58</v>
      </c>
      <c r="K38" s="35"/>
      <c r="L38" s="314" t="s">
        <v>58</v>
      </c>
      <c r="M38" s="313" t="s">
        <v>58</v>
      </c>
      <c r="N38" s="313" t="s">
        <v>58</v>
      </c>
      <c r="O38" s="313" t="s">
        <v>58</v>
      </c>
      <c r="P38" s="314" t="s">
        <v>58</v>
      </c>
      <c r="Q38" s="313" t="s">
        <v>58</v>
      </c>
      <c r="R38" s="324" t="s">
        <v>58</v>
      </c>
      <c r="S38" s="328" t="s">
        <v>58</v>
      </c>
    </row>
    <row r="39" spans="1:19">
      <c r="A39" s="336" t="s">
        <v>38</v>
      </c>
      <c r="C39" s="335" t="s">
        <v>58</v>
      </c>
      <c r="D39" s="306" t="s">
        <v>58</v>
      </c>
      <c r="E39" s="306" t="s">
        <v>58</v>
      </c>
      <c r="F39" s="306" t="s">
        <v>58</v>
      </c>
      <c r="G39" s="335" t="s">
        <v>58</v>
      </c>
      <c r="H39" s="306" t="s">
        <v>58</v>
      </c>
      <c r="I39" s="306" t="s">
        <v>58</v>
      </c>
      <c r="J39" s="305" t="s">
        <v>58</v>
      </c>
      <c r="K39" s="35"/>
      <c r="L39" s="335" t="s">
        <v>58</v>
      </c>
      <c r="M39" s="306" t="s">
        <v>58</v>
      </c>
      <c r="N39" s="306" t="s">
        <v>58</v>
      </c>
      <c r="O39" s="306" t="s">
        <v>58</v>
      </c>
      <c r="P39" s="335" t="s">
        <v>58</v>
      </c>
      <c r="Q39" s="306" t="s">
        <v>58</v>
      </c>
      <c r="R39" s="306" t="s">
        <v>58</v>
      </c>
      <c r="S39" s="305" t="s">
        <v>58</v>
      </c>
    </row>
    <row r="40" spans="1:19" ht="3.75" customHeight="1">
      <c r="A40" s="254"/>
      <c r="B40" s="181"/>
      <c r="C40" s="334"/>
      <c r="D40" s="332"/>
      <c r="E40" s="333"/>
      <c r="F40" s="333"/>
      <c r="G40" s="332"/>
      <c r="H40" s="332"/>
      <c r="I40" s="333"/>
      <c r="J40" s="333"/>
      <c r="K40" s="323"/>
      <c r="L40" s="332"/>
      <c r="M40" s="332"/>
      <c r="N40" s="333"/>
      <c r="O40" s="333"/>
      <c r="P40" s="332"/>
      <c r="Q40" s="332"/>
      <c r="R40" s="331"/>
      <c r="S40" s="331"/>
    </row>
    <row r="41" spans="1:19">
      <c r="A41" s="320" t="s">
        <v>121</v>
      </c>
      <c r="B41" s="174"/>
      <c r="C41" s="249"/>
      <c r="D41" s="319"/>
      <c r="E41" s="319"/>
      <c r="F41" s="319"/>
      <c r="G41" s="318"/>
      <c r="H41" s="315"/>
      <c r="I41" s="315"/>
      <c r="J41" s="317"/>
      <c r="K41" s="35"/>
      <c r="L41" s="316"/>
      <c r="M41" s="315"/>
      <c r="N41" s="315"/>
      <c r="O41" s="315"/>
      <c r="P41" s="316"/>
      <c r="Q41" s="315"/>
      <c r="R41" s="248"/>
      <c r="S41" s="246"/>
    </row>
    <row r="42" spans="1:19" ht="15.75" customHeight="1">
      <c r="A42" s="330" t="s">
        <v>55</v>
      </c>
      <c r="B42" s="181"/>
      <c r="C42" s="329">
        <v>0.84</v>
      </c>
      <c r="D42" s="324" t="s">
        <v>58</v>
      </c>
      <c r="E42" s="324" t="s">
        <v>58</v>
      </c>
      <c r="F42" s="324" t="s">
        <v>58</v>
      </c>
      <c r="G42" s="329">
        <v>0.55000000000000004</v>
      </c>
      <c r="H42" s="324" t="s">
        <v>58</v>
      </c>
      <c r="I42" s="324" t="s">
        <v>58</v>
      </c>
      <c r="J42" s="328" t="s">
        <v>58</v>
      </c>
      <c r="K42" s="323"/>
      <c r="L42" s="329">
        <v>0.85</v>
      </c>
      <c r="M42" s="324" t="s">
        <v>58</v>
      </c>
      <c r="N42" s="324" t="s">
        <v>58</v>
      </c>
      <c r="O42" s="324" t="s">
        <v>58</v>
      </c>
      <c r="P42" s="329">
        <v>0.56000000000000005</v>
      </c>
      <c r="Q42" s="324" t="s">
        <v>58</v>
      </c>
      <c r="R42" s="324" t="s">
        <v>58</v>
      </c>
      <c r="S42" s="328" t="s">
        <v>58</v>
      </c>
    </row>
    <row r="43" spans="1:19" ht="15.75" customHeight="1">
      <c r="A43" s="244" t="s">
        <v>42</v>
      </c>
      <c r="B43" s="181"/>
      <c r="C43" s="311">
        <v>1</v>
      </c>
      <c r="D43" s="313">
        <v>1</v>
      </c>
      <c r="E43" s="313">
        <v>1</v>
      </c>
      <c r="F43" s="313">
        <v>1</v>
      </c>
      <c r="G43" s="311">
        <v>0.5</v>
      </c>
      <c r="H43" s="313">
        <v>0.5</v>
      </c>
      <c r="I43" s="313">
        <v>0.5</v>
      </c>
      <c r="J43" s="312">
        <v>0.5</v>
      </c>
      <c r="K43" s="323"/>
      <c r="L43" s="311">
        <v>1</v>
      </c>
      <c r="M43" s="313">
        <v>1</v>
      </c>
      <c r="N43" s="313">
        <v>1</v>
      </c>
      <c r="O43" s="313">
        <v>1</v>
      </c>
      <c r="P43" s="311">
        <v>0.5</v>
      </c>
      <c r="Q43" s="313">
        <v>0.5</v>
      </c>
      <c r="R43" s="313">
        <v>0.5</v>
      </c>
      <c r="S43" s="312">
        <v>0.5</v>
      </c>
    </row>
    <row r="44" spans="1:19" ht="15.75" customHeight="1">
      <c r="A44" s="244" t="s">
        <v>139</v>
      </c>
      <c r="B44" s="181"/>
      <c r="C44" s="311" t="s">
        <v>58</v>
      </c>
      <c r="D44" s="313" t="s">
        <v>58</v>
      </c>
      <c r="E44" s="313" t="s">
        <v>58</v>
      </c>
      <c r="F44" s="313" t="s">
        <v>58</v>
      </c>
      <c r="G44" s="311" t="s">
        <v>58</v>
      </c>
      <c r="H44" s="313" t="s">
        <v>58</v>
      </c>
      <c r="I44" s="313" t="s">
        <v>58</v>
      </c>
      <c r="J44" s="312" t="s">
        <v>58</v>
      </c>
      <c r="K44" s="323"/>
      <c r="L44" s="311" t="s">
        <v>58</v>
      </c>
      <c r="M44" s="313" t="s">
        <v>58</v>
      </c>
      <c r="N44" s="313" t="s">
        <v>58</v>
      </c>
      <c r="O44" s="313" t="s">
        <v>58</v>
      </c>
      <c r="P44" s="311" t="s">
        <v>58</v>
      </c>
      <c r="Q44" s="313" t="s">
        <v>58</v>
      </c>
      <c r="R44" s="313" t="s">
        <v>58</v>
      </c>
      <c r="S44" s="312" t="s">
        <v>58</v>
      </c>
    </row>
    <row r="45" spans="1:19" ht="15.75" customHeight="1">
      <c r="A45" s="244" t="s">
        <v>140</v>
      </c>
      <c r="B45" s="181"/>
      <c r="C45" s="311" t="s">
        <v>58</v>
      </c>
      <c r="D45" s="313" t="s">
        <v>58</v>
      </c>
      <c r="E45" s="313" t="s">
        <v>58</v>
      </c>
      <c r="F45" s="313" t="s">
        <v>58</v>
      </c>
      <c r="G45" s="311" t="s">
        <v>58</v>
      </c>
      <c r="H45" s="313" t="s">
        <v>58</v>
      </c>
      <c r="I45" s="313" t="s">
        <v>58</v>
      </c>
      <c r="J45" s="312" t="s">
        <v>58</v>
      </c>
      <c r="K45" s="323"/>
      <c r="L45" s="311" t="s">
        <v>58</v>
      </c>
      <c r="M45" s="313" t="s">
        <v>58</v>
      </c>
      <c r="N45" s="313" t="s">
        <v>58</v>
      </c>
      <c r="O45" s="313" t="s">
        <v>58</v>
      </c>
      <c r="P45" s="311" t="s">
        <v>58</v>
      </c>
      <c r="Q45" s="313" t="s">
        <v>58</v>
      </c>
      <c r="R45" s="313" t="s">
        <v>58</v>
      </c>
      <c r="S45" s="312" t="s">
        <v>58</v>
      </c>
    </row>
    <row r="46" spans="1:19" ht="15.75" customHeight="1">
      <c r="A46" s="327" t="s">
        <v>141</v>
      </c>
      <c r="B46" s="181"/>
      <c r="C46" s="307" t="s">
        <v>58</v>
      </c>
      <c r="D46" s="326" t="s">
        <v>58</v>
      </c>
      <c r="E46" s="326" t="s">
        <v>58</v>
      </c>
      <c r="F46" s="326" t="s">
        <v>58</v>
      </c>
      <c r="G46" s="307" t="s">
        <v>58</v>
      </c>
      <c r="H46" s="326" t="s">
        <v>58</v>
      </c>
      <c r="I46" s="326" t="s">
        <v>58</v>
      </c>
      <c r="J46" s="325" t="s">
        <v>58</v>
      </c>
      <c r="K46" s="323"/>
      <c r="L46" s="307" t="s">
        <v>58</v>
      </c>
      <c r="M46" s="326" t="s">
        <v>58</v>
      </c>
      <c r="N46" s="326" t="s">
        <v>58</v>
      </c>
      <c r="O46" s="326" t="s">
        <v>58</v>
      </c>
      <c r="P46" s="307" t="s">
        <v>58</v>
      </c>
      <c r="Q46" s="326" t="s">
        <v>58</v>
      </c>
      <c r="R46" s="326" t="s">
        <v>58</v>
      </c>
      <c r="S46" s="325" t="s">
        <v>58</v>
      </c>
    </row>
    <row r="47" spans="1:19" ht="4.5" customHeight="1">
      <c r="A47" s="197"/>
      <c r="B47" s="181"/>
      <c r="C47" s="321"/>
      <c r="D47" s="322"/>
      <c r="E47" s="322"/>
      <c r="F47" s="322"/>
      <c r="G47" s="322"/>
      <c r="H47" s="322"/>
      <c r="I47" s="324"/>
      <c r="J47" s="324"/>
      <c r="K47" s="323"/>
      <c r="L47" s="322"/>
      <c r="M47" s="322"/>
      <c r="N47" s="322"/>
      <c r="O47" s="322"/>
      <c r="P47" s="322"/>
      <c r="Q47" s="322"/>
      <c r="R47" s="321"/>
      <c r="S47" s="321"/>
    </row>
    <row r="48" spans="1:19">
      <c r="A48" s="320" t="s">
        <v>123</v>
      </c>
      <c r="B48" s="174"/>
      <c r="C48" s="249"/>
      <c r="D48" s="319"/>
      <c r="E48" s="319"/>
      <c r="F48" s="319"/>
      <c r="G48" s="318"/>
      <c r="H48" s="315"/>
      <c r="I48" s="315"/>
      <c r="J48" s="317"/>
      <c r="K48" s="35"/>
      <c r="L48" s="316"/>
      <c r="M48" s="315"/>
      <c r="N48" s="315"/>
      <c r="O48" s="315"/>
      <c r="P48" s="316"/>
      <c r="Q48" s="315"/>
      <c r="R48" s="248"/>
      <c r="S48" s="246"/>
    </row>
    <row r="49" spans="1:19">
      <c r="A49" s="245" t="s">
        <v>124</v>
      </c>
      <c r="C49" s="314" t="s">
        <v>58</v>
      </c>
      <c r="D49" s="313" t="s">
        <v>58</v>
      </c>
      <c r="E49" s="313" t="s">
        <v>58</v>
      </c>
      <c r="F49" s="313" t="s">
        <v>58</v>
      </c>
      <c r="G49" s="314" t="s">
        <v>58</v>
      </c>
      <c r="H49" s="313" t="s">
        <v>58</v>
      </c>
      <c r="I49" s="313" t="s">
        <v>58</v>
      </c>
      <c r="J49" s="312">
        <v>1</v>
      </c>
      <c r="K49" s="35"/>
      <c r="L49" s="314" t="s">
        <v>58</v>
      </c>
      <c r="M49" s="313" t="s">
        <v>58</v>
      </c>
      <c r="N49" s="313" t="s">
        <v>58</v>
      </c>
      <c r="O49" s="313">
        <v>0.96359918200000005</v>
      </c>
      <c r="P49" s="314" t="s">
        <v>58</v>
      </c>
      <c r="Q49" s="313" t="s">
        <v>58</v>
      </c>
      <c r="R49" s="313" t="s">
        <v>58</v>
      </c>
      <c r="S49" s="312">
        <v>1</v>
      </c>
    </row>
    <row r="50" spans="1:19">
      <c r="A50" s="244" t="s">
        <v>142</v>
      </c>
      <c r="C50" s="311" t="s">
        <v>58</v>
      </c>
      <c r="D50" s="310" t="s">
        <v>58</v>
      </c>
      <c r="E50" s="310" t="s">
        <v>58</v>
      </c>
      <c r="F50" s="310" t="s">
        <v>58</v>
      </c>
      <c r="G50" s="311" t="s">
        <v>58</v>
      </c>
      <c r="H50" s="310" t="s">
        <v>58</v>
      </c>
      <c r="I50" s="310" t="s">
        <v>58</v>
      </c>
      <c r="J50" s="309" t="s">
        <v>58</v>
      </c>
      <c r="K50" s="35"/>
      <c r="L50" s="311" t="s">
        <v>58</v>
      </c>
      <c r="M50" s="310" t="s">
        <v>58</v>
      </c>
      <c r="N50" s="310" t="s">
        <v>58</v>
      </c>
      <c r="O50" s="310" t="s">
        <v>58</v>
      </c>
      <c r="P50" s="311" t="s">
        <v>58</v>
      </c>
      <c r="Q50" s="310" t="s">
        <v>58</v>
      </c>
      <c r="R50" s="310" t="s">
        <v>58</v>
      </c>
      <c r="S50" s="309" t="s">
        <v>58</v>
      </c>
    </row>
    <row r="51" spans="1:19">
      <c r="A51" s="308" t="s">
        <v>294</v>
      </c>
      <c r="C51" s="307" t="s">
        <v>58</v>
      </c>
      <c r="D51" s="306" t="s">
        <v>58</v>
      </c>
      <c r="E51" s="306" t="s">
        <v>58</v>
      </c>
      <c r="F51" s="306" t="s">
        <v>58</v>
      </c>
      <c r="G51" s="306" t="s">
        <v>58</v>
      </c>
      <c r="H51" s="306" t="s">
        <v>58</v>
      </c>
      <c r="I51" s="306" t="s">
        <v>58</v>
      </c>
      <c r="J51" s="305" t="s">
        <v>58</v>
      </c>
      <c r="K51" s="35"/>
      <c r="L51" s="307" t="s">
        <v>58</v>
      </c>
      <c r="M51" s="306" t="s">
        <v>58</v>
      </c>
      <c r="N51" s="306" t="s">
        <v>58</v>
      </c>
      <c r="O51" s="306" t="s">
        <v>58</v>
      </c>
      <c r="P51" s="306" t="s">
        <v>58</v>
      </c>
      <c r="Q51" s="306" t="s">
        <v>58</v>
      </c>
      <c r="R51" s="306" t="s">
        <v>58</v>
      </c>
      <c r="S51" s="305" t="s">
        <v>58</v>
      </c>
    </row>
  </sheetData>
  <autoFilter ref="C1:S50"/>
  <mergeCells count="7">
    <mergeCell ref="A2:A4"/>
    <mergeCell ref="C3:F3"/>
    <mergeCell ref="G3:J3"/>
    <mergeCell ref="C2:J2"/>
    <mergeCell ref="L2:S2"/>
    <mergeCell ref="L3:O3"/>
    <mergeCell ref="P3:S3"/>
  </mergeCells>
  <printOptions horizontalCentered="1"/>
  <pageMargins left="0.23622047244094491" right="0.15748031496062992" top="0.59055118110236227" bottom="0.59055118110236227" header="0.31496062992125984" footer="0.31496062992125984"/>
  <pageSetup scale="77" orientation="landscape" cellComments="asDisplayed" r:id="rId1"/>
  <headerFooter>
    <oddHeader>&amp;L&amp;G</oddHeader>
    <oddFooter>&amp;L&amp;10Kingston Hydro Corporation&amp;C&amp;10_x000D_2011-2014 Final Results Report&amp;R&amp;P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_02"/>
  <dimension ref="A1:AZ332"/>
  <sheetViews>
    <sheetView zoomScale="85" zoomScaleNormal="85" workbookViewId="0">
      <pane xSplit="6" ySplit="7" topLeftCell="G110" activePane="bottomRight" state="frozen"/>
      <selection activeCell="D127" sqref="D127"/>
      <selection pane="topRight" activeCell="D127" sqref="D127"/>
      <selection pane="bottomLeft" activeCell="D127" sqref="D127"/>
      <selection pane="bottomRight" activeCell="D127" sqref="D127"/>
    </sheetView>
  </sheetViews>
  <sheetFormatPr defaultColWidth="9.140625" defaultRowHeight="12.75"/>
  <cols>
    <col min="1" max="1" width="5.85546875" style="467" bestFit="1" customWidth="1"/>
    <col min="2" max="2" width="59.140625" style="467" customWidth="1"/>
    <col min="3" max="4" width="37.5703125" style="467" customWidth="1"/>
    <col min="5" max="6" width="10.42578125" style="467" customWidth="1"/>
    <col min="7" max="7" width="1.7109375" style="468" customWidth="1"/>
    <col min="8" max="37" width="10.7109375" style="469" customWidth="1"/>
    <col min="38" max="256" width="9.140625" style="467"/>
    <col min="257" max="257" width="5.85546875" style="467" bestFit="1" customWidth="1"/>
    <col min="258" max="258" width="59.140625" style="467" customWidth="1"/>
    <col min="259" max="260" width="37.5703125" style="467" customWidth="1"/>
    <col min="261" max="262" width="10.42578125" style="467" customWidth="1"/>
    <col min="263" max="263" width="1.7109375" style="467" customWidth="1"/>
    <col min="264" max="293" width="10.7109375" style="467" customWidth="1"/>
    <col min="294" max="512" width="9.140625" style="467"/>
    <col min="513" max="513" width="5.85546875" style="467" bestFit="1" customWidth="1"/>
    <col min="514" max="514" width="59.140625" style="467" customWidth="1"/>
    <col min="515" max="516" width="37.5703125" style="467" customWidth="1"/>
    <col min="517" max="518" width="10.42578125" style="467" customWidth="1"/>
    <col min="519" max="519" width="1.7109375" style="467" customWidth="1"/>
    <col min="520" max="549" width="10.7109375" style="467" customWidth="1"/>
    <col min="550" max="768" width="9.140625" style="467"/>
    <col min="769" max="769" width="5.85546875" style="467" bestFit="1" customWidth="1"/>
    <col min="770" max="770" width="59.140625" style="467" customWidth="1"/>
    <col min="771" max="772" width="37.5703125" style="467" customWidth="1"/>
    <col min="773" max="774" width="10.42578125" style="467" customWidth="1"/>
    <col min="775" max="775" width="1.7109375" style="467" customWidth="1"/>
    <col min="776" max="805" width="10.7109375" style="467" customWidth="1"/>
    <col min="806" max="1024" width="9.140625" style="467"/>
    <col min="1025" max="1025" width="5.85546875" style="467" bestFit="1" customWidth="1"/>
    <col min="1026" max="1026" width="59.140625" style="467" customWidth="1"/>
    <col min="1027" max="1028" width="37.5703125" style="467" customWidth="1"/>
    <col min="1029" max="1030" width="10.42578125" style="467" customWidth="1"/>
    <col min="1031" max="1031" width="1.7109375" style="467" customWidth="1"/>
    <col min="1032" max="1061" width="10.7109375" style="467" customWidth="1"/>
    <col min="1062" max="1280" width="9.140625" style="467"/>
    <col min="1281" max="1281" width="5.85546875" style="467" bestFit="1" customWidth="1"/>
    <col min="1282" max="1282" width="59.140625" style="467" customWidth="1"/>
    <col min="1283" max="1284" width="37.5703125" style="467" customWidth="1"/>
    <col min="1285" max="1286" width="10.42578125" style="467" customWidth="1"/>
    <col min="1287" max="1287" width="1.7109375" style="467" customWidth="1"/>
    <col min="1288" max="1317" width="10.7109375" style="467" customWidth="1"/>
    <col min="1318" max="1536" width="9.140625" style="467"/>
    <col min="1537" max="1537" width="5.85546875" style="467" bestFit="1" customWidth="1"/>
    <col min="1538" max="1538" width="59.140625" style="467" customWidth="1"/>
    <col min="1539" max="1540" width="37.5703125" style="467" customWidth="1"/>
    <col min="1541" max="1542" width="10.42578125" style="467" customWidth="1"/>
    <col min="1543" max="1543" width="1.7109375" style="467" customWidth="1"/>
    <col min="1544" max="1573" width="10.7109375" style="467" customWidth="1"/>
    <col min="1574" max="1792" width="9.140625" style="467"/>
    <col min="1793" max="1793" width="5.85546875" style="467" bestFit="1" customWidth="1"/>
    <col min="1794" max="1794" width="59.140625" style="467" customWidth="1"/>
    <col min="1795" max="1796" width="37.5703125" style="467" customWidth="1"/>
    <col min="1797" max="1798" width="10.42578125" style="467" customWidth="1"/>
    <col min="1799" max="1799" width="1.7109375" style="467" customWidth="1"/>
    <col min="1800" max="1829" width="10.7109375" style="467" customWidth="1"/>
    <col min="1830" max="2048" width="9.140625" style="467"/>
    <col min="2049" max="2049" width="5.85546875" style="467" bestFit="1" customWidth="1"/>
    <col min="2050" max="2050" width="59.140625" style="467" customWidth="1"/>
    <col min="2051" max="2052" width="37.5703125" style="467" customWidth="1"/>
    <col min="2053" max="2054" width="10.42578125" style="467" customWidth="1"/>
    <col min="2055" max="2055" width="1.7109375" style="467" customWidth="1"/>
    <col min="2056" max="2085" width="10.7109375" style="467" customWidth="1"/>
    <col min="2086" max="2304" width="9.140625" style="467"/>
    <col min="2305" max="2305" width="5.85546875" style="467" bestFit="1" customWidth="1"/>
    <col min="2306" max="2306" width="59.140625" style="467" customWidth="1"/>
    <col min="2307" max="2308" width="37.5703125" style="467" customWidth="1"/>
    <col min="2309" max="2310" width="10.42578125" style="467" customWidth="1"/>
    <col min="2311" max="2311" width="1.7109375" style="467" customWidth="1"/>
    <col min="2312" max="2341" width="10.7109375" style="467" customWidth="1"/>
    <col min="2342" max="2560" width="9.140625" style="467"/>
    <col min="2561" max="2561" width="5.85546875" style="467" bestFit="1" customWidth="1"/>
    <col min="2562" max="2562" width="59.140625" style="467" customWidth="1"/>
    <col min="2563" max="2564" width="37.5703125" style="467" customWidth="1"/>
    <col min="2565" max="2566" width="10.42578125" style="467" customWidth="1"/>
    <col min="2567" max="2567" width="1.7109375" style="467" customWidth="1"/>
    <col min="2568" max="2597" width="10.7109375" style="467" customWidth="1"/>
    <col min="2598" max="2816" width="9.140625" style="467"/>
    <col min="2817" max="2817" width="5.85546875" style="467" bestFit="1" customWidth="1"/>
    <col min="2818" max="2818" width="59.140625" style="467" customWidth="1"/>
    <col min="2819" max="2820" width="37.5703125" style="467" customWidth="1"/>
    <col min="2821" max="2822" width="10.42578125" style="467" customWidth="1"/>
    <col min="2823" max="2823" width="1.7109375" style="467" customWidth="1"/>
    <col min="2824" max="2853" width="10.7109375" style="467" customWidth="1"/>
    <col min="2854" max="3072" width="9.140625" style="467"/>
    <col min="3073" max="3073" width="5.85546875" style="467" bestFit="1" customWidth="1"/>
    <col min="3074" max="3074" width="59.140625" style="467" customWidth="1"/>
    <col min="3075" max="3076" width="37.5703125" style="467" customWidth="1"/>
    <col min="3077" max="3078" width="10.42578125" style="467" customWidth="1"/>
    <col min="3079" max="3079" width="1.7109375" style="467" customWidth="1"/>
    <col min="3080" max="3109" width="10.7109375" style="467" customWidth="1"/>
    <col min="3110" max="3328" width="9.140625" style="467"/>
    <col min="3329" max="3329" width="5.85546875" style="467" bestFit="1" customWidth="1"/>
    <col min="3330" max="3330" width="59.140625" style="467" customWidth="1"/>
    <col min="3331" max="3332" width="37.5703125" style="467" customWidth="1"/>
    <col min="3333" max="3334" width="10.42578125" style="467" customWidth="1"/>
    <col min="3335" max="3335" width="1.7109375" style="467" customWidth="1"/>
    <col min="3336" max="3365" width="10.7109375" style="467" customWidth="1"/>
    <col min="3366" max="3584" width="9.140625" style="467"/>
    <col min="3585" max="3585" width="5.85546875" style="467" bestFit="1" customWidth="1"/>
    <col min="3586" max="3586" width="59.140625" style="467" customWidth="1"/>
    <col min="3587" max="3588" width="37.5703125" style="467" customWidth="1"/>
    <col min="3589" max="3590" width="10.42578125" style="467" customWidth="1"/>
    <col min="3591" max="3591" width="1.7109375" style="467" customWidth="1"/>
    <col min="3592" max="3621" width="10.7109375" style="467" customWidth="1"/>
    <col min="3622" max="3840" width="9.140625" style="467"/>
    <col min="3841" max="3841" width="5.85546875" style="467" bestFit="1" customWidth="1"/>
    <col min="3842" max="3842" width="59.140625" style="467" customWidth="1"/>
    <col min="3843" max="3844" width="37.5703125" style="467" customWidth="1"/>
    <col min="3845" max="3846" width="10.42578125" style="467" customWidth="1"/>
    <col min="3847" max="3847" width="1.7109375" style="467" customWidth="1"/>
    <col min="3848" max="3877" width="10.7109375" style="467" customWidth="1"/>
    <col min="3878" max="4096" width="9.140625" style="467"/>
    <col min="4097" max="4097" width="5.85546875" style="467" bestFit="1" customWidth="1"/>
    <col min="4098" max="4098" width="59.140625" style="467" customWidth="1"/>
    <col min="4099" max="4100" width="37.5703125" style="467" customWidth="1"/>
    <col min="4101" max="4102" width="10.42578125" style="467" customWidth="1"/>
    <col min="4103" max="4103" width="1.7109375" style="467" customWidth="1"/>
    <col min="4104" max="4133" width="10.7109375" style="467" customWidth="1"/>
    <col min="4134" max="4352" width="9.140625" style="467"/>
    <col min="4353" max="4353" width="5.85546875" style="467" bestFit="1" customWidth="1"/>
    <col min="4354" max="4354" width="59.140625" style="467" customWidth="1"/>
    <col min="4355" max="4356" width="37.5703125" style="467" customWidth="1"/>
    <col min="4357" max="4358" width="10.42578125" style="467" customWidth="1"/>
    <col min="4359" max="4359" width="1.7109375" style="467" customWidth="1"/>
    <col min="4360" max="4389" width="10.7109375" style="467" customWidth="1"/>
    <col min="4390" max="4608" width="9.140625" style="467"/>
    <col min="4609" max="4609" width="5.85546875" style="467" bestFit="1" customWidth="1"/>
    <col min="4610" max="4610" width="59.140625" style="467" customWidth="1"/>
    <col min="4611" max="4612" width="37.5703125" style="467" customWidth="1"/>
    <col min="4613" max="4614" width="10.42578125" style="467" customWidth="1"/>
    <col min="4615" max="4615" width="1.7109375" style="467" customWidth="1"/>
    <col min="4616" max="4645" width="10.7109375" style="467" customWidth="1"/>
    <col min="4646" max="4864" width="9.140625" style="467"/>
    <col min="4865" max="4865" width="5.85546875" style="467" bestFit="1" customWidth="1"/>
    <col min="4866" max="4866" width="59.140625" style="467" customWidth="1"/>
    <col min="4867" max="4868" width="37.5703125" style="467" customWidth="1"/>
    <col min="4869" max="4870" width="10.42578125" style="467" customWidth="1"/>
    <col min="4871" max="4871" width="1.7109375" style="467" customWidth="1"/>
    <col min="4872" max="4901" width="10.7109375" style="467" customWidth="1"/>
    <col min="4902" max="5120" width="9.140625" style="467"/>
    <col min="5121" max="5121" width="5.85546875" style="467" bestFit="1" customWidth="1"/>
    <col min="5122" max="5122" width="59.140625" style="467" customWidth="1"/>
    <col min="5123" max="5124" width="37.5703125" style="467" customWidth="1"/>
    <col min="5125" max="5126" width="10.42578125" style="467" customWidth="1"/>
    <col min="5127" max="5127" width="1.7109375" style="467" customWidth="1"/>
    <col min="5128" max="5157" width="10.7109375" style="467" customWidth="1"/>
    <col min="5158" max="5376" width="9.140625" style="467"/>
    <col min="5377" max="5377" width="5.85546875" style="467" bestFit="1" customWidth="1"/>
    <col min="5378" max="5378" width="59.140625" style="467" customWidth="1"/>
    <col min="5379" max="5380" width="37.5703125" style="467" customWidth="1"/>
    <col min="5381" max="5382" width="10.42578125" style="467" customWidth="1"/>
    <col min="5383" max="5383" width="1.7109375" style="467" customWidth="1"/>
    <col min="5384" max="5413" width="10.7109375" style="467" customWidth="1"/>
    <col min="5414" max="5632" width="9.140625" style="467"/>
    <col min="5633" max="5633" width="5.85546875" style="467" bestFit="1" customWidth="1"/>
    <col min="5634" max="5634" width="59.140625" style="467" customWidth="1"/>
    <col min="5635" max="5636" width="37.5703125" style="467" customWidth="1"/>
    <col min="5637" max="5638" width="10.42578125" style="467" customWidth="1"/>
    <col min="5639" max="5639" width="1.7109375" style="467" customWidth="1"/>
    <col min="5640" max="5669" width="10.7109375" style="467" customWidth="1"/>
    <col min="5670" max="5888" width="9.140625" style="467"/>
    <col min="5889" max="5889" width="5.85546875" style="467" bestFit="1" customWidth="1"/>
    <col min="5890" max="5890" width="59.140625" style="467" customWidth="1"/>
    <col min="5891" max="5892" width="37.5703125" style="467" customWidth="1"/>
    <col min="5893" max="5894" width="10.42578125" style="467" customWidth="1"/>
    <col min="5895" max="5895" width="1.7109375" style="467" customWidth="1"/>
    <col min="5896" max="5925" width="10.7109375" style="467" customWidth="1"/>
    <col min="5926" max="6144" width="9.140625" style="467"/>
    <col min="6145" max="6145" width="5.85546875" style="467" bestFit="1" customWidth="1"/>
    <col min="6146" max="6146" width="59.140625" style="467" customWidth="1"/>
    <col min="6147" max="6148" width="37.5703125" style="467" customWidth="1"/>
    <col min="6149" max="6150" width="10.42578125" style="467" customWidth="1"/>
    <col min="6151" max="6151" width="1.7109375" style="467" customWidth="1"/>
    <col min="6152" max="6181" width="10.7109375" style="467" customWidth="1"/>
    <col min="6182" max="6400" width="9.140625" style="467"/>
    <col min="6401" max="6401" width="5.85546875" style="467" bestFit="1" customWidth="1"/>
    <col min="6402" max="6402" width="59.140625" style="467" customWidth="1"/>
    <col min="6403" max="6404" width="37.5703125" style="467" customWidth="1"/>
    <col min="6405" max="6406" width="10.42578125" style="467" customWidth="1"/>
    <col min="6407" max="6407" width="1.7109375" style="467" customWidth="1"/>
    <col min="6408" max="6437" width="10.7109375" style="467" customWidth="1"/>
    <col min="6438" max="6656" width="9.140625" style="467"/>
    <col min="6657" max="6657" width="5.85546875" style="467" bestFit="1" customWidth="1"/>
    <col min="6658" max="6658" width="59.140625" style="467" customWidth="1"/>
    <col min="6659" max="6660" width="37.5703125" style="467" customWidth="1"/>
    <col min="6661" max="6662" width="10.42578125" style="467" customWidth="1"/>
    <col min="6663" max="6663" width="1.7109375" style="467" customWidth="1"/>
    <col min="6664" max="6693" width="10.7109375" style="467" customWidth="1"/>
    <col min="6694" max="6912" width="9.140625" style="467"/>
    <col min="6913" max="6913" width="5.85546875" style="467" bestFit="1" customWidth="1"/>
    <col min="6914" max="6914" width="59.140625" style="467" customWidth="1"/>
    <col min="6915" max="6916" width="37.5703125" style="467" customWidth="1"/>
    <col min="6917" max="6918" width="10.42578125" style="467" customWidth="1"/>
    <col min="6919" max="6919" width="1.7109375" style="467" customWidth="1"/>
    <col min="6920" max="6949" width="10.7109375" style="467" customWidth="1"/>
    <col min="6950" max="7168" width="9.140625" style="467"/>
    <col min="7169" max="7169" width="5.85546875" style="467" bestFit="1" customWidth="1"/>
    <col min="7170" max="7170" width="59.140625" style="467" customWidth="1"/>
    <col min="7171" max="7172" width="37.5703125" style="467" customWidth="1"/>
    <col min="7173" max="7174" width="10.42578125" style="467" customWidth="1"/>
    <col min="7175" max="7175" width="1.7109375" style="467" customWidth="1"/>
    <col min="7176" max="7205" width="10.7109375" style="467" customWidth="1"/>
    <col min="7206" max="7424" width="9.140625" style="467"/>
    <col min="7425" max="7425" width="5.85546875" style="467" bestFit="1" customWidth="1"/>
    <col min="7426" max="7426" width="59.140625" style="467" customWidth="1"/>
    <col min="7427" max="7428" width="37.5703125" style="467" customWidth="1"/>
    <col min="7429" max="7430" width="10.42578125" style="467" customWidth="1"/>
    <col min="7431" max="7431" width="1.7109375" style="467" customWidth="1"/>
    <col min="7432" max="7461" width="10.7109375" style="467" customWidth="1"/>
    <col min="7462" max="7680" width="9.140625" style="467"/>
    <col min="7681" max="7681" width="5.85546875" style="467" bestFit="1" customWidth="1"/>
    <col min="7682" max="7682" width="59.140625" style="467" customWidth="1"/>
    <col min="7683" max="7684" width="37.5703125" style="467" customWidth="1"/>
    <col min="7685" max="7686" width="10.42578125" style="467" customWidth="1"/>
    <col min="7687" max="7687" width="1.7109375" style="467" customWidth="1"/>
    <col min="7688" max="7717" width="10.7109375" style="467" customWidth="1"/>
    <col min="7718" max="7936" width="9.140625" style="467"/>
    <col min="7937" max="7937" width="5.85546875" style="467" bestFit="1" customWidth="1"/>
    <col min="7938" max="7938" width="59.140625" style="467" customWidth="1"/>
    <col min="7939" max="7940" width="37.5703125" style="467" customWidth="1"/>
    <col min="7941" max="7942" width="10.42578125" style="467" customWidth="1"/>
    <col min="7943" max="7943" width="1.7109375" style="467" customWidth="1"/>
    <col min="7944" max="7973" width="10.7109375" style="467" customWidth="1"/>
    <col min="7974" max="8192" width="9.140625" style="467"/>
    <col min="8193" max="8193" width="5.85546875" style="467" bestFit="1" customWidth="1"/>
    <col min="8194" max="8194" width="59.140625" style="467" customWidth="1"/>
    <col min="8195" max="8196" width="37.5703125" style="467" customWidth="1"/>
    <col min="8197" max="8198" width="10.42578125" style="467" customWidth="1"/>
    <col min="8199" max="8199" width="1.7109375" style="467" customWidth="1"/>
    <col min="8200" max="8229" width="10.7109375" style="467" customWidth="1"/>
    <col min="8230" max="8448" width="9.140625" style="467"/>
    <col min="8449" max="8449" width="5.85546875" style="467" bestFit="1" customWidth="1"/>
    <col min="8450" max="8450" width="59.140625" style="467" customWidth="1"/>
    <col min="8451" max="8452" width="37.5703125" style="467" customWidth="1"/>
    <col min="8453" max="8454" width="10.42578125" style="467" customWidth="1"/>
    <col min="8455" max="8455" width="1.7109375" style="467" customWidth="1"/>
    <col min="8456" max="8485" width="10.7109375" style="467" customWidth="1"/>
    <col min="8486" max="8704" width="9.140625" style="467"/>
    <col min="8705" max="8705" width="5.85546875" style="467" bestFit="1" customWidth="1"/>
    <col min="8706" max="8706" width="59.140625" style="467" customWidth="1"/>
    <col min="8707" max="8708" width="37.5703125" style="467" customWidth="1"/>
    <col min="8709" max="8710" width="10.42578125" style="467" customWidth="1"/>
    <col min="8711" max="8711" width="1.7109375" style="467" customWidth="1"/>
    <col min="8712" max="8741" width="10.7109375" style="467" customWidth="1"/>
    <col min="8742" max="8960" width="9.140625" style="467"/>
    <col min="8961" max="8961" width="5.85546875" style="467" bestFit="1" customWidth="1"/>
    <col min="8962" max="8962" width="59.140625" style="467" customWidth="1"/>
    <col min="8963" max="8964" width="37.5703125" style="467" customWidth="1"/>
    <col min="8965" max="8966" width="10.42578125" style="467" customWidth="1"/>
    <col min="8967" max="8967" width="1.7109375" style="467" customWidth="1"/>
    <col min="8968" max="8997" width="10.7109375" style="467" customWidth="1"/>
    <col min="8998" max="9216" width="9.140625" style="467"/>
    <col min="9217" max="9217" width="5.85546875" style="467" bestFit="1" customWidth="1"/>
    <col min="9218" max="9218" width="59.140625" style="467" customWidth="1"/>
    <col min="9219" max="9220" width="37.5703125" style="467" customWidth="1"/>
    <col min="9221" max="9222" width="10.42578125" style="467" customWidth="1"/>
    <col min="9223" max="9223" width="1.7109375" style="467" customWidth="1"/>
    <col min="9224" max="9253" width="10.7109375" style="467" customWidth="1"/>
    <col min="9254" max="9472" width="9.140625" style="467"/>
    <col min="9473" max="9473" width="5.85546875" style="467" bestFit="1" customWidth="1"/>
    <col min="9474" max="9474" width="59.140625" style="467" customWidth="1"/>
    <col min="9475" max="9476" width="37.5703125" style="467" customWidth="1"/>
    <col min="9477" max="9478" width="10.42578125" style="467" customWidth="1"/>
    <col min="9479" max="9479" width="1.7109375" style="467" customWidth="1"/>
    <col min="9480" max="9509" width="10.7109375" style="467" customWidth="1"/>
    <col min="9510" max="9728" width="9.140625" style="467"/>
    <col min="9729" max="9729" width="5.85546875" style="467" bestFit="1" customWidth="1"/>
    <col min="9730" max="9730" width="59.140625" style="467" customWidth="1"/>
    <col min="9731" max="9732" width="37.5703125" style="467" customWidth="1"/>
    <col min="9733" max="9734" width="10.42578125" style="467" customWidth="1"/>
    <col min="9735" max="9735" width="1.7109375" style="467" customWidth="1"/>
    <col min="9736" max="9765" width="10.7109375" style="467" customWidth="1"/>
    <col min="9766" max="9984" width="9.140625" style="467"/>
    <col min="9985" max="9985" width="5.85546875" style="467" bestFit="1" customWidth="1"/>
    <col min="9986" max="9986" width="59.140625" style="467" customWidth="1"/>
    <col min="9987" max="9988" width="37.5703125" style="467" customWidth="1"/>
    <col min="9989" max="9990" width="10.42578125" style="467" customWidth="1"/>
    <col min="9991" max="9991" width="1.7109375" style="467" customWidth="1"/>
    <col min="9992" max="10021" width="10.7109375" style="467" customWidth="1"/>
    <col min="10022" max="10240" width="9.140625" style="467"/>
    <col min="10241" max="10241" width="5.85546875" style="467" bestFit="1" customWidth="1"/>
    <col min="10242" max="10242" width="59.140625" style="467" customWidth="1"/>
    <col min="10243" max="10244" width="37.5703125" style="467" customWidth="1"/>
    <col min="10245" max="10246" width="10.42578125" style="467" customWidth="1"/>
    <col min="10247" max="10247" width="1.7109375" style="467" customWidth="1"/>
    <col min="10248" max="10277" width="10.7109375" style="467" customWidth="1"/>
    <col min="10278" max="10496" width="9.140625" style="467"/>
    <col min="10497" max="10497" width="5.85546875" style="467" bestFit="1" customWidth="1"/>
    <col min="10498" max="10498" width="59.140625" style="467" customWidth="1"/>
    <col min="10499" max="10500" width="37.5703125" style="467" customWidth="1"/>
    <col min="10501" max="10502" width="10.42578125" style="467" customWidth="1"/>
    <col min="10503" max="10503" width="1.7109375" style="467" customWidth="1"/>
    <col min="10504" max="10533" width="10.7109375" style="467" customWidth="1"/>
    <col min="10534" max="10752" width="9.140625" style="467"/>
    <col min="10753" max="10753" width="5.85546875" style="467" bestFit="1" customWidth="1"/>
    <col min="10754" max="10754" width="59.140625" style="467" customWidth="1"/>
    <col min="10755" max="10756" width="37.5703125" style="467" customWidth="1"/>
    <col min="10757" max="10758" width="10.42578125" style="467" customWidth="1"/>
    <col min="10759" max="10759" width="1.7109375" style="467" customWidth="1"/>
    <col min="10760" max="10789" width="10.7109375" style="467" customWidth="1"/>
    <col min="10790" max="11008" width="9.140625" style="467"/>
    <col min="11009" max="11009" width="5.85546875" style="467" bestFit="1" customWidth="1"/>
    <col min="11010" max="11010" width="59.140625" style="467" customWidth="1"/>
    <col min="11011" max="11012" width="37.5703125" style="467" customWidth="1"/>
    <col min="11013" max="11014" width="10.42578125" style="467" customWidth="1"/>
    <col min="11015" max="11015" width="1.7109375" style="467" customWidth="1"/>
    <col min="11016" max="11045" width="10.7109375" style="467" customWidth="1"/>
    <col min="11046" max="11264" width="9.140625" style="467"/>
    <col min="11265" max="11265" width="5.85546875" style="467" bestFit="1" customWidth="1"/>
    <col min="11266" max="11266" width="59.140625" style="467" customWidth="1"/>
    <col min="11267" max="11268" width="37.5703125" style="467" customWidth="1"/>
    <col min="11269" max="11270" width="10.42578125" style="467" customWidth="1"/>
    <col min="11271" max="11271" width="1.7109375" style="467" customWidth="1"/>
    <col min="11272" max="11301" width="10.7109375" style="467" customWidth="1"/>
    <col min="11302" max="11520" width="9.140625" style="467"/>
    <col min="11521" max="11521" width="5.85546875" style="467" bestFit="1" customWidth="1"/>
    <col min="11522" max="11522" width="59.140625" style="467" customWidth="1"/>
    <col min="11523" max="11524" width="37.5703125" style="467" customWidth="1"/>
    <col min="11525" max="11526" width="10.42578125" style="467" customWidth="1"/>
    <col min="11527" max="11527" width="1.7109375" style="467" customWidth="1"/>
    <col min="11528" max="11557" width="10.7109375" style="467" customWidth="1"/>
    <col min="11558" max="11776" width="9.140625" style="467"/>
    <col min="11777" max="11777" width="5.85546875" style="467" bestFit="1" customWidth="1"/>
    <col min="11778" max="11778" width="59.140625" style="467" customWidth="1"/>
    <col min="11779" max="11780" width="37.5703125" style="467" customWidth="1"/>
    <col min="11781" max="11782" width="10.42578125" style="467" customWidth="1"/>
    <col min="11783" max="11783" width="1.7109375" style="467" customWidth="1"/>
    <col min="11784" max="11813" width="10.7109375" style="467" customWidth="1"/>
    <col min="11814" max="12032" width="9.140625" style="467"/>
    <col min="12033" max="12033" width="5.85546875" style="467" bestFit="1" customWidth="1"/>
    <col min="12034" max="12034" width="59.140625" style="467" customWidth="1"/>
    <col min="12035" max="12036" width="37.5703125" style="467" customWidth="1"/>
    <col min="12037" max="12038" width="10.42578125" style="467" customWidth="1"/>
    <col min="12039" max="12039" width="1.7109375" style="467" customWidth="1"/>
    <col min="12040" max="12069" width="10.7109375" style="467" customWidth="1"/>
    <col min="12070" max="12288" width="9.140625" style="467"/>
    <col min="12289" max="12289" width="5.85546875" style="467" bestFit="1" customWidth="1"/>
    <col min="12290" max="12290" width="59.140625" style="467" customWidth="1"/>
    <col min="12291" max="12292" width="37.5703125" style="467" customWidth="1"/>
    <col min="12293" max="12294" width="10.42578125" style="467" customWidth="1"/>
    <col min="12295" max="12295" width="1.7109375" style="467" customWidth="1"/>
    <col min="12296" max="12325" width="10.7109375" style="467" customWidth="1"/>
    <col min="12326" max="12544" width="9.140625" style="467"/>
    <col min="12545" max="12545" width="5.85546875" style="467" bestFit="1" customWidth="1"/>
    <col min="12546" max="12546" width="59.140625" style="467" customWidth="1"/>
    <col min="12547" max="12548" width="37.5703125" style="467" customWidth="1"/>
    <col min="12549" max="12550" width="10.42578125" style="467" customWidth="1"/>
    <col min="12551" max="12551" width="1.7109375" style="467" customWidth="1"/>
    <col min="12552" max="12581" width="10.7109375" style="467" customWidth="1"/>
    <col min="12582" max="12800" width="9.140625" style="467"/>
    <col min="12801" max="12801" width="5.85546875" style="467" bestFit="1" customWidth="1"/>
    <col min="12802" max="12802" width="59.140625" style="467" customWidth="1"/>
    <col min="12803" max="12804" width="37.5703125" style="467" customWidth="1"/>
    <col min="12805" max="12806" width="10.42578125" style="467" customWidth="1"/>
    <col min="12807" max="12807" width="1.7109375" style="467" customWidth="1"/>
    <col min="12808" max="12837" width="10.7109375" style="467" customWidth="1"/>
    <col min="12838" max="13056" width="9.140625" style="467"/>
    <col min="13057" max="13057" width="5.85546875" style="467" bestFit="1" customWidth="1"/>
    <col min="13058" max="13058" width="59.140625" style="467" customWidth="1"/>
    <col min="13059" max="13060" width="37.5703125" style="467" customWidth="1"/>
    <col min="13061" max="13062" width="10.42578125" style="467" customWidth="1"/>
    <col min="13063" max="13063" width="1.7109375" style="467" customWidth="1"/>
    <col min="13064" max="13093" width="10.7109375" style="467" customWidth="1"/>
    <col min="13094" max="13312" width="9.140625" style="467"/>
    <col min="13313" max="13313" width="5.85546875" style="467" bestFit="1" customWidth="1"/>
    <col min="13314" max="13314" width="59.140625" style="467" customWidth="1"/>
    <col min="13315" max="13316" width="37.5703125" style="467" customWidth="1"/>
    <col min="13317" max="13318" width="10.42578125" style="467" customWidth="1"/>
    <col min="13319" max="13319" width="1.7109375" style="467" customWidth="1"/>
    <col min="13320" max="13349" width="10.7109375" style="467" customWidth="1"/>
    <col min="13350" max="13568" width="9.140625" style="467"/>
    <col min="13569" max="13569" width="5.85546875" style="467" bestFit="1" customWidth="1"/>
    <col min="13570" max="13570" width="59.140625" style="467" customWidth="1"/>
    <col min="13571" max="13572" width="37.5703125" style="467" customWidth="1"/>
    <col min="13573" max="13574" width="10.42578125" style="467" customWidth="1"/>
    <col min="13575" max="13575" width="1.7109375" style="467" customWidth="1"/>
    <col min="13576" max="13605" width="10.7109375" style="467" customWidth="1"/>
    <col min="13606" max="13824" width="9.140625" style="467"/>
    <col min="13825" max="13825" width="5.85546875" style="467" bestFit="1" customWidth="1"/>
    <col min="13826" max="13826" width="59.140625" style="467" customWidth="1"/>
    <col min="13827" max="13828" width="37.5703125" style="467" customWidth="1"/>
    <col min="13829" max="13830" width="10.42578125" style="467" customWidth="1"/>
    <col min="13831" max="13831" width="1.7109375" style="467" customWidth="1"/>
    <col min="13832" max="13861" width="10.7109375" style="467" customWidth="1"/>
    <col min="13862" max="14080" width="9.140625" style="467"/>
    <col min="14081" max="14081" width="5.85546875" style="467" bestFit="1" customWidth="1"/>
    <col min="14082" max="14082" width="59.140625" style="467" customWidth="1"/>
    <col min="14083" max="14084" width="37.5703125" style="467" customWidth="1"/>
    <col min="14085" max="14086" width="10.42578125" style="467" customWidth="1"/>
    <col min="14087" max="14087" width="1.7109375" style="467" customWidth="1"/>
    <col min="14088" max="14117" width="10.7109375" style="467" customWidth="1"/>
    <col min="14118" max="14336" width="9.140625" style="467"/>
    <col min="14337" max="14337" width="5.85546875" style="467" bestFit="1" customWidth="1"/>
    <col min="14338" max="14338" width="59.140625" style="467" customWidth="1"/>
    <col min="14339" max="14340" width="37.5703125" style="467" customWidth="1"/>
    <col min="14341" max="14342" width="10.42578125" style="467" customWidth="1"/>
    <col min="14343" max="14343" width="1.7109375" style="467" customWidth="1"/>
    <col min="14344" max="14373" width="10.7109375" style="467" customWidth="1"/>
    <col min="14374" max="14592" width="9.140625" style="467"/>
    <col min="14593" max="14593" width="5.85546875" style="467" bestFit="1" customWidth="1"/>
    <col min="14594" max="14594" width="59.140625" style="467" customWidth="1"/>
    <col min="14595" max="14596" width="37.5703125" style="467" customWidth="1"/>
    <col min="14597" max="14598" width="10.42578125" style="467" customWidth="1"/>
    <col min="14599" max="14599" width="1.7109375" style="467" customWidth="1"/>
    <col min="14600" max="14629" width="10.7109375" style="467" customWidth="1"/>
    <col min="14630" max="14848" width="9.140625" style="467"/>
    <col min="14849" max="14849" width="5.85546875" style="467" bestFit="1" customWidth="1"/>
    <col min="14850" max="14850" width="59.140625" style="467" customWidth="1"/>
    <col min="14851" max="14852" width="37.5703125" style="467" customWidth="1"/>
    <col min="14853" max="14854" width="10.42578125" style="467" customWidth="1"/>
    <col min="14855" max="14855" width="1.7109375" style="467" customWidth="1"/>
    <col min="14856" max="14885" width="10.7109375" style="467" customWidth="1"/>
    <col min="14886" max="15104" width="9.140625" style="467"/>
    <col min="15105" max="15105" width="5.85546875" style="467" bestFit="1" customWidth="1"/>
    <col min="15106" max="15106" width="59.140625" style="467" customWidth="1"/>
    <col min="15107" max="15108" width="37.5703125" style="467" customWidth="1"/>
    <col min="15109" max="15110" width="10.42578125" style="467" customWidth="1"/>
    <col min="15111" max="15111" width="1.7109375" style="467" customWidth="1"/>
    <col min="15112" max="15141" width="10.7109375" style="467" customWidth="1"/>
    <col min="15142" max="15360" width="9.140625" style="467"/>
    <col min="15361" max="15361" width="5.85546875" style="467" bestFit="1" customWidth="1"/>
    <col min="15362" max="15362" width="59.140625" style="467" customWidth="1"/>
    <col min="15363" max="15364" width="37.5703125" style="467" customWidth="1"/>
    <col min="15365" max="15366" width="10.42578125" style="467" customWidth="1"/>
    <col min="15367" max="15367" width="1.7109375" style="467" customWidth="1"/>
    <col min="15368" max="15397" width="10.7109375" style="467" customWidth="1"/>
    <col min="15398" max="15616" width="9.140625" style="467"/>
    <col min="15617" max="15617" width="5.85546875" style="467" bestFit="1" customWidth="1"/>
    <col min="15618" max="15618" width="59.140625" style="467" customWidth="1"/>
    <col min="15619" max="15620" width="37.5703125" style="467" customWidth="1"/>
    <col min="15621" max="15622" width="10.42578125" style="467" customWidth="1"/>
    <col min="15623" max="15623" width="1.7109375" style="467" customWidth="1"/>
    <col min="15624" max="15653" width="10.7109375" style="467" customWidth="1"/>
    <col min="15654" max="15872" width="9.140625" style="467"/>
    <col min="15873" max="15873" width="5.85546875" style="467" bestFit="1" customWidth="1"/>
    <col min="15874" max="15874" width="59.140625" style="467" customWidth="1"/>
    <col min="15875" max="15876" width="37.5703125" style="467" customWidth="1"/>
    <col min="15877" max="15878" width="10.42578125" style="467" customWidth="1"/>
    <col min="15879" max="15879" width="1.7109375" style="467" customWidth="1"/>
    <col min="15880" max="15909" width="10.7109375" style="467" customWidth="1"/>
    <col min="15910" max="16128" width="9.140625" style="467"/>
    <col min="16129" max="16129" width="5.85546875" style="467" bestFit="1" customWidth="1"/>
    <col min="16130" max="16130" width="59.140625" style="467" customWidth="1"/>
    <col min="16131" max="16132" width="37.5703125" style="467" customWidth="1"/>
    <col min="16133" max="16134" width="10.42578125" style="467" customWidth="1"/>
    <col min="16135" max="16135" width="1.7109375" style="467" customWidth="1"/>
    <col min="16136" max="16165" width="10.7109375" style="467" customWidth="1"/>
    <col min="16166" max="16384" width="9.140625" style="467"/>
  </cols>
  <sheetData>
    <row r="1" spans="1:52" s="470" customFormat="1" ht="23.25">
      <c r="A1" s="466" t="s">
        <v>499</v>
      </c>
      <c r="B1" s="467"/>
      <c r="C1" s="467"/>
      <c r="D1" s="467"/>
      <c r="E1" s="467"/>
      <c r="F1" s="467"/>
      <c r="G1" s="468"/>
      <c r="H1" s="469"/>
      <c r="I1" s="469"/>
      <c r="J1" s="469"/>
      <c r="K1" s="469"/>
      <c r="L1" s="469"/>
      <c r="M1" s="469"/>
      <c r="N1" s="469"/>
      <c r="O1" s="469"/>
      <c r="P1" s="469"/>
      <c r="Q1" s="469"/>
      <c r="R1" s="469"/>
      <c r="S1" s="469"/>
      <c r="T1" s="469"/>
      <c r="U1" s="469"/>
      <c r="V1" s="469"/>
      <c r="W1" s="469"/>
      <c r="X1" s="469"/>
      <c r="Y1" s="469"/>
      <c r="Z1" s="469"/>
      <c r="AA1" s="469"/>
      <c r="AB1" s="469"/>
      <c r="AC1" s="469"/>
      <c r="AD1" s="469"/>
      <c r="AE1" s="469"/>
      <c r="AF1" s="469"/>
      <c r="AG1" s="469"/>
      <c r="AH1" s="469"/>
      <c r="AI1" s="469"/>
      <c r="AJ1" s="469"/>
      <c r="AK1" s="469"/>
    </row>
    <row r="2" spans="1:52" s="44" customFormat="1" ht="15.75">
      <c r="A2" s="471" t="s">
        <v>500</v>
      </c>
      <c r="B2" s="467"/>
      <c r="C2" s="467"/>
      <c r="D2" s="467"/>
      <c r="E2" s="467"/>
      <c r="F2" s="467"/>
      <c r="G2" s="472"/>
      <c r="H2" s="473">
        <v>1</v>
      </c>
      <c r="I2" s="473">
        <v>2</v>
      </c>
      <c r="J2" s="473">
        <v>3</v>
      </c>
      <c r="K2" s="473">
        <v>4</v>
      </c>
      <c r="L2" s="473">
        <v>5</v>
      </c>
      <c r="M2" s="473">
        <v>6</v>
      </c>
      <c r="N2" s="473">
        <v>7</v>
      </c>
      <c r="O2" s="473">
        <v>8</v>
      </c>
      <c r="P2" s="473">
        <v>9</v>
      </c>
      <c r="Q2" s="473">
        <v>10</v>
      </c>
      <c r="R2" s="473">
        <v>11</v>
      </c>
      <c r="S2" s="473">
        <v>12</v>
      </c>
      <c r="T2" s="473">
        <v>13</v>
      </c>
      <c r="U2" s="473">
        <v>14</v>
      </c>
      <c r="V2" s="473">
        <v>15</v>
      </c>
      <c r="W2" s="473">
        <v>16</v>
      </c>
      <c r="X2" s="473">
        <v>17</v>
      </c>
      <c r="Y2" s="473">
        <v>18</v>
      </c>
      <c r="Z2" s="473">
        <v>19</v>
      </c>
      <c r="AA2" s="473">
        <v>20</v>
      </c>
      <c r="AB2" s="473">
        <v>21</v>
      </c>
      <c r="AC2" s="473">
        <v>22</v>
      </c>
      <c r="AD2" s="473">
        <v>23</v>
      </c>
      <c r="AE2" s="473">
        <v>24</v>
      </c>
      <c r="AF2" s="473">
        <v>25</v>
      </c>
      <c r="AG2" s="473">
        <v>26</v>
      </c>
      <c r="AH2" s="473">
        <v>27</v>
      </c>
      <c r="AI2" s="473">
        <v>28</v>
      </c>
      <c r="AJ2" s="473">
        <v>29</v>
      </c>
      <c r="AK2" s="473">
        <v>30</v>
      </c>
    </row>
    <row r="3" spans="1:52" s="44" customFormat="1">
      <c r="A3" s="467"/>
      <c r="B3" s="467"/>
      <c r="C3" s="467"/>
      <c r="D3" s="467" t="s">
        <v>501</v>
      </c>
      <c r="E3" s="467"/>
      <c r="F3" s="467"/>
      <c r="G3" s="472"/>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row>
    <row r="4" spans="1:52" s="44" customFormat="1" ht="15.75">
      <c r="A4" s="471" t="s">
        <v>502</v>
      </c>
      <c r="B4" s="474" t="s">
        <v>3</v>
      </c>
      <c r="C4" s="467"/>
      <c r="D4" s="467"/>
      <c r="E4" s="467"/>
      <c r="F4" s="467"/>
      <c r="G4" s="472"/>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row>
    <row r="5" spans="1:52" s="44" customFormat="1">
      <c r="A5" s="467"/>
      <c r="B5" s="467"/>
      <c r="C5" s="467"/>
      <c r="D5" s="467"/>
      <c r="E5" s="467"/>
      <c r="F5" s="467"/>
      <c r="G5" s="472"/>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row>
    <row r="6" spans="1:52" s="470" customFormat="1" ht="15.75">
      <c r="A6" s="475" t="s">
        <v>503</v>
      </c>
      <c r="B6" s="467"/>
      <c r="C6" s="467"/>
      <c r="D6" s="467"/>
      <c r="E6" s="467"/>
      <c r="F6" s="467"/>
      <c r="G6" s="468"/>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row>
    <row r="7" spans="1:52" s="470" customFormat="1" ht="25.5">
      <c r="A7" s="476" t="s">
        <v>504</v>
      </c>
      <c r="B7" s="476" t="s">
        <v>505</v>
      </c>
      <c r="C7" s="476" t="s">
        <v>506</v>
      </c>
      <c r="D7" s="476" t="s">
        <v>507</v>
      </c>
      <c r="E7" s="477" t="s">
        <v>508</v>
      </c>
      <c r="F7" s="477" t="s">
        <v>509</v>
      </c>
      <c r="G7" s="468"/>
      <c r="H7" s="476">
        <v>2006</v>
      </c>
      <c r="I7" s="476">
        <f t="shared" ref="I7:AZ7" si="0">H7+1</f>
        <v>2007</v>
      </c>
      <c r="J7" s="476">
        <f t="shared" si="0"/>
        <v>2008</v>
      </c>
      <c r="K7" s="476">
        <f t="shared" si="0"/>
        <v>2009</v>
      </c>
      <c r="L7" s="476">
        <f t="shared" si="0"/>
        <v>2010</v>
      </c>
      <c r="M7" s="476">
        <f t="shared" si="0"/>
        <v>2011</v>
      </c>
      <c r="N7" s="476">
        <f t="shared" si="0"/>
        <v>2012</v>
      </c>
      <c r="O7" s="476">
        <f t="shared" si="0"/>
        <v>2013</v>
      </c>
      <c r="P7" s="476">
        <f t="shared" si="0"/>
        <v>2014</v>
      </c>
      <c r="Q7" s="476">
        <f t="shared" si="0"/>
        <v>2015</v>
      </c>
      <c r="R7" s="476">
        <f t="shared" si="0"/>
        <v>2016</v>
      </c>
      <c r="S7" s="476">
        <f t="shared" si="0"/>
        <v>2017</v>
      </c>
      <c r="T7" s="476">
        <f t="shared" si="0"/>
        <v>2018</v>
      </c>
      <c r="U7" s="476">
        <f t="shared" si="0"/>
        <v>2019</v>
      </c>
      <c r="V7" s="476">
        <f t="shared" si="0"/>
        <v>2020</v>
      </c>
      <c r="W7" s="476">
        <f t="shared" si="0"/>
        <v>2021</v>
      </c>
      <c r="X7" s="476">
        <f t="shared" si="0"/>
        <v>2022</v>
      </c>
      <c r="Y7" s="476">
        <f t="shared" si="0"/>
        <v>2023</v>
      </c>
      <c r="Z7" s="476">
        <f t="shared" si="0"/>
        <v>2024</v>
      </c>
      <c r="AA7" s="476">
        <f t="shared" si="0"/>
        <v>2025</v>
      </c>
      <c r="AB7" s="476">
        <f t="shared" si="0"/>
        <v>2026</v>
      </c>
      <c r="AC7" s="476">
        <f t="shared" si="0"/>
        <v>2027</v>
      </c>
      <c r="AD7" s="476">
        <f t="shared" si="0"/>
        <v>2028</v>
      </c>
      <c r="AE7" s="476">
        <f t="shared" si="0"/>
        <v>2029</v>
      </c>
      <c r="AF7" s="476">
        <f t="shared" si="0"/>
        <v>2030</v>
      </c>
      <c r="AG7" s="476">
        <f t="shared" si="0"/>
        <v>2031</v>
      </c>
      <c r="AH7" s="476">
        <f t="shared" si="0"/>
        <v>2032</v>
      </c>
      <c r="AI7" s="476">
        <f t="shared" si="0"/>
        <v>2033</v>
      </c>
      <c r="AJ7" s="476">
        <f t="shared" si="0"/>
        <v>2034</v>
      </c>
      <c r="AK7" s="476">
        <f t="shared" si="0"/>
        <v>2035</v>
      </c>
      <c r="AL7" s="476">
        <f t="shared" si="0"/>
        <v>2036</v>
      </c>
      <c r="AM7" s="476">
        <f t="shared" si="0"/>
        <v>2037</v>
      </c>
      <c r="AN7" s="476">
        <f t="shared" si="0"/>
        <v>2038</v>
      </c>
      <c r="AO7" s="476">
        <f t="shared" si="0"/>
        <v>2039</v>
      </c>
      <c r="AP7" s="476">
        <f t="shared" si="0"/>
        <v>2040</v>
      </c>
      <c r="AQ7" s="476">
        <f t="shared" si="0"/>
        <v>2041</v>
      </c>
      <c r="AR7" s="476">
        <f t="shared" si="0"/>
        <v>2042</v>
      </c>
      <c r="AS7" s="476">
        <f t="shared" si="0"/>
        <v>2043</v>
      </c>
      <c r="AT7" s="476">
        <f t="shared" si="0"/>
        <v>2044</v>
      </c>
      <c r="AU7" s="476">
        <f t="shared" si="0"/>
        <v>2045</v>
      </c>
      <c r="AV7" s="476">
        <f t="shared" si="0"/>
        <v>2046</v>
      </c>
      <c r="AW7" s="476">
        <f t="shared" si="0"/>
        <v>2047</v>
      </c>
      <c r="AX7" s="476">
        <f t="shared" si="0"/>
        <v>2048</v>
      </c>
      <c r="AY7" s="476">
        <f t="shared" si="0"/>
        <v>2049</v>
      </c>
      <c r="AZ7" s="476">
        <f t="shared" si="0"/>
        <v>2050</v>
      </c>
    </row>
    <row r="8" spans="1:52" s="470" customFormat="1" ht="5.0999999999999996" customHeight="1">
      <c r="A8" s="478"/>
      <c r="B8" s="478"/>
      <c r="C8" s="478"/>
      <c r="D8" s="478"/>
      <c r="E8" s="478"/>
      <c r="F8" s="478"/>
      <c r="G8" s="468"/>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7"/>
      <c r="AK8" s="467"/>
      <c r="AL8" s="467"/>
      <c r="AM8" s="467"/>
      <c r="AN8" s="467"/>
      <c r="AO8" s="467"/>
      <c r="AP8" s="467"/>
      <c r="AQ8" s="467"/>
      <c r="AR8" s="467"/>
      <c r="AS8" s="467"/>
      <c r="AT8" s="467"/>
      <c r="AU8" s="467"/>
      <c r="AV8" s="467"/>
      <c r="AW8" s="467"/>
      <c r="AX8" s="467"/>
      <c r="AY8" s="467"/>
      <c r="AZ8" s="467"/>
    </row>
    <row r="9" spans="1:52" s="470" customFormat="1">
      <c r="A9" s="479">
        <f>'[4]Allocation Methodology'!A5</f>
        <v>1</v>
      </c>
      <c r="B9" s="480" t="str">
        <f>'[4]Allocation Methodology'!B5</f>
        <v>Secondary Refrigerator Retirement Pilot</v>
      </c>
      <c r="C9" s="480" t="str">
        <f>'[4]Allocation Methodology'!C5</f>
        <v>Consumer</v>
      </c>
      <c r="D9" s="480" t="s">
        <v>17</v>
      </c>
      <c r="E9" s="480">
        <f>'[4]Allocation Methodology'!D5</f>
        <v>2006</v>
      </c>
      <c r="F9" s="481" t="str">
        <f>'[4]Allocation Methodology'!E5</f>
        <v>Final</v>
      </c>
      <c r="G9" s="472"/>
      <c r="H9" s="482">
        <v>6.2983662956848426E-3</v>
      </c>
      <c r="I9" s="483">
        <v>6.2983662956848426E-3</v>
      </c>
      <c r="J9" s="483">
        <v>6.2983662956848426E-3</v>
      </c>
      <c r="K9" s="483">
        <v>6.2983662956848426E-3</v>
      </c>
      <c r="L9" s="483">
        <v>6.2983662956848426E-3</v>
      </c>
      <c r="M9" s="483">
        <v>6.2983662956848426E-3</v>
      </c>
      <c r="N9" s="483">
        <v>0</v>
      </c>
      <c r="O9" s="483">
        <v>0</v>
      </c>
      <c r="P9" s="483">
        <v>0</v>
      </c>
      <c r="Q9" s="483">
        <v>0</v>
      </c>
      <c r="R9" s="483">
        <v>0</v>
      </c>
      <c r="S9" s="483">
        <v>0</v>
      </c>
      <c r="T9" s="483">
        <v>0</v>
      </c>
      <c r="U9" s="483">
        <v>0</v>
      </c>
      <c r="V9" s="483">
        <v>0</v>
      </c>
      <c r="W9" s="483">
        <v>0</v>
      </c>
      <c r="X9" s="483">
        <v>0</v>
      </c>
      <c r="Y9" s="483">
        <v>0</v>
      </c>
      <c r="Z9" s="483">
        <v>0</v>
      </c>
      <c r="AA9" s="483">
        <v>0</v>
      </c>
      <c r="AB9" s="483">
        <v>0</v>
      </c>
      <c r="AC9" s="483">
        <v>0</v>
      </c>
      <c r="AD9" s="483">
        <v>0</v>
      </c>
      <c r="AE9" s="483">
        <v>0</v>
      </c>
      <c r="AF9" s="483">
        <v>0</v>
      </c>
      <c r="AG9" s="484">
        <v>0</v>
      </c>
      <c r="AH9" s="484">
        <v>0</v>
      </c>
      <c r="AI9" s="484">
        <v>0</v>
      </c>
      <c r="AJ9" s="484">
        <v>0</v>
      </c>
      <c r="AK9" s="484">
        <v>0</v>
      </c>
      <c r="AL9" s="484">
        <v>0</v>
      </c>
      <c r="AM9" s="484">
        <v>0</v>
      </c>
      <c r="AN9" s="484">
        <v>0</v>
      </c>
      <c r="AO9" s="484">
        <v>0</v>
      </c>
      <c r="AP9" s="484">
        <v>0</v>
      </c>
      <c r="AQ9" s="484">
        <v>0</v>
      </c>
      <c r="AR9" s="484">
        <v>0</v>
      </c>
      <c r="AS9" s="484">
        <v>0</v>
      </c>
      <c r="AT9" s="484">
        <v>0</v>
      </c>
      <c r="AU9" s="484">
        <v>0</v>
      </c>
      <c r="AV9" s="484">
        <v>0</v>
      </c>
      <c r="AW9" s="484">
        <v>0</v>
      </c>
      <c r="AX9" s="484">
        <v>0</v>
      </c>
      <c r="AY9" s="484">
        <v>0</v>
      </c>
      <c r="AZ9" s="485">
        <v>0</v>
      </c>
    </row>
    <row r="10" spans="1:52" s="470" customFormat="1">
      <c r="A10" s="486">
        <f>'[4]Allocation Methodology'!A6</f>
        <v>2</v>
      </c>
      <c r="B10" s="487" t="str">
        <f>'[4]Allocation Methodology'!B6</f>
        <v>Cool &amp; Hot Savings Rebate</v>
      </c>
      <c r="C10" s="487" t="str">
        <f>'[4]Allocation Methodology'!C6</f>
        <v>Consumer</v>
      </c>
      <c r="D10" s="487" t="s">
        <v>17</v>
      </c>
      <c r="E10" s="487">
        <f>'[4]Allocation Methodology'!D6</f>
        <v>2006</v>
      </c>
      <c r="F10" s="488" t="str">
        <f>'[4]Allocation Methodology'!E6</f>
        <v>Final</v>
      </c>
      <c r="G10" s="472" t="b">
        <v>0</v>
      </c>
      <c r="H10" s="489">
        <v>6.3571070086416395E-2</v>
      </c>
      <c r="I10" s="490">
        <v>6.3571070086416395E-2</v>
      </c>
      <c r="J10" s="490">
        <v>6.3571070086416395E-2</v>
      </c>
      <c r="K10" s="490">
        <v>6.3571070086416395E-2</v>
      </c>
      <c r="L10" s="490">
        <v>6.3571070086416395E-2</v>
      </c>
      <c r="M10" s="490">
        <v>6.3571070086416395E-2</v>
      </c>
      <c r="N10" s="490">
        <v>6.3571070086416395E-2</v>
      </c>
      <c r="O10" s="490">
        <v>6.3571070086416395E-2</v>
      </c>
      <c r="P10" s="490">
        <v>4.514648252402656E-2</v>
      </c>
      <c r="Q10" s="490">
        <v>4.514648252402656E-2</v>
      </c>
      <c r="R10" s="490">
        <v>4.514648252402656E-2</v>
      </c>
      <c r="S10" s="490">
        <v>4.514648252402656E-2</v>
      </c>
      <c r="T10" s="490">
        <v>4.514648252402656E-2</v>
      </c>
      <c r="U10" s="490">
        <v>4.514648252402656E-2</v>
      </c>
      <c r="V10" s="490">
        <v>1.9486147231609231E-2</v>
      </c>
      <c r="W10" s="490">
        <v>1.0285373397780484E-2</v>
      </c>
      <c r="X10" s="490">
        <v>1.0285373397780484E-2</v>
      </c>
      <c r="Y10" s="490">
        <v>1.0285373397780484E-2</v>
      </c>
      <c r="Z10" s="490">
        <v>0</v>
      </c>
      <c r="AA10" s="490">
        <v>0</v>
      </c>
      <c r="AB10" s="490">
        <v>0</v>
      </c>
      <c r="AC10" s="490">
        <v>0</v>
      </c>
      <c r="AD10" s="490">
        <v>0</v>
      </c>
      <c r="AE10" s="490">
        <v>0</v>
      </c>
      <c r="AF10" s="490">
        <v>0</v>
      </c>
      <c r="AG10" s="491">
        <v>0</v>
      </c>
      <c r="AH10" s="491">
        <v>0</v>
      </c>
      <c r="AI10" s="491">
        <v>0</v>
      </c>
      <c r="AJ10" s="491">
        <v>0</v>
      </c>
      <c r="AK10" s="491">
        <v>0</v>
      </c>
      <c r="AL10" s="491">
        <v>0</v>
      </c>
      <c r="AM10" s="491">
        <v>0</v>
      </c>
      <c r="AN10" s="491">
        <v>0</v>
      </c>
      <c r="AO10" s="491">
        <v>0</v>
      </c>
      <c r="AP10" s="491">
        <v>0</v>
      </c>
      <c r="AQ10" s="491">
        <v>0</v>
      </c>
      <c r="AR10" s="491">
        <v>0</v>
      </c>
      <c r="AS10" s="491">
        <v>0</v>
      </c>
      <c r="AT10" s="491">
        <v>0</v>
      </c>
      <c r="AU10" s="491">
        <v>0</v>
      </c>
      <c r="AV10" s="491">
        <v>0</v>
      </c>
      <c r="AW10" s="491">
        <v>0</v>
      </c>
      <c r="AX10" s="491">
        <v>0</v>
      </c>
      <c r="AY10" s="491">
        <v>0</v>
      </c>
      <c r="AZ10" s="492">
        <v>0</v>
      </c>
    </row>
    <row r="11" spans="1:52" s="470" customFormat="1">
      <c r="A11" s="493">
        <f>'[4]Allocation Methodology'!A7</f>
        <v>3</v>
      </c>
      <c r="B11" s="494" t="str">
        <f>'[4]Allocation Methodology'!B7</f>
        <v>Every Kilowatt Counts</v>
      </c>
      <c r="C11" s="494" t="str">
        <f>'[4]Allocation Methodology'!C7</f>
        <v>Consumer</v>
      </c>
      <c r="D11" s="494" t="s">
        <v>17</v>
      </c>
      <c r="E11" s="494">
        <f>'[4]Allocation Methodology'!D7</f>
        <v>2006</v>
      </c>
      <c r="F11" s="495" t="str">
        <f>'[4]Allocation Methodology'!E7</f>
        <v>Final</v>
      </c>
      <c r="G11" s="472" t="b">
        <v>0</v>
      </c>
      <c r="H11" s="496">
        <v>2.0991743803273958E-2</v>
      </c>
      <c r="I11" s="497">
        <v>2.0991743803273958E-2</v>
      </c>
      <c r="J11" s="497">
        <v>2.0991743803273958E-2</v>
      </c>
      <c r="K11" s="497">
        <v>2.0991743803273958E-2</v>
      </c>
      <c r="L11" s="497">
        <v>2.0991743803273958E-2</v>
      </c>
      <c r="M11" s="497">
        <v>2.0991743803273958E-2</v>
      </c>
      <c r="N11" s="497">
        <v>2.0991743803273958E-2</v>
      </c>
      <c r="O11" s="497">
        <v>2.0991743803273958E-2</v>
      </c>
      <c r="P11" s="497">
        <v>2.0991743803273958E-2</v>
      </c>
      <c r="Q11" s="497">
        <v>2.0991743803273958E-2</v>
      </c>
      <c r="R11" s="497">
        <v>2.0991743803273958E-2</v>
      </c>
      <c r="S11" s="497">
        <v>2.0991743803273958E-2</v>
      </c>
      <c r="T11" s="497">
        <v>2.0991743803273958E-2</v>
      </c>
      <c r="U11" s="497">
        <v>2.0991743803273958E-2</v>
      </c>
      <c r="V11" s="497">
        <v>2.0991743803273958E-2</v>
      </c>
      <c r="W11" s="497">
        <v>1.7344569381220296E-2</v>
      </c>
      <c r="X11" s="497">
        <v>1.7344569381220296E-2</v>
      </c>
      <c r="Y11" s="497">
        <v>1.7344569381220296E-2</v>
      </c>
      <c r="Z11" s="497">
        <v>7.7685709105042593E-4</v>
      </c>
      <c r="AA11" s="497">
        <v>7.7685709105042593E-4</v>
      </c>
      <c r="AB11" s="497">
        <v>0</v>
      </c>
      <c r="AC11" s="497">
        <v>0</v>
      </c>
      <c r="AD11" s="497">
        <v>0</v>
      </c>
      <c r="AE11" s="497">
        <v>0</v>
      </c>
      <c r="AF11" s="497">
        <v>0</v>
      </c>
      <c r="AG11" s="498">
        <v>0</v>
      </c>
      <c r="AH11" s="498">
        <v>0</v>
      </c>
      <c r="AI11" s="498">
        <v>0</v>
      </c>
      <c r="AJ11" s="498">
        <v>0</v>
      </c>
      <c r="AK11" s="498">
        <v>0</v>
      </c>
      <c r="AL11" s="498">
        <v>0</v>
      </c>
      <c r="AM11" s="498">
        <v>0</v>
      </c>
      <c r="AN11" s="498">
        <v>0</v>
      </c>
      <c r="AO11" s="498">
        <v>0</v>
      </c>
      <c r="AP11" s="498">
        <v>0</v>
      </c>
      <c r="AQ11" s="498">
        <v>0</v>
      </c>
      <c r="AR11" s="498">
        <v>0</v>
      </c>
      <c r="AS11" s="498">
        <v>0</v>
      </c>
      <c r="AT11" s="498">
        <v>0</v>
      </c>
      <c r="AU11" s="498">
        <v>0</v>
      </c>
      <c r="AV11" s="498">
        <v>0</v>
      </c>
      <c r="AW11" s="498">
        <v>0</v>
      </c>
      <c r="AX11" s="498">
        <v>0</v>
      </c>
      <c r="AY11" s="498">
        <v>0</v>
      </c>
      <c r="AZ11" s="499">
        <v>0</v>
      </c>
    </row>
    <row r="12" spans="1:52" s="470" customFormat="1">
      <c r="A12" s="486">
        <f>'[4]Allocation Methodology'!A8</f>
        <v>4</v>
      </c>
      <c r="B12" s="487" t="str">
        <f>'[4]Allocation Methodology'!B8</f>
        <v>Demand Response 1</v>
      </c>
      <c r="C12" s="487" t="str">
        <f>'[4]Allocation Methodology'!C8</f>
        <v>Business, Industrial</v>
      </c>
      <c r="D12" s="487" t="s">
        <v>480</v>
      </c>
      <c r="E12" s="487">
        <f>'[4]Allocation Methodology'!D8</f>
        <v>2006</v>
      </c>
      <c r="F12" s="488" t="str">
        <f>'[4]Allocation Methodology'!E8</f>
        <v>Final</v>
      </c>
      <c r="G12" s="472" t="b">
        <v>0</v>
      </c>
      <c r="H12" s="489">
        <v>1.8056307353830989</v>
      </c>
      <c r="I12" s="490">
        <v>0</v>
      </c>
      <c r="J12" s="490">
        <v>0</v>
      </c>
      <c r="K12" s="490">
        <v>0</v>
      </c>
      <c r="L12" s="490">
        <v>0</v>
      </c>
      <c r="M12" s="490">
        <v>0</v>
      </c>
      <c r="N12" s="490">
        <v>0</v>
      </c>
      <c r="O12" s="490">
        <v>0</v>
      </c>
      <c r="P12" s="490">
        <v>0</v>
      </c>
      <c r="Q12" s="490">
        <v>0</v>
      </c>
      <c r="R12" s="490">
        <v>0</v>
      </c>
      <c r="S12" s="490">
        <v>0</v>
      </c>
      <c r="T12" s="490">
        <v>0</v>
      </c>
      <c r="U12" s="490">
        <v>0</v>
      </c>
      <c r="V12" s="490">
        <v>0</v>
      </c>
      <c r="W12" s="490">
        <v>0</v>
      </c>
      <c r="X12" s="490">
        <v>0</v>
      </c>
      <c r="Y12" s="490">
        <v>0</v>
      </c>
      <c r="Z12" s="490">
        <v>0</v>
      </c>
      <c r="AA12" s="490">
        <v>0</v>
      </c>
      <c r="AB12" s="490">
        <v>0</v>
      </c>
      <c r="AC12" s="490">
        <v>0</v>
      </c>
      <c r="AD12" s="490">
        <v>0</v>
      </c>
      <c r="AE12" s="490">
        <v>0</v>
      </c>
      <c r="AF12" s="490">
        <v>0</v>
      </c>
      <c r="AG12" s="491">
        <v>0</v>
      </c>
      <c r="AH12" s="491">
        <v>0</v>
      </c>
      <c r="AI12" s="491">
        <v>0</v>
      </c>
      <c r="AJ12" s="491">
        <v>0</v>
      </c>
      <c r="AK12" s="491">
        <v>0</v>
      </c>
      <c r="AL12" s="491">
        <v>0</v>
      </c>
      <c r="AM12" s="491">
        <v>0</v>
      </c>
      <c r="AN12" s="491">
        <v>0</v>
      </c>
      <c r="AO12" s="491">
        <v>0</v>
      </c>
      <c r="AP12" s="491">
        <v>0</v>
      </c>
      <c r="AQ12" s="491">
        <v>0</v>
      </c>
      <c r="AR12" s="491">
        <v>0</v>
      </c>
      <c r="AS12" s="491">
        <v>0</v>
      </c>
      <c r="AT12" s="491">
        <v>0</v>
      </c>
      <c r="AU12" s="491">
        <v>0</v>
      </c>
      <c r="AV12" s="491">
        <v>0</v>
      </c>
      <c r="AW12" s="491">
        <v>0</v>
      </c>
      <c r="AX12" s="491">
        <v>0</v>
      </c>
      <c r="AY12" s="491">
        <v>0</v>
      </c>
      <c r="AZ12" s="492">
        <v>0</v>
      </c>
    </row>
    <row r="13" spans="1:52" s="470" customFormat="1">
      <c r="A13" s="500">
        <f>'[4]Allocation Methodology'!A9</f>
        <v>5</v>
      </c>
      <c r="B13" s="501" t="str">
        <f>'[4]Allocation Methodology'!B9</f>
        <v>Loblaw &amp; York Region Demand Response</v>
      </c>
      <c r="C13" s="501" t="str">
        <f>'[4]Allocation Methodology'!C9</f>
        <v>Business, Industrial</v>
      </c>
      <c r="D13" s="501" t="s">
        <v>480</v>
      </c>
      <c r="E13" s="501">
        <f>'[4]Allocation Methodology'!D9</f>
        <v>2006</v>
      </c>
      <c r="F13" s="502" t="str">
        <f>'[4]Allocation Methodology'!E9</f>
        <v>Final</v>
      </c>
      <c r="G13" s="472" t="b">
        <v>0</v>
      </c>
      <c r="H13" s="503">
        <v>8.837801039149204E-2</v>
      </c>
      <c r="I13" s="504">
        <v>0</v>
      </c>
      <c r="J13" s="504">
        <v>0</v>
      </c>
      <c r="K13" s="504">
        <v>0</v>
      </c>
      <c r="L13" s="504">
        <v>0</v>
      </c>
      <c r="M13" s="504">
        <v>0</v>
      </c>
      <c r="N13" s="504">
        <v>0</v>
      </c>
      <c r="O13" s="504">
        <v>0</v>
      </c>
      <c r="P13" s="504">
        <v>0</v>
      </c>
      <c r="Q13" s="504">
        <v>0</v>
      </c>
      <c r="R13" s="504">
        <v>0</v>
      </c>
      <c r="S13" s="504">
        <v>0</v>
      </c>
      <c r="T13" s="504">
        <v>0</v>
      </c>
      <c r="U13" s="504">
        <v>0</v>
      </c>
      <c r="V13" s="504">
        <v>0</v>
      </c>
      <c r="W13" s="504">
        <v>0</v>
      </c>
      <c r="X13" s="504">
        <v>0</v>
      </c>
      <c r="Y13" s="504">
        <v>0</v>
      </c>
      <c r="Z13" s="504">
        <v>0</v>
      </c>
      <c r="AA13" s="504">
        <v>0</v>
      </c>
      <c r="AB13" s="504">
        <v>0</v>
      </c>
      <c r="AC13" s="504">
        <v>0</v>
      </c>
      <c r="AD13" s="504">
        <v>0</v>
      </c>
      <c r="AE13" s="504">
        <v>0</v>
      </c>
      <c r="AF13" s="504">
        <v>0</v>
      </c>
      <c r="AG13" s="505">
        <v>0</v>
      </c>
      <c r="AH13" s="505">
        <v>0</v>
      </c>
      <c r="AI13" s="505">
        <v>0</v>
      </c>
      <c r="AJ13" s="505">
        <v>0</v>
      </c>
      <c r="AK13" s="505">
        <v>0</v>
      </c>
      <c r="AL13" s="505">
        <v>0</v>
      </c>
      <c r="AM13" s="505">
        <v>0</v>
      </c>
      <c r="AN13" s="505">
        <v>0</v>
      </c>
      <c r="AO13" s="505">
        <v>0</v>
      </c>
      <c r="AP13" s="505">
        <v>0</v>
      </c>
      <c r="AQ13" s="505">
        <v>0</v>
      </c>
      <c r="AR13" s="505">
        <v>0</v>
      </c>
      <c r="AS13" s="505">
        <v>0</v>
      </c>
      <c r="AT13" s="505">
        <v>0</v>
      </c>
      <c r="AU13" s="505">
        <v>0</v>
      </c>
      <c r="AV13" s="505">
        <v>0</v>
      </c>
      <c r="AW13" s="505">
        <v>0</v>
      </c>
      <c r="AX13" s="505">
        <v>0</v>
      </c>
      <c r="AY13" s="505">
        <v>0</v>
      </c>
      <c r="AZ13" s="506">
        <v>0</v>
      </c>
    </row>
    <row r="14" spans="1:52" s="470" customFormat="1">
      <c r="A14" s="507">
        <f>'[4]Allocation Methodology'!A10</f>
        <v>6</v>
      </c>
      <c r="B14" s="508" t="str">
        <f>'[4]Allocation Methodology'!B10</f>
        <v>Great Refrigerator Roundup</v>
      </c>
      <c r="C14" s="508" t="str">
        <f>'[4]Allocation Methodology'!C10</f>
        <v>Consumer</v>
      </c>
      <c r="D14" s="508" t="s">
        <v>17</v>
      </c>
      <c r="E14" s="508">
        <f>'[4]Allocation Methodology'!D10</f>
        <v>2007</v>
      </c>
      <c r="F14" s="509" t="str">
        <f>'[4]Allocation Methodology'!E10</f>
        <v>Final</v>
      </c>
      <c r="G14" s="472" t="b">
        <v>0</v>
      </c>
      <c r="H14" s="510">
        <v>0</v>
      </c>
      <c r="I14" s="511">
        <v>7.6386844005982358E-3</v>
      </c>
      <c r="J14" s="511">
        <v>7.6386844005982358E-3</v>
      </c>
      <c r="K14" s="511">
        <v>7.6386844005982358E-3</v>
      </c>
      <c r="L14" s="511">
        <v>7.6386844005982358E-3</v>
      </c>
      <c r="M14" s="511">
        <v>6.912571631395646E-3</v>
      </c>
      <c r="N14" s="511">
        <v>6.912571631395646E-3</v>
      </c>
      <c r="O14" s="511">
        <v>6.912571631395646E-3</v>
      </c>
      <c r="P14" s="511">
        <v>6.912571631395646E-3</v>
      </c>
      <c r="Q14" s="511">
        <v>5.454304174645117E-3</v>
      </c>
      <c r="R14" s="511">
        <v>0</v>
      </c>
      <c r="S14" s="511">
        <v>0</v>
      </c>
      <c r="T14" s="511">
        <v>0</v>
      </c>
      <c r="U14" s="511">
        <v>0</v>
      </c>
      <c r="V14" s="511">
        <v>0</v>
      </c>
      <c r="W14" s="511">
        <v>0</v>
      </c>
      <c r="X14" s="511">
        <v>0</v>
      </c>
      <c r="Y14" s="511">
        <v>0</v>
      </c>
      <c r="Z14" s="511">
        <v>0</v>
      </c>
      <c r="AA14" s="511">
        <v>0</v>
      </c>
      <c r="AB14" s="511">
        <v>0</v>
      </c>
      <c r="AC14" s="511">
        <v>0</v>
      </c>
      <c r="AD14" s="511">
        <v>0</v>
      </c>
      <c r="AE14" s="511">
        <v>0</v>
      </c>
      <c r="AF14" s="511">
        <v>0</v>
      </c>
      <c r="AG14" s="512">
        <v>0</v>
      </c>
      <c r="AH14" s="512">
        <v>0</v>
      </c>
      <c r="AI14" s="512">
        <v>0</v>
      </c>
      <c r="AJ14" s="512">
        <v>0</v>
      </c>
      <c r="AK14" s="512">
        <v>0</v>
      </c>
      <c r="AL14" s="512">
        <v>0</v>
      </c>
      <c r="AM14" s="512">
        <v>0</v>
      </c>
      <c r="AN14" s="512">
        <v>0</v>
      </c>
      <c r="AO14" s="512">
        <v>0</v>
      </c>
      <c r="AP14" s="512">
        <v>0</v>
      </c>
      <c r="AQ14" s="512">
        <v>0</v>
      </c>
      <c r="AR14" s="512">
        <v>0</v>
      </c>
      <c r="AS14" s="512">
        <v>0</v>
      </c>
      <c r="AT14" s="512">
        <v>0</v>
      </c>
      <c r="AU14" s="512">
        <v>0</v>
      </c>
      <c r="AV14" s="512">
        <v>0</v>
      </c>
      <c r="AW14" s="512">
        <v>0</v>
      </c>
      <c r="AX14" s="512">
        <v>0</v>
      </c>
      <c r="AY14" s="512">
        <v>0</v>
      </c>
      <c r="AZ14" s="513">
        <v>0</v>
      </c>
    </row>
    <row r="15" spans="1:52" s="470" customFormat="1">
      <c r="A15" s="493">
        <f>'[4]Allocation Methodology'!A11</f>
        <v>7</v>
      </c>
      <c r="B15" s="494" t="str">
        <f>'[4]Allocation Methodology'!B11</f>
        <v>Cool &amp; Hot Savings Rebate</v>
      </c>
      <c r="C15" s="494" t="str">
        <f>'[4]Allocation Methodology'!C11</f>
        <v>Consumer</v>
      </c>
      <c r="D15" s="494" t="s">
        <v>17</v>
      </c>
      <c r="E15" s="494">
        <f>'[4]Allocation Methodology'!D11</f>
        <v>2007</v>
      </c>
      <c r="F15" s="495" t="str">
        <f>'[4]Allocation Methodology'!E11</f>
        <v>Final</v>
      </c>
      <c r="G15" s="472" t="b">
        <v>0</v>
      </c>
      <c r="H15" s="496">
        <v>0</v>
      </c>
      <c r="I15" s="497">
        <v>7.8646473081810886E-2</v>
      </c>
      <c r="J15" s="497">
        <v>7.8646473081810886E-2</v>
      </c>
      <c r="K15" s="497">
        <v>7.8646473081810886E-2</v>
      </c>
      <c r="L15" s="497">
        <v>7.8646473081810886E-2</v>
      </c>
      <c r="M15" s="497">
        <v>7.8646473081810886E-2</v>
      </c>
      <c r="N15" s="497">
        <v>7.253551237082799E-2</v>
      </c>
      <c r="O15" s="497">
        <v>7.253551237082799E-2</v>
      </c>
      <c r="P15" s="497">
        <v>7.253551237082799E-2</v>
      </c>
      <c r="Q15" s="497">
        <v>7.253551237082799E-2</v>
      </c>
      <c r="R15" s="497">
        <v>7.253551237082799E-2</v>
      </c>
      <c r="S15" s="497">
        <v>7.253551237082799E-2</v>
      </c>
      <c r="T15" s="497">
        <v>7.253551237082799E-2</v>
      </c>
      <c r="U15" s="497">
        <v>7.253551237082799E-2</v>
      </c>
      <c r="V15" s="497">
        <v>7.253551237082799E-2</v>
      </c>
      <c r="W15" s="497">
        <v>7.253551237082799E-2</v>
      </c>
      <c r="X15" s="497">
        <v>1.3464568800130318E-2</v>
      </c>
      <c r="Y15" s="497">
        <v>1.3464568800130318E-2</v>
      </c>
      <c r="Z15" s="497">
        <v>1.3464568800130318E-2</v>
      </c>
      <c r="AA15" s="497">
        <v>0</v>
      </c>
      <c r="AB15" s="497">
        <v>0</v>
      </c>
      <c r="AC15" s="497">
        <v>0</v>
      </c>
      <c r="AD15" s="497">
        <v>0</v>
      </c>
      <c r="AE15" s="497">
        <v>0</v>
      </c>
      <c r="AF15" s="497">
        <v>0</v>
      </c>
      <c r="AG15" s="498">
        <v>0</v>
      </c>
      <c r="AH15" s="498">
        <v>0</v>
      </c>
      <c r="AI15" s="498">
        <v>0</v>
      </c>
      <c r="AJ15" s="498">
        <v>0</v>
      </c>
      <c r="AK15" s="498">
        <v>0</v>
      </c>
      <c r="AL15" s="498">
        <v>0</v>
      </c>
      <c r="AM15" s="498">
        <v>0</v>
      </c>
      <c r="AN15" s="498">
        <v>0</v>
      </c>
      <c r="AO15" s="498">
        <v>0</v>
      </c>
      <c r="AP15" s="498">
        <v>0</v>
      </c>
      <c r="AQ15" s="498">
        <v>0</v>
      </c>
      <c r="AR15" s="498">
        <v>0</v>
      </c>
      <c r="AS15" s="498">
        <v>0</v>
      </c>
      <c r="AT15" s="498">
        <v>0</v>
      </c>
      <c r="AU15" s="498">
        <v>0</v>
      </c>
      <c r="AV15" s="498">
        <v>0</v>
      </c>
      <c r="AW15" s="498">
        <v>0</v>
      </c>
      <c r="AX15" s="498">
        <v>0</v>
      </c>
      <c r="AY15" s="498">
        <v>0</v>
      </c>
      <c r="AZ15" s="499">
        <v>0</v>
      </c>
    </row>
    <row r="16" spans="1:52" s="470" customFormat="1">
      <c r="A16" s="486">
        <f>'[4]Allocation Methodology'!A12</f>
        <v>8</v>
      </c>
      <c r="B16" s="487" t="str">
        <f>'[4]Allocation Methodology'!B12</f>
        <v>Every Kilowatt Counts</v>
      </c>
      <c r="C16" s="487" t="str">
        <f>'[4]Allocation Methodology'!C12</f>
        <v>Consumer</v>
      </c>
      <c r="D16" s="487" t="s">
        <v>17</v>
      </c>
      <c r="E16" s="487">
        <f>'[4]Allocation Methodology'!D12</f>
        <v>2007</v>
      </c>
      <c r="F16" s="488" t="str">
        <f>'[4]Allocation Methodology'!E12</f>
        <v>Final</v>
      </c>
      <c r="G16" s="472" t="b">
        <v>0</v>
      </c>
      <c r="H16" s="489">
        <v>0</v>
      </c>
      <c r="I16" s="490">
        <v>2.7360536093088448E-2</v>
      </c>
      <c r="J16" s="490">
        <v>2.4793259388238696E-2</v>
      </c>
      <c r="K16" s="490">
        <v>2.4793259388238696E-2</v>
      </c>
      <c r="L16" s="490">
        <v>2.4793259388238696E-2</v>
      </c>
      <c r="M16" s="490">
        <v>2.4793259388238696E-2</v>
      </c>
      <c r="N16" s="490">
        <v>2.4793259388238696E-2</v>
      </c>
      <c r="O16" s="490">
        <v>2.4793259388238696E-2</v>
      </c>
      <c r="P16" s="490">
        <v>2.4793259388238696E-2</v>
      </c>
      <c r="Q16" s="490">
        <v>6.0313346606187656E-3</v>
      </c>
      <c r="R16" s="490">
        <v>6.0313346606187656E-3</v>
      </c>
      <c r="S16" s="490">
        <v>2.435997398561046E-4</v>
      </c>
      <c r="T16" s="490">
        <v>2.435997398561046E-4</v>
      </c>
      <c r="U16" s="490">
        <v>2.435997398561046E-4</v>
      </c>
      <c r="V16" s="490">
        <v>2.435997398561046E-4</v>
      </c>
      <c r="W16" s="490">
        <v>2.435997398561046E-4</v>
      </c>
      <c r="X16" s="490">
        <v>2.435997398561046E-4</v>
      </c>
      <c r="Y16" s="490">
        <v>9.0196762173339932E-5</v>
      </c>
      <c r="Z16" s="490">
        <v>9.0196762173339932E-5</v>
      </c>
      <c r="AA16" s="490">
        <v>0</v>
      </c>
      <c r="AB16" s="490">
        <v>0</v>
      </c>
      <c r="AC16" s="490">
        <v>0</v>
      </c>
      <c r="AD16" s="490">
        <v>0</v>
      </c>
      <c r="AE16" s="490">
        <v>0</v>
      </c>
      <c r="AF16" s="490">
        <v>0</v>
      </c>
      <c r="AG16" s="491">
        <v>0</v>
      </c>
      <c r="AH16" s="491">
        <v>0</v>
      </c>
      <c r="AI16" s="491">
        <v>0</v>
      </c>
      <c r="AJ16" s="491">
        <v>0</v>
      </c>
      <c r="AK16" s="491">
        <v>0</v>
      </c>
      <c r="AL16" s="491">
        <v>0</v>
      </c>
      <c r="AM16" s="491">
        <v>0</v>
      </c>
      <c r="AN16" s="491">
        <v>0</v>
      </c>
      <c r="AO16" s="491">
        <v>0</v>
      </c>
      <c r="AP16" s="491">
        <v>0</v>
      </c>
      <c r="AQ16" s="491">
        <v>0</v>
      </c>
      <c r="AR16" s="491">
        <v>0</v>
      </c>
      <c r="AS16" s="491">
        <v>0</v>
      </c>
      <c r="AT16" s="491">
        <v>0</v>
      </c>
      <c r="AU16" s="491">
        <v>0</v>
      </c>
      <c r="AV16" s="491">
        <v>0</v>
      </c>
      <c r="AW16" s="491">
        <v>0</v>
      </c>
      <c r="AX16" s="491">
        <v>0</v>
      </c>
      <c r="AY16" s="491">
        <v>0</v>
      </c>
      <c r="AZ16" s="492">
        <v>0</v>
      </c>
    </row>
    <row r="17" spans="1:52" s="470" customFormat="1">
      <c r="A17" s="493">
        <f>'[4]Allocation Methodology'!A13</f>
        <v>9</v>
      </c>
      <c r="B17" s="514" t="str">
        <f>'[4]Allocation Methodology'!B13</f>
        <v>peaksaver®</v>
      </c>
      <c r="C17" s="494" t="str">
        <f>'[4]Allocation Methodology'!C13</f>
        <v>Consumer, Business</v>
      </c>
      <c r="D17" s="494" t="s">
        <v>58</v>
      </c>
      <c r="E17" s="494">
        <f>'[4]Allocation Methodology'!D13</f>
        <v>2007</v>
      </c>
      <c r="F17" s="495" t="str">
        <f>'[4]Allocation Methodology'!E13</f>
        <v>Final</v>
      </c>
      <c r="G17" s="472" t="b">
        <v>0</v>
      </c>
      <c r="H17" s="496">
        <v>0</v>
      </c>
      <c r="I17" s="497">
        <v>0</v>
      </c>
      <c r="J17" s="497">
        <v>0</v>
      </c>
      <c r="K17" s="497">
        <v>0</v>
      </c>
      <c r="L17" s="497">
        <v>0</v>
      </c>
      <c r="M17" s="497">
        <v>0</v>
      </c>
      <c r="N17" s="497">
        <v>0</v>
      </c>
      <c r="O17" s="497">
        <v>0</v>
      </c>
      <c r="P17" s="497">
        <v>0</v>
      </c>
      <c r="Q17" s="497">
        <v>0</v>
      </c>
      <c r="R17" s="497">
        <v>0</v>
      </c>
      <c r="S17" s="497">
        <v>0</v>
      </c>
      <c r="T17" s="497">
        <v>0</v>
      </c>
      <c r="U17" s="497">
        <v>0</v>
      </c>
      <c r="V17" s="497">
        <v>0</v>
      </c>
      <c r="W17" s="497">
        <v>0</v>
      </c>
      <c r="X17" s="497">
        <v>0</v>
      </c>
      <c r="Y17" s="497">
        <v>0</v>
      </c>
      <c r="Z17" s="497">
        <v>0</v>
      </c>
      <c r="AA17" s="497">
        <v>0</v>
      </c>
      <c r="AB17" s="497">
        <v>0</v>
      </c>
      <c r="AC17" s="497">
        <v>0</v>
      </c>
      <c r="AD17" s="497">
        <v>0</v>
      </c>
      <c r="AE17" s="497">
        <v>0</v>
      </c>
      <c r="AF17" s="497">
        <v>0</v>
      </c>
      <c r="AG17" s="498">
        <v>0</v>
      </c>
      <c r="AH17" s="498">
        <v>0</v>
      </c>
      <c r="AI17" s="498">
        <v>0</v>
      </c>
      <c r="AJ17" s="498">
        <v>0</v>
      </c>
      <c r="AK17" s="498">
        <v>0</v>
      </c>
      <c r="AL17" s="498">
        <v>0</v>
      </c>
      <c r="AM17" s="498">
        <v>0</v>
      </c>
      <c r="AN17" s="498">
        <v>0</v>
      </c>
      <c r="AO17" s="498">
        <v>0</v>
      </c>
      <c r="AP17" s="498">
        <v>0</v>
      </c>
      <c r="AQ17" s="498">
        <v>0</v>
      </c>
      <c r="AR17" s="498">
        <v>0</v>
      </c>
      <c r="AS17" s="498">
        <v>0</v>
      </c>
      <c r="AT17" s="498">
        <v>0</v>
      </c>
      <c r="AU17" s="498">
        <v>0</v>
      </c>
      <c r="AV17" s="498">
        <v>0</v>
      </c>
      <c r="AW17" s="498">
        <v>0</v>
      </c>
      <c r="AX17" s="498">
        <v>0</v>
      </c>
      <c r="AY17" s="498">
        <v>0</v>
      </c>
      <c r="AZ17" s="499">
        <v>0</v>
      </c>
    </row>
    <row r="18" spans="1:52" s="470" customFormat="1">
      <c r="A18" s="486">
        <f>'[4]Allocation Methodology'!A14</f>
        <v>10</v>
      </c>
      <c r="B18" s="487" t="str">
        <f>'[4]Allocation Methodology'!B14</f>
        <v>Summer Savings</v>
      </c>
      <c r="C18" s="487" t="str">
        <f>'[4]Allocation Methodology'!C14</f>
        <v>Consumer</v>
      </c>
      <c r="D18" s="487" t="s">
        <v>17</v>
      </c>
      <c r="E18" s="487">
        <f>'[4]Allocation Methodology'!D14</f>
        <v>2007</v>
      </c>
      <c r="F18" s="488" t="str">
        <f>'[4]Allocation Methodology'!E14</f>
        <v>Final</v>
      </c>
      <c r="G18" s="472" t="b">
        <v>0</v>
      </c>
      <c r="H18" s="489">
        <v>0</v>
      </c>
      <c r="I18" s="490">
        <v>0.18473848769829265</v>
      </c>
      <c r="J18" s="490">
        <v>5.5093734332415989E-2</v>
      </c>
      <c r="K18" s="490">
        <v>2.6526442324912462E-2</v>
      </c>
      <c r="L18" s="490">
        <v>2.6526442324912462E-2</v>
      </c>
      <c r="M18" s="490">
        <v>2.6526442324912462E-2</v>
      </c>
      <c r="N18" s="490">
        <v>2.6526442324912462E-2</v>
      </c>
      <c r="O18" s="490">
        <v>2.6526442324912462E-2</v>
      </c>
      <c r="P18" s="490">
        <v>2.6526442324912462E-2</v>
      </c>
      <c r="Q18" s="490">
        <v>2.6287774030029652E-2</v>
      </c>
      <c r="R18" s="490">
        <v>2.6287774030029652E-2</v>
      </c>
      <c r="S18" s="490">
        <v>2.6287774030029652E-2</v>
      </c>
      <c r="T18" s="490">
        <v>2.6287774030029652E-2</v>
      </c>
      <c r="U18" s="490">
        <v>2.6287774030029652E-2</v>
      </c>
      <c r="V18" s="490">
        <v>2.6287774030029652E-2</v>
      </c>
      <c r="W18" s="490">
        <v>0</v>
      </c>
      <c r="X18" s="490">
        <v>0</v>
      </c>
      <c r="Y18" s="490">
        <v>0</v>
      </c>
      <c r="Z18" s="490">
        <v>0</v>
      </c>
      <c r="AA18" s="490">
        <v>0</v>
      </c>
      <c r="AB18" s="490">
        <v>0</v>
      </c>
      <c r="AC18" s="490">
        <v>0</v>
      </c>
      <c r="AD18" s="490">
        <v>0</v>
      </c>
      <c r="AE18" s="490">
        <v>0</v>
      </c>
      <c r="AF18" s="490">
        <v>0</v>
      </c>
      <c r="AG18" s="491">
        <v>0</v>
      </c>
      <c r="AH18" s="491">
        <v>0</v>
      </c>
      <c r="AI18" s="491">
        <v>0</v>
      </c>
      <c r="AJ18" s="491">
        <v>0</v>
      </c>
      <c r="AK18" s="491">
        <v>0</v>
      </c>
      <c r="AL18" s="491">
        <v>0</v>
      </c>
      <c r="AM18" s="491">
        <v>0</v>
      </c>
      <c r="AN18" s="491">
        <v>0</v>
      </c>
      <c r="AO18" s="491">
        <v>0</v>
      </c>
      <c r="AP18" s="491">
        <v>0</v>
      </c>
      <c r="AQ18" s="491">
        <v>0</v>
      </c>
      <c r="AR18" s="491">
        <v>0</v>
      </c>
      <c r="AS18" s="491">
        <v>0</v>
      </c>
      <c r="AT18" s="491">
        <v>0</v>
      </c>
      <c r="AU18" s="491">
        <v>0</v>
      </c>
      <c r="AV18" s="491">
        <v>0</v>
      </c>
      <c r="AW18" s="491">
        <v>0</v>
      </c>
      <c r="AX18" s="491">
        <v>0</v>
      </c>
      <c r="AY18" s="491">
        <v>0</v>
      </c>
      <c r="AZ18" s="492">
        <v>0</v>
      </c>
    </row>
    <row r="19" spans="1:52" s="470" customFormat="1">
      <c r="A19" s="493">
        <f>'[4]Allocation Methodology'!A15</f>
        <v>11</v>
      </c>
      <c r="B19" s="494" t="str">
        <f>'[4]Allocation Methodology'!B15</f>
        <v>Aboriginal</v>
      </c>
      <c r="C19" s="494" t="str">
        <f>'[4]Allocation Methodology'!C15</f>
        <v>Consumer</v>
      </c>
      <c r="D19" s="494" t="s">
        <v>58</v>
      </c>
      <c r="E19" s="494">
        <f>'[4]Allocation Methodology'!D15</f>
        <v>2007</v>
      </c>
      <c r="F19" s="495" t="str">
        <f>'[4]Allocation Methodology'!E15</f>
        <v>Final</v>
      </c>
      <c r="G19" s="472" t="b">
        <v>0</v>
      </c>
      <c r="H19" s="496">
        <v>0</v>
      </c>
      <c r="I19" s="497">
        <v>0</v>
      </c>
      <c r="J19" s="497">
        <v>0</v>
      </c>
      <c r="K19" s="497">
        <v>0</v>
      </c>
      <c r="L19" s="497">
        <v>0</v>
      </c>
      <c r="M19" s="497">
        <v>0</v>
      </c>
      <c r="N19" s="497">
        <v>0</v>
      </c>
      <c r="O19" s="497">
        <v>0</v>
      </c>
      <c r="P19" s="497">
        <v>0</v>
      </c>
      <c r="Q19" s="497">
        <v>0</v>
      </c>
      <c r="R19" s="497">
        <v>0</v>
      </c>
      <c r="S19" s="497">
        <v>0</v>
      </c>
      <c r="T19" s="497">
        <v>0</v>
      </c>
      <c r="U19" s="497">
        <v>0</v>
      </c>
      <c r="V19" s="497">
        <v>0</v>
      </c>
      <c r="W19" s="497">
        <v>0</v>
      </c>
      <c r="X19" s="497">
        <v>0</v>
      </c>
      <c r="Y19" s="497">
        <v>0</v>
      </c>
      <c r="Z19" s="497">
        <v>0</v>
      </c>
      <c r="AA19" s="497">
        <v>0</v>
      </c>
      <c r="AB19" s="497">
        <v>0</v>
      </c>
      <c r="AC19" s="497">
        <v>0</v>
      </c>
      <c r="AD19" s="497">
        <v>0</v>
      </c>
      <c r="AE19" s="497">
        <v>0</v>
      </c>
      <c r="AF19" s="497">
        <v>0</v>
      </c>
      <c r="AG19" s="498">
        <v>0</v>
      </c>
      <c r="AH19" s="498">
        <v>0</v>
      </c>
      <c r="AI19" s="498">
        <v>0</v>
      </c>
      <c r="AJ19" s="498">
        <v>0</v>
      </c>
      <c r="AK19" s="498">
        <v>0</v>
      </c>
      <c r="AL19" s="498">
        <v>0</v>
      </c>
      <c r="AM19" s="498">
        <v>0</v>
      </c>
      <c r="AN19" s="498">
        <v>0</v>
      </c>
      <c r="AO19" s="498">
        <v>0</v>
      </c>
      <c r="AP19" s="498">
        <v>0</v>
      </c>
      <c r="AQ19" s="498">
        <v>0</v>
      </c>
      <c r="AR19" s="498">
        <v>0</v>
      </c>
      <c r="AS19" s="498">
        <v>0</v>
      </c>
      <c r="AT19" s="498">
        <v>0</v>
      </c>
      <c r="AU19" s="498">
        <v>0</v>
      </c>
      <c r="AV19" s="498">
        <v>0</v>
      </c>
      <c r="AW19" s="498">
        <v>0</v>
      </c>
      <c r="AX19" s="498">
        <v>0</v>
      </c>
      <c r="AY19" s="498">
        <v>0</v>
      </c>
      <c r="AZ19" s="499">
        <v>0</v>
      </c>
    </row>
    <row r="20" spans="1:52" s="470" customFormat="1">
      <c r="A20" s="486">
        <f>'[4]Allocation Methodology'!A16</f>
        <v>12</v>
      </c>
      <c r="B20" s="487" t="str">
        <f>'[4]Allocation Methodology'!B16</f>
        <v>Affordable Housing Pilot</v>
      </c>
      <c r="C20" s="487" t="str">
        <f>'[4]Allocation Methodology'!C16</f>
        <v>Consumer Low-Income</v>
      </c>
      <c r="D20" s="487" t="s">
        <v>17</v>
      </c>
      <c r="E20" s="487">
        <f>'[4]Allocation Methodology'!D16</f>
        <v>2007</v>
      </c>
      <c r="F20" s="488" t="str">
        <f>'[4]Allocation Methodology'!E16</f>
        <v>Final</v>
      </c>
      <c r="G20" s="472" t="b">
        <v>0</v>
      </c>
      <c r="H20" s="489">
        <v>0</v>
      </c>
      <c r="I20" s="490">
        <v>3.7263824999999996E-3</v>
      </c>
      <c r="J20" s="490">
        <v>3.7263824999999996E-3</v>
      </c>
      <c r="K20" s="490">
        <v>3.7263824999999996E-3</v>
      </c>
      <c r="L20" s="490">
        <v>3.7263824999999996E-3</v>
      </c>
      <c r="M20" s="490">
        <v>3.7263824999999996E-3</v>
      </c>
      <c r="N20" s="490">
        <v>3.7263824999999996E-3</v>
      </c>
      <c r="O20" s="490">
        <v>3.7263824999999996E-3</v>
      </c>
      <c r="P20" s="490">
        <v>3.7263824999999996E-3</v>
      </c>
      <c r="Q20" s="490">
        <v>3.7263824999999996E-3</v>
      </c>
      <c r="R20" s="490">
        <v>3.7263824999999996E-3</v>
      </c>
      <c r="S20" s="490">
        <v>3.7263824999999996E-3</v>
      </c>
      <c r="T20" s="490">
        <v>3.7263824999999996E-3</v>
      </c>
      <c r="U20" s="490">
        <v>3.7263824999999996E-3</v>
      </c>
      <c r="V20" s="490">
        <v>3.7263824999999996E-3</v>
      </c>
      <c r="W20" s="490">
        <v>0</v>
      </c>
      <c r="X20" s="490">
        <v>0</v>
      </c>
      <c r="Y20" s="490">
        <v>0</v>
      </c>
      <c r="Z20" s="490">
        <v>0</v>
      </c>
      <c r="AA20" s="490">
        <v>0</v>
      </c>
      <c r="AB20" s="490">
        <v>0</v>
      </c>
      <c r="AC20" s="490">
        <v>0</v>
      </c>
      <c r="AD20" s="490">
        <v>0</v>
      </c>
      <c r="AE20" s="490">
        <v>0</v>
      </c>
      <c r="AF20" s="490">
        <v>0</v>
      </c>
      <c r="AG20" s="491">
        <v>0</v>
      </c>
      <c r="AH20" s="491">
        <v>0</v>
      </c>
      <c r="AI20" s="491">
        <v>0</v>
      </c>
      <c r="AJ20" s="491">
        <v>0</v>
      </c>
      <c r="AK20" s="491">
        <v>0</v>
      </c>
      <c r="AL20" s="491">
        <v>0</v>
      </c>
      <c r="AM20" s="491">
        <v>0</v>
      </c>
      <c r="AN20" s="491">
        <v>0</v>
      </c>
      <c r="AO20" s="491">
        <v>0</v>
      </c>
      <c r="AP20" s="491">
        <v>0</v>
      </c>
      <c r="AQ20" s="491">
        <v>0</v>
      </c>
      <c r="AR20" s="491">
        <v>0</v>
      </c>
      <c r="AS20" s="491">
        <v>0</v>
      </c>
      <c r="AT20" s="491">
        <v>0</v>
      </c>
      <c r="AU20" s="491">
        <v>0</v>
      </c>
      <c r="AV20" s="491">
        <v>0</v>
      </c>
      <c r="AW20" s="491">
        <v>0</v>
      </c>
      <c r="AX20" s="491">
        <v>0</v>
      </c>
      <c r="AY20" s="491">
        <v>0</v>
      </c>
      <c r="AZ20" s="492">
        <v>0</v>
      </c>
    </row>
    <row r="21" spans="1:52" s="470" customFormat="1">
      <c r="A21" s="493">
        <f>'[4]Allocation Methodology'!A17</f>
        <v>13</v>
      </c>
      <c r="B21" s="494" t="str">
        <f>'[4]Allocation Methodology'!B17</f>
        <v>Social Housing Pilot</v>
      </c>
      <c r="C21" s="494" t="str">
        <f>'[4]Allocation Methodology'!C17</f>
        <v>Consumer Low-Income</v>
      </c>
      <c r="D21" s="494" t="s">
        <v>17</v>
      </c>
      <c r="E21" s="494">
        <f>'[4]Allocation Methodology'!D17</f>
        <v>2007</v>
      </c>
      <c r="F21" s="495" t="str">
        <f>'[4]Allocation Methodology'!E17</f>
        <v>Final</v>
      </c>
      <c r="G21" s="472" t="b">
        <v>0</v>
      </c>
      <c r="H21" s="496">
        <v>0</v>
      </c>
      <c r="I21" s="497">
        <v>7.5553826221084076E-3</v>
      </c>
      <c r="J21" s="497">
        <v>7.5553826221084076E-3</v>
      </c>
      <c r="K21" s="497">
        <v>7.5553826221084076E-3</v>
      </c>
      <c r="L21" s="497">
        <v>7.5553826221084076E-3</v>
      </c>
      <c r="M21" s="497">
        <v>7.5553826221084076E-3</v>
      </c>
      <c r="N21" s="497">
        <v>7.5553826221084076E-3</v>
      </c>
      <c r="O21" s="497">
        <v>7.5553826221084076E-3</v>
      </c>
      <c r="P21" s="497">
        <v>7.5553826221084076E-3</v>
      </c>
      <c r="Q21" s="497">
        <v>7.5553826221084076E-3</v>
      </c>
      <c r="R21" s="497">
        <v>7.5553826221084076E-3</v>
      </c>
      <c r="S21" s="497">
        <v>0</v>
      </c>
      <c r="T21" s="497">
        <v>0</v>
      </c>
      <c r="U21" s="497">
        <v>0</v>
      </c>
      <c r="V21" s="497">
        <v>0</v>
      </c>
      <c r="W21" s="497">
        <v>0</v>
      </c>
      <c r="X21" s="497">
        <v>0</v>
      </c>
      <c r="Y21" s="497">
        <v>0</v>
      </c>
      <c r="Z21" s="497">
        <v>0</v>
      </c>
      <c r="AA21" s="497">
        <v>0</v>
      </c>
      <c r="AB21" s="497">
        <v>0</v>
      </c>
      <c r="AC21" s="497">
        <v>0</v>
      </c>
      <c r="AD21" s="497">
        <v>0</v>
      </c>
      <c r="AE21" s="497">
        <v>0</v>
      </c>
      <c r="AF21" s="497">
        <v>0</v>
      </c>
      <c r="AG21" s="498">
        <v>0</v>
      </c>
      <c r="AH21" s="498">
        <v>0</v>
      </c>
      <c r="AI21" s="498">
        <v>0</v>
      </c>
      <c r="AJ21" s="498">
        <v>0</v>
      </c>
      <c r="AK21" s="498">
        <v>0</v>
      </c>
      <c r="AL21" s="498">
        <v>0</v>
      </c>
      <c r="AM21" s="498">
        <v>0</v>
      </c>
      <c r="AN21" s="498">
        <v>0</v>
      </c>
      <c r="AO21" s="498">
        <v>0</v>
      </c>
      <c r="AP21" s="498">
        <v>0</v>
      </c>
      <c r="AQ21" s="498">
        <v>0</v>
      </c>
      <c r="AR21" s="498">
        <v>0</v>
      </c>
      <c r="AS21" s="498">
        <v>0</v>
      </c>
      <c r="AT21" s="498">
        <v>0</v>
      </c>
      <c r="AU21" s="498">
        <v>0</v>
      </c>
      <c r="AV21" s="498">
        <v>0</v>
      </c>
      <c r="AW21" s="498">
        <v>0</v>
      </c>
      <c r="AX21" s="498">
        <v>0</v>
      </c>
      <c r="AY21" s="498">
        <v>0</v>
      </c>
      <c r="AZ21" s="499">
        <v>0</v>
      </c>
    </row>
    <row r="22" spans="1:52" s="470" customFormat="1">
      <c r="A22" s="486">
        <f>'[4]Allocation Methodology'!A18</f>
        <v>14</v>
      </c>
      <c r="B22" s="487" t="str">
        <f>'[4]Allocation Methodology'!B18</f>
        <v>Energy Efficiency Assistance for Houses Pilot</v>
      </c>
      <c r="C22" s="487" t="str">
        <f>'[4]Allocation Methodology'!C18</f>
        <v>Consumer Low-Income</v>
      </c>
      <c r="D22" s="487" t="s">
        <v>17</v>
      </c>
      <c r="E22" s="487">
        <f>'[4]Allocation Methodology'!D18</f>
        <v>2007</v>
      </c>
      <c r="F22" s="488" t="str">
        <f>'[4]Allocation Methodology'!E18</f>
        <v>Final</v>
      </c>
      <c r="G22" s="472" t="b">
        <v>0</v>
      </c>
      <c r="H22" s="489">
        <v>0</v>
      </c>
      <c r="I22" s="490">
        <v>2.6126666666666666E-2</v>
      </c>
      <c r="J22" s="490">
        <v>2.6126666666666666E-2</v>
      </c>
      <c r="K22" s="490">
        <v>2.6126666666666666E-2</v>
      </c>
      <c r="L22" s="490">
        <v>2.6126666666666666E-2</v>
      </c>
      <c r="M22" s="490">
        <v>2.6126666666666666E-2</v>
      </c>
      <c r="N22" s="490">
        <v>2.6126666666666666E-2</v>
      </c>
      <c r="O22" s="490">
        <v>2.6126666666666666E-2</v>
      </c>
      <c r="P22" s="490">
        <v>2.6126666666666666E-2</v>
      </c>
      <c r="Q22" s="490">
        <v>2.6126666666666666E-2</v>
      </c>
      <c r="R22" s="490">
        <v>2.6126666666666666E-2</v>
      </c>
      <c r="S22" s="490">
        <v>2.6126666666666666E-2</v>
      </c>
      <c r="T22" s="490">
        <v>2.6126666666666666E-2</v>
      </c>
      <c r="U22" s="490">
        <v>2.6126666666666666E-2</v>
      </c>
      <c r="V22" s="490">
        <v>2.6126666666666666E-2</v>
      </c>
      <c r="W22" s="490">
        <v>2.6126666666666666E-2</v>
      </c>
      <c r="X22" s="490">
        <v>2.6126666666666666E-2</v>
      </c>
      <c r="Y22" s="490">
        <v>2.6126666666666666E-2</v>
      </c>
      <c r="Z22" s="490">
        <v>2.6126666666666666E-2</v>
      </c>
      <c r="AA22" s="490">
        <v>2.6126666666666666E-2</v>
      </c>
      <c r="AB22" s="490">
        <v>0</v>
      </c>
      <c r="AC22" s="490">
        <v>0</v>
      </c>
      <c r="AD22" s="490">
        <v>0</v>
      </c>
      <c r="AE22" s="490">
        <v>0</v>
      </c>
      <c r="AF22" s="490">
        <v>0</v>
      </c>
      <c r="AG22" s="491">
        <v>0</v>
      </c>
      <c r="AH22" s="491">
        <v>0</v>
      </c>
      <c r="AI22" s="491">
        <v>0</v>
      </c>
      <c r="AJ22" s="491">
        <v>0</v>
      </c>
      <c r="AK22" s="491">
        <v>0</v>
      </c>
      <c r="AL22" s="491">
        <v>0</v>
      </c>
      <c r="AM22" s="491">
        <v>0</v>
      </c>
      <c r="AN22" s="491">
        <v>0</v>
      </c>
      <c r="AO22" s="491">
        <v>0</v>
      </c>
      <c r="AP22" s="491">
        <v>0</v>
      </c>
      <c r="AQ22" s="491">
        <v>0</v>
      </c>
      <c r="AR22" s="491">
        <v>0</v>
      </c>
      <c r="AS22" s="491">
        <v>0</v>
      </c>
      <c r="AT22" s="491">
        <v>0</v>
      </c>
      <c r="AU22" s="491">
        <v>0</v>
      </c>
      <c r="AV22" s="491">
        <v>0</v>
      </c>
      <c r="AW22" s="491">
        <v>0</v>
      </c>
      <c r="AX22" s="491">
        <v>0</v>
      </c>
      <c r="AY22" s="491">
        <v>0</v>
      </c>
      <c r="AZ22" s="492">
        <v>0</v>
      </c>
    </row>
    <row r="23" spans="1:52" s="470" customFormat="1">
      <c r="A23" s="493">
        <f>'[4]Allocation Methodology'!A19</f>
        <v>15</v>
      </c>
      <c r="B23" s="494" t="str">
        <f>'[4]Allocation Methodology'!B19</f>
        <v>Electricity Retrofit Incentive</v>
      </c>
      <c r="C23" s="494" t="str">
        <f>'[4]Allocation Methodology'!C19</f>
        <v>Business</v>
      </c>
      <c r="D23" s="494" t="s">
        <v>480</v>
      </c>
      <c r="E23" s="494">
        <f>'[4]Allocation Methodology'!D19</f>
        <v>2007</v>
      </c>
      <c r="F23" s="495" t="str">
        <f>'[4]Allocation Methodology'!E19</f>
        <v>Final</v>
      </c>
      <c r="G23" s="472" t="b">
        <v>0</v>
      </c>
      <c r="H23" s="496">
        <v>0</v>
      </c>
      <c r="I23" s="497">
        <v>0</v>
      </c>
      <c r="J23" s="497">
        <v>0</v>
      </c>
      <c r="K23" s="497">
        <v>0</v>
      </c>
      <c r="L23" s="497">
        <v>0</v>
      </c>
      <c r="M23" s="497">
        <v>0</v>
      </c>
      <c r="N23" s="497">
        <v>0</v>
      </c>
      <c r="O23" s="497">
        <v>0</v>
      </c>
      <c r="P23" s="497">
        <v>0</v>
      </c>
      <c r="Q23" s="497">
        <v>0</v>
      </c>
      <c r="R23" s="497">
        <v>0</v>
      </c>
      <c r="S23" s="497">
        <v>0</v>
      </c>
      <c r="T23" s="497">
        <v>0</v>
      </c>
      <c r="U23" s="497">
        <v>0</v>
      </c>
      <c r="V23" s="497">
        <v>0</v>
      </c>
      <c r="W23" s="497">
        <v>0</v>
      </c>
      <c r="X23" s="497">
        <v>0</v>
      </c>
      <c r="Y23" s="497">
        <v>0</v>
      </c>
      <c r="Z23" s="497">
        <v>0</v>
      </c>
      <c r="AA23" s="497">
        <v>0</v>
      </c>
      <c r="AB23" s="497">
        <v>0</v>
      </c>
      <c r="AC23" s="497">
        <v>0</v>
      </c>
      <c r="AD23" s="497">
        <v>0</v>
      </c>
      <c r="AE23" s="497">
        <v>0</v>
      </c>
      <c r="AF23" s="497">
        <v>0</v>
      </c>
      <c r="AG23" s="498">
        <v>0</v>
      </c>
      <c r="AH23" s="498">
        <v>0</v>
      </c>
      <c r="AI23" s="498">
        <v>0</v>
      </c>
      <c r="AJ23" s="498">
        <v>0</v>
      </c>
      <c r="AK23" s="498">
        <v>0</v>
      </c>
      <c r="AL23" s="498">
        <v>0</v>
      </c>
      <c r="AM23" s="498">
        <v>0</v>
      </c>
      <c r="AN23" s="498">
        <v>0</v>
      </c>
      <c r="AO23" s="498">
        <v>0</v>
      </c>
      <c r="AP23" s="498">
        <v>0</v>
      </c>
      <c r="AQ23" s="498">
        <v>0</v>
      </c>
      <c r="AR23" s="498">
        <v>0</v>
      </c>
      <c r="AS23" s="498">
        <v>0</v>
      </c>
      <c r="AT23" s="498">
        <v>0</v>
      </c>
      <c r="AU23" s="498">
        <v>0</v>
      </c>
      <c r="AV23" s="498">
        <v>0</v>
      </c>
      <c r="AW23" s="498">
        <v>0</v>
      </c>
      <c r="AX23" s="498">
        <v>0</v>
      </c>
      <c r="AY23" s="498">
        <v>0</v>
      </c>
      <c r="AZ23" s="499">
        <v>0</v>
      </c>
    </row>
    <row r="24" spans="1:52" s="470" customFormat="1">
      <c r="A24" s="486">
        <f>'[4]Allocation Methodology'!A20</f>
        <v>16</v>
      </c>
      <c r="B24" s="487" t="str">
        <f>'[4]Allocation Methodology'!B20</f>
        <v>Toronto Comprehensive</v>
      </c>
      <c r="C24" s="487" t="str">
        <f>'[4]Allocation Methodology'!C20</f>
        <v>Business</v>
      </c>
      <c r="D24" s="487" t="s">
        <v>58</v>
      </c>
      <c r="E24" s="487">
        <f>'[4]Allocation Methodology'!D20</f>
        <v>2007</v>
      </c>
      <c r="F24" s="488" t="str">
        <f>'[4]Allocation Methodology'!E20</f>
        <v>Final</v>
      </c>
      <c r="G24" s="472" t="b">
        <v>0</v>
      </c>
      <c r="H24" s="489">
        <v>0</v>
      </c>
      <c r="I24" s="490">
        <v>0</v>
      </c>
      <c r="J24" s="490">
        <v>0</v>
      </c>
      <c r="K24" s="490">
        <v>0</v>
      </c>
      <c r="L24" s="490">
        <v>0</v>
      </c>
      <c r="M24" s="490">
        <v>0</v>
      </c>
      <c r="N24" s="490">
        <v>0</v>
      </c>
      <c r="O24" s="490">
        <v>0</v>
      </c>
      <c r="P24" s="490">
        <v>0</v>
      </c>
      <c r="Q24" s="490">
        <v>0</v>
      </c>
      <c r="R24" s="490">
        <v>0</v>
      </c>
      <c r="S24" s="490">
        <v>0</v>
      </c>
      <c r="T24" s="490">
        <v>0</v>
      </c>
      <c r="U24" s="490">
        <v>0</v>
      </c>
      <c r="V24" s="490">
        <v>0</v>
      </c>
      <c r="W24" s="490">
        <v>0</v>
      </c>
      <c r="X24" s="490">
        <v>0</v>
      </c>
      <c r="Y24" s="490">
        <v>0</v>
      </c>
      <c r="Z24" s="490">
        <v>0</v>
      </c>
      <c r="AA24" s="490">
        <v>0</v>
      </c>
      <c r="AB24" s="490">
        <v>0</v>
      </c>
      <c r="AC24" s="490">
        <v>0</v>
      </c>
      <c r="AD24" s="490">
        <v>0</v>
      </c>
      <c r="AE24" s="490">
        <v>0</v>
      </c>
      <c r="AF24" s="490">
        <v>0</v>
      </c>
      <c r="AG24" s="491">
        <v>0</v>
      </c>
      <c r="AH24" s="491">
        <v>0</v>
      </c>
      <c r="AI24" s="491">
        <v>0</v>
      </c>
      <c r="AJ24" s="491">
        <v>0</v>
      </c>
      <c r="AK24" s="491">
        <v>0</v>
      </c>
      <c r="AL24" s="491">
        <v>0</v>
      </c>
      <c r="AM24" s="491">
        <v>0</v>
      </c>
      <c r="AN24" s="491">
        <v>0</v>
      </c>
      <c r="AO24" s="491">
        <v>0</v>
      </c>
      <c r="AP24" s="491">
        <v>0</v>
      </c>
      <c r="AQ24" s="491">
        <v>0</v>
      </c>
      <c r="AR24" s="491">
        <v>0</v>
      </c>
      <c r="AS24" s="491">
        <v>0</v>
      </c>
      <c r="AT24" s="491">
        <v>0</v>
      </c>
      <c r="AU24" s="491">
        <v>0</v>
      </c>
      <c r="AV24" s="491">
        <v>0</v>
      </c>
      <c r="AW24" s="491">
        <v>0</v>
      </c>
      <c r="AX24" s="491">
        <v>0</v>
      </c>
      <c r="AY24" s="491">
        <v>0</v>
      </c>
      <c r="AZ24" s="492">
        <v>0</v>
      </c>
    </row>
    <row r="25" spans="1:52" s="470" customFormat="1">
      <c r="A25" s="493">
        <f>'[4]Allocation Methodology'!A21</f>
        <v>17</v>
      </c>
      <c r="B25" s="494" t="str">
        <f>'[4]Allocation Methodology'!B21</f>
        <v>Demand Response 1</v>
      </c>
      <c r="C25" s="494" t="str">
        <f>'[4]Allocation Methodology'!C21</f>
        <v>Business, Industrial</v>
      </c>
      <c r="D25" s="494" t="s">
        <v>480</v>
      </c>
      <c r="E25" s="494">
        <f>'[4]Allocation Methodology'!D21</f>
        <v>2007</v>
      </c>
      <c r="F25" s="495" t="str">
        <f>'[4]Allocation Methodology'!E21</f>
        <v>Final</v>
      </c>
      <c r="G25" s="472" t="b">
        <v>0</v>
      </c>
      <c r="H25" s="496">
        <v>0</v>
      </c>
      <c r="I25" s="497">
        <v>1.9100236982573271</v>
      </c>
      <c r="J25" s="497">
        <v>0</v>
      </c>
      <c r="K25" s="497">
        <v>0</v>
      </c>
      <c r="L25" s="497">
        <v>0</v>
      </c>
      <c r="M25" s="497">
        <v>0</v>
      </c>
      <c r="N25" s="497">
        <v>0</v>
      </c>
      <c r="O25" s="497">
        <v>0</v>
      </c>
      <c r="P25" s="497">
        <v>0</v>
      </c>
      <c r="Q25" s="497">
        <v>0</v>
      </c>
      <c r="R25" s="497">
        <v>0</v>
      </c>
      <c r="S25" s="497">
        <v>0</v>
      </c>
      <c r="T25" s="497">
        <v>0</v>
      </c>
      <c r="U25" s="497">
        <v>0</v>
      </c>
      <c r="V25" s="497">
        <v>0</v>
      </c>
      <c r="W25" s="497">
        <v>0</v>
      </c>
      <c r="X25" s="497">
        <v>0</v>
      </c>
      <c r="Y25" s="497">
        <v>0</v>
      </c>
      <c r="Z25" s="497">
        <v>0</v>
      </c>
      <c r="AA25" s="497">
        <v>0</v>
      </c>
      <c r="AB25" s="497">
        <v>0</v>
      </c>
      <c r="AC25" s="497">
        <v>0</v>
      </c>
      <c r="AD25" s="497">
        <v>0</v>
      </c>
      <c r="AE25" s="497">
        <v>0</v>
      </c>
      <c r="AF25" s="497">
        <v>0</v>
      </c>
      <c r="AG25" s="498">
        <v>0</v>
      </c>
      <c r="AH25" s="498">
        <v>0</v>
      </c>
      <c r="AI25" s="498">
        <v>0</v>
      </c>
      <c r="AJ25" s="498">
        <v>0</v>
      </c>
      <c r="AK25" s="498">
        <v>0</v>
      </c>
      <c r="AL25" s="498">
        <v>0</v>
      </c>
      <c r="AM25" s="498">
        <v>0</v>
      </c>
      <c r="AN25" s="498">
        <v>0</v>
      </c>
      <c r="AO25" s="498">
        <v>0</v>
      </c>
      <c r="AP25" s="498">
        <v>0</v>
      </c>
      <c r="AQ25" s="498">
        <v>0</v>
      </c>
      <c r="AR25" s="498">
        <v>0</v>
      </c>
      <c r="AS25" s="498">
        <v>0</v>
      </c>
      <c r="AT25" s="498">
        <v>0</v>
      </c>
      <c r="AU25" s="498">
        <v>0</v>
      </c>
      <c r="AV25" s="498">
        <v>0</v>
      </c>
      <c r="AW25" s="498">
        <v>0</v>
      </c>
      <c r="AX25" s="498">
        <v>0</v>
      </c>
      <c r="AY25" s="498">
        <v>0</v>
      </c>
      <c r="AZ25" s="499">
        <v>0</v>
      </c>
    </row>
    <row r="26" spans="1:52" s="470" customFormat="1">
      <c r="A26" s="486">
        <f>'[4]Allocation Methodology'!A22</f>
        <v>18</v>
      </c>
      <c r="B26" s="487" t="str">
        <f>'[4]Allocation Methodology'!B22</f>
        <v>Loblaw &amp; York Region Demand Response</v>
      </c>
      <c r="C26" s="487" t="str">
        <f>'[4]Allocation Methodology'!C22</f>
        <v>Business, Industrial</v>
      </c>
      <c r="D26" s="487" t="s">
        <v>480</v>
      </c>
      <c r="E26" s="487">
        <f>'[4]Allocation Methodology'!D22</f>
        <v>2007</v>
      </c>
      <c r="F26" s="488" t="str">
        <f>'[4]Allocation Methodology'!E22</f>
        <v>Final</v>
      </c>
      <c r="G26" s="472" t="b">
        <v>0</v>
      </c>
      <c r="H26" s="489">
        <v>0</v>
      </c>
      <c r="I26" s="490">
        <v>0.15889278599021095</v>
      </c>
      <c r="J26" s="490">
        <v>0</v>
      </c>
      <c r="K26" s="490">
        <v>0</v>
      </c>
      <c r="L26" s="490">
        <v>0</v>
      </c>
      <c r="M26" s="490">
        <v>0</v>
      </c>
      <c r="N26" s="490">
        <v>0</v>
      </c>
      <c r="O26" s="490">
        <v>0</v>
      </c>
      <c r="P26" s="490">
        <v>0</v>
      </c>
      <c r="Q26" s="490">
        <v>0</v>
      </c>
      <c r="R26" s="490">
        <v>0</v>
      </c>
      <c r="S26" s="490">
        <v>0</v>
      </c>
      <c r="T26" s="490">
        <v>0</v>
      </c>
      <c r="U26" s="490">
        <v>0</v>
      </c>
      <c r="V26" s="490">
        <v>0</v>
      </c>
      <c r="W26" s="490">
        <v>0</v>
      </c>
      <c r="X26" s="490">
        <v>0</v>
      </c>
      <c r="Y26" s="490">
        <v>0</v>
      </c>
      <c r="Z26" s="490">
        <v>0</v>
      </c>
      <c r="AA26" s="490">
        <v>0</v>
      </c>
      <c r="AB26" s="490">
        <v>0</v>
      </c>
      <c r="AC26" s="490">
        <v>0</v>
      </c>
      <c r="AD26" s="490">
        <v>0</v>
      </c>
      <c r="AE26" s="490">
        <v>0</v>
      </c>
      <c r="AF26" s="490">
        <v>0</v>
      </c>
      <c r="AG26" s="491">
        <v>0</v>
      </c>
      <c r="AH26" s="491">
        <v>0</v>
      </c>
      <c r="AI26" s="491">
        <v>0</v>
      </c>
      <c r="AJ26" s="491">
        <v>0</v>
      </c>
      <c r="AK26" s="491">
        <v>0</v>
      </c>
      <c r="AL26" s="491">
        <v>0</v>
      </c>
      <c r="AM26" s="491">
        <v>0</v>
      </c>
      <c r="AN26" s="491">
        <v>0</v>
      </c>
      <c r="AO26" s="491">
        <v>0</v>
      </c>
      <c r="AP26" s="491">
        <v>0</v>
      </c>
      <c r="AQ26" s="491">
        <v>0</v>
      </c>
      <c r="AR26" s="491">
        <v>0</v>
      </c>
      <c r="AS26" s="491">
        <v>0</v>
      </c>
      <c r="AT26" s="491">
        <v>0</v>
      </c>
      <c r="AU26" s="491">
        <v>0</v>
      </c>
      <c r="AV26" s="491">
        <v>0</v>
      </c>
      <c r="AW26" s="491">
        <v>0</v>
      </c>
      <c r="AX26" s="491">
        <v>0</v>
      </c>
      <c r="AY26" s="491">
        <v>0</v>
      </c>
      <c r="AZ26" s="492">
        <v>0</v>
      </c>
    </row>
    <row r="27" spans="1:52" s="470" customFormat="1">
      <c r="A27" s="500">
        <f>'[4]Allocation Methodology'!A23</f>
        <v>19</v>
      </c>
      <c r="B27" s="501" t="str">
        <f>'[4]Allocation Methodology'!B23</f>
        <v>Renewable Energy Standard Offer</v>
      </c>
      <c r="C27" s="501" t="str">
        <f>'[4]Allocation Methodology'!C23</f>
        <v>Consumer, Business, Industrial</v>
      </c>
      <c r="D27" s="501" t="s">
        <v>17</v>
      </c>
      <c r="E27" s="501">
        <f>'[4]Allocation Methodology'!D23</f>
        <v>2007</v>
      </c>
      <c r="F27" s="502" t="str">
        <f>'[4]Allocation Methodology'!E23</f>
        <v>Final</v>
      </c>
      <c r="G27" s="472" t="b">
        <v>0</v>
      </c>
      <c r="H27" s="503">
        <v>0</v>
      </c>
      <c r="I27" s="504">
        <v>2.146E-2</v>
      </c>
      <c r="J27" s="504">
        <v>2.146E-2</v>
      </c>
      <c r="K27" s="504">
        <v>2.146E-2</v>
      </c>
      <c r="L27" s="504">
        <v>2.146E-2</v>
      </c>
      <c r="M27" s="504">
        <v>2.146E-2</v>
      </c>
      <c r="N27" s="504">
        <v>2.146E-2</v>
      </c>
      <c r="O27" s="504">
        <v>2.146E-2</v>
      </c>
      <c r="P27" s="504">
        <v>2.146E-2</v>
      </c>
      <c r="Q27" s="504">
        <v>2.146E-2</v>
      </c>
      <c r="R27" s="504">
        <v>2.146E-2</v>
      </c>
      <c r="S27" s="504">
        <v>2.146E-2</v>
      </c>
      <c r="T27" s="504">
        <v>2.146E-2</v>
      </c>
      <c r="U27" s="504">
        <v>2.146E-2</v>
      </c>
      <c r="V27" s="504">
        <v>2.146E-2</v>
      </c>
      <c r="W27" s="504">
        <v>2.146E-2</v>
      </c>
      <c r="X27" s="504">
        <v>2.146E-2</v>
      </c>
      <c r="Y27" s="504">
        <v>2.146E-2</v>
      </c>
      <c r="Z27" s="504">
        <v>2.146E-2</v>
      </c>
      <c r="AA27" s="504">
        <v>2.146E-2</v>
      </c>
      <c r="AB27" s="504">
        <v>2.146E-2</v>
      </c>
      <c r="AC27" s="504">
        <v>0</v>
      </c>
      <c r="AD27" s="504">
        <v>0</v>
      </c>
      <c r="AE27" s="504">
        <v>0</v>
      </c>
      <c r="AF27" s="504">
        <v>0</v>
      </c>
      <c r="AG27" s="505">
        <v>0</v>
      </c>
      <c r="AH27" s="505">
        <v>0</v>
      </c>
      <c r="AI27" s="505">
        <v>0</v>
      </c>
      <c r="AJ27" s="505">
        <v>0</v>
      </c>
      <c r="AK27" s="505">
        <v>0</v>
      </c>
      <c r="AL27" s="505">
        <v>0</v>
      </c>
      <c r="AM27" s="505">
        <v>0</v>
      </c>
      <c r="AN27" s="505">
        <v>0</v>
      </c>
      <c r="AO27" s="505">
        <v>0</v>
      </c>
      <c r="AP27" s="505">
        <v>0</v>
      </c>
      <c r="AQ27" s="505">
        <v>0</v>
      </c>
      <c r="AR27" s="505">
        <v>0</v>
      </c>
      <c r="AS27" s="505">
        <v>0</v>
      </c>
      <c r="AT27" s="505">
        <v>0</v>
      </c>
      <c r="AU27" s="505">
        <v>0</v>
      </c>
      <c r="AV27" s="505">
        <v>0</v>
      </c>
      <c r="AW27" s="505">
        <v>0</v>
      </c>
      <c r="AX27" s="505">
        <v>0</v>
      </c>
      <c r="AY27" s="505">
        <v>0</v>
      </c>
      <c r="AZ27" s="506">
        <v>0</v>
      </c>
    </row>
    <row r="28" spans="1:52" s="470" customFormat="1">
      <c r="A28" s="507">
        <f>'[4]Allocation Methodology'!A24</f>
        <v>20</v>
      </c>
      <c r="B28" s="508" t="str">
        <f>'[4]Allocation Methodology'!B24</f>
        <v>Great Refrigerator Roundup</v>
      </c>
      <c r="C28" s="508" t="str">
        <f>'[4]Allocation Methodology'!C24</f>
        <v>Consumer</v>
      </c>
      <c r="D28" s="508" t="s">
        <v>17</v>
      </c>
      <c r="E28" s="508">
        <f>'[4]Allocation Methodology'!D24</f>
        <v>2008</v>
      </c>
      <c r="F28" s="509" t="str">
        <f>'[4]Allocation Methodology'!E24</f>
        <v>Final</v>
      </c>
      <c r="G28" s="472" t="b">
        <v>0</v>
      </c>
      <c r="H28" s="510">
        <v>0</v>
      </c>
      <c r="I28" s="511">
        <v>0</v>
      </c>
      <c r="J28" s="511">
        <v>1.2514288895960003E-2</v>
      </c>
      <c r="K28" s="511">
        <v>1.2514288895960003E-2</v>
      </c>
      <c r="L28" s="511">
        <v>1.2514288895960003E-2</v>
      </c>
      <c r="M28" s="511">
        <v>1.2514288895960003E-2</v>
      </c>
      <c r="N28" s="511">
        <v>1.1941168895960003E-2</v>
      </c>
      <c r="O28" s="511">
        <v>1.1941168895960003E-2</v>
      </c>
      <c r="P28" s="511">
        <v>1.1941168895960003E-2</v>
      </c>
      <c r="Q28" s="511">
        <v>1.1941168895960003E-2</v>
      </c>
      <c r="R28" s="511">
        <v>9.2565183699999994E-3</v>
      </c>
      <c r="S28" s="511">
        <v>0</v>
      </c>
      <c r="T28" s="511">
        <v>0</v>
      </c>
      <c r="U28" s="511">
        <v>0</v>
      </c>
      <c r="V28" s="511">
        <v>0</v>
      </c>
      <c r="W28" s="511">
        <v>0</v>
      </c>
      <c r="X28" s="511">
        <v>0</v>
      </c>
      <c r="Y28" s="511">
        <v>0</v>
      </c>
      <c r="Z28" s="511">
        <v>0</v>
      </c>
      <c r="AA28" s="511">
        <v>0</v>
      </c>
      <c r="AB28" s="511">
        <v>0</v>
      </c>
      <c r="AC28" s="511">
        <v>0</v>
      </c>
      <c r="AD28" s="511">
        <v>0</v>
      </c>
      <c r="AE28" s="511">
        <v>0</v>
      </c>
      <c r="AF28" s="511">
        <v>0</v>
      </c>
      <c r="AG28" s="512">
        <v>0</v>
      </c>
      <c r="AH28" s="512">
        <v>0</v>
      </c>
      <c r="AI28" s="512">
        <v>0</v>
      </c>
      <c r="AJ28" s="512">
        <v>0</v>
      </c>
      <c r="AK28" s="512">
        <v>0</v>
      </c>
      <c r="AL28" s="512">
        <v>0</v>
      </c>
      <c r="AM28" s="512">
        <v>0</v>
      </c>
      <c r="AN28" s="512">
        <v>0</v>
      </c>
      <c r="AO28" s="512">
        <v>0</v>
      </c>
      <c r="AP28" s="512">
        <v>0</v>
      </c>
      <c r="AQ28" s="512">
        <v>0</v>
      </c>
      <c r="AR28" s="512">
        <v>0</v>
      </c>
      <c r="AS28" s="512">
        <v>0</v>
      </c>
      <c r="AT28" s="512">
        <v>0</v>
      </c>
      <c r="AU28" s="512">
        <v>0</v>
      </c>
      <c r="AV28" s="512">
        <v>0</v>
      </c>
      <c r="AW28" s="512">
        <v>0</v>
      </c>
      <c r="AX28" s="512">
        <v>0</v>
      </c>
      <c r="AY28" s="512">
        <v>0</v>
      </c>
      <c r="AZ28" s="513">
        <v>0</v>
      </c>
    </row>
    <row r="29" spans="1:52" s="470" customFormat="1">
      <c r="A29" s="493">
        <f>'[4]Allocation Methodology'!A25</f>
        <v>21</v>
      </c>
      <c r="B29" s="494" t="str">
        <f>'[4]Allocation Methodology'!B25</f>
        <v>Cool Savings Rebate</v>
      </c>
      <c r="C29" s="494" t="str">
        <f>'[4]Allocation Methodology'!C25</f>
        <v>Consumer</v>
      </c>
      <c r="D29" s="494" t="s">
        <v>17</v>
      </c>
      <c r="E29" s="494">
        <f>'[4]Allocation Methodology'!D25</f>
        <v>2008</v>
      </c>
      <c r="F29" s="495" t="str">
        <f>'[4]Allocation Methodology'!E25</f>
        <v>Final</v>
      </c>
      <c r="G29" s="472" t="b">
        <v>0</v>
      </c>
      <c r="H29" s="496">
        <v>0</v>
      </c>
      <c r="I29" s="497">
        <v>0</v>
      </c>
      <c r="J29" s="497">
        <v>7.3226482662845205E-2</v>
      </c>
      <c r="K29" s="497">
        <v>7.3226482662845205E-2</v>
      </c>
      <c r="L29" s="497">
        <v>7.3226482662845205E-2</v>
      </c>
      <c r="M29" s="497">
        <v>7.3226482662845205E-2</v>
      </c>
      <c r="N29" s="497">
        <v>7.3226482662845205E-2</v>
      </c>
      <c r="O29" s="497">
        <v>7.3226482662845205E-2</v>
      </c>
      <c r="P29" s="497">
        <v>7.3226482662845205E-2</v>
      </c>
      <c r="Q29" s="497">
        <v>7.3226482662845205E-2</v>
      </c>
      <c r="R29" s="497">
        <v>7.3226482662845205E-2</v>
      </c>
      <c r="S29" s="497">
        <v>7.3226482662845205E-2</v>
      </c>
      <c r="T29" s="497">
        <v>7.3226482662845205E-2</v>
      </c>
      <c r="U29" s="497">
        <v>7.3226482662845205E-2</v>
      </c>
      <c r="V29" s="497">
        <v>7.3226482662845205E-2</v>
      </c>
      <c r="W29" s="497">
        <v>7.3226482662845205E-2</v>
      </c>
      <c r="X29" s="497">
        <v>7.3226482662845205E-2</v>
      </c>
      <c r="Y29" s="497">
        <v>5.9382090709696744E-2</v>
      </c>
      <c r="Z29" s="497">
        <v>5.9382090709696744E-2</v>
      </c>
      <c r="AA29" s="497">
        <v>5.9382090709696744E-2</v>
      </c>
      <c r="AB29" s="497">
        <v>0</v>
      </c>
      <c r="AC29" s="497">
        <v>0</v>
      </c>
      <c r="AD29" s="497">
        <v>0</v>
      </c>
      <c r="AE29" s="497">
        <v>0</v>
      </c>
      <c r="AF29" s="497">
        <v>0</v>
      </c>
      <c r="AG29" s="498">
        <v>0</v>
      </c>
      <c r="AH29" s="498">
        <v>0</v>
      </c>
      <c r="AI29" s="498">
        <v>0</v>
      </c>
      <c r="AJ29" s="498">
        <v>0</v>
      </c>
      <c r="AK29" s="498">
        <v>0</v>
      </c>
      <c r="AL29" s="498">
        <v>0</v>
      </c>
      <c r="AM29" s="498">
        <v>0</v>
      </c>
      <c r="AN29" s="498">
        <v>0</v>
      </c>
      <c r="AO29" s="498">
        <v>0</v>
      </c>
      <c r="AP29" s="498">
        <v>0</v>
      </c>
      <c r="AQ29" s="498">
        <v>0</v>
      </c>
      <c r="AR29" s="498">
        <v>0</v>
      </c>
      <c r="AS29" s="498">
        <v>0</v>
      </c>
      <c r="AT29" s="498">
        <v>0</v>
      </c>
      <c r="AU29" s="498">
        <v>0</v>
      </c>
      <c r="AV29" s="498">
        <v>0</v>
      </c>
      <c r="AW29" s="498">
        <v>0</v>
      </c>
      <c r="AX29" s="498">
        <v>0</v>
      </c>
      <c r="AY29" s="498">
        <v>0</v>
      </c>
      <c r="AZ29" s="499">
        <v>0</v>
      </c>
    </row>
    <row r="30" spans="1:52" s="470" customFormat="1">
      <c r="A30" s="486">
        <f>'[4]Allocation Methodology'!A26</f>
        <v>22</v>
      </c>
      <c r="B30" s="487" t="str">
        <f>'[4]Allocation Methodology'!B26</f>
        <v>Every Kilowatt Counts Power Savings Event</v>
      </c>
      <c r="C30" s="487" t="str">
        <f>'[4]Allocation Methodology'!C26</f>
        <v>Consumer</v>
      </c>
      <c r="D30" s="487" t="s">
        <v>17</v>
      </c>
      <c r="E30" s="487">
        <f>'[4]Allocation Methodology'!D26</f>
        <v>2008</v>
      </c>
      <c r="F30" s="488" t="str">
        <f>'[4]Allocation Methodology'!E26</f>
        <v>Final</v>
      </c>
      <c r="G30" s="472" t="b">
        <v>0</v>
      </c>
      <c r="H30" s="489">
        <v>0</v>
      </c>
      <c r="I30" s="490">
        <v>0</v>
      </c>
      <c r="J30" s="490">
        <v>3.2001137256771957E-2</v>
      </c>
      <c r="K30" s="490">
        <v>3.0579226462291307E-2</v>
      </c>
      <c r="L30" s="490">
        <v>3.0579226462291307E-2</v>
      </c>
      <c r="M30" s="490">
        <v>3.0579226462291307E-2</v>
      </c>
      <c r="N30" s="490">
        <v>2.7794435564226144E-2</v>
      </c>
      <c r="O30" s="490">
        <v>2.7794435564226144E-2</v>
      </c>
      <c r="P30" s="490">
        <v>2.1380143290994958E-2</v>
      </c>
      <c r="Q30" s="490">
        <v>1.9213691127003774E-2</v>
      </c>
      <c r="R30" s="490">
        <v>1.4081555003652657E-2</v>
      </c>
      <c r="S30" s="490">
        <v>1.1359573148502024E-2</v>
      </c>
      <c r="T30" s="490">
        <v>1.0012830430589256E-2</v>
      </c>
      <c r="U30" s="490">
        <v>1.0012830430589256E-2</v>
      </c>
      <c r="V30" s="490">
        <v>4.9017613883593171E-3</v>
      </c>
      <c r="W30" s="490">
        <v>4.9017613883593171E-3</v>
      </c>
      <c r="X30" s="490">
        <v>4.9017613883593171E-3</v>
      </c>
      <c r="Y30" s="490">
        <v>4.9017613883593171E-3</v>
      </c>
      <c r="Z30" s="490">
        <v>0</v>
      </c>
      <c r="AA30" s="490">
        <v>0</v>
      </c>
      <c r="AB30" s="490">
        <v>0</v>
      </c>
      <c r="AC30" s="490">
        <v>0</v>
      </c>
      <c r="AD30" s="490">
        <v>0</v>
      </c>
      <c r="AE30" s="490">
        <v>0</v>
      </c>
      <c r="AF30" s="490">
        <v>0</v>
      </c>
      <c r="AG30" s="491">
        <v>0</v>
      </c>
      <c r="AH30" s="491">
        <v>0</v>
      </c>
      <c r="AI30" s="491">
        <v>0</v>
      </c>
      <c r="AJ30" s="491">
        <v>0</v>
      </c>
      <c r="AK30" s="491">
        <v>0</v>
      </c>
      <c r="AL30" s="491">
        <v>0</v>
      </c>
      <c r="AM30" s="491">
        <v>0</v>
      </c>
      <c r="AN30" s="491">
        <v>0</v>
      </c>
      <c r="AO30" s="491">
        <v>0</v>
      </c>
      <c r="AP30" s="491">
        <v>0</v>
      </c>
      <c r="AQ30" s="491">
        <v>0</v>
      </c>
      <c r="AR30" s="491">
        <v>0</v>
      </c>
      <c r="AS30" s="491">
        <v>0</v>
      </c>
      <c r="AT30" s="491">
        <v>0</v>
      </c>
      <c r="AU30" s="491">
        <v>0</v>
      </c>
      <c r="AV30" s="491">
        <v>0</v>
      </c>
      <c r="AW30" s="491">
        <v>0</v>
      </c>
      <c r="AX30" s="491">
        <v>0</v>
      </c>
      <c r="AY30" s="491">
        <v>0</v>
      </c>
      <c r="AZ30" s="492">
        <v>0</v>
      </c>
    </row>
    <row r="31" spans="1:52" s="470" customFormat="1">
      <c r="A31" s="493">
        <f>'[4]Allocation Methodology'!A27</f>
        <v>23</v>
      </c>
      <c r="B31" s="514" t="str">
        <f>'[4]Allocation Methodology'!B27</f>
        <v>peaksaver®</v>
      </c>
      <c r="C31" s="494" t="str">
        <f>'[4]Allocation Methodology'!C27</f>
        <v>Consumer, Business</v>
      </c>
      <c r="D31" s="494" t="s">
        <v>58</v>
      </c>
      <c r="E31" s="494">
        <f>'[4]Allocation Methodology'!D27</f>
        <v>2008</v>
      </c>
      <c r="F31" s="495" t="str">
        <f>'[4]Allocation Methodology'!E27</f>
        <v>Final</v>
      </c>
      <c r="G31" s="472" t="b">
        <v>0</v>
      </c>
      <c r="H31" s="496">
        <v>0</v>
      </c>
      <c r="I31" s="497">
        <v>0</v>
      </c>
      <c r="J31" s="497">
        <v>0</v>
      </c>
      <c r="K31" s="497">
        <v>0</v>
      </c>
      <c r="L31" s="497">
        <v>0</v>
      </c>
      <c r="M31" s="497">
        <v>0</v>
      </c>
      <c r="N31" s="497">
        <v>0</v>
      </c>
      <c r="O31" s="497">
        <v>0</v>
      </c>
      <c r="P31" s="497">
        <v>0</v>
      </c>
      <c r="Q31" s="497">
        <v>0</v>
      </c>
      <c r="R31" s="497">
        <v>0</v>
      </c>
      <c r="S31" s="497">
        <v>0</v>
      </c>
      <c r="T31" s="497">
        <v>0</v>
      </c>
      <c r="U31" s="497">
        <v>0</v>
      </c>
      <c r="V31" s="497">
        <v>0</v>
      </c>
      <c r="W31" s="497">
        <v>0</v>
      </c>
      <c r="X31" s="497">
        <v>0</v>
      </c>
      <c r="Y31" s="497">
        <v>0</v>
      </c>
      <c r="Z31" s="497">
        <v>0</v>
      </c>
      <c r="AA31" s="497">
        <v>0</v>
      </c>
      <c r="AB31" s="497">
        <v>0</v>
      </c>
      <c r="AC31" s="497">
        <v>0</v>
      </c>
      <c r="AD31" s="497">
        <v>0</v>
      </c>
      <c r="AE31" s="497">
        <v>0</v>
      </c>
      <c r="AF31" s="497">
        <v>0</v>
      </c>
      <c r="AG31" s="498">
        <v>0</v>
      </c>
      <c r="AH31" s="498">
        <v>0</v>
      </c>
      <c r="AI31" s="498">
        <v>0</v>
      </c>
      <c r="AJ31" s="498">
        <v>0</v>
      </c>
      <c r="AK31" s="498">
        <v>0</v>
      </c>
      <c r="AL31" s="498">
        <v>0</v>
      </c>
      <c r="AM31" s="498">
        <v>0</v>
      </c>
      <c r="AN31" s="498">
        <v>0</v>
      </c>
      <c r="AO31" s="498">
        <v>0</v>
      </c>
      <c r="AP31" s="498">
        <v>0</v>
      </c>
      <c r="AQ31" s="498">
        <v>0</v>
      </c>
      <c r="AR31" s="498">
        <v>0</v>
      </c>
      <c r="AS31" s="498">
        <v>0</v>
      </c>
      <c r="AT31" s="498">
        <v>0</v>
      </c>
      <c r="AU31" s="498">
        <v>0</v>
      </c>
      <c r="AV31" s="498">
        <v>0</v>
      </c>
      <c r="AW31" s="498">
        <v>0</v>
      </c>
      <c r="AX31" s="498">
        <v>0</v>
      </c>
      <c r="AY31" s="498">
        <v>0</v>
      </c>
      <c r="AZ31" s="499">
        <v>0</v>
      </c>
    </row>
    <row r="32" spans="1:52" s="470" customFormat="1">
      <c r="A32" s="486">
        <f>'[4]Allocation Methodology'!A28</f>
        <v>24</v>
      </c>
      <c r="B32" s="487" t="str">
        <f>'[4]Allocation Methodology'!B28</f>
        <v>Summer Sweepstakes</v>
      </c>
      <c r="C32" s="487" t="str">
        <f>'[4]Allocation Methodology'!C28</f>
        <v>Consumer</v>
      </c>
      <c r="D32" s="487" t="s">
        <v>17</v>
      </c>
      <c r="E32" s="487">
        <f>'[4]Allocation Methodology'!D28</f>
        <v>2008</v>
      </c>
      <c r="F32" s="488" t="str">
        <f>'[4]Allocation Methodology'!E28</f>
        <v>Final</v>
      </c>
      <c r="G32" s="472" t="b">
        <v>0</v>
      </c>
      <c r="H32" s="489">
        <v>0</v>
      </c>
      <c r="I32" s="490">
        <v>0</v>
      </c>
      <c r="J32" s="490">
        <v>6.6546992181266945E-2</v>
      </c>
      <c r="K32" s="490">
        <v>3.8161664120042189E-2</v>
      </c>
      <c r="L32" s="490">
        <v>3.8161664120042189E-2</v>
      </c>
      <c r="M32" s="490">
        <v>3.8161664120042189E-2</v>
      </c>
      <c r="N32" s="490">
        <v>3.8161664120042189E-2</v>
      </c>
      <c r="O32" s="490">
        <v>3.8161664120042189E-2</v>
      </c>
      <c r="P32" s="490">
        <v>3.8161664120042189E-2</v>
      </c>
      <c r="Q32" s="490">
        <v>3.8161664120042189E-2</v>
      </c>
      <c r="R32" s="490">
        <v>3.6833533179924688E-2</v>
      </c>
      <c r="S32" s="490">
        <v>3.6833533179924688E-2</v>
      </c>
      <c r="T32" s="490">
        <v>3.6443636323965113E-2</v>
      </c>
      <c r="U32" s="490">
        <v>3.6443636323965113E-2</v>
      </c>
      <c r="V32" s="490">
        <v>3.6443636323965113E-2</v>
      </c>
      <c r="W32" s="490">
        <v>3.5980238530188807E-2</v>
      </c>
      <c r="X32" s="490">
        <v>3.580621443590911E-2</v>
      </c>
      <c r="Y32" s="490">
        <v>3.4039082115023371E-2</v>
      </c>
      <c r="Z32" s="490">
        <v>3.4039082115023371E-2</v>
      </c>
      <c r="AA32" s="490">
        <v>3.4039082115023371E-2</v>
      </c>
      <c r="AB32" s="490">
        <v>3.4039082115023371E-2</v>
      </c>
      <c r="AC32" s="490">
        <v>3.4039082115023371E-2</v>
      </c>
      <c r="AD32" s="490">
        <v>0</v>
      </c>
      <c r="AE32" s="490">
        <v>0</v>
      </c>
      <c r="AF32" s="490">
        <v>0</v>
      </c>
      <c r="AG32" s="491">
        <v>0</v>
      </c>
      <c r="AH32" s="491">
        <v>0</v>
      </c>
      <c r="AI32" s="491">
        <v>0</v>
      </c>
      <c r="AJ32" s="491">
        <v>0</v>
      </c>
      <c r="AK32" s="491">
        <v>0</v>
      </c>
      <c r="AL32" s="491">
        <v>0</v>
      </c>
      <c r="AM32" s="491">
        <v>0</v>
      </c>
      <c r="AN32" s="491">
        <v>0</v>
      </c>
      <c r="AO32" s="491">
        <v>0</v>
      </c>
      <c r="AP32" s="491">
        <v>0</v>
      </c>
      <c r="AQ32" s="491">
        <v>0</v>
      </c>
      <c r="AR32" s="491">
        <v>0</v>
      </c>
      <c r="AS32" s="491">
        <v>0</v>
      </c>
      <c r="AT32" s="491">
        <v>0</v>
      </c>
      <c r="AU32" s="491">
        <v>0</v>
      </c>
      <c r="AV32" s="491">
        <v>0</v>
      </c>
      <c r="AW32" s="491">
        <v>0</v>
      </c>
      <c r="AX32" s="491">
        <v>0</v>
      </c>
      <c r="AY32" s="491">
        <v>0</v>
      </c>
      <c r="AZ32" s="492">
        <v>0</v>
      </c>
    </row>
    <row r="33" spans="1:52" s="470" customFormat="1">
      <c r="A33" s="493">
        <f>'[4]Allocation Methodology'!A29</f>
        <v>25</v>
      </c>
      <c r="B33" s="494" t="str">
        <f>'[4]Allocation Methodology'!B29</f>
        <v>Electricity Retrofit Incentive</v>
      </c>
      <c r="C33" s="494" t="str">
        <f>'[4]Allocation Methodology'!C29</f>
        <v>Consumer, Business</v>
      </c>
      <c r="D33" s="494" t="s">
        <v>480</v>
      </c>
      <c r="E33" s="494">
        <f>'[4]Allocation Methodology'!D29</f>
        <v>2008</v>
      </c>
      <c r="F33" s="495" t="str">
        <f>'[4]Allocation Methodology'!E29</f>
        <v>Final</v>
      </c>
      <c r="G33" s="472" t="b">
        <v>0</v>
      </c>
      <c r="H33" s="496">
        <v>0</v>
      </c>
      <c r="I33" s="497">
        <v>0</v>
      </c>
      <c r="J33" s="497">
        <v>0.17699903062552166</v>
      </c>
      <c r="K33" s="497">
        <v>0.17700302476915533</v>
      </c>
      <c r="L33" s="497">
        <v>0.17700302476915533</v>
      </c>
      <c r="M33" s="497">
        <v>0.17700302476915533</v>
      </c>
      <c r="N33" s="497">
        <v>0.17700302476915533</v>
      </c>
      <c r="O33" s="497">
        <v>0.17700302476915533</v>
      </c>
      <c r="P33" s="497">
        <v>0.17700302476915533</v>
      </c>
      <c r="Q33" s="497">
        <v>0.17700302476915533</v>
      </c>
      <c r="R33" s="497">
        <v>0.17436836293101649</v>
      </c>
      <c r="S33" s="497">
        <v>0.17436836293101649</v>
      </c>
      <c r="T33" s="497">
        <v>0.17436836293101649</v>
      </c>
      <c r="U33" s="497">
        <v>0.17436836293101649</v>
      </c>
      <c r="V33" s="497">
        <v>0.17436836293101649</v>
      </c>
      <c r="W33" s="497">
        <v>0.17436836293101649</v>
      </c>
      <c r="X33" s="497">
        <v>0.17436836293101649</v>
      </c>
      <c r="Y33" s="497">
        <v>0.16913731204308596</v>
      </c>
      <c r="Z33" s="497">
        <v>0</v>
      </c>
      <c r="AA33" s="497">
        <v>0</v>
      </c>
      <c r="AB33" s="497">
        <v>0</v>
      </c>
      <c r="AC33" s="497">
        <v>0</v>
      </c>
      <c r="AD33" s="497">
        <v>0</v>
      </c>
      <c r="AE33" s="497">
        <v>0</v>
      </c>
      <c r="AF33" s="497">
        <v>0</v>
      </c>
      <c r="AG33" s="498">
        <v>0</v>
      </c>
      <c r="AH33" s="498">
        <v>0</v>
      </c>
      <c r="AI33" s="498">
        <v>0</v>
      </c>
      <c r="AJ33" s="498">
        <v>0</v>
      </c>
      <c r="AK33" s="498">
        <v>0</v>
      </c>
      <c r="AL33" s="498">
        <v>0</v>
      </c>
      <c r="AM33" s="498">
        <v>0</v>
      </c>
      <c r="AN33" s="498">
        <v>0</v>
      </c>
      <c r="AO33" s="498">
        <v>0</v>
      </c>
      <c r="AP33" s="498">
        <v>0</v>
      </c>
      <c r="AQ33" s="498">
        <v>0</v>
      </c>
      <c r="AR33" s="498">
        <v>0</v>
      </c>
      <c r="AS33" s="498">
        <v>0</v>
      </c>
      <c r="AT33" s="498">
        <v>0</v>
      </c>
      <c r="AU33" s="498">
        <v>0</v>
      </c>
      <c r="AV33" s="498">
        <v>0</v>
      </c>
      <c r="AW33" s="498">
        <v>0</v>
      </c>
      <c r="AX33" s="498">
        <v>0</v>
      </c>
      <c r="AY33" s="498">
        <v>0</v>
      </c>
      <c r="AZ33" s="499">
        <v>0</v>
      </c>
    </row>
    <row r="34" spans="1:52" s="470" customFormat="1">
      <c r="A34" s="486">
        <f>'[4]Allocation Methodology'!A30</f>
        <v>26</v>
      </c>
      <c r="B34" s="487" t="str">
        <f>'[4]Allocation Methodology'!B30</f>
        <v>Toronto Comprehensive</v>
      </c>
      <c r="C34" s="487" t="str">
        <f>'[4]Allocation Methodology'!C30</f>
        <v>Consumer, Consumer Low-Income, Business</v>
      </c>
      <c r="D34" s="487" t="s">
        <v>58</v>
      </c>
      <c r="E34" s="487">
        <f>'[4]Allocation Methodology'!D30</f>
        <v>2008</v>
      </c>
      <c r="F34" s="488" t="str">
        <f>'[4]Allocation Methodology'!E30</f>
        <v>Final</v>
      </c>
      <c r="G34" s="472" t="b">
        <v>0</v>
      </c>
      <c r="H34" s="489">
        <v>0</v>
      </c>
      <c r="I34" s="490">
        <v>0</v>
      </c>
      <c r="J34" s="490">
        <v>0</v>
      </c>
      <c r="K34" s="490">
        <v>0</v>
      </c>
      <c r="L34" s="490">
        <v>0</v>
      </c>
      <c r="M34" s="490">
        <v>0</v>
      </c>
      <c r="N34" s="490">
        <v>0</v>
      </c>
      <c r="O34" s="490">
        <v>0</v>
      </c>
      <c r="P34" s="490">
        <v>0</v>
      </c>
      <c r="Q34" s="490">
        <v>0</v>
      </c>
      <c r="R34" s="490">
        <v>0</v>
      </c>
      <c r="S34" s="490">
        <v>0</v>
      </c>
      <c r="T34" s="490">
        <v>0</v>
      </c>
      <c r="U34" s="490">
        <v>0</v>
      </c>
      <c r="V34" s="490">
        <v>0</v>
      </c>
      <c r="W34" s="490">
        <v>0</v>
      </c>
      <c r="X34" s="490">
        <v>0</v>
      </c>
      <c r="Y34" s="490">
        <v>0</v>
      </c>
      <c r="Z34" s="490">
        <v>0</v>
      </c>
      <c r="AA34" s="490">
        <v>0</v>
      </c>
      <c r="AB34" s="490">
        <v>0</v>
      </c>
      <c r="AC34" s="490">
        <v>0</v>
      </c>
      <c r="AD34" s="490">
        <v>0</v>
      </c>
      <c r="AE34" s="490">
        <v>0</v>
      </c>
      <c r="AF34" s="490">
        <v>0</v>
      </c>
      <c r="AG34" s="491">
        <v>0</v>
      </c>
      <c r="AH34" s="491">
        <v>0</v>
      </c>
      <c r="AI34" s="491">
        <v>0</v>
      </c>
      <c r="AJ34" s="491">
        <v>0</v>
      </c>
      <c r="AK34" s="491">
        <v>0</v>
      </c>
      <c r="AL34" s="491">
        <v>0</v>
      </c>
      <c r="AM34" s="491">
        <v>0</v>
      </c>
      <c r="AN34" s="491">
        <v>0</v>
      </c>
      <c r="AO34" s="491">
        <v>0</v>
      </c>
      <c r="AP34" s="491">
        <v>0</v>
      </c>
      <c r="AQ34" s="491">
        <v>0</v>
      </c>
      <c r="AR34" s="491">
        <v>0</v>
      </c>
      <c r="AS34" s="491">
        <v>0</v>
      </c>
      <c r="AT34" s="491">
        <v>0</v>
      </c>
      <c r="AU34" s="491">
        <v>0</v>
      </c>
      <c r="AV34" s="491">
        <v>0</v>
      </c>
      <c r="AW34" s="491">
        <v>0</v>
      </c>
      <c r="AX34" s="491">
        <v>0</v>
      </c>
      <c r="AY34" s="491">
        <v>0</v>
      </c>
      <c r="AZ34" s="492">
        <v>0</v>
      </c>
    </row>
    <row r="35" spans="1:52" s="470" customFormat="1">
      <c r="A35" s="493">
        <f>'[4]Allocation Methodology'!A31</f>
        <v>27</v>
      </c>
      <c r="B35" s="494" t="str">
        <f>'[4]Allocation Methodology'!B31</f>
        <v>High Performance New Construction</v>
      </c>
      <c r="C35" s="494" t="str">
        <f>'[4]Allocation Methodology'!C31</f>
        <v>Business</v>
      </c>
      <c r="D35" s="494" t="s">
        <v>480</v>
      </c>
      <c r="E35" s="494">
        <f>'[4]Allocation Methodology'!D31</f>
        <v>2008</v>
      </c>
      <c r="F35" s="495" t="str">
        <f>'[4]Allocation Methodology'!E31</f>
        <v>Final</v>
      </c>
      <c r="G35" s="472" t="b">
        <v>0</v>
      </c>
      <c r="H35" s="496">
        <v>0</v>
      </c>
      <c r="I35" s="497">
        <v>0</v>
      </c>
      <c r="J35" s="497">
        <v>2.2487549480987089E-3</v>
      </c>
      <c r="K35" s="497">
        <v>2.2487549480987089E-3</v>
      </c>
      <c r="L35" s="497">
        <v>2.2487549480987089E-3</v>
      </c>
      <c r="M35" s="497">
        <v>2.2487549480987089E-3</v>
      </c>
      <c r="N35" s="497">
        <v>2.2487549480987089E-3</v>
      </c>
      <c r="O35" s="497">
        <v>2.2487549480987089E-3</v>
      </c>
      <c r="P35" s="497">
        <v>2.2487549480987089E-3</v>
      </c>
      <c r="Q35" s="497">
        <v>2.2487549480987089E-3</v>
      </c>
      <c r="R35" s="497">
        <v>2.2487549480987089E-3</v>
      </c>
      <c r="S35" s="497">
        <v>2.2487549480987089E-3</v>
      </c>
      <c r="T35" s="497">
        <v>2.2487549480987089E-3</v>
      </c>
      <c r="U35" s="497">
        <v>2.2487549480987089E-3</v>
      </c>
      <c r="V35" s="497">
        <v>2.2487549480987089E-3</v>
      </c>
      <c r="W35" s="497">
        <v>2.2487549480987089E-3</v>
      </c>
      <c r="X35" s="497">
        <v>0</v>
      </c>
      <c r="Y35" s="497">
        <v>0</v>
      </c>
      <c r="Z35" s="497">
        <v>0</v>
      </c>
      <c r="AA35" s="497">
        <v>0</v>
      </c>
      <c r="AB35" s="497">
        <v>0</v>
      </c>
      <c r="AC35" s="497">
        <v>0</v>
      </c>
      <c r="AD35" s="497">
        <v>0</v>
      </c>
      <c r="AE35" s="497">
        <v>0</v>
      </c>
      <c r="AF35" s="497">
        <v>0</v>
      </c>
      <c r="AG35" s="498">
        <v>0</v>
      </c>
      <c r="AH35" s="498">
        <v>0</v>
      </c>
      <c r="AI35" s="498">
        <v>0</v>
      </c>
      <c r="AJ35" s="498">
        <v>0</v>
      </c>
      <c r="AK35" s="498">
        <v>0</v>
      </c>
      <c r="AL35" s="498">
        <v>0</v>
      </c>
      <c r="AM35" s="498">
        <v>0</v>
      </c>
      <c r="AN35" s="498">
        <v>0</v>
      </c>
      <c r="AO35" s="498">
        <v>0</v>
      </c>
      <c r="AP35" s="498">
        <v>0</v>
      </c>
      <c r="AQ35" s="498">
        <v>0</v>
      </c>
      <c r="AR35" s="498">
        <v>0</v>
      </c>
      <c r="AS35" s="498">
        <v>0</v>
      </c>
      <c r="AT35" s="498">
        <v>0</v>
      </c>
      <c r="AU35" s="498">
        <v>0</v>
      </c>
      <c r="AV35" s="498">
        <v>0</v>
      </c>
      <c r="AW35" s="498">
        <v>0</v>
      </c>
      <c r="AX35" s="498">
        <v>0</v>
      </c>
      <c r="AY35" s="498">
        <v>0</v>
      </c>
      <c r="AZ35" s="499">
        <v>0</v>
      </c>
    </row>
    <row r="36" spans="1:52" s="470" customFormat="1">
      <c r="A36" s="486">
        <f>'[4]Allocation Methodology'!A32</f>
        <v>28</v>
      </c>
      <c r="B36" s="487" t="str">
        <f>'[4]Allocation Methodology'!B32</f>
        <v>Power Savings Blitz</v>
      </c>
      <c r="C36" s="487" t="str">
        <f>'[4]Allocation Methodology'!C32</f>
        <v>Business</v>
      </c>
      <c r="D36" s="487" t="s">
        <v>486</v>
      </c>
      <c r="E36" s="487">
        <f>'[4]Allocation Methodology'!D32</f>
        <v>2008</v>
      </c>
      <c r="F36" s="488" t="str">
        <f>'[4]Allocation Methodology'!E32</f>
        <v>Final</v>
      </c>
      <c r="G36" s="472" t="b">
        <v>0</v>
      </c>
      <c r="H36" s="489">
        <v>0</v>
      </c>
      <c r="I36" s="490">
        <v>0</v>
      </c>
      <c r="J36" s="490">
        <v>0</v>
      </c>
      <c r="K36" s="490">
        <v>0</v>
      </c>
      <c r="L36" s="490">
        <v>0</v>
      </c>
      <c r="M36" s="490">
        <v>0</v>
      </c>
      <c r="N36" s="490">
        <v>0</v>
      </c>
      <c r="O36" s="490">
        <v>0</v>
      </c>
      <c r="P36" s="490">
        <v>0</v>
      </c>
      <c r="Q36" s="490">
        <v>0</v>
      </c>
      <c r="R36" s="490">
        <v>0</v>
      </c>
      <c r="S36" s="490">
        <v>0</v>
      </c>
      <c r="T36" s="490">
        <v>0</v>
      </c>
      <c r="U36" s="490">
        <v>0</v>
      </c>
      <c r="V36" s="490">
        <v>0</v>
      </c>
      <c r="W36" s="490">
        <v>0</v>
      </c>
      <c r="X36" s="490">
        <v>0</v>
      </c>
      <c r="Y36" s="490">
        <v>0</v>
      </c>
      <c r="Z36" s="490">
        <v>0</v>
      </c>
      <c r="AA36" s="490">
        <v>0</v>
      </c>
      <c r="AB36" s="490">
        <v>0</v>
      </c>
      <c r="AC36" s="490">
        <v>0</v>
      </c>
      <c r="AD36" s="490">
        <v>0</v>
      </c>
      <c r="AE36" s="490">
        <v>0</v>
      </c>
      <c r="AF36" s="490">
        <v>0</v>
      </c>
      <c r="AG36" s="491">
        <v>0</v>
      </c>
      <c r="AH36" s="491">
        <v>0</v>
      </c>
      <c r="AI36" s="491">
        <v>0</v>
      </c>
      <c r="AJ36" s="491">
        <v>0</v>
      </c>
      <c r="AK36" s="491">
        <v>0</v>
      </c>
      <c r="AL36" s="491">
        <v>0</v>
      </c>
      <c r="AM36" s="491">
        <v>0</v>
      </c>
      <c r="AN36" s="491">
        <v>0</v>
      </c>
      <c r="AO36" s="491">
        <v>0</v>
      </c>
      <c r="AP36" s="491">
        <v>0</v>
      </c>
      <c r="AQ36" s="491">
        <v>0</v>
      </c>
      <c r="AR36" s="491">
        <v>0</v>
      </c>
      <c r="AS36" s="491">
        <v>0</v>
      </c>
      <c r="AT36" s="491">
        <v>0</v>
      </c>
      <c r="AU36" s="491">
        <v>0</v>
      </c>
      <c r="AV36" s="491">
        <v>0</v>
      </c>
      <c r="AW36" s="491">
        <v>0</v>
      </c>
      <c r="AX36" s="491">
        <v>0</v>
      </c>
      <c r="AY36" s="491">
        <v>0</v>
      </c>
      <c r="AZ36" s="492">
        <v>0</v>
      </c>
    </row>
    <row r="37" spans="1:52" s="470" customFormat="1">
      <c r="A37" s="493">
        <f>'[4]Allocation Methodology'!A33</f>
        <v>29</v>
      </c>
      <c r="B37" s="494" t="str">
        <f>'[4]Allocation Methodology'!B33</f>
        <v>Demand Response 1</v>
      </c>
      <c r="C37" s="494" t="str">
        <f>'[4]Allocation Methodology'!C33</f>
        <v>Business, Industrial</v>
      </c>
      <c r="D37" s="494" t="s">
        <v>480</v>
      </c>
      <c r="E37" s="494">
        <f>'[4]Allocation Methodology'!D33</f>
        <v>2008</v>
      </c>
      <c r="F37" s="495" t="str">
        <f>'[4]Allocation Methodology'!E33</f>
        <v>Final</v>
      </c>
      <c r="G37" s="472" t="b">
        <v>0</v>
      </c>
      <c r="H37" s="496">
        <v>0</v>
      </c>
      <c r="I37" s="497">
        <v>0</v>
      </c>
      <c r="J37" s="497">
        <v>2.9071771689317281</v>
      </c>
      <c r="K37" s="497">
        <v>0</v>
      </c>
      <c r="L37" s="497">
        <v>0</v>
      </c>
      <c r="M37" s="497">
        <v>0</v>
      </c>
      <c r="N37" s="497">
        <v>0</v>
      </c>
      <c r="O37" s="497">
        <v>0</v>
      </c>
      <c r="P37" s="497">
        <v>0</v>
      </c>
      <c r="Q37" s="497">
        <v>0</v>
      </c>
      <c r="R37" s="497">
        <v>0</v>
      </c>
      <c r="S37" s="497">
        <v>0</v>
      </c>
      <c r="T37" s="497">
        <v>0</v>
      </c>
      <c r="U37" s="497">
        <v>0</v>
      </c>
      <c r="V37" s="497">
        <v>0</v>
      </c>
      <c r="W37" s="497">
        <v>0</v>
      </c>
      <c r="X37" s="497">
        <v>0</v>
      </c>
      <c r="Y37" s="497">
        <v>0</v>
      </c>
      <c r="Z37" s="497">
        <v>0</v>
      </c>
      <c r="AA37" s="497">
        <v>0</v>
      </c>
      <c r="AB37" s="497">
        <v>0</v>
      </c>
      <c r="AC37" s="497">
        <v>0</v>
      </c>
      <c r="AD37" s="497">
        <v>0</v>
      </c>
      <c r="AE37" s="497">
        <v>0</v>
      </c>
      <c r="AF37" s="497">
        <v>0</v>
      </c>
      <c r="AG37" s="498">
        <v>0</v>
      </c>
      <c r="AH37" s="498">
        <v>0</v>
      </c>
      <c r="AI37" s="498">
        <v>0</v>
      </c>
      <c r="AJ37" s="498">
        <v>0</v>
      </c>
      <c r="AK37" s="498">
        <v>0</v>
      </c>
      <c r="AL37" s="498">
        <v>0</v>
      </c>
      <c r="AM37" s="498">
        <v>0</v>
      </c>
      <c r="AN37" s="498">
        <v>0</v>
      </c>
      <c r="AO37" s="498">
        <v>0</v>
      </c>
      <c r="AP37" s="498">
        <v>0</v>
      </c>
      <c r="AQ37" s="498">
        <v>0</v>
      </c>
      <c r="AR37" s="498">
        <v>0</v>
      </c>
      <c r="AS37" s="498">
        <v>0</v>
      </c>
      <c r="AT37" s="498">
        <v>0</v>
      </c>
      <c r="AU37" s="498">
        <v>0</v>
      </c>
      <c r="AV37" s="498">
        <v>0</v>
      </c>
      <c r="AW37" s="498">
        <v>0</v>
      </c>
      <c r="AX37" s="498">
        <v>0</v>
      </c>
      <c r="AY37" s="498">
        <v>0</v>
      </c>
      <c r="AZ37" s="499">
        <v>0</v>
      </c>
    </row>
    <row r="38" spans="1:52" s="470" customFormat="1">
      <c r="A38" s="486">
        <f>'[4]Allocation Methodology'!A34</f>
        <v>30</v>
      </c>
      <c r="B38" s="487" t="str">
        <f>'[4]Allocation Methodology'!B34</f>
        <v>Demand Response 3</v>
      </c>
      <c r="C38" s="487" t="str">
        <f>'[4]Allocation Methodology'!C34</f>
        <v>Business, Industrial</v>
      </c>
      <c r="D38" s="487" t="s">
        <v>480</v>
      </c>
      <c r="E38" s="487">
        <f>'[4]Allocation Methodology'!D34</f>
        <v>2008</v>
      </c>
      <c r="F38" s="488" t="str">
        <f>'[4]Allocation Methodology'!E34</f>
        <v>Final</v>
      </c>
      <c r="G38" s="472" t="b">
        <v>0</v>
      </c>
      <c r="H38" s="489">
        <v>0</v>
      </c>
      <c r="I38" s="490">
        <v>0</v>
      </c>
      <c r="J38" s="490">
        <v>0.56218873702467731</v>
      </c>
      <c r="K38" s="490">
        <v>0</v>
      </c>
      <c r="L38" s="490">
        <v>0</v>
      </c>
      <c r="M38" s="490">
        <v>0</v>
      </c>
      <c r="N38" s="490">
        <v>0</v>
      </c>
      <c r="O38" s="490">
        <v>0</v>
      </c>
      <c r="P38" s="490">
        <v>0</v>
      </c>
      <c r="Q38" s="490">
        <v>0</v>
      </c>
      <c r="R38" s="490">
        <v>0</v>
      </c>
      <c r="S38" s="490">
        <v>0</v>
      </c>
      <c r="T38" s="490">
        <v>0</v>
      </c>
      <c r="U38" s="490">
        <v>0</v>
      </c>
      <c r="V38" s="490">
        <v>0</v>
      </c>
      <c r="W38" s="490">
        <v>0</v>
      </c>
      <c r="X38" s="490">
        <v>0</v>
      </c>
      <c r="Y38" s="490">
        <v>0</v>
      </c>
      <c r="Z38" s="490">
        <v>0</v>
      </c>
      <c r="AA38" s="490">
        <v>0</v>
      </c>
      <c r="AB38" s="490">
        <v>0</v>
      </c>
      <c r="AC38" s="490">
        <v>0</v>
      </c>
      <c r="AD38" s="490">
        <v>0</v>
      </c>
      <c r="AE38" s="490">
        <v>0</v>
      </c>
      <c r="AF38" s="490">
        <v>0</v>
      </c>
      <c r="AG38" s="491">
        <v>0</v>
      </c>
      <c r="AH38" s="491">
        <v>0</v>
      </c>
      <c r="AI38" s="491">
        <v>0</v>
      </c>
      <c r="AJ38" s="491">
        <v>0</v>
      </c>
      <c r="AK38" s="491">
        <v>0</v>
      </c>
      <c r="AL38" s="491">
        <v>0</v>
      </c>
      <c r="AM38" s="491">
        <v>0</v>
      </c>
      <c r="AN38" s="491">
        <v>0</v>
      </c>
      <c r="AO38" s="491">
        <v>0</v>
      </c>
      <c r="AP38" s="491">
        <v>0</v>
      </c>
      <c r="AQ38" s="491">
        <v>0</v>
      </c>
      <c r="AR38" s="491">
        <v>0</v>
      </c>
      <c r="AS38" s="491">
        <v>0</v>
      </c>
      <c r="AT38" s="491">
        <v>0</v>
      </c>
      <c r="AU38" s="491">
        <v>0</v>
      </c>
      <c r="AV38" s="491">
        <v>0</v>
      </c>
      <c r="AW38" s="491">
        <v>0</v>
      </c>
      <c r="AX38" s="491">
        <v>0</v>
      </c>
      <c r="AY38" s="491">
        <v>0</v>
      </c>
      <c r="AZ38" s="492">
        <v>0</v>
      </c>
    </row>
    <row r="39" spans="1:52" s="470" customFormat="1">
      <c r="A39" s="493">
        <f>'[4]Allocation Methodology'!A35</f>
        <v>31</v>
      </c>
      <c r="B39" s="494" t="str">
        <f>'[4]Allocation Methodology'!B35</f>
        <v>Loblaw &amp; York Region Demand Response</v>
      </c>
      <c r="C39" s="494" t="str">
        <f>'[4]Allocation Methodology'!C35</f>
        <v>Business, Industrial</v>
      </c>
      <c r="D39" s="494" t="s">
        <v>480</v>
      </c>
      <c r="E39" s="494">
        <f>'[4]Allocation Methodology'!D35</f>
        <v>2008</v>
      </c>
      <c r="F39" s="495" t="str">
        <f>'[4]Allocation Methodology'!E35</f>
        <v>Final</v>
      </c>
      <c r="G39" s="472" t="b">
        <v>0</v>
      </c>
      <c r="H39" s="496">
        <v>0</v>
      </c>
      <c r="I39" s="497">
        <v>0</v>
      </c>
      <c r="J39" s="497">
        <v>0.19319450598224494</v>
      </c>
      <c r="K39" s="497">
        <v>0</v>
      </c>
      <c r="L39" s="497">
        <v>0</v>
      </c>
      <c r="M39" s="497">
        <v>0</v>
      </c>
      <c r="N39" s="497">
        <v>0</v>
      </c>
      <c r="O39" s="497">
        <v>0</v>
      </c>
      <c r="P39" s="497">
        <v>0</v>
      </c>
      <c r="Q39" s="497">
        <v>0</v>
      </c>
      <c r="R39" s="497">
        <v>0</v>
      </c>
      <c r="S39" s="497">
        <v>0</v>
      </c>
      <c r="T39" s="497">
        <v>0</v>
      </c>
      <c r="U39" s="497">
        <v>0</v>
      </c>
      <c r="V39" s="497">
        <v>0</v>
      </c>
      <c r="W39" s="497">
        <v>0</v>
      </c>
      <c r="X39" s="497">
        <v>0</v>
      </c>
      <c r="Y39" s="497">
        <v>0</v>
      </c>
      <c r="Z39" s="497">
        <v>0</v>
      </c>
      <c r="AA39" s="497">
        <v>0</v>
      </c>
      <c r="AB39" s="497">
        <v>0</v>
      </c>
      <c r="AC39" s="497">
        <v>0</v>
      </c>
      <c r="AD39" s="497">
        <v>0</v>
      </c>
      <c r="AE39" s="497">
        <v>0</v>
      </c>
      <c r="AF39" s="497">
        <v>0</v>
      </c>
      <c r="AG39" s="498">
        <v>0</v>
      </c>
      <c r="AH39" s="498">
        <v>0</v>
      </c>
      <c r="AI39" s="498">
        <v>0</v>
      </c>
      <c r="AJ39" s="498">
        <v>0</v>
      </c>
      <c r="AK39" s="498">
        <v>0</v>
      </c>
      <c r="AL39" s="498">
        <v>0</v>
      </c>
      <c r="AM39" s="498">
        <v>0</v>
      </c>
      <c r="AN39" s="498">
        <v>0</v>
      </c>
      <c r="AO39" s="498">
        <v>0</v>
      </c>
      <c r="AP39" s="498">
        <v>0</v>
      </c>
      <c r="AQ39" s="498">
        <v>0</v>
      </c>
      <c r="AR39" s="498">
        <v>0</v>
      </c>
      <c r="AS39" s="498">
        <v>0</v>
      </c>
      <c r="AT39" s="498">
        <v>0</v>
      </c>
      <c r="AU39" s="498">
        <v>0</v>
      </c>
      <c r="AV39" s="498">
        <v>0</v>
      </c>
      <c r="AW39" s="498">
        <v>0</v>
      </c>
      <c r="AX39" s="498">
        <v>0</v>
      </c>
      <c r="AY39" s="498">
        <v>0</v>
      </c>
      <c r="AZ39" s="499">
        <v>0</v>
      </c>
    </row>
    <row r="40" spans="1:52" s="470" customFormat="1">
      <c r="A40" s="486">
        <f>'[4]Allocation Methodology'!A36</f>
        <v>32</v>
      </c>
      <c r="B40" s="487" t="str">
        <f>'[4]Allocation Methodology'!B36</f>
        <v>Renewable Energy Standard Offer</v>
      </c>
      <c r="C40" s="487" t="str">
        <f>'[4]Allocation Methodology'!C36</f>
        <v>Consumer, Business</v>
      </c>
      <c r="D40" s="487" t="s">
        <v>17</v>
      </c>
      <c r="E40" s="487">
        <f>'[4]Allocation Methodology'!D36</f>
        <v>2008</v>
      </c>
      <c r="F40" s="488" t="str">
        <f>'[4]Allocation Methodology'!E36</f>
        <v>Final</v>
      </c>
      <c r="G40" s="472" t="b">
        <v>0</v>
      </c>
      <c r="H40" s="489">
        <v>0</v>
      </c>
      <c r="I40" s="490">
        <v>0</v>
      </c>
      <c r="J40" s="490">
        <v>1.2230000000000001E-2</v>
      </c>
      <c r="K40" s="490">
        <v>1.2230000000000001E-2</v>
      </c>
      <c r="L40" s="490">
        <v>1.2230000000000001E-2</v>
      </c>
      <c r="M40" s="490">
        <v>1.2230000000000001E-2</v>
      </c>
      <c r="N40" s="490">
        <v>1.2230000000000001E-2</v>
      </c>
      <c r="O40" s="490">
        <v>1.2230000000000001E-2</v>
      </c>
      <c r="P40" s="490">
        <v>1.2230000000000001E-2</v>
      </c>
      <c r="Q40" s="490">
        <v>1.2230000000000001E-2</v>
      </c>
      <c r="R40" s="490">
        <v>1.2230000000000001E-2</v>
      </c>
      <c r="S40" s="490">
        <v>1.2230000000000001E-2</v>
      </c>
      <c r="T40" s="490">
        <v>1.2230000000000001E-2</v>
      </c>
      <c r="U40" s="490">
        <v>1.2230000000000001E-2</v>
      </c>
      <c r="V40" s="490">
        <v>1.2230000000000001E-2</v>
      </c>
      <c r="W40" s="490">
        <v>1.2230000000000001E-2</v>
      </c>
      <c r="X40" s="490">
        <v>1.2230000000000001E-2</v>
      </c>
      <c r="Y40" s="490">
        <v>1.2230000000000001E-2</v>
      </c>
      <c r="Z40" s="490">
        <v>1.2230000000000001E-2</v>
      </c>
      <c r="AA40" s="490">
        <v>1.2230000000000001E-2</v>
      </c>
      <c r="AB40" s="490">
        <v>1.2230000000000001E-2</v>
      </c>
      <c r="AC40" s="490">
        <v>1.2230000000000001E-2</v>
      </c>
      <c r="AD40" s="490">
        <v>0</v>
      </c>
      <c r="AE40" s="490">
        <v>0</v>
      </c>
      <c r="AF40" s="490">
        <v>0</v>
      </c>
      <c r="AG40" s="491">
        <v>0</v>
      </c>
      <c r="AH40" s="491">
        <v>0</v>
      </c>
      <c r="AI40" s="491">
        <v>0</v>
      </c>
      <c r="AJ40" s="491">
        <v>0</v>
      </c>
      <c r="AK40" s="491">
        <v>0</v>
      </c>
      <c r="AL40" s="491">
        <v>0</v>
      </c>
      <c r="AM40" s="491">
        <v>0</v>
      </c>
      <c r="AN40" s="491">
        <v>0</v>
      </c>
      <c r="AO40" s="491">
        <v>0</v>
      </c>
      <c r="AP40" s="491">
        <v>0</v>
      </c>
      <c r="AQ40" s="491">
        <v>0</v>
      </c>
      <c r="AR40" s="491">
        <v>0</v>
      </c>
      <c r="AS40" s="491">
        <v>0</v>
      </c>
      <c r="AT40" s="491">
        <v>0</v>
      </c>
      <c r="AU40" s="491">
        <v>0</v>
      </c>
      <c r="AV40" s="491">
        <v>0</v>
      </c>
      <c r="AW40" s="491">
        <v>0</v>
      </c>
      <c r="AX40" s="491">
        <v>0</v>
      </c>
      <c r="AY40" s="491">
        <v>0</v>
      </c>
      <c r="AZ40" s="492">
        <v>0</v>
      </c>
    </row>
    <row r="41" spans="1:52" s="470" customFormat="1">
      <c r="A41" s="493">
        <f>'[4]Allocation Methodology'!A37</f>
        <v>33</v>
      </c>
      <c r="B41" s="494" t="str">
        <f>'[4]Allocation Methodology'!B37</f>
        <v>Other Customer Based Generation</v>
      </c>
      <c r="C41" s="494" t="str">
        <f>'[4]Allocation Methodology'!C37</f>
        <v>Business</v>
      </c>
      <c r="D41" s="494" t="s">
        <v>17</v>
      </c>
      <c r="E41" s="494">
        <f>'[4]Allocation Methodology'!D37</f>
        <v>2008</v>
      </c>
      <c r="F41" s="495" t="str">
        <f>'[4]Allocation Methodology'!E37</f>
        <v>Final</v>
      </c>
      <c r="G41" s="472" t="b">
        <v>0</v>
      </c>
      <c r="H41" s="496">
        <v>0</v>
      </c>
      <c r="I41" s="497">
        <v>0</v>
      </c>
      <c r="J41" s="497">
        <v>0</v>
      </c>
      <c r="K41" s="497">
        <v>0</v>
      </c>
      <c r="L41" s="497">
        <v>0</v>
      </c>
      <c r="M41" s="497">
        <v>0</v>
      </c>
      <c r="N41" s="497">
        <v>0</v>
      </c>
      <c r="O41" s="497">
        <v>0</v>
      </c>
      <c r="P41" s="497">
        <v>0</v>
      </c>
      <c r="Q41" s="497">
        <v>0</v>
      </c>
      <c r="R41" s="497">
        <v>0</v>
      </c>
      <c r="S41" s="497">
        <v>0</v>
      </c>
      <c r="T41" s="497">
        <v>0</v>
      </c>
      <c r="U41" s="497">
        <v>0</v>
      </c>
      <c r="V41" s="497">
        <v>0</v>
      </c>
      <c r="W41" s="497">
        <v>0</v>
      </c>
      <c r="X41" s="497">
        <v>0</v>
      </c>
      <c r="Y41" s="497">
        <v>0</v>
      </c>
      <c r="Z41" s="497">
        <v>0</v>
      </c>
      <c r="AA41" s="497">
        <v>0</v>
      </c>
      <c r="AB41" s="497">
        <v>0</v>
      </c>
      <c r="AC41" s="497">
        <v>0</v>
      </c>
      <c r="AD41" s="497">
        <v>0</v>
      </c>
      <c r="AE41" s="497">
        <v>0</v>
      </c>
      <c r="AF41" s="497">
        <v>0</v>
      </c>
      <c r="AG41" s="498">
        <v>0</v>
      </c>
      <c r="AH41" s="498">
        <v>0</v>
      </c>
      <c r="AI41" s="498">
        <v>0</v>
      </c>
      <c r="AJ41" s="498">
        <v>0</v>
      </c>
      <c r="AK41" s="498">
        <v>0</v>
      </c>
      <c r="AL41" s="498">
        <v>0</v>
      </c>
      <c r="AM41" s="498">
        <v>0</v>
      </c>
      <c r="AN41" s="498">
        <v>0</v>
      </c>
      <c r="AO41" s="498">
        <v>0</v>
      </c>
      <c r="AP41" s="498">
        <v>0</v>
      </c>
      <c r="AQ41" s="498">
        <v>0</v>
      </c>
      <c r="AR41" s="498">
        <v>0</v>
      </c>
      <c r="AS41" s="498">
        <v>0</v>
      </c>
      <c r="AT41" s="498">
        <v>0</v>
      </c>
      <c r="AU41" s="498">
        <v>0</v>
      </c>
      <c r="AV41" s="498">
        <v>0</v>
      </c>
      <c r="AW41" s="498">
        <v>0</v>
      </c>
      <c r="AX41" s="498">
        <v>0</v>
      </c>
      <c r="AY41" s="498">
        <v>0</v>
      </c>
      <c r="AZ41" s="499">
        <v>0</v>
      </c>
    </row>
    <row r="42" spans="1:52" s="470" customFormat="1">
      <c r="A42" s="515">
        <f>'[4]Allocation Methodology'!A38</f>
        <v>34</v>
      </c>
      <c r="B42" s="516" t="str">
        <f>'[4]Allocation Methodology'!B38</f>
        <v>LDC Custom - Hydro One Networks Inc. - Double Return</v>
      </c>
      <c r="C42" s="516" t="str">
        <f>'[4]Allocation Methodology'!C38</f>
        <v>Business, Industrial</v>
      </c>
      <c r="D42" s="516" t="s">
        <v>58</v>
      </c>
      <c r="E42" s="516">
        <f>'[4]Allocation Methodology'!D38</f>
        <v>2008</v>
      </c>
      <c r="F42" s="517" t="str">
        <f>'[4]Allocation Methodology'!E38</f>
        <v>Final</v>
      </c>
      <c r="G42" s="472" t="b">
        <v>0</v>
      </c>
      <c r="H42" s="518">
        <v>0</v>
      </c>
      <c r="I42" s="519">
        <v>0</v>
      </c>
      <c r="J42" s="519">
        <v>0</v>
      </c>
      <c r="K42" s="519">
        <v>0</v>
      </c>
      <c r="L42" s="519">
        <v>0</v>
      </c>
      <c r="M42" s="519">
        <v>0</v>
      </c>
      <c r="N42" s="519">
        <v>0</v>
      </c>
      <c r="O42" s="519">
        <v>0</v>
      </c>
      <c r="P42" s="519">
        <v>0</v>
      </c>
      <c r="Q42" s="519">
        <v>0</v>
      </c>
      <c r="R42" s="519">
        <v>0</v>
      </c>
      <c r="S42" s="519">
        <v>0</v>
      </c>
      <c r="T42" s="519">
        <v>0</v>
      </c>
      <c r="U42" s="519">
        <v>0</v>
      </c>
      <c r="V42" s="519">
        <v>0</v>
      </c>
      <c r="W42" s="519">
        <v>0</v>
      </c>
      <c r="X42" s="519">
        <v>0</v>
      </c>
      <c r="Y42" s="519">
        <v>0</v>
      </c>
      <c r="Z42" s="519">
        <v>0</v>
      </c>
      <c r="AA42" s="519">
        <v>0</v>
      </c>
      <c r="AB42" s="519">
        <v>0</v>
      </c>
      <c r="AC42" s="519">
        <v>0</v>
      </c>
      <c r="AD42" s="519">
        <v>0</v>
      </c>
      <c r="AE42" s="519">
        <v>0</v>
      </c>
      <c r="AF42" s="519">
        <v>0</v>
      </c>
      <c r="AG42" s="520">
        <v>0</v>
      </c>
      <c r="AH42" s="520">
        <v>0</v>
      </c>
      <c r="AI42" s="520">
        <v>0</v>
      </c>
      <c r="AJ42" s="520">
        <v>0</v>
      </c>
      <c r="AK42" s="520">
        <v>0</v>
      </c>
      <c r="AL42" s="520">
        <v>0</v>
      </c>
      <c r="AM42" s="520">
        <v>0</v>
      </c>
      <c r="AN42" s="520">
        <v>0</v>
      </c>
      <c r="AO42" s="520">
        <v>0</v>
      </c>
      <c r="AP42" s="520">
        <v>0</v>
      </c>
      <c r="AQ42" s="520">
        <v>0</v>
      </c>
      <c r="AR42" s="520">
        <v>0</v>
      </c>
      <c r="AS42" s="520">
        <v>0</v>
      </c>
      <c r="AT42" s="520">
        <v>0</v>
      </c>
      <c r="AU42" s="520">
        <v>0</v>
      </c>
      <c r="AV42" s="520">
        <v>0</v>
      </c>
      <c r="AW42" s="520">
        <v>0</v>
      </c>
      <c r="AX42" s="520">
        <v>0</v>
      </c>
      <c r="AY42" s="520">
        <v>0</v>
      </c>
      <c r="AZ42" s="521">
        <v>0</v>
      </c>
    </row>
    <row r="43" spans="1:52" s="470" customFormat="1">
      <c r="A43" s="479">
        <f>'[4]Allocation Methodology'!A39</f>
        <v>35</v>
      </c>
      <c r="B43" s="480" t="str">
        <f>'[4]Allocation Methodology'!B39</f>
        <v>Great Refrigerator Roundup</v>
      </c>
      <c r="C43" s="480" t="str">
        <f>'[4]Allocation Methodology'!C39</f>
        <v>Consumer</v>
      </c>
      <c r="D43" s="480" t="s">
        <v>17</v>
      </c>
      <c r="E43" s="480">
        <f>'[4]Allocation Methodology'!D39</f>
        <v>2009</v>
      </c>
      <c r="F43" s="481" t="str">
        <f>'[4]Allocation Methodology'!E39</f>
        <v>Final</v>
      </c>
      <c r="G43" s="472" t="b">
        <v>0</v>
      </c>
      <c r="H43" s="482">
        <v>0</v>
      </c>
      <c r="I43" s="483">
        <v>0</v>
      </c>
      <c r="J43" s="483">
        <v>0</v>
      </c>
      <c r="K43" s="483">
        <v>1.7622945066093177E-2</v>
      </c>
      <c r="L43" s="483">
        <v>1.7622945066093177E-2</v>
      </c>
      <c r="M43" s="483">
        <v>1.7622945066093177E-2</v>
      </c>
      <c r="N43" s="483">
        <v>1.7007093418450196E-2</v>
      </c>
      <c r="O43" s="483">
        <v>1.206498763490913E-2</v>
      </c>
      <c r="P43" s="483">
        <v>0</v>
      </c>
      <c r="Q43" s="483">
        <v>0</v>
      </c>
      <c r="R43" s="483">
        <v>0</v>
      </c>
      <c r="S43" s="483">
        <v>0</v>
      </c>
      <c r="T43" s="483">
        <v>0</v>
      </c>
      <c r="U43" s="483">
        <v>0</v>
      </c>
      <c r="V43" s="483">
        <v>0</v>
      </c>
      <c r="W43" s="483">
        <v>0</v>
      </c>
      <c r="X43" s="483">
        <v>0</v>
      </c>
      <c r="Y43" s="483">
        <v>0</v>
      </c>
      <c r="Z43" s="483">
        <v>0</v>
      </c>
      <c r="AA43" s="483">
        <v>0</v>
      </c>
      <c r="AB43" s="483">
        <v>0</v>
      </c>
      <c r="AC43" s="483">
        <v>0</v>
      </c>
      <c r="AD43" s="483">
        <v>0</v>
      </c>
      <c r="AE43" s="483">
        <v>0</v>
      </c>
      <c r="AF43" s="483">
        <v>0</v>
      </c>
      <c r="AG43" s="484">
        <v>0</v>
      </c>
      <c r="AH43" s="484">
        <v>0</v>
      </c>
      <c r="AI43" s="484">
        <v>0</v>
      </c>
      <c r="AJ43" s="484">
        <v>0</v>
      </c>
      <c r="AK43" s="484">
        <v>0</v>
      </c>
      <c r="AL43" s="484">
        <v>0</v>
      </c>
      <c r="AM43" s="484">
        <v>0</v>
      </c>
      <c r="AN43" s="484">
        <v>0</v>
      </c>
      <c r="AO43" s="484">
        <v>0</v>
      </c>
      <c r="AP43" s="484">
        <v>0</v>
      </c>
      <c r="AQ43" s="484">
        <v>0</v>
      </c>
      <c r="AR43" s="484">
        <v>0</v>
      </c>
      <c r="AS43" s="484">
        <v>0</v>
      </c>
      <c r="AT43" s="484">
        <v>0</v>
      </c>
      <c r="AU43" s="484">
        <v>0</v>
      </c>
      <c r="AV43" s="484">
        <v>0</v>
      </c>
      <c r="AW43" s="484">
        <v>0</v>
      </c>
      <c r="AX43" s="484">
        <v>0</v>
      </c>
      <c r="AY43" s="484">
        <v>0</v>
      </c>
      <c r="AZ43" s="485">
        <v>0</v>
      </c>
    </row>
    <row r="44" spans="1:52" s="470" customFormat="1">
      <c r="A44" s="486">
        <f>'[4]Allocation Methodology'!A40</f>
        <v>36</v>
      </c>
      <c r="B44" s="487" t="str">
        <f>'[4]Allocation Methodology'!B40</f>
        <v>Cool Savings Rebate</v>
      </c>
      <c r="C44" s="487" t="str">
        <f>'[4]Allocation Methodology'!C40</f>
        <v>Consumer</v>
      </c>
      <c r="D44" s="487" t="s">
        <v>17</v>
      </c>
      <c r="E44" s="487">
        <f>'[4]Allocation Methodology'!D40</f>
        <v>2009</v>
      </c>
      <c r="F44" s="488" t="str">
        <f>'[4]Allocation Methodology'!E40</f>
        <v>Final</v>
      </c>
      <c r="G44" s="472" t="b">
        <v>0</v>
      </c>
      <c r="H44" s="489">
        <v>0</v>
      </c>
      <c r="I44" s="490">
        <v>0</v>
      </c>
      <c r="J44" s="490">
        <v>0</v>
      </c>
      <c r="K44" s="490">
        <v>9.6339726886089508E-2</v>
      </c>
      <c r="L44" s="490">
        <v>9.6339726886089508E-2</v>
      </c>
      <c r="M44" s="490">
        <v>9.6339726886089508E-2</v>
      </c>
      <c r="N44" s="490">
        <v>9.5889283688434163E-2</v>
      </c>
      <c r="O44" s="490">
        <v>9.5814937154006352E-2</v>
      </c>
      <c r="P44" s="490">
        <v>9.5770686413772371E-2</v>
      </c>
      <c r="Q44" s="490">
        <v>9.5770686413772371E-2</v>
      </c>
      <c r="R44" s="490">
        <v>9.5770686413772371E-2</v>
      </c>
      <c r="S44" s="490">
        <v>9.5770686413772371E-2</v>
      </c>
      <c r="T44" s="490">
        <v>9.5770686413772371E-2</v>
      </c>
      <c r="U44" s="490">
        <v>9.4310611253790533E-2</v>
      </c>
      <c r="V44" s="490">
        <v>9.4310611253790533E-2</v>
      </c>
      <c r="W44" s="490">
        <v>9.4310611253790533E-2</v>
      </c>
      <c r="X44" s="490">
        <v>9.4310611253790533E-2</v>
      </c>
      <c r="Y44" s="490">
        <v>9.4310611253790533E-2</v>
      </c>
      <c r="Z44" s="490">
        <v>9.201755565670848E-2</v>
      </c>
      <c r="AA44" s="490">
        <v>9.201755565670848E-2</v>
      </c>
      <c r="AB44" s="490">
        <v>9.201755565670848E-2</v>
      </c>
      <c r="AC44" s="490">
        <v>6.7651123459698814E-2</v>
      </c>
      <c r="AD44" s="490">
        <v>0</v>
      </c>
      <c r="AE44" s="490">
        <v>0</v>
      </c>
      <c r="AF44" s="490">
        <v>0</v>
      </c>
      <c r="AG44" s="491">
        <v>0</v>
      </c>
      <c r="AH44" s="491">
        <v>0</v>
      </c>
      <c r="AI44" s="491">
        <v>0</v>
      </c>
      <c r="AJ44" s="491">
        <v>0</v>
      </c>
      <c r="AK44" s="491">
        <v>0</v>
      </c>
      <c r="AL44" s="491">
        <v>0</v>
      </c>
      <c r="AM44" s="491">
        <v>0</v>
      </c>
      <c r="AN44" s="491">
        <v>0</v>
      </c>
      <c r="AO44" s="491">
        <v>0</v>
      </c>
      <c r="AP44" s="491">
        <v>0</v>
      </c>
      <c r="AQ44" s="491">
        <v>0</v>
      </c>
      <c r="AR44" s="491">
        <v>0</v>
      </c>
      <c r="AS44" s="491">
        <v>0</v>
      </c>
      <c r="AT44" s="491">
        <v>0</v>
      </c>
      <c r="AU44" s="491">
        <v>0</v>
      </c>
      <c r="AV44" s="491">
        <v>0</v>
      </c>
      <c r="AW44" s="491">
        <v>0</v>
      </c>
      <c r="AX44" s="491">
        <v>0</v>
      </c>
      <c r="AY44" s="491">
        <v>0</v>
      </c>
      <c r="AZ44" s="492">
        <v>0</v>
      </c>
    </row>
    <row r="45" spans="1:52" s="470" customFormat="1">
      <c r="A45" s="493">
        <f>'[4]Allocation Methodology'!A41</f>
        <v>37</v>
      </c>
      <c r="B45" s="494" t="str">
        <f>'[4]Allocation Methodology'!B41</f>
        <v>Every Kilowatt Counts Power Savings Event</v>
      </c>
      <c r="C45" s="494" t="str">
        <f>'[4]Allocation Methodology'!C41</f>
        <v>Consumer</v>
      </c>
      <c r="D45" s="494" t="s">
        <v>17</v>
      </c>
      <c r="E45" s="494">
        <f>'[4]Allocation Methodology'!D41</f>
        <v>2009</v>
      </c>
      <c r="F45" s="495" t="str">
        <f>'[4]Allocation Methodology'!E41</f>
        <v>Final</v>
      </c>
      <c r="G45" s="472" t="b">
        <v>0</v>
      </c>
      <c r="H45" s="496">
        <v>0</v>
      </c>
      <c r="I45" s="497">
        <v>0</v>
      </c>
      <c r="J45" s="497">
        <v>0</v>
      </c>
      <c r="K45" s="497">
        <v>2.5768014820738688E-2</v>
      </c>
      <c r="L45" s="497">
        <v>2.5332323263717503E-2</v>
      </c>
      <c r="M45" s="497">
        <v>2.5332323263717503E-2</v>
      </c>
      <c r="N45" s="497">
        <v>2.5332323263717503E-2</v>
      </c>
      <c r="O45" s="497">
        <v>2.5218581648874513E-2</v>
      </c>
      <c r="P45" s="497">
        <v>2.5218581648874513E-2</v>
      </c>
      <c r="Q45" s="497">
        <v>2.3372467239253285E-2</v>
      </c>
      <c r="R45" s="497">
        <v>2.3372467239253285E-2</v>
      </c>
      <c r="S45" s="497">
        <v>1.7872280585685924E-2</v>
      </c>
      <c r="T45" s="497">
        <v>1.7872280585685924E-2</v>
      </c>
      <c r="U45" s="497">
        <v>1.5862888668755945E-2</v>
      </c>
      <c r="V45" s="497">
        <v>1.5856285998175308E-2</v>
      </c>
      <c r="W45" s="497">
        <v>8.0605704408814403E-3</v>
      </c>
      <c r="X45" s="497">
        <v>8.0605704408814403E-3</v>
      </c>
      <c r="Y45" s="497">
        <v>7.6855221651858435E-3</v>
      </c>
      <c r="Z45" s="497">
        <v>1.3253665025346596E-3</v>
      </c>
      <c r="AA45" s="497">
        <v>5.9356034643395751E-4</v>
      </c>
      <c r="AB45" s="497">
        <v>5.9356034643395751E-4</v>
      </c>
      <c r="AC45" s="497">
        <v>3.7147291538171257E-4</v>
      </c>
      <c r="AD45" s="497">
        <v>3.7147291538171257E-4</v>
      </c>
      <c r="AE45" s="497">
        <v>0</v>
      </c>
      <c r="AF45" s="497">
        <v>0</v>
      </c>
      <c r="AG45" s="498">
        <v>0</v>
      </c>
      <c r="AH45" s="498">
        <v>0</v>
      </c>
      <c r="AI45" s="498">
        <v>0</v>
      </c>
      <c r="AJ45" s="498">
        <v>0</v>
      </c>
      <c r="AK45" s="498">
        <v>0</v>
      </c>
      <c r="AL45" s="498">
        <v>0</v>
      </c>
      <c r="AM45" s="498">
        <v>0</v>
      </c>
      <c r="AN45" s="498">
        <v>0</v>
      </c>
      <c r="AO45" s="498">
        <v>0</v>
      </c>
      <c r="AP45" s="498">
        <v>0</v>
      </c>
      <c r="AQ45" s="498">
        <v>0</v>
      </c>
      <c r="AR45" s="498">
        <v>0</v>
      </c>
      <c r="AS45" s="498">
        <v>0</v>
      </c>
      <c r="AT45" s="498">
        <v>0</v>
      </c>
      <c r="AU45" s="498">
        <v>0</v>
      </c>
      <c r="AV45" s="498">
        <v>0</v>
      </c>
      <c r="AW45" s="498">
        <v>0</v>
      </c>
      <c r="AX45" s="498">
        <v>0</v>
      </c>
      <c r="AY45" s="498">
        <v>0</v>
      </c>
      <c r="AZ45" s="499">
        <v>0</v>
      </c>
    </row>
    <row r="46" spans="1:52" s="470" customFormat="1">
      <c r="A46" s="486">
        <f>'[4]Allocation Methodology'!A42</f>
        <v>38</v>
      </c>
      <c r="B46" s="522" t="str">
        <f>'[4]Allocation Methodology'!B42</f>
        <v>peaksaver®</v>
      </c>
      <c r="C46" s="487" t="str">
        <f>'[4]Allocation Methodology'!C42</f>
        <v>Consumer, Business</v>
      </c>
      <c r="D46" s="487" t="s">
        <v>58</v>
      </c>
      <c r="E46" s="487">
        <f>'[4]Allocation Methodology'!D42</f>
        <v>2009</v>
      </c>
      <c r="F46" s="488" t="str">
        <f>'[4]Allocation Methodology'!E42</f>
        <v>Final</v>
      </c>
      <c r="G46" s="472" t="b">
        <v>0</v>
      </c>
      <c r="H46" s="489">
        <v>0</v>
      </c>
      <c r="I46" s="490">
        <v>0</v>
      </c>
      <c r="J46" s="490">
        <v>0</v>
      </c>
      <c r="K46" s="490">
        <v>0</v>
      </c>
      <c r="L46" s="490">
        <v>0</v>
      </c>
      <c r="M46" s="490">
        <v>0</v>
      </c>
      <c r="N46" s="490">
        <v>0</v>
      </c>
      <c r="O46" s="490">
        <v>0</v>
      </c>
      <c r="P46" s="490">
        <v>0</v>
      </c>
      <c r="Q46" s="490">
        <v>0</v>
      </c>
      <c r="R46" s="490">
        <v>0</v>
      </c>
      <c r="S46" s="490">
        <v>0</v>
      </c>
      <c r="T46" s="490">
        <v>0</v>
      </c>
      <c r="U46" s="490">
        <v>0</v>
      </c>
      <c r="V46" s="490">
        <v>0</v>
      </c>
      <c r="W46" s="490">
        <v>0</v>
      </c>
      <c r="X46" s="490">
        <v>0</v>
      </c>
      <c r="Y46" s="490">
        <v>0</v>
      </c>
      <c r="Z46" s="490">
        <v>0</v>
      </c>
      <c r="AA46" s="490">
        <v>0</v>
      </c>
      <c r="AB46" s="490">
        <v>0</v>
      </c>
      <c r="AC46" s="490">
        <v>0</v>
      </c>
      <c r="AD46" s="490">
        <v>0</v>
      </c>
      <c r="AE46" s="490">
        <v>0</v>
      </c>
      <c r="AF46" s="490">
        <v>0</v>
      </c>
      <c r="AG46" s="491">
        <v>0</v>
      </c>
      <c r="AH46" s="491">
        <v>0</v>
      </c>
      <c r="AI46" s="491">
        <v>0</v>
      </c>
      <c r="AJ46" s="491">
        <v>0</v>
      </c>
      <c r="AK46" s="491">
        <v>0</v>
      </c>
      <c r="AL46" s="491">
        <v>0</v>
      </c>
      <c r="AM46" s="491">
        <v>0</v>
      </c>
      <c r="AN46" s="491">
        <v>0</v>
      </c>
      <c r="AO46" s="491">
        <v>0</v>
      </c>
      <c r="AP46" s="491">
        <v>0</v>
      </c>
      <c r="AQ46" s="491">
        <v>0</v>
      </c>
      <c r="AR46" s="491">
        <v>0</v>
      </c>
      <c r="AS46" s="491">
        <v>0</v>
      </c>
      <c r="AT46" s="491">
        <v>0</v>
      </c>
      <c r="AU46" s="491">
        <v>0</v>
      </c>
      <c r="AV46" s="491">
        <v>0</v>
      </c>
      <c r="AW46" s="491">
        <v>0</v>
      </c>
      <c r="AX46" s="491">
        <v>0</v>
      </c>
      <c r="AY46" s="491">
        <v>0</v>
      </c>
      <c r="AZ46" s="492">
        <v>0</v>
      </c>
    </row>
    <row r="47" spans="1:52" s="470" customFormat="1">
      <c r="A47" s="493">
        <f>'[4]Allocation Methodology'!A43</f>
        <v>39</v>
      </c>
      <c r="B47" s="494" t="str">
        <f>'[4]Allocation Methodology'!B43</f>
        <v>Electricity Retrofit Incentive</v>
      </c>
      <c r="C47" s="494" t="str">
        <f>'[4]Allocation Methodology'!C43</f>
        <v>Consumer, Business</v>
      </c>
      <c r="D47" s="494" t="s">
        <v>480</v>
      </c>
      <c r="E47" s="494">
        <f>'[4]Allocation Methodology'!D43</f>
        <v>2009</v>
      </c>
      <c r="F47" s="495" t="str">
        <f>'[4]Allocation Methodology'!E43</f>
        <v>Final</v>
      </c>
      <c r="G47" s="472" t="b">
        <v>0</v>
      </c>
      <c r="H47" s="496">
        <v>0</v>
      </c>
      <c r="I47" s="497">
        <v>0</v>
      </c>
      <c r="J47" s="497">
        <v>0</v>
      </c>
      <c r="K47" s="497">
        <v>8.3498803827751183E-2</v>
      </c>
      <c r="L47" s="497">
        <v>8.3498803827751183E-2</v>
      </c>
      <c r="M47" s="497">
        <v>8.3498803827751183E-2</v>
      </c>
      <c r="N47" s="497">
        <v>8.3498803827751183E-2</v>
      </c>
      <c r="O47" s="497">
        <v>8.3498803827751183E-2</v>
      </c>
      <c r="P47" s="497">
        <v>8.3498803827751183E-2</v>
      </c>
      <c r="Q47" s="497">
        <v>8.3498803827751183E-2</v>
      </c>
      <c r="R47" s="497">
        <v>6.0340909090909084E-2</v>
      </c>
      <c r="S47" s="497">
        <v>6.0340909090909084E-2</v>
      </c>
      <c r="T47" s="497">
        <v>6.0340909090909084E-2</v>
      </c>
      <c r="U47" s="497">
        <v>6.0340909090909084E-2</v>
      </c>
      <c r="V47" s="497">
        <v>0</v>
      </c>
      <c r="W47" s="497">
        <v>0</v>
      </c>
      <c r="X47" s="497">
        <v>0</v>
      </c>
      <c r="Y47" s="497">
        <v>0</v>
      </c>
      <c r="Z47" s="497">
        <v>0</v>
      </c>
      <c r="AA47" s="497">
        <v>0</v>
      </c>
      <c r="AB47" s="497">
        <v>0</v>
      </c>
      <c r="AC47" s="497">
        <v>0</v>
      </c>
      <c r="AD47" s="497">
        <v>0</v>
      </c>
      <c r="AE47" s="497">
        <v>0</v>
      </c>
      <c r="AF47" s="497">
        <v>0</v>
      </c>
      <c r="AG47" s="498">
        <v>0</v>
      </c>
      <c r="AH47" s="498">
        <v>0</v>
      </c>
      <c r="AI47" s="498">
        <v>0</v>
      </c>
      <c r="AJ47" s="498">
        <v>0</v>
      </c>
      <c r="AK47" s="498">
        <v>0</v>
      </c>
      <c r="AL47" s="498">
        <v>0</v>
      </c>
      <c r="AM47" s="498">
        <v>0</v>
      </c>
      <c r="AN47" s="498">
        <v>0</v>
      </c>
      <c r="AO47" s="498">
        <v>0</v>
      </c>
      <c r="AP47" s="498">
        <v>0</v>
      </c>
      <c r="AQ47" s="498">
        <v>0</v>
      </c>
      <c r="AR47" s="498">
        <v>0</v>
      </c>
      <c r="AS47" s="498">
        <v>0</v>
      </c>
      <c r="AT47" s="498">
        <v>0</v>
      </c>
      <c r="AU47" s="498">
        <v>0</v>
      </c>
      <c r="AV47" s="498">
        <v>0</v>
      </c>
      <c r="AW47" s="498">
        <v>0</v>
      </c>
      <c r="AX47" s="498">
        <v>0</v>
      </c>
      <c r="AY47" s="498">
        <v>0</v>
      </c>
      <c r="AZ47" s="499">
        <v>0</v>
      </c>
    </row>
    <row r="48" spans="1:52" s="470" customFormat="1">
      <c r="A48" s="486">
        <f>'[4]Allocation Methodology'!A44</f>
        <v>40</v>
      </c>
      <c r="B48" s="487" t="str">
        <f>'[4]Allocation Methodology'!B44</f>
        <v>Toronto Comprehensive</v>
      </c>
      <c r="C48" s="487" t="str">
        <f>'[4]Allocation Methodology'!C44</f>
        <v>Consumer, Consumer Low-Income, Business, Industrial</v>
      </c>
      <c r="D48" s="487" t="s">
        <v>58</v>
      </c>
      <c r="E48" s="487">
        <f>'[4]Allocation Methodology'!D44</f>
        <v>2009</v>
      </c>
      <c r="F48" s="488" t="str">
        <f>'[4]Allocation Methodology'!E44</f>
        <v>Final</v>
      </c>
      <c r="G48" s="472" t="b">
        <v>0</v>
      </c>
      <c r="H48" s="489">
        <v>0</v>
      </c>
      <c r="I48" s="490">
        <v>0</v>
      </c>
      <c r="J48" s="490">
        <v>0</v>
      </c>
      <c r="K48" s="490">
        <v>0</v>
      </c>
      <c r="L48" s="490">
        <v>0</v>
      </c>
      <c r="M48" s="490">
        <v>0</v>
      </c>
      <c r="N48" s="490">
        <v>0</v>
      </c>
      <c r="O48" s="490">
        <v>0</v>
      </c>
      <c r="P48" s="490">
        <v>0</v>
      </c>
      <c r="Q48" s="490">
        <v>0</v>
      </c>
      <c r="R48" s="490">
        <v>0</v>
      </c>
      <c r="S48" s="490">
        <v>0</v>
      </c>
      <c r="T48" s="490">
        <v>0</v>
      </c>
      <c r="U48" s="490">
        <v>0</v>
      </c>
      <c r="V48" s="490">
        <v>0</v>
      </c>
      <c r="W48" s="490">
        <v>0</v>
      </c>
      <c r="X48" s="490">
        <v>0</v>
      </c>
      <c r="Y48" s="490">
        <v>0</v>
      </c>
      <c r="Z48" s="490">
        <v>0</v>
      </c>
      <c r="AA48" s="490">
        <v>0</v>
      </c>
      <c r="AB48" s="490">
        <v>0</v>
      </c>
      <c r="AC48" s="490">
        <v>0</v>
      </c>
      <c r="AD48" s="490">
        <v>0</v>
      </c>
      <c r="AE48" s="490">
        <v>0</v>
      </c>
      <c r="AF48" s="490">
        <v>0</v>
      </c>
      <c r="AG48" s="491">
        <v>0</v>
      </c>
      <c r="AH48" s="491">
        <v>0</v>
      </c>
      <c r="AI48" s="491">
        <v>0</v>
      </c>
      <c r="AJ48" s="491">
        <v>0</v>
      </c>
      <c r="AK48" s="491">
        <v>0</v>
      </c>
      <c r="AL48" s="491">
        <v>0</v>
      </c>
      <c r="AM48" s="491">
        <v>0</v>
      </c>
      <c r="AN48" s="491">
        <v>0</v>
      </c>
      <c r="AO48" s="491">
        <v>0</v>
      </c>
      <c r="AP48" s="491">
        <v>0</v>
      </c>
      <c r="AQ48" s="491">
        <v>0</v>
      </c>
      <c r="AR48" s="491">
        <v>0</v>
      </c>
      <c r="AS48" s="491">
        <v>0</v>
      </c>
      <c r="AT48" s="491">
        <v>0</v>
      </c>
      <c r="AU48" s="491">
        <v>0</v>
      </c>
      <c r="AV48" s="491">
        <v>0</v>
      </c>
      <c r="AW48" s="491">
        <v>0</v>
      </c>
      <c r="AX48" s="491">
        <v>0</v>
      </c>
      <c r="AY48" s="491">
        <v>0</v>
      </c>
      <c r="AZ48" s="492">
        <v>0</v>
      </c>
    </row>
    <row r="49" spans="1:52" s="470" customFormat="1">
      <c r="A49" s="493">
        <f>'[4]Allocation Methodology'!A45</f>
        <v>41</v>
      </c>
      <c r="B49" s="494" t="str">
        <f>'[4]Allocation Methodology'!B45</f>
        <v>High Performance New Construction</v>
      </c>
      <c r="C49" s="494" t="str">
        <f>'[4]Allocation Methodology'!C45</f>
        <v>Business</v>
      </c>
      <c r="D49" s="494" t="s">
        <v>480</v>
      </c>
      <c r="E49" s="494">
        <f>'[4]Allocation Methodology'!D45</f>
        <v>2009</v>
      </c>
      <c r="F49" s="495" t="str">
        <f>'[4]Allocation Methodology'!E45</f>
        <v>Final</v>
      </c>
      <c r="G49" s="472" t="b">
        <v>0</v>
      </c>
      <c r="H49" s="496">
        <v>0</v>
      </c>
      <c r="I49" s="497">
        <v>0</v>
      </c>
      <c r="J49" s="497">
        <v>0</v>
      </c>
      <c r="K49" s="497">
        <v>2.6484318261489666E-2</v>
      </c>
      <c r="L49" s="497">
        <v>2.6484318261489666E-2</v>
      </c>
      <c r="M49" s="497">
        <v>2.6484318261489666E-2</v>
      </c>
      <c r="N49" s="497">
        <v>2.6484318261489666E-2</v>
      </c>
      <c r="O49" s="497">
        <v>2.6484318261489666E-2</v>
      </c>
      <c r="P49" s="497">
        <v>2.6484318261489666E-2</v>
      </c>
      <c r="Q49" s="497">
        <v>2.6484318261489666E-2</v>
      </c>
      <c r="R49" s="497">
        <v>2.6484318261489666E-2</v>
      </c>
      <c r="S49" s="497">
        <v>2.6484318261489666E-2</v>
      </c>
      <c r="T49" s="497">
        <v>2.6484318261489666E-2</v>
      </c>
      <c r="U49" s="497">
        <v>2.6484318261489666E-2</v>
      </c>
      <c r="V49" s="497">
        <v>2.6484318261489666E-2</v>
      </c>
      <c r="W49" s="497">
        <v>2.6484318261489666E-2</v>
      </c>
      <c r="X49" s="497">
        <v>2.6484318261489666E-2</v>
      </c>
      <c r="Y49" s="497">
        <v>2.6484318261489666E-2</v>
      </c>
      <c r="Z49" s="497">
        <v>2.6484318261489666E-2</v>
      </c>
      <c r="AA49" s="497">
        <v>2.6484318261489666E-2</v>
      </c>
      <c r="AB49" s="497">
        <v>2.6484318261489666E-2</v>
      </c>
      <c r="AC49" s="497">
        <v>2.6484318261489666E-2</v>
      </c>
      <c r="AD49" s="497">
        <v>2.6484318261489666E-2</v>
      </c>
      <c r="AE49" s="497">
        <v>0</v>
      </c>
      <c r="AF49" s="497">
        <v>0</v>
      </c>
      <c r="AG49" s="498">
        <v>0</v>
      </c>
      <c r="AH49" s="498">
        <v>0</v>
      </c>
      <c r="AI49" s="498">
        <v>0</v>
      </c>
      <c r="AJ49" s="498">
        <v>0</v>
      </c>
      <c r="AK49" s="498">
        <v>0</v>
      </c>
      <c r="AL49" s="498">
        <v>0</v>
      </c>
      <c r="AM49" s="498">
        <v>0</v>
      </c>
      <c r="AN49" s="498">
        <v>0</v>
      </c>
      <c r="AO49" s="498">
        <v>0</v>
      </c>
      <c r="AP49" s="498">
        <v>0</v>
      </c>
      <c r="AQ49" s="498">
        <v>0</v>
      </c>
      <c r="AR49" s="498">
        <v>0</v>
      </c>
      <c r="AS49" s="498">
        <v>0</v>
      </c>
      <c r="AT49" s="498">
        <v>0</v>
      </c>
      <c r="AU49" s="498">
        <v>0</v>
      </c>
      <c r="AV49" s="498">
        <v>0</v>
      </c>
      <c r="AW49" s="498">
        <v>0</v>
      </c>
      <c r="AX49" s="498">
        <v>0</v>
      </c>
      <c r="AY49" s="498">
        <v>0</v>
      </c>
      <c r="AZ49" s="499">
        <v>0</v>
      </c>
    </row>
    <row r="50" spans="1:52" s="470" customFormat="1">
      <c r="A50" s="486">
        <f>'[4]Allocation Methodology'!A46</f>
        <v>42</v>
      </c>
      <c r="B50" s="487" t="str">
        <f>'[4]Allocation Methodology'!B46</f>
        <v>Power Savings Blitz</v>
      </c>
      <c r="C50" s="487" t="str">
        <f>'[4]Allocation Methodology'!C46</f>
        <v>Business</v>
      </c>
      <c r="D50" s="487" t="s">
        <v>486</v>
      </c>
      <c r="E50" s="487">
        <f>'[4]Allocation Methodology'!D46</f>
        <v>2009</v>
      </c>
      <c r="F50" s="488" t="str">
        <f>'[4]Allocation Methodology'!E46</f>
        <v>Final</v>
      </c>
      <c r="G50" s="472" t="b">
        <v>0</v>
      </c>
      <c r="H50" s="489">
        <v>0</v>
      </c>
      <c r="I50" s="490">
        <v>0</v>
      </c>
      <c r="J50" s="490">
        <v>0</v>
      </c>
      <c r="K50" s="490">
        <v>0.17507897077314688</v>
      </c>
      <c r="L50" s="490">
        <v>0.17507897077314688</v>
      </c>
      <c r="M50" s="490">
        <v>0.17507897077314688</v>
      </c>
      <c r="N50" s="490">
        <v>0.17507897077314688</v>
      </c>
      <c r="O50" s="490">
        <v>0.17507897077314688</v>
      </c>
      <c r="P50" s="490">
        <v>0.17507897077314688</v>
      </c>
      <c r="Q50" s="490">
        <v>0.17507897077314688</v>
      </c>
      <c r="R50" s="490">
        <v>0.17507897077314688</v>
      </c>
      <c r="S50" s="490">
        <v>0.17507897077314688</v>
      </c>
      <c r="T50" s="490">
        <v>0</v>
      </c>
      <c r="U50" s="490">
        <v>0</v>
      </c>
      <c r="V50" s="490">
        <v>0</v>
      </c>
      <c r="W50" s="490">
        <v>0</v>
      </c>
      <c r="X50" s="490">
        <v>0</v>
      </c>
      <c r="Y50" s="490">
        <v>0</v>
      </c>
      <c r="Z50" s="490">
        <v>0</v>
      </c>
      <c r="AA50" s="490">
        <v>0</v>
      </c>
      <c r="AB50" s="490">
        <v>0</v>
      </c>
      <c r="AC50" s="490">
        <v>0</v>
      </c>
      <c r="AD50" s="490">
        <v>0</v>
      </c>
      <c r="AE50" s="490">
        <v>0</v>
      </c>
      <c r="AF50" s="490">
        <v>0</v>
      </c>
      <c r="AG50" s="491">
        <v>0</v>
      </c>
      <c r="AH50" s="491">
        <v>0</v>
      </c>
      <c r="AI50" s="491">
        <v>0</v>
      </c>
      <c r="AJ50" s="491">
        <v>0</v>
      </c>
      <c r="AK50" s="491">
        <v>0</v>
      </c>
      <c r="AL50" s="491">
        <v>0</v>
      </c>
      <c r="AM50" s="491">
        <v>0</v>
      </c>
      <c r="AN50" s="491">
        <v>0</v>
      </c>
      <c r="AO50" s="491">
        <v>0</v>
      </c>
      <c r="AP50" s="491">
        <v>0</v>
      </c>
      <c r="AQ50" s="491">
        <v>0</v>
      </c>
      <c r="AR50" s="491">
        <v>0</v>
      </c>
      <c r="AS50" s="491">
        <v>0</v>
      </c>
      <c r="AT50" s="491">
        <v>0</v>
      </c>
      <c r="AU50" s="491">
        <v>0</v>
      </c>
      <c r="AV50" s="491">
        <v>0</v>
      </c>
      <c r="AW50" s="491">
        <v>0</v>
      </c>
      <c r="AX50" s="491">
        <v>0</v>
      </c>
      <c r="AY50" s="491">
        <v>0</v>
      </c>
      <c r="AZ50" s="492">
        <v>0</v>
      </c>
    </row>
    <row r="51" spans="1:52" s="470" customFormat="1">
      <c r="A51" s="493">
        <f>'[4]Allocation Methodology'!A47</f>
        <v>43</v>
      </c>
      <c r="B51" s="494" t="str">
        <f>'[4]Allocation Methodology'!B47</f>
        <v>Multi-Family Energy Efficiency Rebates</v>
      </c>
      <c r="C51" s="494" t="str">
        <f>'[4]Allocation Methodology'!C47</f>
        <v>Consumer, Consumer Low-Income</v>
      </c>
      <c r="D51" s="494" t="s">
        <v>58</v>
      </c>
      <c r="E51" s="494">
        <f>'[4]Allocation Methodology'!D47</f>
        <v>2009</v>
      </c>
      <c r="F51" s="495" t="str">
        <f>'[4]Allocation Methodology'!E47</f>
        <v>Final</v>
      </c>
      <c r="G51" s="472" t="b">
        <v>0</v>
      </c>
      <c r="H51" s="496">
        <v>0</v>
      </c>
      <c r="I51" s="497">
        <v>0</v>
      </c>
      <c r="J51" s="497">
        <v>0</v>
      </c>
      <c r="K51" s="497">
        <v>0</v>
      </c>
      <c r="L51" s="497">
        <v>0</v>
      </c>
      <c r="M51" s="497">
        <v>0</v>
      </c>
      <c r="N51" s="497">
        <v>0</v>
      </c>
      <c r="O51" s="497">
        <v>0</v>
      </c>
      <c r="P51" s="497">
        <v>0</v>
      </c>
      <c r="Q51" s="497">
        <v>0</v>
      </c>
      <c r="R51" s="497">
        <v>0</v>
      </c>
      <c r="S51" s="497">
        <v>0</v>
      </c>
      <c r="T51" s="497">
        <v>0</v>
      </c>
      <c r="U51" s="497">
        <v>0</v>
      </c>
      <c r="V51" s="497">
        <v>0</v>
      </c>
      <c r="W51" s="497">
        <v>0</v>
      </c>
      <c r="X51" s="497">
        <v>0</v>
      </c>
      <c r="Y51" s="497">
        <v>0</v>
      </c>
      <c r="Z51" s="497">
        <v>0</v>
      </c>
      <c r="AA51" s="497">
        <v>0</v>
      </c>
      <c r="AB51" s="497">
        <v>0</v>
      </c>
      <c r="AC51" s="497">
        <v>0</v>
      </c>
      <c r="AD51" s="497">
        <v>0</v>
      </c>
      <c r="AE51" s="497">
        <v>0</v>
      </c>
      <c r="AF51" s="497">
        <v>0</v>
      </c>
      <c r="AG51" s="498">
        <v>0</v>
      </c>
      <c r="AH51" s="498">
        <v>0</v>
      </c>
      <c r="AI51" s="498">
        <v>0</v>
      </c>
      <c r="AJ51" s="498">
        <v>0</v>
      </c>
      <c r="AK51" s="498">
        <v>0</v>
      </c>
      <c r="AL51" s="498">
        <v>0</v>
      </c>
      <c r="AM51" s="498">
        <v>0</v>
      </c>
      <c r="AN51" s="498">
        <v>0</v>
      </c>
      <c r="AO51" s="498">
        <v>0</v>
      </c>
      <c r="AP51" s="498">
        <v>0</v>
      </c>
      <c r="AQ51" s="498">
        <v>0</v>
      </c>
      <c r="AR51" s="498">
        <v>0</v>
      </c>
      <c r="AS51" s="498">
        <v>0</v>
      </c>
      <c r="AT51" s="498">
        <v>0</v>
      </c>
      <c r="AU51" s="498">
        <v>0</v>
      </c>
      <c r="AV51" s="498">
        <v>0</v>
      </c>
      <c r="AW51" s="498">
        <v>0</v>
      </c>
      <c r="AX51" s="498">
        <v>0</v>
      </c>
      <c r="AY51" s="498">
        <v>0</v>
      </c>
      <c r="AZ51" s="499">
        <v>0</v>
      </c>
    </row>
    <row r="52" spans="1:52" s="470" customFormat="1">
      <c r="A52" s="486">
        <f>'[4]Allocation Methodology'!A48</f>
        <v>44</v>
      </c>
      <c r="B52" s="487" t="str">
        <f>'[4]Allocation Methodology'!B48</f>
        <v>Demand Response 1</v>
      </c>
      <c r="C52" s="487" t="str">
        <f>'[4]Allocation Methodology'!C48</f>
        <v>Business, Industrial</v>
      </c>
      <c r="D52" s="487" t="s">
        <v>480</v>
      </c>
      <c r="E52" s="487">
        <f>'[4]Allocation Methodology'!D48</f>
        <v>2009</v>
      </c>
      <c r="F52" s="488" t="str">
        <f>'[4]Allocation Methodology'!E48</f>
        <v>Final</v>
      </c>
      <c r="G52" s="472" t="b">
        <v>0</v>
      </c>
      <c r="H52" s="489">
        <v>0</v>
      </c>
      <c r="I52" s="490">
        <v>0</v>
      </c>
      <c r="J52" s="490">
        <v>0</v>
      </c>
      <c r="K52" s="490">
        <v>1.1957688458910378</v>
      </c>
      <c r="L52" s="490">
        <v>0</v>
      </c>
      <c r="M52" s="490">
        <v>0</v>
      </c>
      <c r="N52" s="490">
        <v>0</v>
      </c>
      <c r="O52" s="490">
        <v>0</v>
      </c>
      <c r="P52" s="490">
        <v>0</v>
      </c>
      <c r="Q52" s="490">
        <v>0</v>
      </c>
      <c r="R52" s="490">
        <v>0</v>
      </c>
      <c r="S52" s="490">
        <v>0</v>
      </c>
      <c r="T52" s="490">
        <v>0</v>
      </c>
      <c r="U52" s="490">
        <v>0</v>
      </c>
      <c r="V52" s="490">
        <v>0</v>
      </c>
      <c r="W52" s="490">
        <v>0</v>
      </c>
      <c r="X52" s="490">
        <v>0</v>
      </c>
      <c r="Y52" s="490">
        <v>0</v>
      </c>
      <c r="Z52" s="490">
        <v>0</v>
      </c>
      <c r="AA52" s="490">
        <v>0</v>
      </c>
      <c r="AB52" s="490">
        <v>0</v>
      </c>
      <c r="AC52" s="490">
        <v>0</v>
      </c>
      <c r="AD52" s="490">
        <v>0</v>
      </c>
      <c r="AE52" s="490">
        <v>0</v>
      </c>
      <c r="AF52" s="490">
        <v>0</v>
      </c>
      <c r="AG52" s="491">
        <v>0</v>
      </c>
      <c r="AH52" s="491">
        <v>0</v>
      </c>
      <c r="AI52" s="491">
        <v>0</v>
      </c>
      <c r="AJ52" s="491">
        <v>0</v>
      </c>
      <c r="AK52" s="491">
        <v>0</v>
      </c>
      <c r="AL52" s="491">
        <v>0</v>
      </c>
      <c r="AM52" s="491">
        <v>0</v>
      </c>
      <c r="AN52" s="491">
        <v>0</v>
      </c>
      <c r="AO52" s="491">
        <v>0</v>
      </c>
      <c r="AP52" s="491">
        <v>0</v>
      </c>
      <c r="AQ52" s="491">
        <v>0</v>
      </c>
      <c r="AR52" s="491">
        <v>0</v>
      </c>
      <c r="AS52" s="491">
        <v>0</v>
      </c>
      <c r="AT52" s="491">
        <v>0</v>
      </c>
      <c r="AU52" s="491">
        <v>0</v>
      </c>
      <c r="AV52" s="491">
        <v>0</v>
      </c>
      <c r="AW52" s="491">
        <v>0</v>
      </c>
      <c r="AX52" s="491">
        <v>0</v>
      </c>
      <c r="AY52" s="491">
        <v>0</v>
      </c>
      <c r="AZ52" s="492">
        <v>0</v>
      </c>
    </row>
    <row r="53" spans="1:52" s="470" customFormat="1">
      <c r="A53" s="493">
        <f>'[4]Allocation Methodology'!A49</f>
        <v>45</v>
      </c>
      <c r="B53" s="494" t="str">
        <f>'[4]Allocation Methodology'!B49</f>
        <v>Demand Response 2</v>
      </c>
      <c r="C53" s="494" t="str">
        <f>'[4]Allocation Methodology'!C49</f>
        <v>Business, Industrial</v>
      </c>
      <c r="D53" s="494" t="s">
        <v>480</v>
      </c>
      <c r="E53" s="494">
        <f>'[4]Allocation Methodology'!D49</f>
        <v>2009</v>
      </c>
      <c r="F53" s="495" t="str">
        <f>'[4]Allocation Methodology'!E49</f>
        <v>Final</v>
      </c>
      <c r="G53" s="472" t="b">
        <v>0</v>
      </c>
      <c r="H53" s="496">
        <v>0</v>
      </c>
      <c r="I53" s="497">
        <v>0</v>
      </c>
      <c r="J53" s="497">
        <v>0</v>
      </c>
      <c r="K53" s="497">
        <v>0.81196286825126107</v>
      </c>
      <c r="L53" s="497">
        <v>0</v>
      </c>
      <c r="M53" s="497">
        <v>0</v>
      </c>
      <c r="N53" s="497">
        <v>0</v>
      </c>
      <c r="O53" s="497">
        <v>0</v>
      </c>
      <c r="P53" s="497">
        <v>0</v>
      </c>
      <c r="Q53" s="497">
        <v>0</v>
      </c>
      <c r="R53" s="497">
        <v>0</v>
      </c>
      <c r="S53" s="497">
        <v>0</v>
      </c>
      <c r="T53" s="497">
        <v>0</v>
      </c>
      <c r="U53" s="497">
        <v>0</v>
      </c>
      <c r="V53" s="497">
        <v>0</v>
      </c>
      <c r="W53" s="497">
        <v>0</v>
      </c>
      <c r="X53" s="497">
        <v>0</v>
      </c>
      <c r="Y53" s="497">
        <v>0</v>
      </c>
      <c r="Z53" s="497">
        <v>0</v>
      </c>
      <c r="AA53" s="497">
        <v>0</v>
      </c>
      <c r="AB53" s="497">
        <v>0</v>
      </c>
      <c r="AC53" s="497">
        <v>0</v>
      </c>
      <c r="AD53" s="497">
        <v>0</v>
      </c>
      <c r="AE53" s="497">
        <v>0</v>
      </c>
      <c r="AF53" s="497">
        <v>0</v>
      </c>
      <c r="AG53" s="498">
        <v>0</v>
      </c>
      <c r="AH53" s="498">
        <v>0</v>
      </c>
      <c r="AI53" s="498">
        <v>0</v>
      </c>
      <c r="AJ53" s="498">
        <v>0</v>
      </c>
      <c r="AK53" s="498">
        <v>0</v>
      </c>
      <c r="AL53" s="498">
        <v>0</v>
      </c>
      <c r="AM53" s="498">
        <v>0</v>
      </c>
      <c r="AN53" s="498">
        <v>0</v>
      </c>
      <c r="AO53" s="498">
        <v>0</v>
      </c>
      <c r="AP53" s="498">
        <v>0</v>
      </c>
      <c r="AQ53" s="498">
        <v>0</v>
      </c>
      <c r="AR53" s="498">
        <v>0</v>
      </c>
      <c r="AS53" s="498">
        <v>0</v>
      </c>
      <c r="AT53" s="498">
        <v>0</v>
      </c>
      <c r="AU53" s="498">
        <v>0</v>
      </c>
      <c r="AV53" s="498">
        <v>0</v>
      </c>
      <c r="AW53" s="498">
        <v>0</v>
      </c>
      <c r="AX53" s="498">
        <v>0</v>
      </c>
      <c r="AY53" s="498">
        <v>0</v>
      </c>
      <c r="AZ53" s="499">
        <v>0</v>
      </c>
    </row>
    <row r="54" spans="1:52" s="470" customFormat="1">
      <c r="A54" s="486">
        <f>'[4]Allocation Methodology'!A50</f>
        <v>46</v>
      </c>
      <c r="B54" s="487" t="str">
        <f>'[4]Allocation Methodology'!B50</f>
        <v>Demand Response 3</v>
      </c>
      <c r="C54" s="487" t="str">
        <f>'[4]Allocation Methodology'!C50</f>
        <v>Business, Industrial</v>
      </c>
      <c r="D54" s="487" t="s">
        <v>480</v>
      </c>
      <c r="E54" s="487">
        <f>'[4]Allocation Methodology'!D50</f>
        <v>2009</v>
      </c>
      <c r="F54" s="488" t="str">
        <f>'[4]Allocation Methodology'!E50</f>
        <v>Final</v>
      </c>
      <c r="G54" s="472" t="b">
        <v>0</v>
      </c>
      <c r="H54" s="489">
        <v>0</v>
      </c>
      <c r="I54" s="490">
        <v>0</v>
      </c>
      <c r="J54" s="490">
        <v>0</v>
      </c>
      <c r="K54" s="490">
        <v>1.1599469546446588</v>
      </c>
      <c r="L54" s="490">
        <v>0</v>
      </c>
      <c r="M54" s="490">
        <v>0</v>
      </c>
      <c r="N54" s="490">
        <v>0</v>
      </c>
      <c r="O54" s="490">
        <v>0</v>
      </c>
      <c r="P54" s="490">
        <v>0</v>
      </c>
      <c r="Q54" s="490">
        <v>0</v>
      </c>
      <c r="R54" s="490">
        <v>0</v>
      </c>
      <c r="S54" s="490">
        <v>0</v>
      </c>
      <c r="T54" s="490">
        <v>0</v>
      </c>
      <c r="U54" s="490">
        <v>0</v>
      </c>
      <c r="V54" s="490">
        <v>0</v>
      </c>
      <c r="W54" s="490">
        <v>0</v>
      </c>
      <c r="X54" s="490">
        <v>0</v>
      </c>
      <c r="Y54" s="490">
        <v>0</v>
      </c>
      <c r="Z54" s="490">
        <v>0</v>
      </c>
      <c r="AA54" s="490">
        <v>0</v>
      </c>
      <c r="AB54" s="490">
        <v>0</v>
      </c>
      <c r="AC54" s="490">
        <v>0</v>
      </c>
      <c r="AD54" s="490">
        <v>0</v>
      </c>
      <c r="AE54" s="490">
        <v>0</v>
      </c>
      <c r="AF54" s="490">
        <v>0</v>
      </c>
      <c r="AG54" s="491">
        <v>0</v>
      </c>
      <c r="AH54" s="491">
        <v>0</v>
      </c>
      <c r="AI54" s="491">
        <v>0</v>
      </c>
      <c r="AJ54" s="491">
        <v>0</v>
      </c>
      <c r="AK54" s="491">
        <v>0</v>
      </c>
      <c r="AL54" s="491">
        <v>0</v>
      </c>
      <c r="AM54" s="491">
        <v>0</v>
      </c>
      <c r="AN54" s="491">
        <v>0</v>
      </c>
      <c r="AO54" s="491">
        <v>0</v>
      </c>
      <c r="AP54" s="491">
        <v>0</v>
      </c>
      <c r="AQ54" s="491">
        <v>0</v>
      </c>
      <c r="AR54" s="491">
        <v>0</v>
      </c>
      <c r="AS54" s="491">
        <v>0</v>
      </c>
      <c r="AT54" s="491">
        <v>0</v>
      </c>
      <c r="AU54" s="491">
        <v>0</v>
      </c>
      <c r="AV54" s="491">
        <v>0</v>
      </c>
      <c r="AW54" s="491">
        <v>0</v>
      </c>
      <c r="AX54" s="491">
        <v>0</v>
      </c>
      <c r="AY54" s="491">
        <v>0</v>
      </c>
      <c r="AZ54" s="492">
        <v>0</v>
      </c>
    </row>
    <row r="55" spans="1:52" s="470" customFormat="1">
      <c r="A55" s="493">
        <f>'[4]Allocation Methodology'!A51</f>
        <v>47</v>
      </c>
      <c r="B55" s="494" t="str">
        <f>'[4]Allocation Methodology'!B51</f>
        <v>Loblaw &amp; York Region Demand Response</v>
      </c>
      <c r="C55" s="494" t="str">
        <f>'[4]Allocation Methodology'!C51</f>
        <v>Business, Industrial</v>
      </c>
      <c r="D55" s="494" t="s">
        <v>480</v>
      </c>
      <c r="E55" s="494">
        <f>'[4]Allocation Methodology'!D51</f>
        <v>2009</v>
      </c>
      <c r="F55" s="495" t="str">
        <f>'[4]Allocation Methodology'!E51</f>
        <v>Final</v>
      </c>
      <c r="G55" s="472" t="b">
        <v>0</v>
      </c>
      <c r="H55" s="496">
        <v>0</v>
      </c>
      <c r="I55" s="497">
        <v>0</v>
      </c>
      <c r="J55" s="497">
        <v>0</v>
      </c>
      <c r="K55" s="497">
        <v>0.19930617967747344</v>
      </c>
      <c r="L55" s="497">
        <v>0</v>
      </c>
      <c r="M55" s="497">
        <v>0</v>
      </c>
      <c r="N55" s="497">
        <v>0</v>
      </c>
      <c r="O55" s="497">
        <v>0</v>
      </c>
      <c r="P55" s="497">
        <v>0</v>
      </c>
      <c r="Q55" s="497">
        <v>0</v>
      </c>
      <c r="R55" s="497">
        <v>0</v>
      </c>
      <c r="S55" s="497">
        <v>0</v>
      </c>
      <c r="T55" s="497">
        <v>0</v>
      </c>
      <c r="U55" s="497">
        <v>0</v>
      </c>
      <c r="V55" s="497">
        <v>0</v>
      </c>
      <c r="W55" s="497">
        <v>0</v>
      </c>
      <c r="X55" s="497">
        <v>0</v>
      </c>
      <c r="Y55" s="497">
        <v>0</v>
      </c>
      <c r="Z55" s="497">
        <v>0</v>
      </c>
      <c r="AA55" s="497">
        <v>0</v>
      </c>
      <c r="AB55" s="497">
        <v>0</v>
      </c>
      <c r="AC55" s="497">
        <v>0</v>
      </c>
      <c r="AD55" s="497">
        <v>0</v>
      </c>
      <c r="AE55" s="497">
        <v>0</v>
      </c>
      <c r="AF55" s="497">
        <v>0</v>
      </c>
      <c r="AG55" s="498">
        <v>0</v>
      </c>
      <c r="AH55" s="498">
        <v>0</v>
      </c>
      <c r="AI55" s="498">
        <v>0</v>
      </c>
      <c r="AJ55" s="498">
        <v>0</v>
      </c>
      <c r="AK55" s="498">
        <v>0</v>
      </c>
      <c r="AL55" s="498">
        <v>0</v>
      </c>
      <c r="AM55" s="498">
        <v>0</v>
      </c>
      <c r="AN55" s="498">
        <v>0</v>
      </c>
      <c r="AO55" s="498">
        <v>0</v>
      </c>
      <c r="AP55" s="498">
        <v>0</v>
      </c>
      <c r="AQ55" s="498">
        <v>0</v>
      </c>
      <c r="AR55" s="498">
        <v>0</v>
      </c>
      <c r="AS55" s="498">
        <v>0</v>
      </c>
      <c r="AT55" s="498">
        <v>0</v>
      </c>
      <c r="AU55" s="498">
        <v>0</v>
      </c>
      <c r="AV55" s="498">
        <v>0</v>
      </c>
      <c r="AW55" s="498">
        <v>0</v>
      </c>
      <c r="AX55" s="498">
        <v>0</v>
      </c>
      <c r="AY55" s="498">
        <v>0</v>
      </c>
      <c r="AZ55" s="499">
        <v>0</v>
      </c>
    </row>
    <row r="56" spans="1:52" s="470" customFormat="1">
      <c r="A56" s="486">
        <f>'[4]Allocation Methodology'!A52</f>
        <v>48</v>
      </c>
      <c r="B56" s="487" t="str">
        <f>'[4]Allocation Methodology'!B52</f>
        <v>LDC Custom - Thunder Bay Hydro - Phantom Load</v>
      </c>
      <c r="C56" s="487" t="str">
        <f>'[4]Allocation Methodology'!C52</f>
        <v>Consumer</v>
      </c>
      <c r="D56" s="487" t="s">
        <v>58</v>
      </c>
      <c r="E56" s="487">
        <f>'[4]Allocation Methodology'!D52</f>
        <v>2009</v>
      </c>
      <c r="F56" s="488" t="str">
        <f>'[4]Allocation Methodology'!E52</f>
        <v>Final</v>
      </c>
      <c r="G56" s="472" t="b">
        <v>0</v>
      </c>
      <c r="H56" s="489">
        <v>0</v>
      </c>
      <c r="I56" s="490">
        <v>0</v>
      </c>
      <c r="J56" s="490">
        <v>0</v>
      </c>
      <c r="K56" s="490">
        <v>0</v>
      </c>
      <c r="L56" s="490">
        <v>0</v>
      </c>
      <c r="M56" s="490">
        <v>0</v>
      </c>
      <c r="N56" s="490">
        <v>0</v>
      </c>
      <c r="O56" s="490">
        <v>0</v>
      </c>
      <c r="P56" s="490">
        <v>0</v>
      </c>
      <c r="Q56" s="490">
        <v>0</v>
      </c>
      <c r="R56" s="490">
        <v>0</v>
      </c>
      <c r="S56" s="490">
        <v>0</v>
      </c>
      <c r="T56" s="490">
        <v>0</v>
      </c>
      <c r="U56" s="490">
        <v>0</v>
      </c>
      <c r="V56" s="490">
        <v>0</v>
      </c>
      <c r="W56" s="490">
        <v>0</v>
      </c>
      <c r="X56" s="490">
        <v>0</v>
      </c>
      <c r="Y56" s="490">
        <v>0</v>
      </c>
      <c r="Z56" s="490">
        <v>0</v>
      </c>
      <c r="AA56" s="490">
        <v>0</v>
      </c>
      <c r="AB56" s="490">
        <v>0</v>
      </c>
      <c r="AC56" s="490">
        <v>0</v>
      </c>
      <c r="AD56" s="490">
        <v>0</v>
      </c>
      <c r="AE56" s="490">
        <v>0</v>
      </c>
      <c r="AF56" s="490">
        <v>0</v>
      </c>
      <c r="AG56" s="491">
        <v>0</v>
      </c>
      <c r="AH56" s="491">
        <v>0</v>
      </c>
      <c r="AI56" s="491">
        <v>0</v>
      </c>
      <c r="AJ56" s="491">
        <v>0</v>
      </c>
      <c r="AK56" s="491">
        <v>0</v>
      </c>
      <c r="AL56" s="491">
        <v>0</v>
      </c>
      <c r="AM56" s="491">
        <v>0</v>
      </c>
      <c r="AN56" s="491">
        <v>0</v>
      </c>
      <c r="AO56" s="491">
        <v>0</v>
      </c>
      <c r="AP56" s="491">
        <v>0</v>
      </c>
      <c r="AQ56" s="491">
        <v>0</v>
      </c>
      <c r="AR56" s="491">
        <v>0</v>
      </c>
      <c r="AS56" s="491">
        <v>0</v>
      </c>
      <c r="AT56" s="491">
        <v>0</v>
      </c>
      <c r="AU56" s="491">
        <v>0</v>
      </c>
      <c r="AV56" s="491">
        <v>0</v>
      </c>
      <c r="AW56" s="491">
        <v>0</v>
      </c>
      <c r="AX56" s="491">
        <v>0</v>
      </c>
      <c r="AY56" s="491">
        <v>0</v>
      </c>
      <c r="AZ56" s="492">
        <v>0</v>
      </c>
    </row>
    <row r="57" spans="1:52" s="470" customFormat="1">
      <c r="A57" s="523">
        <f>'[4]Allocation Methodology'!A53</f>
        <v>49</v>
      </c>
      <c r="B57" s="524" t="str">
        <f>'[4]Allocation Methodology'!B53</f>
        <v>LDC Custom - Toronto Hydro - Summer Challenge</v>
      </c>
      <c r="C57" s="524" t="str">
        <f>'[4]Allocation Methodology'!C53</f>
        <v>Consumer</v>
      </c>
      <c r="D57" s="524" t="s">
        <v>58</v>
      </c>
      <c r="E57" s="524">
        <f>'[4]Allocation Methodology'!D53</f>
        <v>2009</v>
      </c>
      <c r="F57" s="525" t="str">
        <f>'[4]Allocation Methodology'!E53</f>
        <v>Final</v>
      </c>
      <c r="G57" s="472" t="b">
        <v>0</v>
      </c>
      <c r="H57" s="496">
        <v>0</v>
      </c>
      <c r="I57" s="497">
        <v>0</v>
      </c>
      <c r="J57" s="497">
        <v>0</v>
      </c>
      <c r="K57" s="497">
        <v>0</v>
      </c>
      <c r="L57" s="497">
        <v>0</v>
      </c>
      <c r="M57" s="497">
        <v>0</v>
      </c>
      <c r="N57" s="497">
        <v>0</v>
      </c>
      <c r="O57" s="497">
        <v>0</v>
      </c>
      <c r="P57" s="497">
        <v>0</v>
      </c>
      <c r="Q57" s="497">
        <v>0</v>
      </c>
      <c r="R57" s="497">
        <v>0</v>
      </c>
      <c r="S57" s="497">
        <v>0</v>
      </c>
      <c r="T57" s="497">
        <v>0</v>
      </c>
      <c r="U57" s="497">
        <v>0</v>
      </c>
      <c r="V57" s="497">
        <v>0</v>
      </c>
      <c r="W57" s="497">
        <v>0</v>
      </c>
      <c r="X57" s="497">
        <v>0</v>
      </c>
      <c r="Y57" s="497">
        <v>0</v>
      </c>
      <c r="Z57" s="497">
        <v>0</v>
      </c>
      <c r="AA57" s="497">
        <v>0</v>
      </c>
      <c r="AB57" s="497">
        <v>0</v>
      </c>
      <c r="AC57" s="497">
        <v>0</v>
      </c>
      <c r="AD57" s="497">
        <v>0</v>
      </c>
      <c r="AE57" s="497">
        <v>0</v>
      </c>
      <c r="AF57" s="497">
        <v>0</v>
      </c>
      <c r="AG57" s="498">
        <v>0</v>
      </c>
      <c r="AH57" s="498">
        <v>0</v>
      </c>
      <c r="AI57" s="498">
        <v>0</v>
      </c>
      <c r="AJ57" s="498">
        <v>0</v>
      </c>
      <c r="AK57" s="498">
        <v>0</v>
      </c>
      <c r="AL57" s="498">
        <v>0</v>
      </c>
      <c r="AM57" s="498">
        <v>0</v>
      </c>
      <c r="AN57" s="498">
        <v>0</v>
      </c>
      <c r="AO57" s="498">
        <v>0</v>
      </c>
      <c r="AP57" s="498">
        <v>0</v>
      </c>
      <c r="AQ57" s="498">
        <v>0</v>
      </c>
      <c r="AR57" s="498">
        <v>0</v>
      </c>
      <c r="AS57" s="498">
        <v>0</v>
      </c>
      <c r="AT57" s="498">
        <v>0</v>
      </c>
      <c r="AU57" s="498">
        <v>0</v>
      </c>
      <c r="AV57" s="498">
        <v>0</v>
      </c>
      <c r="AW57" s="498">
        <v>0</v>
      </c>
      <c r="AX57" s="498">
        <v>0</v>
      </c>
      <c r="AY57" s="498">
        <v>0</v>
      </c>
      <c r="AZ57" s="499">
        <v>0</v>
      </c>
    </row>
    <row r="58" spans="1:52" s="470" customFormat="1">
      <c r="A58" s="515">
        <f>'[4]Allocation Methodology'!A54</f>
        <v>50</v>
      </c>
      <c r="B58" s="516" t="str">
        <f>'[4]Allocation Methodology'!B54</f>
        <v>LDC Custom - PowerStream - Data Centers</v>
      </c>
      <c r="C58" s="516" t="str">
        <f>'[4]Allocation Methodology'!C54</f>
        <v>Business</v>
      </c>
      <c r="D58" s="516" t="s">
        <v>58</v>
      </c>
      <c r="E58" s="516">
        <f>'[4]Allocation Methodology'!D54</f>
        <v>2009</v>
      </c>
      <c r="F58" s="517" t="str">
        <f>'[4]Allocation Methodology'!E54</f>
        <v>Final</v>
      </c>
      <c r="G58" s="472"/>
      <c r="H58" s="518">
        <v>0</v>
      </c>
      <c r="I58" s="519">
        <v>0</v>
      </c>
      <c r="J58" s="519">
        <v>0</v>
      </c>
      <c r="K58" s="519">
        <v>0</v>
      </c>
      <c r="L58" s="519">
        <v>0</v>
      </c>
      <c r="M58" s="519">
        <v>0</v>
      </c>
      <c r="N58" s="519">
        <v>0</v>
      </c>
      <c r="O58" s="519">
        <v>0</v>
      </c>
      <c r="P58" s="519">
        <v>0</v>
      </c>
      <c r="Q58" s="519">
        <v>0</v>
      </c>
      <c r="R58" s="519">
        <v>0</v>
      </c>
      <c r="S58" s="519">
        <v>0</v>
      </c>
      <c r="T58" s="519">
        <v>0</v>
      </c>
      <c r="U58" s="519">
        <v>0</v>
      </c>
      <c r="V58" s="519">
        <v>0</v>
      </c>
      <c r="W58" s="519">
        <v>0</v>
      </c>
      <c r="X58" s="519">
        <v>0</v>
      </c>
      <c r="Y58" s="519">
        <v>0</v>
      </c>
      <c r="Z58" s="519">
        <v>0</v>
      </c>
      <c r="AA58" s="519">
        <v>0</v>
      </c>
      <c r="AB58" s="519">
        <v>0</v>
      </c>
      <c r="AC58" s="519">
        <v>0</v>
      </c>
      <c r="AD58" s="519">
        <v>0</v>
      </c>
      <c r="AE58" s="519">
        <v>0</v>
      </c>
      <c r="AF58" s="519">
        <v>0</v>
      </c>
      <c r="AG58" s="520">
        <v>0</v>
      </c>
      <c r="AH58" s="520">
        <v>0</v>
      </c>
      <c r="AI58" s="520">
        <v>0</v>
      </c>
      <c r="AJ58" s="520">
        <v>0</v>
      </c>
      <c r="AK58" s="520">
        <v>0</v>
      </c>
      <c r="AL58" s="520">
        <v>0</v>
      </c>
      <c r="AM58" s="520">
        <v>0</v>
      </c>
      <c r="AN58" s="520">
        <v>0</v>
      </c>
      <c r="AO58" s="520">
        <v>0</v>
      </c>
      <c r="AP58" s="520">
        <v>0</v>
      </c>
      <c r="AQ58" s="520">
        <v>0</v>
      </c>
      <c r="AR58" s="520">
        <v>0</v>
      </c>
      <c r="AS58" s="520">
        <v>0</v>
      </c>
      <c r="AT58" s="520">
        <v>0</v>
      </c>
      <c r="AU58" s="520">
        <v>0</v>
      </c>
      <c r="AV58" s="520">
        <v>0</v>
      </c>
      <c r="AW58" s="520">
        <v>0</v>
      </c>
      <c r="AX58" s="520">
        <v>0</v>
      </c>
      <c r="AY58" s="520">
        <v>0</v>
      </c>
      <c r="AZ58" s="521">
        <v>0</v>
      </c>
    </row>
    <row r="59" spans="1:52" s="470" customFormat="1">
      <c r="A59" s="479">
        <f>'[4]Allocation Methodology'!A55</f>
        <v>51</v>
      </c>
      <c r="B59" s="480" t="str">
        <f>'[4]Allocation Methodology'!B55</f>
        <v>Toronto Comprehensive Adjustment</v>
      </c>
      <c r="C59" s="480" t="str">
        <f>'[4]Allocation Methodology'!C55</f>
        <v>Consumer, Business</v>
      </c>
      <c r="D59" s="480" t="s">
        <v>58</v>
      </c>
      <c r="E59" s="480">
        <f>'[4]Allocation Methodology'!D55</f>
        <v>2008</v>
      </c>
      <c r="F59" s="481" t="str">
        <f>'[4]Allocation Methodology'!E55</f>
        <v>Final</v>
      </c>
      <c r="G59" s="472"/>
      <c r="H59" s="482">
        <v>0</v>
      </c>
      <c r="I59" s="483">
        <v>0</v>
      </c>
      <c r="J59" s="483">
        <v>0</v>
      </c>
      <c r="K59" s="483">
        <v>0</v>
      </c>
      <c r="L59" s="483">
        <v>0</v>
      </c>
      <c r="M59" s="483">
        <v>0</v>
      </c>
      <c r="N59" s="483">
        <v>0</v>
      </c>
      <c r="O59" s="483">
        <v>0</v>
      </c>
      <c r="P59" s="483">
        <v>0</v>
      </c>
      <c r="Q59" s="483">
        <v>0</v>
      </c>
      <c r="R59" s="483">
        <v>0</v>
      </c>
      <c r="S59" s="483">
        <v>0</v>
      </c>
      <c r="T59" s="483">
        <v>0</v>
      </c>
      <c r="U59" s="483">
        <v>0</v>
      </c>
      <c r="V59" s="483">
        <v>0</v>
      </c>
      <c r="W59" s="483">
        <v>0</v>
      </c>
      <c r="X59" s="483">
        <v>0</v>
      </c>
      <c r="Y59" s="483">
        <v>0</v>
      </c>
      <c r="Z59" s="483">
        <v>0</v>
      </c>
      <c r="AA59" s="483">
        <v>0</v>
      </c>
      <c r="AB59" s="483">
        <v>0</v>
      </c>
      <c r="AC59" s="483">
        <v>0</v>
      </c>
      <c r="AD59" s="483">
        <v>0</v>
      </c>
      <c r="AE59" s="483">
        <v>0</v>
      </c>
      <c r="AF59" s="483">
        <v>0</v>
      </c>
      <c r="AG59" s="484">
        <v>0</v>
      </c>
      <c r="AH59" s="484">
        <v>0</v>
      </c>
      <c r="AI59" s="484">
        <v>0</v>
      </c>
      <c r="AJ59" s="484">
        <v>0</v>
      </c>
      <c r="AK59" s="484">
        <v>0</v>
      </c>
      <c r="AL59" s="484">
        <v>0</v>
      </c>
      <c r="AM59" s="484">
        <v>0</v>
      </c>
      <c r="AN59" s="484">
        <v>0</v>
      </c>
      <c r="AO59" s="484">
        <v>0</v>
      </c>
      <c r="AP59" s="484">
        <v>0</v>
      </c>
      <c r="AQ59" s="484">
        <v>0</v>
      </c>
      <c r="AR59" s="484">
        <v>0</v>
      </c>
      <c r="AS59" s="484">
        <v>0</v>
      </c>
      <c r="AT59" s="484">
        <v>0</v>
      </c>
      <c r="AU59" s="484">
        <v>0</v>
      </c>
      <c r="AV59" s="484">
        <v>0</v>
      </c>
      <c r="AW59" s="484">
        <v>0</v>
      </c>
      <c r="AX59" s="484">
        <v>0</v>
      </c>
      <c r="AY59" s="484">
        <v>0</v>
      </c>
      <c r="AZ59" s="485">
        <v>0</v>
      </c>
    </row>
    <row r="60" spans="1:52" s="470" customFormat="1">
      <c r="A60" s="515">
        <f>'[4]Allocation Methodology'!A56</f>
        <v>52</v>
      </c>
      <c r="B60" s="516" t="str">
        <f>'[4]Allocation Methodology'!B56</f>
        <v>LDC Custom - Hydro One Networks Inc. - Double Return Adjustment</v>
      </c>
      <c r="C60" s="516" t="str">
        <f>'[4]Allocation Methodology'!C56</f>
        <v>Business, Industrial</v>
      </c>
      <c r="D60" s="516" t="s">
        <v>58</v>
      </c>
      <c r="E60" s="516">
        <f>'[4]Allocation Methodology'!D56</f>
        <v>2008</v>
      </c>
      <c r="F60" s="517" t="str">
        <f>'[4]Allocation Methodology'!E56</f>
        <v>Final</v>
      </c>
      <c r="G60" s="472"/>
      <c r="H60" s="518">
        <v>0</v>
      </c>
      <c r="I60" s="519">
        <v>0</v>
      </c>
      <c r="J60" s="519">
        <v>0</v>
      </c>
      <c r="K60" s="519">
        <v>0</v>
      </c>
      <c r="L60" s="519">
        <v>0</v>
      </c>
      <c r="M60" s="519">
        <v>0</v>
      </c>
      <c r="N60" s="519">
        <v>0</v>
      </c>
      <c r="O60" s="519">
        <v>0</v>
      </c>
      <c r="P60" s="519">
        <v>0</v>
      </c>
      <c r="Q60" s="519">
        <v>0</v>
      </c>
      <c r="R60" s="519">
        <v>0</v>
      </c>
      <c r="S60" s="519">
        <v>0</v>
      </c>
      <c r="T60" s="519">
        <v>0</v>
      </c>
      <c r="U60" s="519">
        <v>0</v>
      </c>
      <c r="V60" s="519">
        <v>0</v>
      </c>
      <c r="W60" s="519">
        <v>0</v>
      </c>
      <c r="X60" s="519">
        <v>0</v>
      </c>
      <c r="Y60" s="519">
        <v>0</v>
      </c>
      <c r="Z60" s="519">
        <v>0</v>
      </c>
      <c r="AA60" s="519">
        <v>0</v>
      </c>
      <c r="AB60" s="519">
        <v>0</v>
      </c>
      <c r="AC60" s="519">
        <v>0</v>
      </c>
      <c r="AD60" s="519">
        <v>0</v>
      </c>
      <c r="AE60" s="519">
        <v>0</v>
      </c>
      <c r="AF60" s="519">
        <v>0</v>
      </c>
      <c r="AG60" s="520">
        <v>0</v>
      </c>
      <c r="AH60" s="520">
        <v>0</v>
      </c>
      <c r="AI60" s="520">
        <v>0</v>
      </c>
      <c r="AJ60" s="520">
        <v>0</v>
      </c>
      <c r="AK60" s="520">
        <v>0</v>
      </c>
      <c r="AL60" s="520">
        <v>0</v>
      </c>
      <c r="AM60" s="520">
        <v>0</v>
      </c>
      <c r="AN60" s="520">
        <v>0</v>
      </c>
      <c r="AO60" s="520">
        <v>0</v>
      </c>
      <c r="AP60" s="520">
        <v>0</v>
      </c>
      <c r="AQ60" s="520">
        <v>0</v>
      </c>
      <c r="AR60" s="520">
        <v>0</v>
      </c>
      <c r="AS60" s="520">
        <v>0</v>
      </c>
      <c r="AT60" s="520">
        <v>0</v>
      </c>
      <c r="AU60" s="520">
        <v>0</v>
      </c>
      <c r="AV60" s="520">
        <v>0</v>
      </c>
      <c r="AW60" s="520">
        <v>0</v>
      </c>
      <c r="AX60" s="520">
        <v>0</v>
      </c>
      <c r="AY60" s="520">
        <v>0</v>
      </c>
      <c r="AZ60" s="521">
        <v>0</v>
      </c>
    </row>
    <row r="61" spans="1:52" s="470" customFormat="1">
      <c r="A61" s="479">
        <f>'[4]Allocation Methodology'!A57</f>
        <v>53</v>
      </c>
      <c r="B61" s="480" t="str">
        <f>'[4]Allocation Methodology'!B57</f>
        <v>Great Refrigerator Roundup</v>
      </c>
      <c r="C61" s="480" t="str">
        <f>'[4]Allocation Methodology'!C57</f>
        <v>Consumer</v>
      </c>
      <c r="D61" s="480" t="s">
        <v>17</v>
      </c>
      <c r="E61" s="480">
        <f>'[4]Allocation Methodology'!D57</f>
        <v>2010</v>
      </c>
      <c r="F61" s="481" t="str">
        <f>'[4]Allocation Methodology'!E57</f>
        <v>Final</v>
      </c>
      <c r="G61" s="472"/>
      <c r="H61" s="526">
        <v>0</v>
      </c>
      <c r="I61" s="527">
        <v>0</v>
      </c>
      <c r="J61" s="527">
        <v>0</v>
      </c>
      <c r="K61" s="527">
        <v>0</v>
      </c>
      <c r="L61" s="527">
        <v>1.3571767054916849E-2</v>
      </c>
      <c r="M61" s="527">
        <v>1.3571767054916849E-2</v>
      </c>
      <c r="N61" s="527">
        <v>1.3571767054916849E-2</v>
      </c>
      <c r="O61" s="527">
        <v>1.2617838813460935E-2</v>
      </c>
      <c r="P61" s="527">
        <v>9.0288108236690826E-3</v>
      </c>
      <c r="Q61" s="527">
        <v>0</v>
      </c>
      <c r="R61" s="527">
        <v>0</v>
      </c>
      <c r="S61" s="527">
        <v>0</v>
      </c>
      <c r="T61" s="527">
        <v>0</v>
      </c>
      <c r="U61" s="527">
        <v>0</v>
      </c>
      <c r="V61" s="527">
        <v>0</v>
      </c>
      <c r="W61" s="527">
        <v>0</v>
      </c>
      <c r="X61" s="527">
        <v>0</v>
      </c>
      <c r="Y61" s="527">
        <v>0</v>
      </c>
      <c r="Z61" s="527">
        <v>0</v>
      </c>
      <c r="AA61" s="527">
        <v>0</v>
      </c>
      <c r="AB61" s="527">
        <v>0</v>
      </c>
      <c r="AC61" s="527">
        <v>0</v>
      </c>
      <c r="AD61" s="527">
        <v>0</v>
      </c>
      <c r="AE61" s="527">
        <v>0</v>
      </c>
      <c r="AF61" s="527">
        <v>0</v>
      </c>
      <c r="AG61" s="528">
        <v>0</v>
      </c>
      <c r="AH61" s="528">
        <v>0</v>
      </c>
      <c r="AI61" s="528">
        <v>0</v>
      </c>
      <c r="AJ61" s="528">
        <v>0</v>
      </c>
      <c r="AK61" s="528">
        <v>0</v>
      </c>
      <c r="AL61" s="528">
        <v>0</v>
      </c>
      <c r="AM61" s="528">
        <v>0</v>
      </c>
      <c r="AN61" s="528">
        <v>0</v>
      </c>
      <c r="AO61" s="528">
        <v>0</v>
      </c>
      <c r="AP61" s="528">
        <v>0</v>
      </c>
      <c r="AQ61" s="528">
        <v>0</v>
      </c>
      <c r="AR61" s="528">
        <v>0</v>
      </c>
      <c r="AS61" s="528">
        <v>0</v>
      </c>
      <c r="AT61" s="528">
        <v>0</v>
      </c>
      <c r="AU61" s="528">
        <v>0</v>
      </c>
      <c r="AV61" s="528">
        <v>0</v>
      </c>
      <c r="AW61" s="528">
        <v>0</v>
      </c>
      <c r="AX61" s="528">
        <v>0</v>
      </c>
      <c r="AY61" s="528">
        <v>0</v>
      </c>
      <c r="AZ61" s="529">
        <v>0</v>
      </c>
    </row>
    <row r="62" spans="1:52" s="470" customFormat="1">
      <c r="A62" s="486">
        <f>'[4]Allocation Methodology'!A58</f>
        <v>54</v>
      </c>
      <c r="B62" s="487" t="str">
        <f>'[4]Allocation Methodology'!B58</f>
        <v>Cool Savings Rebate</v>
      </c>
      <c r="C62" s="487" t="str">
        <f>'[4]Allocation Methodology'!C58</f>
        <v>Consumer</v>
      </c>
      <c r="D62" s="487" t="s">
        <v>17</v>
      </c>
      <c r="E62" s="487">
        <f>'[4]Allocation Methodology'!D58</f>
        <v>2010</v>
      </c>
      <c r="F62" s="488" t="str">
        <f>'[4]Allocation Methodology'!E58</f>
        <v>Final</v>
      </c>
      <c r="G62" s="472"/>
      <c r="H62" s="489">
        <v>0</v>
      </c>
      <c r="I62" s="490">
        <v>0</v>
      </c>
      <c r="J62" s="490">
        <v>0</v>
      </c>
      <c r="K62" s="490">
        <v>0</v>
      </c>
      <c r="L62" s="490">
        <v>4.5320049962194832E-2</v>
      </c>
      <c r="M62" s="490">
        <v>4.5320049962194832E-2</v>
      </c>
      <c r="N62" s="490">
        <v>4.5320049962194832E-2</v>
      </c>
      <c r="O62" s="490">
        <v>4.5320049962194832E-2</v>
      </c>
      <c r="P62" s="490">
        <v>4.5320049962194832E-2</v>
      </c>
      <c r="Q62" s="490">
        <v>4.5320049962194832E-2</v>
      </c>
      <c r="R62" s="490">
        <v>4.5320049962194832E-2</v>
      </c>
      <c r="S62" s="490">
        <v>4.5320049962194832E-2</v>
      </c>
      <c r="T62" s="490">
        <v>4.5320049962194832E-2</v>
      </c>
      <c r="U62" s="490">
        <v>4.5320049962194832E-2</v>
      </c>
      <c r="V62" s="490">
        <v>4.5320049962194832E-2</v>
      </c>
      <c r="W62" s="490">
        <v>4.5320049962194832E-2</v>
      </c>
      <c r="X62" s="490">
        <v>4.5320049962194832E-2</v>
      </c>
      <c r="Y62" s="490">
        <v>4.5320049962194832E-2</v>
      </c>
      <c r="Z62" s="490">
        <v>4.5320049962194832E-2</v>
      </c>
      <c r="AA62" s="490">
        <v>4.4345889124962512E-2</v>
      </c>
      <c r="AB62" s="490">
        <v>4.4345889124962512E-2</v>
      </c>
      <c r="AC62" s="490">
        <v>4.4345889124962512E-2</v>
      </c>
      <c r="AD62" s="490">
        <v>3.9851884381790312E-2</v>
      </c>
      <c r="AE62" s="490">
        <v>0</v>
      </c>
      <c r="AF62" s="490">
        <v>0</v>
      </c>
      <c r="AG62" s="491">
        <v>0</v>
      </c>
      <c r="AH62" s="491">
        <v>0</v>
      </c>
      <c r="AI62" s="491">
        <v>0</v>
      </c>
      <c r="AJ62" s="491">
        <v>0</v>
      </c>
      <c r="AK62" s="491">
        <v>0</v>
      </c>
      <c r="AL62" s="491">
        <v>0</v>
      </c>
      <c r="AM62" s="491">
        <v>0</v>
      </c>
      <c r="AN62" s="491">
        <v>0</v>
      </c>
      <c r="AO62" s="491">
        <v>0</v>
      </c>
      <c r="AP62" s="491">
        <v>0</v>
      </c>
      <c r="AQ62" s="491">
        <v>0</v>
      </c>
      <c r="AR62" s="491">
        <v>0</v>
      </c>
      <c r="AS62" s="491">
        <v>0</v>
      </c>
      <c r="AT62" s="491">
        <v>0</v>
      </c>
      <c r="AU62" s="491">
        <v>0</v>
      </c>
      <c r="AV62" s="491">
        <v>0</v>
      </c>
      <c r="AW62" s="491">
        <v>0</v>
      </c>
      <c r="AX62" s="491">
        <v>0</v>
      </c>
      <c r="AY62" s="491">
        <v>0</v>
      </c>
      <c r="AZ62" s="492">
        <v>0</v>
      </c>
    </row>
    <row r="63" spans="1:52" s="470" customFormat="1">
      <c r="A63" s="493">
        <f>'[4]Allocation Methodology'!A59</f>
        <v>55</v>
      </c>
      <c r="B63" s="494" t="str">
        <f>'[4]Allocation Methodology'!B59</f>
        <v>Every Kilowatt Counts Power Savings Event</v>
      </c>
      <c r="C63" s="494" t="str">
        <f>'[4]Allocation Methodology'!C59</f>
        <v>Consumer</v>
      </c>
      <c r="D63" s="494" t="s">
        <v>17</v>
      </c>
      <c r="E63" s="494">
        <f>'[4]Allocation Methodology'!D59</f>
        <v>2010</v>
      </c>
      <c r="F63" s="495" t="str">
        <f>'[4]Allocation Methodology'!E59</f>
        <v>Final</v>
      </c>
      <c r="G63" s="472"/>
      <c r="H63" s="496">
        <v>0</v>
      </c>
      <c r="I63" s="497">
        <v>0</v>
      </c>
      <c r="J63" s="497">
        <v>0</v>
      </c>
      <c r="K63" s="497">
        <v>0</v>
      </c>
      <c r="L63" s="497">
        <v>7.9102505462775169E-3</v>
      </c>
      <c r="M63" s="497">
        <v>7.552654102152446E-3</v>
      </c>
      <c r="N63" s="497">
        <v>7.3715778473947748E-3</v>
      </c>
      <c r="O63" s="497">
        <v>7.3715778473947748E-3</v>
      </c>
      <c r="P63" s="497">
        <v>7.3715778473947748E-3</v>
      </c>
      <c r="Q63" s="497">
        <v>7.1302517976481478E-3</v>
      </c>
      <c r="R63" s="497">
        <v>6.8376049226685507E-3</v>
      </c>
      <c r="S63" s="497">
        <v>6.8376049226685507E-3</v>
      </c>
      <c r="T63" s="497">
        <v>6.8139925801342181E-3</v>
      </c>
      <c r="U63" s="497">
        <v>5.0749839832919304E-3</v>
      </c>
      <c r="V63" s="497">
        <v>2.9539306412880596E-3</v>
      </c>
      <c r="W63" s="497">
        <v>2.9539306412880596E-3</v>
      </c>
      <c r="X63" s="497">
        <v>2.7412498847349319E-3</v>
      </c>
      <c r="Y63" s="497">
        <v>2.7412498847349319E-3</v>
      </c>
      <c r="Z63" s="497">
        <v>2.7412498847349319E-3</v>
      </c>
      <c r="AA63" s="497">
        <v>3.7191837741592208E-4</v>
      </c>
      <c r="AB63" s="497">
        <v>5.1457930911912316E-6</v>
      </c>
      <c r="AC63" s="497">
        <v>5.1457930911912316E-6</v>
      </c>
      <c r="AD63" s="497">
        <v>5.1457930911912316E-6</v>
      </c>
      <c r="AE63" s="497">
        <v>5.1457930911912316E-6</v>
      </c>
      <c r="AF63" s="497">
        <v>0</v>
      </c>
      <c r="AG63" s="498">
        <v>0</v>
      </c>
      <c r="AH63" s="498">
        <v>0</v>
      </c>
      <c r="AI63" s="498">
        <v>0</v>
      </c>
      <c r="AJ63" s="498">
        <v>0</v>
      </c>
      <c r="AK63" s="498">
        <v>0</v>
      </c>
      <c r="AL63" s="498">
        <v>0</v>
      </c>
      <c r="AM63" s="498">
        <v>0</v>
      </c>
      <c r="AN63" s="498">
        <v>0</v>
      </c>
      <c r="AO63" s="498">
        <v>0</v>
      </c>
      <c r="AP63" s="498">
        <v>0</v>
      </c>
      <c r="AQ63" s="498">
        <v>0</v>
      </c>
      <c r="AR63" s="498">
        <v>0</v>
      </c>
      <c r="AS63" s="498">
        <v>0</v>
      </c>
      <c r="AT63" s="498">
        <v>0</v>
      </c>
      <c r="AU63" s="498">
        <v>0</v>
      </c>
      <c r="AV63" s="498">
        <v>0</v>
      </c>
      <c r="AW63" s="498">
        <v>0</v>
      </c>
      <c r="AX63" s="498">
        <v>0</v>
      </c>
      <c r="AY63" s="498">
        <v>0</v>
      </c>
      <c r="AZ63" s="499">
        <v>0</v>
      </c>
    </row>
    <row r="64" spans="1:52" s="470" customFormat="1">
      <c r="A64" s="486">
        <f>'[4]Allocation Methodology'!A60</f>
        <v>56</v>
      </c>
      <c r="B64" s="522" t="str">
        <f>'[4]Allocation Methodology'!B60</f>
        <v>peaksaver®</v>
      </c>
      <c r="C64" s="487" t="str">
        <f>'[4]Allocation Methodology'!C60</f>
        <v>Consumer, Business</v>
      </c>
      <c r="D64" s="487" t="s">
        <v>58</v>
      </c>
      <c r="E64" s="487">
        <f>'[4]Allocation Methodology'!D60</f>
        <v>2010</v>
      </c>
      <c r="F64" s="488" t="str">
        <f>'[4]Allocation Methodology'!E60</f>
        <v>Final</v>
      </c>
      <c r="G64" s="472"/>
      <c r="H64" s="489">
        <v>0</v>
      </c>
      <c r="I64" s="490">
        <v>0</v>
      </c>
      <c r="J64" s="490">
        <v>0</v>
      </c>
      <c r="K64" s="490">
        <v>0</v>
      </c>
      <c r="L64" s="490">
        <v>0</v>
      </c>
      <c r="M64" s="490">
        <v>0</v>
      </c>
      <c r="N64" s="490">
        <v>0</v>
      </c>
      <c r="O64" s="490">
        <v>0</v>
      </c>
      <c r="P64" s="490">
        <v>0</v>
      </c>
      <c r="Q64" s="490">
        <v>0</v>
      </c>
      <c r="R64" s="490">
        <v>0</v>
      </c>
      <c r="S64" s="490">
        <v>0</v>
      </c>
      <c r="T64" s="490">
        <v>0</v>
      </c>
      <c r="U64" s="490">
        <v>0</v>
      </c>
      <c r="V64" s="490">
        <v>0</v>
      </c>
      <c r="W64" s="490">
        <v>0</v>
      </c>
      <c r="X64" s="490">
        <v>0</v>
      </c>
      <c r="Y64" s="490">
        <v>0</v>
      </c>
      <c r="Z64" s="490">
        <v>0</v>
      </c>
      <c r="AA64" s="490">
        <v>0</v>
      </c>
      <c r="AB64" s="490">
        <v>0</v>
      </c>
      <c r="AC64" s="490">
        <v>0</v>
      </c>
      <c r="AD64" s="490">
        <v>0</v>
      </c>
      <c r="AE64" s="490">
        <v>0</v>
      </c>
      <c r="AF64" s="490">
        <v>0</v>
      </c>
      <c r="AG64" s="491">
        <v>0</v>
      </c>
      <c r="AH64" s="491">
        <v>0</v>
      </c>
      <c r="AI64" s="491">
        <v>0</v>
      </c>
      <c r="AJ64" s="491">
        <v>0</v>
      </c>
      <c r="AK64" s="491">
        <v>0</v>
      </c>
      <c r="AL64" s="491">
        <v>0</v>
      </c>
      <c r="AM64" s="491">
        <v>0</v>
      </c>
      <c r="AN64" s="491">
        <v>0</v>
      </c>
      <c r="AO64" s="491">
        <v>0</v>
      </c>
      <c r="AP64" s="491">
        <v>0</v>
      </c>
      <c r="AQ64" s="491">
        <v>0</v>
      </c>
      <c r="AR64" s="491">
        <v>0</v>
      </c>
      <c r="AS64" s="491">
        <v>0</v>
      </c>
      <c r="AT64" s="491">
        <v>0</v>
      </c>
      <c r="AU64" s="491">
        <v>0</v>
      </c>
      <c r="AV64" s="491">
        <v>0</v>
      </c>
      <c r="AW64" s="491">
        <v>0</v>
      </c>
      <c r="AX64" s="491">
        <v>0</v>
      </c>
      <c r="AY64" s="491">
        <v>0</v>
      </c>
      <c r="AZ64" s="492">
        <v>0</v>
      </c>
    </row>
    <row r="65" spans="1:52" s="470" customFormat="1">
      <c r="A65" s="493">
        <f>'[4]Allocation Methodology'!A61</f>
        <v>57</v>
      </c>
      <c r="B65" s="494" t="str">
        <f>'[4]Allocation Methodology'!B61</f>
        <v>Electricity Retrofit Incentive</v>
      </c>
      <c r="C65" s="494" t="str">
        <f>'[4]Allocation Methodology'!C61</f>
        <v>Consumer, Business</v>
      </c>
      <c r="D65" s="494" t="s">
        <v>480</v>
      </c>
      <c r="E65" s="494">
        <f>'[4]Allocation Methodology'!D61</f>
        <v>2010</v>
      </c>
      <c r="F65" s="495" t="str">
        <f>'[4]Allocation Methodology'!E61</f>
        <v>Final</v>
      </c>
      <c r="G65" s="472"/>
      <c r="H65" s="496">
        <v>0</v>
      </c>
      <c r="I65" s="497">
        <v>0</v>
      </c>
      <c r="J65" s="497">
        <v>0</v>
      </c>
      <c r="K65" s="497">
        <v>0</v>
      </c>
      <c r="L65" s="497">
        <v>4.2683321424087324E-2</v>
      </c>
      <c r="M65" s="497">
        <v>4.2683321424087324E-2</v>
      </c>
      <c r="N65" s="497">
        <v>4.2683321424087324E-2</v>
      </c>
      <c r="O65" s="497">
        <v>4.2683321424087324E-2</v>
      </c>
      <c r="P65" s="497">
        <v>4.2683321424087324E-2</v>
      </c>
      <c r="Q65" s="497">
        <v>4.2683321424087324E-2</v>
      </c>
      <c r="R65" s="497">
        <v>4.2683321424087324E-2</v>
      </c>
      <c r="S65" s="497">
        <v>4.2683321424087324E-2</v>
      </c>
      <c r="T65" s="497">
        <v>4.2683321424087324E-2</v>
      </c>
      <c r="U65" s="497">
        <v>4.2252176763237954E-2</v>
      </c>
      <c r="V65" s="497">
        <v>0</v>
      </c>
      <c r="W65" s="497">
        <v>0</v>
      </c>
      <c r="X65" s="497">
        <v>0</v>
      </c>
      <c r="Y65" s="497">
        <v>0</v>
      </c>
      <c r="Z65" s="497">
        <v>0</v>
      </c>
      <c r="AA65" s="497">
        <v>0</v>
      </c>
      <c r="AB65" s="497">
        <v>0</v>
      </c>
      <c r="AC65" s="497">
        <v>0</v>
      </c>
      <c r="AD65" s="497">
        <v>0</v>
      </c>
      <c r="AE65" s="497">
        <v>0</v>
      </c>
      <c r="AF65" s="497">
        <v>0</v>
      </c>
      <c r="AG65" s="498">
        <v>0</v>
      </c>
      <c r="AH65" s="498">
        <v>0</v>
      </c>
      <c r="AI65" s="498">
        <v>0</v>
      </c>
      <c r="AJ65" s="498">
        <v>0</v>
      </c>
      <c r="AK65" s="498">
        <v>0</v>
      </c>
      <c r="AL65" s="498">
        <v>0</v>
      </c>
      <c r="AM65" s="498">
        <v>0</v>
      </c>
      <c r="AN65" s="498">
        <v>0</v>
      </c>
      <c r="AO65" s="498">
        <v>0</v>
      </c>
      <c r="AP65" s="498">
        <v>0</v>
      </c>
      <c r="AQ65" s="498">
        <v>0</v>
      </c>
      <c r="AR65" s="498">
        <v>0</v>
      </c>
      <c r="AS65" s="498">
        <v>0</v>
      </c>
      <c r="AT65" s="498">
        <v>0</v>
      </c>
      <c r="AU65" s="498">
        <v>0</v>
      </c>
      <c r="AV65" s="498">
        <v>0</v>
      </c>
      <c r="AW65" s="498">
        <v>0</v>
      </c>
      <c r="AX65" s="498">
        <v>0</v>
      </c>
      <c r="AY65" s="498">
        <v>0</v>
      </c>
      <c r="AZ65" s="499">
        <v>0</v>
      </c>
    </row>
    <row r="66" spans="1:52" s="470" customFormat="1">
      <c r="A66" s="486">
        <f>'[4]Allocation Methodology'!A62</f>
        <v>58</v>
      </c>
      <c r="B66" s="487" t="str">
        <f>'[4]Allocation Methodology'!B62</f>
        <v>Toronto Comprehensive</v>
      </c>
      <c r="C66" s="487" t="str">
        <f>'[4]Allocation Methodology'!C62</f>
        <v>Consumer, Consumer Low-Income, Business, Industrial</v>
      </c>
      <c r="D66" s="487" t="s">
        <v>58</v>
      </c>
      <c r="E66" s="487">
        <f>'[4]Allocation Methodology'!D62</f>
        <v>2010</v>
      </c>
      <c r="F66" s="488" t="str">
        <f>'[4]Allocation Methodology'!E62</f>
        <v>Final</v>
      </c>
      <c r="G66" s="472"/>
      <c r="H66" s="489">
        <v>0</v>
      </c>
      <c r="I66" s="490">
        <v>0</v>
      </c>
      <c r="J66" s="490">
        <v>0</v>
      </c>
      <c r="K66" s="490">
        <v>0</v>
      </c>
      <c r="L66" s="490">
        <v>0</v>
      </c>
      <c r="M66" s="490">
        <v>0</v>
      </c>
      <c r="N66" s="490">
        <v>0</v>
      </c>
      <c r="O66" s="490">
        <v>0</v>
      </c>
      <c r="P66" s="490">
        <v>0</v>
      </c>
      <c r="Q66" s="490">
        <v>0</v>
      </c>
      <c r="R66" s="490">
        <v>0</v>
      </c>
      <c r="S66" s="490">
        <v>0</v>
      </c>
      <c r="T66" s="490">
        <v>0</v>
      </c>
      <c r="U66" s="490">
        <v>0</v>
      </c>
      <c r="V66" s="490">
        <v>0</v>
      </c>
      <c r="W66" s="490">
        <v>0</v>
      </c>
      <c r="X66" s="490">
        <v>0</v>
      </c>
      <c r="Y66" s="490">
        <v>0</v>
      </c>
      <c r="Z66" s="490">
        <v>0</v>
      </c>
      <c r="AA66" s="490">
        <v>0</v>
      </c>
      <c r="AB66" s="490">
        <v>0</v>
      </c>
      <c r="AC66" s="490">
        <v>0</v>
      </c>
      <c r="AD66" s="490">
        <v>0</v>
      </c>
      <c r="AE66" s="490">
        <v>0</v>
      </c>
      <c r="AF66" s="490">
        <v>0</v>
      </c>
      <c r="AG66" s="491">
        <v>0</v>
      </c>
      <c r="AH66" s="491">
        <v>0</v>
      </c>
      <c r="AI66" s="491">
        <v>0</v>
      </c>
      <c r="AJ66" s="491">
        <v>0</v>
      </c>
      <c r="AK66" s="491">
        <v>0</v>
      </c>
      <c r="AL66" s="491">
        <v>0</v>
      </c>
      <c r="AM66" s="491">
        <v>0</v>
      </c>
      <c r="AN66" s="491">
        <v>0</v>
      </c>
      <c r="AO66" s="491">
        <v>0</v>
      </c>
      <c r="AP66" s="491">
        <v>0</v>
      </c>
      <c r="AQ66" s="491">
        <v>0</v>
      </c>
      <c r="AR66" s="491">
        <v>0</v>
      </c>
      <c r="AS66" s="491">
        <v>0</v>
      </c>
      <c r="AT66" s="491">
        <v>0</v>
      </c>
      <c r="AU66" s="491">
        <v>0</v>
      </c>
      <c r="AV66" s="491">
        <v>0</v>
      </c>
      <c r="AW66" s="491">
        <v>0</v>
      </c>
      <c r="AX66" s="491">
        <v>0</v>
      </c>
      <c r="AY66" s="491">
        <v>0</v>
      </c>
      <c r="AZ66" s="492">
        <v>0</v>
      </c>
    </row>
    <row r="67" spans="1:52" s="470" customFormat="1">
      <c r="A67" s="493">
        <f>'[4]Allocation Methodology'!A63</f>
        <v>59</v>
      </c>
      <c r="B67" s="494" t="str">
        <f>'[4]Allocation Methodology'!B63</f>
        <v>High Performance New Construction</v>
      </c>
      <c r="C67" s="494" t="str">
        <f>'[4]Allocation Methodology'!C63</f>
        <v>Business</v>
      </c>
      <c r="D67" s="494" t="s">
        <v>480</v>
      </c>
      <c r="E67" s="494">
        <f>'[4]Allocation Methodology'!D63</f>
        <v>2010</v>
      </c>
      <c r="F67" s="495" t="str">
        <f>'[4]Allocation Methodology'!E63</f>
        <v>Final</v>
      </c>
      <c r="G67" s="472"/>
      <c r="H67" s="496">
        <v>0</v>
      </c>
      <c r="I67" s="497">
        <v>0</v>
      </c>
      <c r="J67" s="497">
        <v>0</v>
      </c>
      <c r="K67" s="497">
        <v>0</v>
      </c>
      <c r="L67" s="497">
        <v>8.6035163217314831E-2</v>
      </c>
      <c r="M67" s="497">
        <v>8.6035163217314831E-2</v>
      </c>
      <c r="N67" s="497">
        <v>8.6035163217314831E-2</v>
      </c>
      <c r="O67" s="497">
        <v>8.6035163217314831E-2</v>
      </c>
      <c r="P67" s="497">
        <v>8.6035163217314831E-2</v>
      </c>
      <c r="Q67" s="497">
        <v>8.6035163217314831E-2</v>
      </c>
      <c r="R67" s="497">
        <v>8.6035163217314831E-2</v>
      </c>
      <c r="S67" s="497">
        <v>8.6035163217314831E-2</v>
      </c>
      <c r="T67" s="497">
        <v>8.6035163217314831E-2</v>
      </c>
      <c r="U67" s="497">
        <v>8.6035163217314831E-2</v>
      </c>
      <c r="V67" s="497">
        <v>8.6035163217314831E-2</v>
      </c>
      <c r="W67" s="497">
        <v>8.6035163217314831E-2</v>
      </c>
      <c r="X67" s="497">
        <v>8.6035163217314831E-2</v>
      </c>
      <c r="Y67" s="497">
        <v>8.6035163217314831E-2</v>
      </c>
      <c r="Z67" s="497">
        <v>8.6035163217314831E-2</v>
      </c>
      <c r="AA67" s="497">
        <v>8.6035163217314831E-2</v>
      </c>
      <c r="AB67" s="497">
        <v>8.6035163217314831E-2</v>
      </c>
      <c r="AC67" s="497">
        <v>8.6035163217314831E-2</v>
      </c>
      <c r="AD67" s="497">
        <v>8.6035163217314831E-2</v>
      </c>
      <c r="AE67" s="497">
        <v>8.6035163217314831E-2</v>
      </c>
      <c r="AF67" s="497">
        <v>0</v>
      </c>
      <c r="AG67" s="498">
        <v>0</v>
      </c>
      <c r="AH67" s="498">
        <v>0</v>
      </c>
      <c r="AI67" s="498">
        <v>0</v>
      </c>
      <c r="AJ67" s="498">
        <v>0</v>
      </c>
      <c r="AK67" s="498">
        <v>0</v>
      </c>
      <c r="AL67" s="498">
        <v>0</v>
      </c>
      <c r="AM67" s="498">
        <v>0</v>
      </c>
      <c r="AN67" s="498">
        <v>0</v>
      </c>
      <c r="AO67" s="498">
        <v>0</v>
      </c>
      <c r="AP67" s="498">
        <v>0</v>
      </c>
      <c r="AQ67" s="498">
        <v>0</v>
      </c>
      <c r="AR67" s="498">
        <v>0</v>
      </c>
      <c r="AS67" s="498">
        <v>0</v>
      </c>
      <c r="AT67" s="498">
        <v>0</v>
      </c>
      <c r="AU67" s="498">
        <v>0</v>
      </c>
      <c r="AV67" s="498">
        <v>0</v>
      </c>
      <c r="AW67" s="498">
        <v>0</v>
      </c>
      <c r="AX67" s="498">
        <v>0</v>
      </c>
      <c r="AY67" s="498">
        <v>0</v>
      </c>
      <c r="AZ67" s="499">
        <v>0</v>
      </c>
    </row>
    <row r="68" spans="1:52" s="470" customFormat="1">
      <c r="A68" s="486">
        <f>'[4]Allocation Methodology'!A64</f>
        <v>60</v>
      </c>
      <c r="B68" s="487" t="str">
        <f>'[4]Allocation Methodology'!B64</f>
        <v>Power Savings Blitz</v>
      </c>
      <c r="C68" s="487" t="str">
        <f>'[4]Allocation Methodology'!C64</f>
        <v>Business</v>
      </c>
      <c r="D68" s="487" t="s">
        <v>486</v>
      </c>
      <c r="E68" s="487">
        <f>'[4]Allocation Methodology'!D64</f>
        <v>2010</v>
      </c>
      <c r="F68" s="488" t="str">
        <f>'[4]Allocation Methodology'!E64</f>
        <v>Final</v>
      </c>
      <c r="G68" s="472"/>
      <c r="H68" s="489">
        <v>0</v>
      </c>
      <c r="I68" s="490">
        <v>0</v>
      </c>
      <c r="J68" s="490">
        <v>0</v>
      </c>
      <c r="K68" s="490">
        <v>0</v>
      </c>
      <c r="L68" s="490">
        <v>0.17577762138762623</v>
      </c>
      <c r="M68" s="490">
        <v>0.17577762138762623</v>
      </c>
      <c r="N68" s="490">
        <v>0.17577762138762623</v>
      </c>
      <c r="O68" s="490">
        <v>0.17577762138762623</v>
      </c>
      <c r="P68" s="490">
        <v>0.17577762138762623</v>
      </c>
      <c r="Q68" s="490">
        <v>0.17577762138762623</v>
      </c>
      <c r="R68" s="490">
        <v>0.17577762138762623</v>
      </c>
      <c r="S68" s="490">
        <v>0.17577762138762623</v>
      </c>
      <c r="T68" s="490">
        <v>0</v>
      </c>
      <c r="U68" s="490">
        <v>0</v>
      </c>
      <c r="V68" s="490">
        <v>0</v>
      </c>
      <c r="W68" s="490">
        <v>0</v>
      </c>
      <c r="X68" s="490">
        <v>0</v>
      </c>
      <c r="Y68" s="490">
        <v>0</v>
      </c>
      <c r="Z68" s="490">
        <v>0</v>
      </c>
      <c r="AA68" s="490">
        <v>0</v>
      </c>
      <c r="AB68" s="490">
        <v>0</v>
      </c>
      <c r="AC68" s="490">
        <v>0</v>
      </c>
      <c r="AD68" s="490">
        <v>0</v>
      </c>
      <c r="AE68" s="490">
        <v>0</v>
      </c>
      <c r="AF68" s="490">
        <v>0</v>
      </c>
      <c r="AG68" s="491">
        <v>0</v>
      </c>
      <c r="AH68" s="491">
        <v>0</v>
      </c>
      <c r="AI68" s="491">
        <v>0</v>
      </c>
      <c r="AJ68" s="491">
        <v>0</v>
      </c>
      <c r="AK68" s="491">
        <v>0</v>
      </c>
      <c r="AL68" s="491">
        <v>0</v>
      </c>
      <c r="AM68" s="491">
        <v>0</v>
      </c>
      <c r="AN68" s="491">
        <v>0</v>
      </c>
      <c r="AO68" s="491">
        <v>0</v>
      </c>
      <c r="AP68" s="491">
        <v>0</v>
      </c>
      <c r="AQ68" s="491">
        <v>0</v>
      </c>
      <c r="AR68" s="491">
        <v>0</v>
      </c>
      <c r="AS68" s="491">
        <v>0</v>
      </c>
      <c r="AT68" s="491">
        <v>0</v>
      </c>
      <c r="AU68" s="491">
        <v>0</v>
      </c>
      <c r="AV68" s="491">
        <v>0</v>
      </c>
      <c r="AW68" s="491">
        <v>0</v>
      </c>
      <c r="AX68" s="491">
        <v>0</v>
      </c>
      <c r="AY68" s="491">
        <v>0</v>
      </c>
      <c r="AZ68" s="492">
        <v>0</v>
      </c>
    </row>
    <row r="69" spans="1:52" s="470" customFormat="1">
      <c r="A69" s="493">
        <f>'[4]Allocation Methodology'!A65</f>
        <v>61</v>
      </c>
      <c r="B69" s="494" t="str">
        <f>'[4]Allocation Methodology'!B65</f>
        <v>Multi-Family Energy Efficiency Rebates</v>
      </c>
      <c r="C69" s="494" t="str">
        <f>'[4]Allocation Methodology'!C65</f>
        <v>Consumer, Consumer Low-Income</v>
      </c>
      <c r="D69" s="494" t="s">
        <v>17</v>
      </c>
      <c r="E69" s="494">
        <f>'[4]Allocation Methodology'!D65</f>
        <v>2010</v>
      </c>
      <c r="F69" s="495" t="str">
        <f>'[4]Allocation Methodology'!E65</f>
        <v>Final</v>
      </c>
      <c r="G69" s="472"/>
      <c r="H69" s="496">
        <v>0</v>
      </c>
      <c r="I69" s="497">
        <v>0</v>
      </c>
      <c r="J69" s="497">
        <v>0</v>
      </c>
      <c r="K69" s="497">
        <v>0</v>
      </c>
      <c r="L69" s="497">
        <v>8.427273923639518E-3</v>
      </c>
      <c r="M69" s="497">
        <v>8.427273923639518E-3</v>
      </c>
      <c r="N69" s="497">
        <v>8.427273923639518E-3</v>
      </c>
      <c r="O69" s="497">
        <v>8.427273923639518E-3</v>
      </c>
      <c r="P69" s="497">
        <v>8.427273923639518E-3</v>
      </c>
      <c r="Q69" s="497">
        <v>8.427273923639518E-3</v>
      </c>
      <c r="R69" s="497">
        <v>8.427273923639518E-3</v>
      </c>
      <c r="S69" s="497">
        <v>8.427273923639518E-3</v>
      </c>
      <c r="T69" s="497">
        <v>8.427273923639518E-3</v>
      </c>
      <c r="U69" s="497">
        <v>8.427273923639518E-3</v>
      </c>
      <c r="V69" s="497">
        <v>0</v>
      </c>
      <c r="W69" s="497">
        <v>0</v>
      </c>
      <c r="X69" s="497">
        <v>0</v>
      </c>
      <c r="Y69" s="497">
        <v>0</v>
      </c>
      <c r="Z69" s="497">
        <v>0</v>
      </c>
      <c r="AA69" s="497">
        <v>0</v>
      </c>
      <c r="AB69" s="497">
        <v>0</v>
      </c>
      <c r="AC69" s="497">
        <v>0</v>
      </c>
      <c r="AD69" s="497">
        <v>0</v>
      </c>
      <c r="AE69" s="497">
        <v>0</v>
      </c>
      <c r="AF69" s="497">
        <v>0</v>
      </c>
      <c r="AG69" s="498">
        <v>0</v>
      </c>
      <c r="AH69" s="498">
        <v>0</v>
      </c>
      <c r="AI69" s="498">
        <v>0</v>
      </c>
      <c r="AJ69" s="498">
        <v>0</v>
      </c>
      <c r="AK69" s="498">
        <v>0</v>
      </c>
      <c r="AL69" s="498">
        <v>0</v>
      </c>
      <c r="AM69" s="498">
        <v>0</v>
      </c>
      <c r="AN69" s="498">
        <v>0</v>
      </c>
      <c r="AO69" s="498">
        <v>0</v>
      </c>
      <c r="AP69" s="498">
        <v>0</v>
      </c>
      <c r="AQ69" s="498">
        <v>0</v>
      </c>
      <c r="AR69" s="498">
        <v>0</v>
      </c>
      <c r="AS69" s="498">
        <v>0</v>
      </c>
      <c r="AT69" s="498">
        <v>0</v>
      </c>
      <c r="AU69" s="498">
        <v>0</v>
      </c>
      <c r="AV69" s="498">
        <v>0</v>
      </c>
      <c r="AW69" s="498">
        <v>0</v>
      </c>
      <c r="AX69" s="498">
        <v>0</v>
      </c>
      <c r="AY69" s="498">
        <v>0</v>
      </c>
      <c r="AZ69" s="499">
        <v>0</v>
      </c>
    </row>
    <row r="70" spans="1:52" s="470" customFormat="1">
      <c r="A70" s="486">
        <f>'[4]Allocation Methodology'!A66</f>
        <v>62</v>
      </c>
      <c r="B70" s="487" t="str">
        <f>'[4]Allocation Methodology'!B66</f>
        <v>Demand Response 2</v>
      </c>
      <c r="C70" s="487" t="str">
        <f>'[4]Allocation Methodology'!C66</f>
        <v>Business, Industrial</v>
      </c>
      <c r="D70" s="487" t="s">
        <v>480</v>
      </c>
      <c r="E70" s="487">
        <f>'[4]Allocation Methodology'!D66</f>
        <v>2010</v>
      </c>
      <c r="F70" s="488" t="str">
        <f>'[4]Allocation Methodology'!E66</f>
        <v>Final</v>
      </c>
      <c r="G70" s="472"/>
      <c r="H70" s="489">
        <v>0</v>
      </c>
      <c r="I70" s="490">
        <v>0</v>
      </c>
      <c r="J70" s="490">
        <v>0</v>
      </c>
      <c r="K70" s="490">
        <v>0</v>
      </c>
      <c r="L70" s="490">
        <v>0.79308195429135875</v>
      </c>
      <c r="M70" s="490">
        <v>0</v>
      </c>
      <c r="N70" s="490">
        <v>0</v>
      </c>
      <c r="O70" s="490">
        <v>0</v>
      </c>
      <c r="P70" s="490">
        <v>0</v>
      </c>
      <c r="Q70" s="490">
        <v>0</v>
      </c>
      <c r="R70" s="490">
        <v>0</v>
      </c>
      <c r="S70" s="490">
        <v>0</v>
      </c>
      <c r="T70" s="490">
        <v>0</v>
      </c>
      <c r="U70" s="490">
        <v>0</v>
      </c>
      <c r="V70" s="490">
        <v>0</v>
      </c>
      <c r="W70" s="490">
        <v>0</v>
      </c>
      <c r="X70" s="490">
        <v>0</v>
      </c>
      <c r="Y70" s="490">
        <v>0</v>
      </c>
      <c r="Z70" s="490">
        <v>0</v>
      </c>
      <c r="AA70" s="490">
        <v>0</v>
      </c>
      <c r="AB70" s="490">
        <v>0</v>
      </c>
      <c r="AC70" s="490">
        <v>0</v>
      </c>
      <c r="AD70" s="490">
        <v>0</v>
      </c>
      <c r="AE70" s="490">
        <v>0</v>
      </c>
      <c r="AF70" s="490">
        <v>0</v>
      </c>
      <c r="AG70" s="491">
        <v>0</v>
      </c>
      <c r="AH70" s="491">
        <v>0</v>
      </c>
      <c r="AI70" s="491">
        <v>0</v>
      </c>
      <c r="AJ70" s="491">
        <v>0</v>
      </c>
      <c r="AK70" s="491">
        <v>0</v>
      </c>
      <c r="AL70" s="491">
        <v>0</v>
      </c>
      <c r="AM70" s="491">
        <v>0</v>
      </c>
      <c r="AN70" s="491">
        <v>0</v>
      </c>
      <c r="AO70" s="491">
        <v>0</v>
      </c>
      <c r="AP70" s="491">
        <v>0</v>
      </c>
      <c r="AQ70" s="491">
        <v>0</v>
      </c>
      <c r="AR70" s="491">
        <v>0</v>
      </c>
      <c r="AS70" s="491">
        <v>0</v>
      </c>
      <c r="AT70" s="491">
        <v>0</v>
      </c>
      <c r="AU70" s="491">
        <v>0</v>
      </c>
      <c r="AV70" s="491">
        <v>0</v>
      </c>
      <c r="AW70" s="491">
        <v>0</v>
      </c>
      <c r="AX70" s="491">
        <v>0</v>
      </c>
      <c r="AY70" s="491">
        <v>0</v>
      </c>
      <c r="AZ70" s="492">
        <v>0</v>
      </c>
    </row>
    <row r="71" spans="1:52" s="470" customFormat="1">
      <c r="A71" s="493">
        <f>'[4]Allocation Methodology'!A67</f>
        <v>63</v>
      </c>
      <c r="B71" s="494" t="str">
        <f>'[4]Allocation Methodology'!B67</f>
        <v>Demand Response 3</v>
      </c>
      <c r="C71" s="494" t="str">
        <f>'[4]Allocation Methodology'!C67</f>
        <v>Business, Industrial</v>
      </c>
      <c r="D71" s="494" t="s">
        <v>480</v>
      </c>
      <c r="E71" s="494">
        <f>'[4]Allocation Methodology'!D67</f>
        <v>2010</v>
      </c>
      <c r="F71" s="495" t="str">
        <f>'[4]Allocation Methodology'!E67</f>
        <v>Final</v>
      </c>
      <c r="G71" s="472"/>
      <c r="H71" s="496">
        <v>0</v>
      </c>
      <c r="I71" s="497">
        <v>0</v>
      </c>
      <c r="J71" s="497">
        <v>0</v>
      </c>
      <c r="K71" s="497">
        <v>0</v>
      </c>
      <c r="L71" s="497">
        <v>1.67746830163979</v>
      </c>
      <c r="M71" s="497">
        <v>0</v>
      </c>
      <c r="N71" s="497">
        <v>0</v>
      </c>
      <c r="O71" s="497">
        <v>0</v>
      </c>
      <c r="P71" s="497">
        <v>0</v>
      </c>
      <c r="Q71" s="497">
        <v>0</v>
      </c>
      <c r="R71" s="497">
        <v>0</v>
      </c>
      <c r="S71" s="497">
        <v>0</v>
      </c>
      <c r="T71" s="497">
        <v>0</v>
      </c>
      <c r="U71" s="497">
        <v>0</v>
      </c>
      <c r="V71" s="497">
        <v>0</v>
      </c>
      <c r="W71" s="497">
        <v>0</v>
      </c>
      <c r="X71" s="497">
        <v>0</v>
      </c>
      <c r="Y71" s="497">
        <v>0</v>
      </c>
      <c r="Z71" s="497">
        <v>0</v>
      </c>
      <c r="AA71" s="497">
        <v>0</v>
      </c>
      <c r="AB71" s="497">
        <v>0</v>
      </c>
      <c r="AC71" s="497">
        <v>0</v>
      </c>
      <c r="AD71" s="497">
        <v>0</v>
      </c>
      <c r="AE71" s="497">
        <v>0</v>
      </c>
      <c r="AF71" s="497">
        <v>0</v>
      </c>
      <c r="AG71" s="498">
        <v>0</v>
      </c>
      <c r="AH71" s="498">
        <v>0</v>
      </c>
      <c r="AI71" s="498">
        <v>0</v>
      </c>
      <c r="AJ71" s="498">
        <v>0</v>
      </c>
      <c r="AK71" s="498">
        <v>0</v>
      </c>
      <c r="AL71" s="498">
        <v>0</v>
      </c>
      <c r="AM71" s="498">
        <v>0</v>
      </c>
      <c r="AN71" s="498">
        <v>0</v>
      </c>
      <c r="AO71" s="498">
        <v>0</v>
      </c>
      <c r="AP71" s="498">
        <v>0</v>
      </c>
      <c r="AQ71" s="498">
        <v>0</v>
      </c>
      <c r="AR71" s="498">
        <v>0</v>
      </c>
      <c r="AS71" s="498">
        <v>0</v>
      </c>
      <c r="AT71" s="498">
        <v>0</v>
      </c>
      <c r="AU71" s="498">
        <v>0</v>
      </c>
      <c r="AV71" s="498">
        <v>0</v>
      </c>
      <c r="AW71" s="498">
        <v>0</v>
      </c>
      <c r="AX71" s="498">
        <v>0</v>
      </c>
      <c r="AY71" s="498">
        <v>0</v>
      </c>
      <c r="AZ71" s="499">
        <v>0</v>
      </c>
    </row>
    <row r="72" spans="1:52" s="470" customFormat="1">
      <c r="A72" s="486">
        <f>'[4]Allocation Methodology'!A68</f>
        <v>64</v>
      </c>
      <c r="B72" s="487" t="str">
        <f>'[4]Allocation Methodology'!B68</f>
        <v>Loblaw &amp; York Region Demand Response</v>
      </c>
      <c r="C72" s="487" t="str">
        <f>'[4]Allocation Methodology'!C68</f>
        <v>Business, Industrial</v>
      </c>
      <c r="D72" s="487" t="s">
        <v>480</v>
      </c>
      <c r="E72" s="487">
        <f>'[4]Allocation Methodology'!D68</f>
        <v>2010</v>
      </c>
      <c r="F72" s="488" t="str">
        <f>'[4]Allocation Methodology'!E68</f>
        <v>Final</v>
      </c>
      <c r="G72" s="472"/>
      <c r="H72" s="489">
        <v>0</v>
      </c>
      <c r="I72" s="490">
        <v>0</v>
      </c>
      <c r="J72" s="490">
        <v>0</v>
      </c>
      <c r="K72" s="490">
        <v>0</v>
      </c>
      <c r="L72" s="490">
        <v>0.19467162928445872</v>
      </c>
      <c r="M72" s="490">
        <v>0</v>
      </c>
      <c r="N72" s="490">
        <v>0</v>
      </c>
      <c r="O72" s="490">
        <v>0</v>
      </c>
      <c r="P72" s="490">
        <v>0</v>
      </c>
      <c r="Q72" s="490">
        <v>0</v>
      </c>
      <c r="R72" s="490">
        <v>0</v>
      </c>
      <c r="S72" s="490">
        <v>0</v>
      </c>
      <c r="T72" s="490">
        <v>0</v>
      </c>
      <c r="U72" s="490">
        <v>0</v>
      </c>
      <c r="V72" s="490">
        <v>0</v>
      </c>
      <c r="W72" s="490">
        <v>0</v>
      </c>
      <c r="X72" s="490">
        <v>0</v>
      </c>
      <c r="Y72" s="490">
        <v>0</v>
      </c>
      <c r="Z72" s="490">
        <v>0</v>
      </c>
      <c r="AA72" s="490">
        <v>0</v>
      </c>
      <c r="AB72" s="490">
        <v>0</v>
      </c>
      <c r="AC72" s="490">
        <v>0</v>
      </c>
      <c r="AD72" s="490">
        <v>0</v>
      </c>
      <c r="AE72" s="490">
        <v>0</v>
      </c>
      <c r="AF72" s="490">
        <v>0</v>
      </c>
      <c r="AG72" s="491">
        <v>0</v>
      </c>
      <c r="AH72" s="491">
        <v>0</v>
      </c>
      <c r="AI72" s="491">
        <v>0</v>
      </c>
      <c r="AJ72" s="491">
        <v>0</v>
      </c>
      <c r="AK72" s="491">
        <v>0</v>
      </c>
      <c r="AL72" s="491">
        <v>0</v>
      </c>
      <c r="AM72" s="491">
        <v>0</v>
      </c>
      <c r="AN72" s="491">
        <v>0</v>
      </c>
      <c r="AO72" s="491">
        <v>0</v>
      </c>
      <c r="AP72" s="491">
        <v>0</v>
      </c>
      <c r="AQ72" s="491">
        <v>0</v>
      </c>
      <c r="AR72" s="491">
        <v>0</v>
      </c>
      <c r="AS72" s="491">
        <v>0</v>
      </c>
      <c r="AT72" s="491">
        <v>0</v>
      </c>
      <c r="AU72" s="491">
        <v>0</v>
      </c>
      <c r="AV72" s="491">
        <v>0</v>
      </c>
      <c r="AW72" s="491">
        <v>0</v>
      </c>
      <c r="AX72" s="491">
        <v>0</v>
      </c>
      <c r="AY72" s="491">
        <v>0</v>
      </c>
      <c r="AZ72" s="492">
        <v>0</v>
      </c>
    </row>
    <row r="73" spans="1:52" s="470" customFormat="1">
      <c r="A73" s="500">
        <f>'[4]Allocation Methodology'!A69</f>
        <v>65</v>
      </c>
      <c r="B73" s="501" t="str">
        <f>'[4]Allocation Methodology'!B69</f>
        <v>LDC Custom - Hydro Ottawa - Small Commercial Demand Response</v>
      </c>
      <c r="C73" s="501" t="str">
        <f>'[4]Allocation Methodology'!C69</f>
        <v>Consumer</v>
      </c>
      <c r="D73" s="501" t="s">
        <v>58</v>
      </c>
      <c r="E73" s="501">
        <f>'[4]Allocation Methodology'!D69</f>
        <v>2010</v>
      </c>
      <c r="F73" s="502" t="str">
        <f>'[4]Allocation Methodology'!E69</f>
        <v>Final</v>
      </c>
      <c r="G73" s="472"/>
      <c r="H73" s="503">
        <v>0</v>
      </c>
      <c r="I73" s="504">
        <v>0</v>
      </c>
      <c r="J73" s="504">
        <v>0</v>
      </c>
      <c r="K73" s="504">
        <v>0</v>
      </c>
      <c r="L73" s="504">
        <v>0</v>
      </c>
      <c r="M73" s="504">
        <v>0</v>
      </c>
      <c r="N73" s="504">
        <v>0</v>
      </c>
      <c r="O73" s="504">
        <v>0</v>
      </c>
      <c r="P73" s="504">
        <v>0</v>
      </c>
      <c r="Q73" s="504">
        <v>0</v>
      </c>
      <c r="R73" s="504">
        <v>0</v>
      </c>
      <c r="S73" s="504">
        <v>0</v>
      </c>
      <c r="T73" s="504">
        <v>0</v>
      </c>
      <c r="U73" s="504">
        <v>0</v>
      </c>
      <c r="V73" s="504">
        <v>0</v>
      </c>
      <c r="W73" s="504">
        <v>0</v>
      </c>
      <c r="X73" s="504">
        <v>0</v>
      </c>
      <c r="Y73" s="504">
        <v>0</v>
      </c>
      <c r="Z73" s="504">
        <v>0</v>
      </c>
      <c r="AA73" s="504">
        <v>0</v>
      </c>
      <c r="AB73" s="504">
        <v>0</v>
      </c>
      <c r="AC73" s="504">
        <v>0</v>
      </c>
      <c r="AD73" s="504">
        <v>0</v>
      </c>
      <c r="AE73" s="504">
        <v>0</v>
      </c>
      <c r="AF73" s="504">
        <v>0</v>
      </c>
      <c r="AG73" s="505">
        <v>0</v>
      </c>
      <c r="AH73" s="505">
        <v>0</v>
      </c>
      <c r="AI73" s="505">
        <v>0</v>
      </c>
      <c r="AJ73" s="505">
        <v>0</v>
      </c>
      <c r="AK73" s="505">
        <v>0</v>
      </c>
      <c r="AL73" s="505">
        <v>0</v>
      </c>
      <c r="AM73" s="505">
        <v>0</v>
      </c>
      <c r="AN73" s="505">
        <v>0</v>
      </c>
      <c r="AO73" s="505">
        <v>0</v>
      </c>
      <c r="AP73" s="505">
        <v>0</v>
      </c>
      <c r="AQ73" s="505">
        <v>0</v>
      </c>
      <c r="AR73" s="505">
        <v>0</v>
      </c>
      <c r="AS73" s="505">
        <v>0</v>
      </c>
      <c r="AT73" s="505">
        <v>0</v>
      </c>
      <c r="AU73" s="505">
        <v>0</v>
      </c>
      <c r="AV73" s="505">
        <v>0</v>
      </c>
      <c r="AW73" s="505">
        <v>0</v>
      </c>
      <c r="AX73" s="505">
        <v>0</v>
      </c>
      <c r="AY73" s="505">
        <v>0</v>
      </c>
      <c r="AZ73" s="506">
        <v>0</v>
      </c>
    </row>
    <row r="74" spans="1:52" s="470" customFormat="1" ht="4.5" customHeight="1">
      <c r="A74" s="478"/>
      <c r="B74" s="478"/>
      <c r="C74" s="478"/>
      <c r="D74" s="478"/>
      <c r="E74" s="478"/>
      <c r="F74" s="478"/>
      <c r="G74" s="468"/>
      <c r="H74" s="469"/>
      <c r="I74" s="469"/>
      <c r="J74" s="469"/>
      <c r="K74" s="469"/>
      <c r="L74" s="469"/>
      <c r="M74" s="469"/>
      <c r="N74" s="469"/>
      <c r="O74" s="469"/>
      <c r="P74" s="469"/>
      <c r="Q74" s="469"/>
      <c r="R74" s="469"/>
      <c r="S74" s="469"/>
      <c r="T74" s="469"/>
      <c r="U74" s="469"/>
      <c r="V74" s="469"/>
      <c r="W74" s="469"/>
      <c r="X74" s="469"/>
      <c r="Y74" s="469"/>
      <c r="Z74" s="469"/>
      <c r="AA74" s="469"/>
      <c r="AB74" s="469"/>
      <c r="AC74" s="469"/>
      <c r="AD74" s="469"/>
      <c r="AE74" s="469"/>
      <c r="AF74" s="469"/>
      <c r="AG74" s="469"/>
      <c r="AH74" s="469"/>
      <c r="AI74" s="469"/>
      <c r="AJ74" s="469"/>
      <c r="AK74" s="469"/>
      <c r="AL74" s="469"/>
      <c r="AM74" s="469"/>
      <c r="AN74" s="469"/>
      <c r="AO74" s="469"/>
      <c r="AP74" s="469"/>
      <c r="AQ74" s="469"/>
      <c r="AR74" s="469"/>
      <c r="AS74" s="469"/>
      <c r="AT74" s="469"/>
      <c r="AU74" s="469"/>
      <c r="AV74" s="469"/>
      <c r="AW74" s="469"/>
      <c r="AX74" s="469"/>
      <c r="AY74" s="469"/>
      <c r="AZ74" s="469"/>
    </row>
    <row r="75" spans="1:52" s="470" customFormat="1">
      <c r="A75" s="530" t="s">
        <v>510</v>
      </c>
      <c r="B75" s="531"/>
      <c r="C75" s="531"/>
      <c r="D75" s="531"/>
      <c r="E75" s="531"/>
      <c r="F75" s="532"/>
      <c r="G75" s="468"/>
      <c r="H75" s="533">
        <f>SUM(H9:H13)</f>
        <v>1.984869925959966</v>
      </c>
      <c r="I75" s="533">
        <f>SUM(I9:I13)</f>
        <v>9.0861180185375187E-2</v>
      </c>
      <c r="J75" s="533">
        <f t="shared" ref="J75:AZ75" si="1">SUM(J9:J13)</f>
        <v>9.0861180185375187E-2</v>
      </c>
      <c r="K75" s="533">
        <f t="shared" si="1"/>
        <v>9.0861180185375187E-2</v>
      </c>
      <c r="L75" s="533">
        <f t="shared" si="1"/>
        <v>9.0861180185375187E-2</v>
      </c>
      <c r="M75" s="533">
        <f t="shared" si="1"/>
        <v>9.0861180185375187E-2</v>
      </c>
      <c r="N75" s="533">
        <f t="shared" si="1"/>
        <v>8.456281388969035E-2</v>
      </c>
      <c r="O75" s="533">
        <f t="shared" si="1"/>
        <v>8.456281388969035E-2</v>
      </c>
      <c r="P75" s="533">
        <f t="shared" si="1"/>
        <v>6.6138226327300514E-2</v>
      </c>
      <c r="Q75" s="533">
        <f t="shared" si="1"/>
        <v>6.6138226327300514E-2</v>
      </c>
      <c r="R75" s="533">
        <f t="shared" si="1"/>
        <v>6.6138226327300514E-2</v>
      </c>
      <c r="S75" s="533">
        <f t="shared" si="1"/>
        <v>6.6138226327300514E-2</v>
      </c>
      <c r="T75" s="533">
        <f t="shared" si="1"/>
        <v>6.6138226327300514E-2</v>
      </c>
      <c r="U75" s="533">
        <f t="shared" si="1"/>
        <v>6.6138226327300514E-2</v>
      </c>
      <c r="V75" s="533">
        <f t="shared" si="1"/>
        <v>4.0477891034883189E-2</v>
      </c>
      <c r="W75" s="533">
        <f t="shared" si="1"/>
        <v>2.7629942779000778E-2</v>
      </c>
      <c r="X75" s="533">
        <f t="shared" si="1"/>
        <v>2.7629942779000778E-2</v>
      </c>
      <c r="Y75" s="533">
        <f t="shared" si="1"/>
        <v>2.7629942779000778E-2</v>
      </c>
      <c r="Z75" s="533">
        <f t="shared" si="1"/>
        <v>7.7685709105042593E-4</v>
      </c>
      <c r="AA75" s="533">
        <f t="shared" si="1"/>
        <v>7.7685709105042593E-4</v>
      </c>
      <c r="AB75" s="533">
        <f t="shared" si="1"/>
        <v>0</v>
      </c>
      <c r="AC75" s="533">
        <f t="shared" si="1"/>
        <v>0</v>
      </c>
      <c r="AD75" s="533">
        <f t="shared" si="1"/>
        <v>0</v>
      </c>
      <c r="AE75" s="533">
        <f t="shared" si="1"/>
        <v>0</v>
      </c>
      <c r="AF75" s="533">
        <f t="shared" si="1"/>
        <v>0</v>
      </c>
      <c r="AG75" s="533">
        <f t="shared" si="1"/>
        <v>0</v>
      </c>
      <c r="AH75" s="533">
        <f t="shared" si="1"/>
        <v>0</v>
      </c>
      <c r="AI75" s="533">
        <f t="shared" si="1"/>
        <v>0</v>
      </c>
      <c r="AJ75" s="533">
        <f t="shared" si="1"/>
        <v>0</v>
      </c>
      <c r="AK75" s="533">
        <f t="shared" si="1"/>
        <v>0</v>
      </c>
      <c r="AL75" s="533">
        <f t="shared" si="1"/>
        <v>0</v>
      </c>
      <c r="AM75" s="533">
        <f t="shared" si="1"/>
        <v>0</v>
      </c>
      <c r="AN75" s="533">
        <f t="shared" si="1"/>
        <v>0</v>
      </c>
      <c r="AO75" s="533">
        <f t="shared" si="1"/>
        <v>0</v>
      </c>
      <c r="AP75" s="533">
        <f t="shared" si="1"/>
        <v>0</v>
      </c>
      <c r="AQ75" s="533">
        <f t="shared" si="1"/>
        <v>0</v>
      </c>
      <c r="AR75" s="533">
        <f t="shared" si="1"/>
        <v>0</v>
      </c>
      <c r="AS75" s="533">
        <f t="shared" si="1"/>
        <v>0</v>
      </c>
      <c r="AT75" s="533">
        <f t="shared" si="1"/>
        <v>0</v>
      </c>
      <c r="AU75" s="533">
        <f t="shared" si="1"/>
        <v>0</v>
      </c>
      <c r="AV75" s="533">
        <f t="shared" si="1"/>
        <v>0</v>
      </c>
      <c r="AW75" s="533">
        <f t="shared" si="1"/>
        <v>0</v>
      </c>
      <c r="AX75" s="533">
        <f t="shared" si="1"/>
        <v>0</v>
      </c>
      <c r="AY75" s="533">
        <f t="shared" si="1"/>
        <v>0</v>
      </c>
      <c r="AZ75" s="533">
        <f t="shared" si="1"/>
        <v>0</v>
      </c>
    </row>
    <row r="76" spans="1:52" s="470" customFormat="1" ht="4.5" customHeight="1">
      <c r="A76" s="478"/>
      <c r="B76" s="478"/>
      <c r="C76" s="478"/>
      <c r="D76" s="478"/>
      <c r="E76" s="478"/>
      <c r="F76" s="478"/>
      <c r="G76" s="468"/>
      <c r="H76" s="469"/>
      <c r="I76" s="469"/>
      <c r="J76" s="469"/>
      <c r="K76" s="469"/>
      <c r="L76" s="469"/>
      <c r="M76" s="469"/>
      <c r="N76" s="469"/>
      <c r="O76" s="469"/>
      <c r="P76" s="469"/>
      <c r="Q76" s="469"/>
      <c r="R76" s="469"/>
      <c r="S76" s="469"/>
      <c r="T76" s="469"/>
      <c r="U76" s="469"/>
      <c r="V76" s="469"/>
      <c r="W76" s="469"/>
      <c r="X76" s="469"/>
      <c r="Y76" s="469"/>
      <c r="Z76" s="469"/>
      <c r="AA76" s="469"/>
      <c r="AB76" s="469"/>
      <c r="AC76" s="469"/>
      <c r="AD76" s="469"/>
      <c r="AE76" s="469"/>
      <c r="AF76" s="469"/>
      <c r="AG76" s="469"/>
      <c r="AH76" s="469"/>
      <c r="AI76" s="469"/>
      <c r="AJ76" s="469"/>
      <c r="AK76" s="469"/>
      <c r="AL76" s="469"/>
      <c r="AM76" s="469"/>
      <c r="AN76" s="469"/>
      <c r="AO76" s="469"/>
      <c r="AP76" s="469"/>
      <c r="AQ76" s="469"/>
      <c r="AR76" s="469"/>
      <c r="AS76" s="469"/>
      <c r="AT76" s="469"/>
      <c r="AU76" s="469"/>
      <c r="AV76" s="469"/>
      <c r="AW76" s="469"/>
      <c r="AX76" s="469"/>
      <c r="AY76" s="469"/>
      <c r="AZ76" s="469"/>
    </row>
    <row r="77" spans="1:52" s="470" customFormat="1">
      <c r="A77" s="530" t="s">
        <v>511</v>
      </c>
      <c r="B77" s="531"/>
      <c r="C77" s="531"/>
      <c r="D77" s="531"/>
      <c r="E77" s="531"/>
      <c r="F77" s="532"/>
      <c r="G77" s="468"/>
      <c r="H77" s="533">
        <f>SUM(H14:H27)</f>
        <v>0</v>
      </c>
      <c r="I77" s="533">
        <f t="shared" ref="I77:AZ77" si="2">SUM(I14:I27)</f>
        <v>2.4261690973101033</v>
      </c>
      <c r="J77" s="533">
        <f t="shared" si="2"/>
        <v>0.22504058299183888</v>
      </c>
      <c r="K77" s="533">
        <f t="shared" si="2"/>
        <v>0.19647329098433536</v>
      </c>
      <c r="L77" s="533">
        <f t="shared" si="2"/>
        <v>0.19647329098433536</v>
      </c>
      <c r="M77" s="533">
        <f t="shared" si="2"/>
        <v>0.19574717821513277</v>
      </c>
      <c r="N77" s="533">
        <f t="shared" si="2"/>
        <v>0.18963621750414988</v>
      </c>
      <c r="O77" s="533">
        <f t="shared" si="2"/>
        <v>0.18963621750414988</v>
      </c>
      <c r="P77" s="533">
        <f t="shared" si="2"/>
        <v>0.18963621750414988</v>
      </c>
      <c r="Q77" s="533">
        <f t="shared" si="2"/>
        <v>0.16917735702489659</v>
      </c>
      <c r="R77" s="533">
        <f t="shared" si="2"/>
        <v>0.16372305285025149</v>
      </c>
      <c r="S77" s="533">
        <f t="shared" si="2"/>
        <v>0.15037993530738042</v>
      </c>
      <c r="T77" s="533">
        <f t="shared" si="2"/>
        <v>0.15037993530738042</v>
      </c>
      <c r="U77" s="533">
        <f t="shared" si="2"/>
        <v>0.15037993530738042</v>
      </c>
      <c r="V77" s="533">
        <f t="shared" si="2"/>
        <v>0.15037993530738042</v>
      </c>
      <c r="W77" s="533">
        <f t="shared" si="2"/>
        <v>0.12036577877735077</v>
      </c>
      <c r="X77" s="533">
        <f t="shared" si="2"/>
        <v>6.1294835206653089E-2</v>
      </c>
      <c r="Y77" s="533">
        <f t="shared" si="2"/>
        <v>6.1141432228970324E-2</v>
      </c>
      <c r="Z77" s="533">
        <f t="shared" si="2"/>
        <v>6.1141432228970324E-2</v>
      </c>
      <c r="AA77" s="533">
        <f t="shared" si="2"/>
        <v>4.7586666666666666E-2</v>
      </c>
      <c r="AB77" s="533">
        <f t="shared" si="2"/>
        <v>2.146E-2</v>
      </c>
      <c r="AC77" s="533">
        <f t="shared" si="2"/>
        <v>0</v>
      </c>
      <c r="AD77" s="533">
        <f t="shared" si="2"/>
        <v>0</v>
      </c>
      <c r="AE77" s="533">
        <f t="shared" si="2"/>
        <v>0</v>
      </c>
      <c r="AF77" s="533">
        <f t="shared" si="2"/>
        <v>0</v>
      </c>
      <c r="AG77" s="533">
        <f t="shared" si="2"/>
        <v>0</v>
      </c>
      <c r="AH77" s="533">
        <f t="shared" si="2"/>
        <v>0</v>
      </c>
      <c r="AI77" s="533">
        <f t="shared" si="2"/>
        <v>0</v>
      </c>
      <c r="AJ77" s="533">
        <f t="shared" si="2"/>
        <v>0</v>
      </c>
      <c r="AK77" s="533">
        <f t="shared" si="2"/>
        <v>0</v>
      </c>
      <c r="AL77" s="533">
        <f t="shared" si="2"/>
        <v>0</v>
      </c>
      <c r="AM77" s="533">
        <f t="shared" si="2"/>
        <v>0</v>
      </c>
      <c r="AN77" s="533">
        <f t="shared" si="2"/>
        <v>0</v>
      </c>
      <c r="AO77" s="533">
        <f t="shared" si="2"/>
        <v>0</v>
      </c>
      <c r="AP77" s="533">
        <f t="shared" si="2"/>
        <v>0</v>
      </c>
      <c r="AQ77" s="533">
        <f t="shared" si="2"/>
        <v>0</v>
      </c>
      <c r="AR77" s="533">
        <f t="shared" si="2"/>
        <v>0</v>
      </c>
      <c r="AS77" s="533">
        <f t="shared" si="2"/>
        <v>0</v>
      </c>
      <c r="AT77" s="533">
        <f t="shared" si="2"/>
        <v>0</v>
      </c>
      <c r="AU77" s="533">
        <f t="shared" si="2"/>
        <v>0</v>
      </c>
      <c r="AV77" s="533">
        <f t="shared" si="2"/>
        <v>0</v>
      </c>
      <c r="AW77" s="533">
        <f t="shared" si="2"/>
        <v>0</v>
      </c>
      <c r="AX77" s="533">
        <f t="shared" si="2"/>
        <v>0</v>
      </c>
      <c r="AY77" s="533">
        <f t="shared" si="2"/>
        <v>0</v>
      </c>
      <c r="AZ77" s="533">
        <f t="shared" si="2"/>
        <v>0</v>
      </c>
    </row>
    <row r="78" spans="1:52" s="470" customFormat="1" ht="5.0999999999999996" customHeight="1">
      <c r="A78" s="478"/>
      <c r="B78" s="478"/>
      <c r="C78" s="478"/>
      <c r="D78" s="478"/>
      <c r="E78" s="478"/>
      <c r="F78" s="478"/>
      <c r="G78" s="468"/>
      <c r="H78" s="469"/>
      <c r="I78" s="469"/>
      <c r="J78" s="469"/>
      <c r="K78" s="469"/>
      <c r="L78" s="469"/>
      <c r="M78" s="469"/>
      <c r="N78" s="469"/>
      <c r="O78" s="469"/>
      <c r="P78" s="469"/>
      <c r="Q78" s="469"/>
      <c r="R78" s="469"/>
      <c r="S78" s="469"/>
      <c r="T78" s="469"/>
      <c r="U78" s="469"/>
      <c r="V78" s="469"/>
      <c r="W78" s="469"/>
      <c r="X78" s="469"/>
      <c r="Y78" s="469"/>
      <c r="Z78" s="469"/>
      <c r="AA78" s="469"/>
      <c r="AB78" s="469"/>
      <c r="AC78" s="469"/>
      <c r="AD78" s="469"/>
      <c r="AE78" s="469"/>
      <c r="AF78" s="469"/>
      <c r="AG78" s="469"/>
      <c r="AH78" s="469"/>
      <c r="AI78" s="469"/>
      <c r="AJ78" s="469"/>
      <c r="AK78" s="469"/>
      <c r="AL78" s="469"/>
      <c r="AM78" s="469"/>
      <c r="AN78" s="469"/>
      <c r="AO78" s="469"/>
      <c r="AP78" s="469"/>
      <c r="AQ78" s="469"/>
      <c r="AR78" s="469"/>
      <c r="AS78" s="469"/>
      <c r="AT78" s="469"/>
      <c r="AU78" s="469"/>
      <c r="AV78" s="469"/>
      <c r="AW78" s="469"/>
      <c r="AX78" s="469"/>
      <c r="AY78" s="469"/>
      <c r="AZ78" s="469"/>
    </row>
    <row r="79" spans="1:52" s="470" customFormat="1">
      <c r="A79" s="530" t="s">
        <v>512</v>
      </c>
      <c r="B79" s="531"/>
      <c r="C79" s="531"/>
      <c r="D79" s="531"/>
      <c r="E79" s="531"/>
      <c r="F79" s="532"/>
      <c r="G79" s="468"/>
      <c r="H79" s="533">
        <f>SUM(H28:H42,H59:H60)</f>
        <v>0</v>
      </c>
      <c r="I79" s="533">
        <f t="shared" ref="I79:AZ79" si="3">SUM(I28:I42,I59:I60)</f>
        <v>0</v>
      </c>
      <c r="J79" s="533">
        <f t="shared" si="3"/>
        <v>4.0383270985091144</v>
      </c>
      <c r="K79" s="533">
        <f t="shared" si="3"/>
        <v>0.34596344185839278</v>
      </c>
      <c r="L79" s="533">
        <f t="shared" si="3"/>
        <v>0.34596344185839278</v>
      </c>
      <c r="M79" s="533">
        <f t="shared" si="3"/>
        <v>0.34596344185839278</v>
      </c>
      <c r="N79" s="533">
        <f t="shared" si="3"/>
        <v>0.34260553096032759</v>
      </c>
      <c r="O79" s="533">
        <f t="shared" si="3"/>
        <v>0.34260553096032759</v>
      </c>
      <c r="P79" s="533">
        <f t="shared" si="3"/>
        <v>0.33619123868709644</v>
      </c>
      <c r="Q79" s="533">
        <f t="shared" si="3"/>
        <v>0.33402478652310524</v>
      </c>
      <c r="R79" s="533">
        <f t="shared" si="3"/>
        <v>0.32224520709553778</v>
      </c>
      <c r="S79" s="533">
        <f t="shared" si="3"/>
        <v>0.31026670687038715</v>
      </c>
      <c r="T79" s="533">
        <f t="shared" si="3"/>
        <v>0.30853006729651483</v>
      </c>
      <c r="U79" s="533">
        <f t="shared" si="3"/>
        <v>0.30853006729651483</v>
      </c>
      <c r="V79" s="533">
        <f t="shared" si="3"/>
        <v>0.30341899825428487</v>
      </c>
      <c r="W79" s="533">
        <f t="shared" si="3"/>
        <v>0.30295560046050857</v>
      </c>
      <c r="X79" s="533">
        <f t="shared" si="3"/>
        <v>0.30053282141813015</v>
      </c>
      <c r="Y79" s="533">
        <f t="shared" si="3"/>
        <v>0.2796902462561654</v>
      </c>
      <c r="Z79" s="533">
        <f t="shared" si="3"/>
        <v>0.10565117282472013</v>
      </c>
      <c r="AA79" s="533">
        <f t="shared" si="3"/>
        <v>0.10565117282472013</v>
      </c>
      <c r="AB79" s="533">
        <f t="shared" si="3"/>
        <v>4.6269082115023369E-2</v>
      </c>
      <c r="AC79" s="533">
        <f t="shared" si="3"/>
        <v>4.6269082115023369E-2</v>
      </c>
      <c r="AD79" s="533">
        <f t="shared" si="3"/>
        <v>0</v>
      </c>
      <c r="AE79" s="533">
        <f t="shared" si="3"/>
        <v>0</v>
      </c>
      <c r="AF79" s="533">
        <f t="shared" si="3"/>
        <v>0</v>
      </c>
      <c r="AG79" s="533">
        <f t="shared" si="3"/>
        <v>0</v>
      </c>
      <c r="AH79" s="533">
        <f t="shared" si="3"/>
        <v>0</v>
      </c>
      <c r="AI79" s="533">
        <f t="shared" si="3"/>
        <v>0</v>
      </c>
      <c r="AJ79" s="533">
        <f t="shared" si="3"/>
        <v>0</v>
      </c>
      <c r="AK79" s="533">
        <f t="shared" si="3"/>
        <v>0</v>
      </c>
      <c r="AL79" s="533">
        <f t="shared" si="3"/>
        <v>0</v>
      </c>
      <c r="AM79" s="533">
        <f t="shared" si="3"/>
        <v>0</v>
      </c>
      <c r="AN79" s="533">
        <f t="shared" si="3"/>
        <v>0</v>
      </c>
      <c r="AO79" s="533">
        <f t="shared" si="3"/>
        <v>0</v>
      </c>
      <c r="AP79" s="533">
        <f t="shared" si="3"/>
        <v>0</v>
      </c>
      <c r="AQ79" s="533">
        <f t="shared" si="3"/>
        <v>0</v>
      </c>
      <c r="AR79" s="533">
        <f t="shared" si="3"/>
        <v>0</v>
      </c>
      <c r="AS79" s="533">
        <f t="shared" si="3"/>
        <v>0</v>
      </c>
      <c r="AT79" s="533">
        <f t="shared" si="3"/>
        <v>0</v>
      </c>
      <c r="AU79" s="533">
        <f t="shared" si="3"/>
        <v>0</v>
      </c>
      <c r="AV79" s="533">
        <f t="shared" si="3"/>
        <v>0</v>
      </c>
      <c r="AW79" s="533">
        <f t="shared" si="3"/>
        <v>0</v>
      </c>
      <c r="AX79" s="533">
        <f t="shared" si="3"/>
        <v>0</v>
      </c>
      <c r="AY79" s="533">
        <f t="shared" si="3"/>
        <v>0</v>
      </c>
      <c r="AZ79" s="533">
        <f t="shared" si="3"/>
        <v>0</v>
      </c>
    </row>
    <row r="80" spans="1:52" s="470" customFormat="1" ht="4.5" customHeight="1">
      <c r="A80" s="478"/>
      <c r="B80" s="478"/>
      <c r="C80" s="478"/>
      <c r="D80" s="478"/>
      <c r="E80" s="478"/>
      <c r="F80" s="478"/>
      <c r="G80" s="468"/>
      <c r="H80" s="469"/>
      <c r="I80" s="469"/>
      <c r="J80" s="469"/>
      <c r="K80" s="469"/>
      <c r="L80" s="469"/>
      <c r="M80" s="469"/>
      <c r="N80" s="469"/>
      <c r="O80" s="469"/>
      <c r="P80" s="469"/>
      <c r="Q80" s="469"/>
      <c r="R80" s="469"/>
      <c r="S80" s="469"/>
      <c r="T80" s="469"/>
      <c r="U80" s="469"/>
      <c r="V80" s="469"/>
      <c r="W80" s="469"/>
      <c r="X80" s="469"/>
      <c r="Y80" s="469"/>
      <c r="Z80" s="469"/>
      <c r="AA80" s="469"/>
      <c r="AB80" s="469"/>
      <c r="AC80" s="469"/>
      <c r="AD80" s="469"/>
      <c r="AE80" s="469"/>
      <c r="AF80" s="469"/>
      <c r="AG80" s="469"/>
      <c r="AH80" s="469"/>
      <c r="AI80" s="469"/>
      <c r="AJ80" s="469"/>
      <c r="AK80" s="469"/>
      <c r="AL80" s="469"/>
      <c r="AM80" s="469"/>
      <c r="AN80" s="469"/>
      <c r="AO80" s="469"/>
      <c r="AP80" s="469"/>
      <c r="AQ80" s="469"/>
      <c r="AR80" s="469"/>
      <c r="AS80" s="469"/>
      <c r="AT80" s="469"/>
      <c r="AU80" s="469"/>
      <c r="AV80" s="469"/>
      <c r="AW80" s="469"/>
      <c r="AX80" s="469"/>
      <c r="AY80" s="469"/>
      <c r="AZ80" s="469"/>
    </row>
    <row r="81" spans="1:52" s="470" customFormat="1">
      <c r="A81" s="530" t="s">
        <v>513</v>
      </c>
      <c r="B81" s="531"/>
      <c r="C81" s="531"/>
      <c r="D81" s="531"/>
      <c r="E81" s="531"/>
      <c r="F81" s="532"/>
      <c r="G81" s="468"/>
      <c r="H81" s="533">
        <f>SUM(H43:H58)</f>
        <v>0</v>
      </c>
      <c r="I81" s="533">
        <f t="shared" ref="I81:AZ81" si="4">SUM(I43:I58)</f>
        <v>0</v>
      </c>
      <c r="J81" s="533">
        <f t="shared" si="4"/>
        <v>0</v>
      </c>
      <c r="K81" s="533">
        <f t="shared" si="4"/>
        <v>3.7917776280997404</v>
      </c>
      <c r="L81" s="533">
        <f t="shared" si="4"/>
        <v>0.42435708807828793</v>
      </c>
      <c r="M81" s="533">
        <f t="shared" si="4"/>
        <v>0.42435708807828793</v>
      </c>
      <c r="N81" s="533">
        <f t="shared" si="4"/>
        <v>0.42329079323298957</v>
      </c>
      <c r="O81" s="533">
        <f t="shared" si="4"/>
        <v>0.41816059930017768</v>
      </c>
      <c r="P81" s="533">
        <f t="shared" si="4"/>
        <v>0.40605136092503463</v>
      </c>
      <c r="Q81" s="533">
        <f t="shared" si="4"/>
        <v>0.4042052465154134</v>
      </c>
      <c r="R81" s="533">
        <f t="shared" si="4"/>
        <v>0.3810473517785713</v>
      </c>
      <c r="S81" s="533">
        <f t="shared" si="4"/>
        <v>0.37554716512500391</v>
      </c>
      <c r="T81" s="533">
        <f t="shared" si="4"/>
        <v>0.20046819435185703</v>
      </c>
      <c r="U81" s="533">
        <f t="shared" si="4"/>
        <v>0.19699872727494522</v>
      </c>
      <c r="V81" s="533">
        <f t="shared" si="4"/>
        <v>0.13665121551345549</v>
      </c>
      <c r="W81" s="533">
        <f t="shared" si="4"/>
        <v>0.12885549995616163</v>
      </c>
      <c r="X81" s="533">
        <f t="shared" si="4"/>
        <v>0.12885549995616163</v>
      </c>
      <c r="Y81" s="533">
        <f t="shared" si="4"/>
        <v>0.12848045168046604</v>
      </c>
      <c r="Z81" s="533">
        <f t="shared" si="4"/>
        <v>0.11982724042073281</v>
      </c>
      <c r="AA81" s="533">
        <f t="shared" si="4"/>
        <v>0.11909543426463211</v>
      </c>
      <c r="AB81" s="533">
        <f t="shared" si="4"/>
        <v>0.11909543426463211</v>
      </c>
      <c r="AC81" s="533">
        <f t="shared" si="4"/>
        <v>9.4506914636570197E-2</v>
      </c>
      <c r="AD81" s="533">
        <f t="shared" si="4"/>
        <v>2.6855791176871379E-2</v>
      </c>
      <c r="AE81" s="533">
        <f t="shared" si="4"/>
        <v>0</v>
      </c>
      <c r="AF81" s="533">
        <f t="shared" si="4"/>
        <v>0</v>
      </c>
      <c r="AG81" s="533">
        <f t="shared" si="4"/>
        <v>0</v>
      </c>
      <c r="AH81" s="533">
        <f t="shared" si="4"/>
        <v>0</v>
      </c>
      <c r="AI81" s="533">
        <f t="shared" si="4"/>
        <v>0</v>
      </c>
      <c r="AJ81" s="533">
        <f t="shared" si="4"/>
        <v>0</v>
      </c>
      <c r="AK81" s="533">
        <f t="shared" si="4"/>
        <v>0</v>
      </c>
      <c r="AL81" s="533">
        <f t="shared" si="4"/>
        <v>0</v>
      </c>
      <c r="AM81" s="533">
        <f t="shared" si="4"/>
        <v>0</v>
      </c>
      <c r="AN81" s="533">
        <f t="shared" si="4"/>
        <v>0</v>
      </c>
      <c r="AO81" s="533">
        <f t="shared" si="4"/>
        <v>0</v>
      </c>
      <c r="AP81" s="533">
        <f t="shared" si="4"/>
        <v>0</v>
      </c>
      <c r="AQ81" s="533">
        <f t="shared" si="4"/>
        <v>0</v>
      </c>
      <c r="AR81" s="533">
        <f t="shared" si="4"/>
        <v>0</v>
      </c>
      <c r="AS81" s="533">
        <f t="shared" si="4"/>
        <v>0</v>
      </c>
      <c r="AT81" s="533">
        <f t="shared" si="4"/>
        <v>0</v>
      </c>
      <c r="AU81" s="533">
        <f t="shared" si="4"/>
        <v>0</v>
      </c>
      <c r="AV81" s="533">
        <f t="shared" si="4"/>
        <v>0</v>
      </c>
      <c r="AW81" s="533">
        <f t="shared" si="4"/>
        <v>0</v>
      </c>
      <c r="AX81" s="533">
        <f t="shared" si="4"/>
        <v>0</v>
      </c>
      <c r="AY81" s="533">
        <f t="shared" si="4"/>
        <v>0</v>
      </c>
      <c r="AZ81" s="533">
        <f t="shared" si="4"/>
        <v>0</v>
      </c>
    </row>
    <row r="82" spans="1:52" s="470" customFormat="1" ht="3.75" customHeight="1">
      <c r="A82" s="534"/>
      <c r="B82" s="534"/>
      <c r="C82" s="534"/>
      <c r="D82" s="534"/>
      <c r="E82" s="534"/>
      <c r="F82" s="534"/>
      <c r="G82" s="468"/>
      <c r="H82" s="535"/>
      <c r="I82" s="535"/>
      <c r="J82" s="535"/>
      <c r="K82" s="535"/>
      <c r="L82" s="535"/>
      <c r="M82" s="535"/>
      <c r="N82" s="535"/>
      <c r="O82" s="535"/>
      <c r="P82" s="535"/>
      <c r="Q82" s="535"/>
      <c r="R82" s="535"/>
      <c r="S82" s="535"/>
      <c r="T82" s="535"/>
      <c r="U82" s="535"/>
      <c r="V82" s="535"/>
      <c r="W82" s="535"/>
      <c r="X82" s="535"/>
      <c r="Y82" s="535"/>
      <c r="Z82" s="535"/>
      <c r="AA82" s="535"/>
      <c r="AB82" s="535"/>
      <c r="AC82" s="535"/>
      <c r="AD82" s="535"/>
      <c r="AE82" s="535"/>
      <c r="AF82" s="535"/>
      <c r="AG82" s="535"/>
      <c r="AH82" s="535"/>
      <c r="AI82" s="535"/>
      <c r="AJ82" s="535"/>
      <c r="AK82" s="535"/>
      <c r="AL82" s="535"/>
      <c r="AM82" s="535"/>
      <c r="AN82" s="535"/>
      <c r="AO82" s="535"/>
      <c r="AP82" s="535"/>
      <c r="AQ82" s="535"/>
      <c r="AR82" s="535"/>
      <c r="AS82" s="535"/>
      <c r="AT82" s="535"/>
      <c r="AU82" s="535"/>
      <c r="AV82" s="535"/>
      <c r="AW82" s="535"/>
      <c r="AX82" s="535"/>
      <c r="AY82" s="535"/>
      <c r="AZ82" s="535"/>
    </row>
    <row r="83" spans="1:52" s="470" customFormat="1">
      <c r="A83" s="530" t="s">
        <v>514</v>
      </c>
      <c r="B83" s="531"/>
      <c r="C83" s="531"/>
      <c r="D83" s="531"/>
      <c r="E83" s="531"/>
      <c r="F83" s="532"/>
      <c r="G83" s="468"/>
      <c r="H83" s="533">
        <f>SUM(H61:H73)</f>
        <v>0</v>
      </c>
      <c r="I83" s="533">
        <f t="shared" ref="I83:AZ83" si="5">SUM(I61:I73)</f>
        <v>0</v>
      </c>
      <c r="J83" s="533">
        <f t="shared" si="5"/>
        <v>0</v>
      </c>
      <c r="K83" s="533">
        <f t="shared" si="5"/>
        <v>0</v>
      </c>
      <c r="L83" s="533">
        <f t="shared" si="5"/>
        <v>3.044947332731665</v>
      </c>
      <c r="M83" s="533">
        <f t="shared" si="5"/>
        <v>0.37936785107193205</v>
      </c>
      <c r="N83" s="533">
        <f t="shared" si="5"/>
        <v>0.37918677481717433</v>
      </c>
      <c r="O83" s="533">
        <f t="shared" si="5"/>
        <v>0.37823284657571843</v>
      </c>
      <c r="P83" s="533">
        <f t="shared" si="5"/>
        <v>0.37464381858592655</v>
      </c>
      <c r="Q83" s="533">
        <f t="shared" si="5"/>
        <v>0.36537368171251083</v>
      </c>
      <c r="R83" s="533">
        <f t="shared" si="5"/>
        <v>0.36508103483753129</v>
      </c>
      <c r="S83" s="533">
        <f t="shared" si="5"/>
        <v>0.36508103483753129</v>
      </c>
      <c r="T83" s="533">
        <f t="shared" si="5"/>
        <v>0.18927980110737072</v>
      </c>
      <c r="U83" s="533">
        <f t="shared" si="5"/>
        <v>0.18710964784967907</v>
      </c>
      <c r="V83" s="533">
        <f t="shared" si="5"/>
        <v>0.13430914382079773</v>
      </c>
      <c r="W83" s="533">
        <f t="shared" si="5"/>
        <v>0.13430914382079773</v>
      </c>
      <c r="X83" s="533">
        <f t="shared" si="5"/>
        <v>0.13409646306424461</v>
      </c>
      <c r="Y83" s="533">
        <f t="shared" si="5"/>
        <v>0.13409646306424461</v>
      </c>
      <c r="Z83" s="533">
        <f t="shared" si="5"/>
        <v>0.13409646306424461</v>
      </c>
      <c r="AA83" s="533">
        <f t="shared" si="5"/>
        <v>0.13075297071969327</v>
      </c>
      <c r="AB83" s="533">
        <f t="shared" si="5"/>
        <v>0.13038619813536853</v>
      </c>
      <c r="AC83" s="533">
        <f t="shared" si="5"/>
        <v>0.13038619813536853</v>
      </c>
      <c r="AD83" s="533">
        <f t="shared" si="5"/>
        <v>0.12589219339219632</v>
      </c>
      <c r="AE83" s="533">
        <f t="shared" si="5"/>
        <v>8.6040309010406019E-2</v>
      </c>
      <c r="AF83" s="533">
        <f t="shared" si="5"/>
        <v>0</v>
      </c>
      <c r="AG83" s="533">
        <f t="shared" si="5"/>
        <v>0</v>
      </c>
      <c r="AH83" s="533">
        <f t="shared" si="5"/>
        <v>0</v>
      </c>
      <c r="AI83" s="533">
        <f t="shared" si="5"/>
        <v>0</v>
      </c>
      <c r="AJ83" s="533">
        <f t="shared" si="5"/>
        <v>0</v>
      </c>
      <c r="AK83" s="533">
        <f t="shared" si="5"/>
        <v>0</v>
      </c>
      <c r="AL83" s="533">
        <f t="shared" si="5"/>
        <v>0</v>
      </c>
      <c r="AM83" s="533">
        <f t="shared" si="5"/>
        <v>0</v>
      </c>
      <c r="AN83" s="533">
        <f t="shared" si="5"/>
        <v>0</v>
      </c>
      <c r="AO83" s="533">
        <f t="shared" si="5"/>
        <v>0</v>
      </c>
      <c r="AP83" s="533">
        <f t="shared" si="5"/>
        <v>0</v>
      </c>
      <c r="AQ83" s="533">
        <f t="shared" si="5"/>
        <v>0</v>
      </c>
      <c r="AR83" s="533">
        <f t="shared" si="5"/>
        <v>0</v>
      </c>
      <c r="AS83" s="533">
        <f t="shared" si="5"/>
        <v>0</v>
      </c>
      <c r="AT83" s="533">
        <f t="shared" si="5"/>
        <v>0</v>
      </c>
      <c r="AU83" s="533">
        <f t="shared" si="5"/>
        <v>0</v>
      </c>
      <c r="AV83" s="533">
        <f t="shared" si="5"/>
        <v>0</v>
      </c>
      <c r="AW83" s="533">
        <f t="shared" si="5"/>
        <v>0</v>
      </c>
      <c r="AX83" s="533">
        <f t="shared" si="5"/>
        <v>0</v>
      </c>
      <c r="AY83" s="533">
        <f t="shared" si="5"/>
        <v>0</v>
      </c>
      <c r="AZ83" s="533">
        <f t="shared" si="5"/>
        <v>0</v>
      </c>
    </row>
    <row r="84" spans="1:52" s="470" customFormat="1" ht="4.5" customHeight="1">
      <c r="A84" s="478"/>
      <c r="B84" s="478"/>
      <c r="C84" s="478"/>
      <c r="D84" s="478"/>
      <c r="E84" s="478"/>
      <c r="F84" s="478"/>
      <c r="G84" s="468"/>
      <c r="H84" s="469"/>
      <c r="I84" s="469"/>
      <c r="J84" s="469"/>
      <c r="K84" s="469"/>
      <c r="L84" s="469"/>
      <c r="M84" s="469"/>
      <c r="N84" s="469"/>
      <c r="O84" s="469"/>
      <c r="P84" s="469"/>
      <c r="Q84" s="469"/>
      <c r="R84" s="469"/>
      <c r="S84" s="469"/>
      <c r="T84" s="469"/>
      <c r="U84" s="469"/>
      <c r="V84" s="469"/>
      <c r="W84" s="469"/>
      <c r="X84" s="469"/>
      <c r="Y84" s="469"/>
      <c r="Z84" s="469"/>
      <c r="AA84" s="469"/>
      <c r="AB84" s="469"/>
      <c r="AC84" s="469"/>
      <c r="AD84" s="469"/>
      <c r="AE84" s="469"/>
      <c r="AF84" s="469"/>
      <c r="AG84" s="469"/>
      <c r="AH84" s="469"/>
      <c r="AI84" s="469"/>
      <c r="AJ84" s="469"/>
      <c r="AK84" s="469"/>
      <c r="AL84" s="469"/>
      <c r="AM84" s="469"/>
      <c r="AN84" s="469"/>
      <c r="AO84" s="469"/>
      <c r="AP84" s="469"/>
      <c r="AQ84" s="469"/>
      <c r="AR84" s="469"/>
      <c r="AS84" s="469"/>
      <c r="AT84" s="469"/>
      <c r="AU84" s="469"/>
      <c r="AV84" s="469"/>
      <c r="AW84" s="469"/>
      <c r="AX84" s="469"/>
      <c r="AY84" s="469"/>
      <c r="AZ84" s="469"/>
    </row>
    <row r="85" spans="1:52" s="470" customFormat="1">
      <c r="A85" s="530" t="s">
        <v>515</v>
      </c>
      <c r="B85" s="536"/>
      <c r="C85" s="536"/>
      <c r="D85" s="536"/>
      <c r="E85" s="536"/>
      <c r="F85" s="537"/>
      <c r="G85" s="468"/>
      <c r="H85" s="533">
        <f>SUM(H9:H73)</f>
        <v>1.984869925959966</v>
      </c>
      <c r="I85" s="533">
        <f>SUM(I9:I73)</f>
        <v>2.5170302774954783</v>
      </c>
      <c r="J85" s="533">
        <f t="shared" ref="J85:AZ85" si="6">SUM(J9:J73)</f>
        <v>4.3542288616863285</v>
      </c>
      <c r="K85" s="533">
        <f t="shared" si="6"/>
        <v>4.4250755411278435</v>
      </c>
      <c r="L85" s="533">
        <f t="shared" si="6"/>
        <v>4.1026023338380559</v>
      </c>
      <c r="M85" s="533">
        <f t="shared" si="6"/>
        <v>1.4362967394091208</v>
      </c>
      <c r="N85" s="533">
        <f t="shared" si="6"/>
        <v>1.4192821304043322</v>
      </c>
      <c r="O85" s="533">
        <f t="shared" si="6"/>
        <v>1.4131980082300644</v>
      </c>
      <c r="P85" s="533">
        <f t="shared" si="6"/>
        <v>1.3726608620295082</v>
      </c>
      <c r="Q85" s="533">
        <f t="shared" si="6"/>
        <v>1.3389192981032267</v>
      </c>
      <c r="R85" s="533">
        <f t="shared" si="6"/>
        <v>1.2982348728891926</v>
      </c>
      <c r="S85" s="533">
        <f t="shared" si="6"/>
        <v>1.2674130684676035</v>
      </c>
      <c r="T85" s="533">
        <f t="shared" si="6"/>
        <v>0.91479622439042363</v>
      </c>
      <c r="U85" s="533">
        <f t="shared" si="6"/>
        <v>0.90915660405582022</v>
      </c>
      <c r="V85" s="533">
        <f t="shared" si="6"/>
        <v>0.76523718393080176</v>
      </c>
      <c r="W85" s="533">
        <f t="shared" si="6"/>
        <v>0.71411596579381953</v>
      </c>
      <c r="X85" s="533">
        <f t="shared" si="6"/>
        <v>0.65240956242419024</v>
      </c>
      <c r="Y85" s="533">
        <f t="shared" si="6"/>
        <v>0.63103853600884718</v>
      </c>
      <c r="Z85" s="533">
        <f t="shared" si="6"/>
        <v>0.42149316562971828</v>
      </c>
      <c r="AA85" s="533">
        <f t="shared" si="6"/>
        <v>0.40386310156676253</v>
      </c>
      <c r="AB85" s="533">
        <f t="shared" si="6"/>
        <v>0.31721071451502403</v>
      </c>
      <c r="AC85" s="533">
        <f t="shared" si="6"/>
        <v>0.27116219488696208</v>
      </c>
      <c r="AD85" s="533">
        <f t="shared" si="6"/>
        <v>0.15274798456906771</v>
      </c>
      <c r="AE85" s="533">
        <f t="shared" si="6"/>
        <v>8.6040309010406019E-2</v>
      </c>
      <c r="AF85" s="533">
        <f t="shared" si="6"/>
        <v>0</v>
      </c>
      <c r="AG85" s="533">
        <f t="shared" si="6"/>
        <v>0</v>
      </c>
      <c r="AH85" s="533">
        <f t="shared" si="6"/>
        <v>0</v>
      </c>
      <c r="AI85" s="533">
        <f t="shared" si="6"/>
        <v>0</v>
      </c>
      <c r="AJ85" s="533">
        <f t="shared" si="6"/>
        <v>0</v>
      </c>
      <c r="AK85" s="533">
        <f t="shared" si="6"/>
        <v>0</v>
      </c>
      <c r="AL85" s="533">
        <f t="shared" si="6"/>
        <v>0</v>
      </c>
      <c r="AM85" s="533">
        <f t="shared" si="6"/>
        <v>0</v>
      </c>
      <c r="AN85" s="533">
        <f t="shared" si="6"/>
        <v>0</v>
      </c>
      <c r="AO85" s="533">
        <f t="shared" si="6"/>
        <v>0</v>
      </c>
      <c r="AP85" s="533">
        <f t="shared" si="6"/>
        <v>0</v>
      </c>
      <c r="AQ85" s="533">
        <f t="shared" si="6"/>
        <v>0</v>
      </c>
      <c r="AR85" s="533">
        <f t="shared" si="6"/>
        <v>0</v>
      </c>
      <c r="AS85" s="533">
        <f t="shared" si="6"/>
        <v>0</v>
      </c>
      <c r="AT85" s="533">
        <f t="shared" si="6"/>
        <v>0</v>
      </c>
      <c r="AU85" s="533">
        <f t="shared" si="6"/>
        <v>0</v>
      </c>
      <c r="AV85" s="533">
        <f t="shared" si="6"/>
        <v>0</v>
      </c>
      <c r="AW85" s="533">
        <f t="shared" si="6"/>
        <v>0</v>
      </c>
      <c r="AX85" s="533">
        <f t="shared" si="6"/>
        <v>0</v>
      </c>
      <c r="AY85" s="533">
        <f t="shared" si="6"/>
        <v>0</v>
      </c>
      <c r="AZ85" s="533">
        <f t="shared" si="6"/>
        <v>0</v>
      </c>
    </row>
    <row r="86" spans="1:52" s="541" customFormat="1">
      <c r="A86" s="538"/>
      <c r="B86" s="538"/>
      <c r="C86" s="538"/>
      <c r="D86" s="538"/>
      <c r="E86" s="538"/>
      <c r="F86" s="538"/>
      <c r="G86" s="539"/>
      <c r="H86" s="540">
        <v>65</v>
      </c>
      <c r="I86" s="540">
        <f>H86+1</f>
        <v>66</v>
      </c>
      <c r="J86" s="540">
        <f t="shared" ref="J86:AZ86" si="7">I86+1</f>
        <v>67</v>
      </c>
      <c r="K86" s="540">
        <f t="shared" si="7"/>
        <v>68</v>
      </c>
      <c r="L86" s="540">
        <f t="shared" si="7"/>
        <v>69</v>
      </c>
      <c r="M86" s="540">
        <f t="shared" si="7"/>
        <v>70</v>
      </c>
      <c r="N86" s="540">
        <f t="shared" si="7"/>
        <v>71</v>
      </c>
      <c r="O86" s="540">
        <f t="shared" si="7"/>
        <v>72</v>
      </c>
      <c r="P86" s="540">
        <f t="shared" si="7"/>
        <v>73</v>
      </c>
      <c r="Q86" s="540">
        <f t="shared" si="7"/>
        <v>74</v>
      </c>
      <c r="R86" s="540">
        <f t="shared" si="7"/>
        <v>75</v>
      </c>
      <c r="S86" s="540">
        <f t="shared" si="7"/>
        <v>76</v>
      </c>
      <c r="T86" s="540">
        <f t="shared" si="7"/>
        <v>77</v>
      </c>
      <c r="U86" s="540">
        <f t="shared" si="7"/>
        <v>78</v>
      </c>
      <c r="V86" s="540">
        <f t="shared" si="7"/>
        <v>79</v>
      </c>
      <c r="W86" s="540">
        <f t="shared" si="7"/>
        <v>80</v>
      </c>
      <c r="X86" s="540">
        <f t="shared" si="7"/>
        <v>81</v>
      </c>
      <c r="Y86" s="540">
        <f t="shared" si="7"/>
        <v>82</v>
      </c>
      <c r="Z86" s="540">
        <f t="shared" si="7"/>
        <v>83</v>
      </c>
      <c r="AA86" s="540">
        <f t="shared" si="7"/>
        <v>84</v>
      </c>
      <c r="AB86" s="540">
        <f t="shared" si="7"/>
        <v>85</v>
      </c>
      <c r="AC86" s="540">
        <f t="shared" si="7"/>
        <v>86</v>
      </c>
      <c r="AD86" s="540">
        <f t="shared" si="7"/>
        <v>87</v>
      </c>
      <c r="AE86" s="540">
        <f t="shared" si="7"/>
        <v>88</v>
      </c>
      <c r="AF86" s="540">
        <f t="shared" si="7"/>
        <v>89</v>
      </c>
      <c r="AG86" s="540">
        <f t="shared" si="7"/>
        <v>90</v>
      </c>
      <c r="AH86" s="540">
        <f t="shared" si="7"/>
        <v>91</v>
      </c>
      <c r="AI86" s="540">
        <f t="shared" si="7"/>
        <v>92</v>
      </c>
      <c r="AJ86" s="540">
        <f t="shared" si="7"/>
        <v>93</v>
      </c>
      <c r="AK86" s="540">
        <f t="shared" si="7"/>
        <v>94</v>
      </c>
      <c r="AL86" s="540">
        <f t="shared" si="7"/>
        <v>95</v>
      </c>
      <c r="AM86" s="540">
        <f t="shared" si="7"/>
        <v>96</v>
      </c>
      <c r="AN86" s="540">
        <f t="shared" si="7"/>
        <v>97</v>
      </c>
      <c r="AO86" s="540">
        <f t="shared" si="7"/>
        <v>98</v>
      </c>
      <c r="AP86" s="540">
        <f t="shared" si="7"/>
        <v>99</v>
      </c>
      <c r="AQ86" s="540">
        <f t="shared" si="7"/>
        <v>100</v>
      </c>
      <c r="AR86" s="540">
        <f t="shared" si="7"/>
        <v>101</v>
      </c>
      <c r="AS86" s="540">
        <f t="shared" si="7"/>
        <v>102</v>
      </c>
      <c r="AT86" s="540">
        <f t="shared" si="7"/>
        <v>103</v>
      </c>
      <c r="AU86" s="540">
        <f t="shared" si="7"/>
        <v>104</v>
      </c>
      <c r="AV86" s="540">
        <f t="shared" si="7"/>
        <v>105</v>
      </c>
      <c r="AW86" s="540">
        <f t="shared" si="7"/>
        <v>106</v>
      </c>
      <c r="AX86" s="540">
        <f t="shared" si="7"/>
        <v>107</v>
      </c>
      <c r="AY86" s="540">
        <f t="shared" si="7"/>
        <v>108</v>
      </c>
      <c r="AZ86" s="540">
        <f t="shared" si="7"/>
        <v>109</v>
      </c>
    </row>
    <row r="87" spans="1:52" s="470" customFormat="1">
      <c r="A87" s="467"/>
      <c r="B87" s="467"/>
      <c r="C87" s="467"/>
      <c r="D87" s="467"/>
      <c r="E87" s="467"/>
      <c r="F87" s="467"/>
      <c r="G87" s="468"/>
      <c r="H87" s="469"/>
      <c r="I87" s="469"/>
      <c r="J87" s="469"/>
      <c r="K87" s="469"/>
      <c r="L87" s="469"/>
      <c r="M87" s="469"/>
      <c r="N87" s="469"/>
      <c r="O87" s="469"/>
      <c r="P87" s="469"/>
      <c r="Q87" s="469"/>
      <c r="R87" s="469"/>
      <c r="S87" s="469"/>
      <c r="T87" s="469"/>
      <c r="U87" s="469"/>
      <c r="V87" s="469"/>
      <c r="W87" s="469"/>
      <c r="X87" s="469"/>
      <c r="Y87" s="469"/>
      <c r="Z87" s="469"/>
      <c r="AA87" s="469"/>
      <c r="AB87" s="469"/>
      <c r="AC87" s="469"/>
      <c r="AD87" s="469"/>
      <c r="AE87" s="469"/>
      <c r="AF87" s="469"/>
      <c r="AG87" s="469"/>
      <c r="AH87" s="469"/>
      <c r="AI87" s="469"/>
      <c r="AJ87" s="469"/>
      <c r="AK87" s="469"/>
      <c r="AL87" s="469"/>
      <c r="AM87" s="469"/>
      <c r="AN87" s="469"/>
      <c r="AO87" s="469"/>
      <c r="AP87" s="469"/>
      <c r="AQ87" s="469"/>
      <c r="AR87" s="469"/>
      <c r="AS87" s="469"/>
      <c r="AT87" s="469"/>
      <c r="AU87" s="469"/>
      <c r="AV87" s="469"/>
      <c r="AW87" s="469"/>
      <c r="AX87" s="469"/>
      <c r="AY87" s="469"/>
      <c r="AZ87" s="469"/>
    </row>
    <row r="88" spans="1:52" s="470" customFormat="1" ht="15.75">
      <c r="A88" s="475" t="s">
        <v>516</v>
      </c>
      <c r="B88" s="467"/>
      <c r="C88" s="467"/>
      <c r="D88" s="467"/>
      <c r="E88" s="467"/>
      <c r="F88" s="467"/>
      <c r="G88" s="468"/>
      <c r="H88" s="469"/>
      <c r="I88" s="469"/>
      <c r="J88" s="469"/>
      <c r="K88" s="469"/>
      <c r="L88" s="469"/>
      <c r="M88" s="469"/>
      <c r="N88" s="469"/>
      <c r="O88" s="469"/>
      <c r="P88" s="469"/>
      <c r="Q88" s="469"/>
      <c r="R88" s="469"/>
      <c r="S88" s="469"/>
      <c r="T88" s="469"/>
      <c r="U88" s="469"/>
      <c r="V88" s="469"/>
      <c r="W88" s="469"/>
      <c r="X88" s="469"/>
      <c r="Y88" s="469"/>
      <c r="Z88" s="469"/>
      <c r="AA88" s="469"/>
      <c r="AB88" s="469"/>
      <c r="AC88" s="469"/>
      <c r="AD88" s="469"/>
      <c r="AE88" s="469"/>
      <c r="AF88" s="469"/>
      <c r="AG88" s="469"/>
      <c r="AH88" s="469"/>
      <c r="AI88" s="469"/>
      <c r="AJ88" s="469"/>
      <c r="AK88" s="469"/>
      <c r="AL88" s="469"/>
      <c r="AM88" s="469"/>
      <c r="AN88" s="469"/>
      <c r="AO88" s="469"/>
      <c r="AP88" s="469"/>
      <c r="AQ88" s="469"/>
      <c r="AR88" s="469"/>
      <c r="AS88" s="469"/>
      <c r="AT88" s="469"/>
      <c r="AU88" s="469"/>
      <c r="AV88" s="469"/>
      <c r="AW88" s="469"/>
      <c r="AX88" s="469"/>
      <c r="AY88" s="469"/>
      <c r="AZ88" s="469"/>
    </row>
    <row r="89" spans="1:52" s="470" customFormat="1" ht="25.5">
      <c r="A89" s="476" t="s">
        <v>504</v>
      </c>
      <c r="B89" s="476" t="s">
        <v>505</v>
      </c>
      <c r="C89" s="476" t="s">
        <v>506</v>
      </c>
      <c r="D89" s="476"/>
      <c r="E89" s="477" t="s">
        <v>508</v>
      </c>
      <c r="F89" s="477" t="s">
        <v>509</v>
      </c>
      <c r="G89" s="468"/>
      <c r="H89" s="476">
        <v>2006</v>
      </c>
      <c r="I89" s="476">
        <f>H89+1</f>
        <v>2007</v>
      </c>
      <c r="J89" s="476">
        <f t="shared" ref="J89:AZ89" si="8">I89+1</f>
        <v>2008</v>
      </c>
      <c r="K89" s="476">
        <f t="shared" si="8"/>
        <v>2009</v>
      </c>
      <c r="L89" s="476">
        <f t="shared" si="8"/>
        <v>2010</v>
      </c>
      <c r="M89" s="476">
        <f t="shared" si="8"/>
        <v>2011</v>
      </c>
      <c r="N89" s="476">
        <f t="shared" si="8"/>
        <v>2012</v>
      </c>
      <c r="O89" s="476">
        <f t="shared" si="8"/>
        <v>2013</v>
      </c>
      <c r="P89" s="476">
        <f t="shared" si="8"/>
        <v>2014</v>
      </c>
      <c r="Q89" s="476">
        <f t="shared" si="8"/>
        <v>2015</v>
      </c>
      <c r="R89" s="476">
        <f t="shared" si="8"/>
        <v>2016</v>
      </c>
      <c r="S89" s="476">
        <f t="shared" si="8"/>
        <v>2017</v>
      </c>
      <c r="T89" s="476">
        <f t="shared" si="8"/>
        <v>2018</v>
      </c>
      <c r="U89" s="476">
        <f t="shared" si="8"/>
        <v>2019</v>
      </c>
      <c r="V89" s="476">
        <f t="shared" si="8"/>
        <v>2020</v>
      </c>
      <c r="W89" s="476">
        <f t="shared" si="8"/>
        <v>2021</v>
      </c>
      <c r="X89" s="476">
        <f t="shared" si="8"/>
        <v>2022</v>
      </c>
      <c r="Y89" s="476">
        <f t="shared" si="8"/>
        <v>2023</v>
      </c>
      <c r="Z89" s="476">
        <f t="shared" si="8"/>
        <v>2024</v>
      </c>
      <c r="AA89" s="476">
        <f t="shared" si="8"/>
        <v>2025</v>
      </c>
      <c r="AB89" s="476">
        <f t="shared" si="8"/>
        <v>2026</v>
      </c>
      <c r="AC89" s="476">
        <f t="shared" si="8"/>
        <v>2027</v>
      </c>
      <c r="AD89" s="476">
        <f t="shared" si="8"/>
        <v>2028</v>
      </c>
      <c r="AE89" s="476">
        <f t="shared" si="8"/>
        <v>2029</v>
      </c>
      <c r="AF89" s="476">
        <f t="shared" si="8"/>
        <v>2030</v>
      </c>
      <c r="AG89" s="476">
        <f t="shared" si="8"/>
        <v>2031</v>
      </c>
      <c r="AH89" s="476">
        <f t="shared" si="8"/>
        <v>2032</v>
      </c>
      <c r="AI89" s="476">
        <f t="shared" si="8"/>
        <v>2033</v>
      </c>
      <c r="AJ89" s="476">
        <f t="shared" si="8"/>
        <v>2034</v>
      </c>
      <c r="AK89" s="476">
        <f t="shared" si="8"/>
        <v>2035</v>
      </c>
      <c r="AL89" s="476">
        <f t="shared" si="8"/>
        <v>2036</v>
      </c>
      <c r="AM89" s="476">
        <f t="shared" si="8"/>
        <v>2037</v>
      </c>
      <c r="AN89" s="476">
        <f t="shared" si="8"/>
        <v>2038</v>
      </c>
      <c r="AO89" s="476">
        <f t="shared" si="8"/>
        <v>2039</v>
      </c>
      <c r="AP89" s="476">
        <f t="shared" si="8"/>
        <v>2040</v>
      </c>
      <c r="AQ89" s="476">
        <f t="shared" si="8"/>
        <v>2041</v>
      </c>
      <c r="AR89" s="476">
        <f t="shared" si="8"/>
        <v>2042</v>
      </c>
      <c r="AS89" s="476">
        <f t="shared" si="8"/>
        <v>2043</v>
      </c>
      <c r="AT89" s="476">
        <f t="shared" si="8"/>
        <v>2044</v>
      </c>
      <c r="AU89" s="476">
        <f t="shared" si="8"/>
        <v>2045</v>
      </c>
      <c r="AV89" s="476">
        <f t="shared" si="8"/>
        <v>2046</v>
      </c>
      <c r="AW89" s="476">
        <f t="shared" si="8"/>
        <v>2047</v>
      </c>
      <c r="AX89" s="476">
        <f t="shared" si="8"/>
        <v>2048</v>
      </c>
      <c r="AY89" s="476">
        <f t="shared" si="8"/>
        <v>2049</v>
      </c>
      <c r="AZ89" s="476">
        <f t="shared" si="8"/>
        <v>2050</v>
      </c>
    </row>
    <row r="90" spans="1:52" s="470" customFormat="1" ht="5.0999999999999996" customHeight="1">
      <c r="A90" s="478"/>
      <c r="B90" s="478"/>
      <c r="C90" s="478"/>
      <c r="D90" s="478"/>
      <c r="E90" s="478"/>
      <c r="F90" s="478"/>
      <c r="G90" s="468"/>
      <c r="H90" s="467"/>
      <c r="I90" s="467"/>
      <c r="J90" s="467"/>
      <c r="K90" s="467"/>
      <c r="L90" s="467"/>
      <c r="M90" s="467"/>
      <c r="N90" s="467"/>
      <c r="O90" s="467"/>
      <c r="P90" s="467"/>
      <c r="Q90" s="467"/>
      <c r="R90" s="467"/>
      <c r="S90" s="467"/>
      <c r="T90" s="467"/>
      <c r="U90" s="467"/>
      <c r="V90" s="467"/>
      <c r="W90" s="467"/>
      <c r="X90" s="467"/>
      <c r="Y90" s="467"/>
      <c r="Z90" s="467"/>
      <c r="AA90" s="467"/>
      <c r="AB90" s="467"/>
      <c r="AC90" s="467"/>
      <c r="AD90" s="467"/>
      <c r="AE90" s="467"/>
      <c r="AF90" s="467"/>
      <c r="AG90" s="467"/>
      <c r="AH90" s="467"/>
      <c r="AI90" s="467"/>
      <c r="AJ90" s="467"/>
      <c r="AK90" s="467"/>
      <c r="AL90" s="467"/>
      <c r="AM90" s="467"/>
      <c r="AN90" s="467"/>
      <c r="AO90" s="467"/>
      <c r="AP90" s="467"/>
      <c r="AQ90" s="467"/>
      <c r="AR90" s="467"/>
      <c r="AS90" s="467"/>
      <c r="AT90" s="467"/>
      <c r="AU90" s="467"/>
      <c r="AV90" s="467"/>
      <c r="AW90" s="467"/>
      <c r="AX90" s="467"/>
      <c r="AY90" s="467"/>
      <c r="AZ90" s="467"/>
    </row>
    <row r="91" spans="1:52" s="470" customFormat="1">
      <c r="A91" s="479">
        <f>'[4]Allocation Methodology'!A5</f>
        <v>1</v>
      </c>
      <c r="B91" s="480" t="str">
        <f>'[4]Allocation Methodology'!B5</f>
        <v>Secondary Refrigerator Retirement Pilot</v>
      </c>
      <c r="C91" s="480" t="str">
        <f>'[4]Allocation Methodology'!C5</f>
        <v>Consumer</v>
      </c>
      <c r="D91" s="480" t="s">
        <v>17</v>
      </c>
      <c r="E91" s="480">
        <f>'[4]Allocation Methodology'!D5</f>
        <v>2006</v>
      </c>
      <c r="F91" s="481" t="str">
        <f>'[4]Allocation Methodology'!E5</f>
        <v>Final</v>
      </c>
      <c r="G91" s="472" t="b">
        <v>0</v>
      </c>
      <c r="H91" s="542">
        <v>27.786910128021361</v>
      </c>
      <c r="I91" s="543">
        <v>27.786910128021361</v>
      </c>
      <c r="J91" s="544">
        <v>27.786910128021361</v>
      </c>
      <c r="K91" s="543">
        <v>27.786910128021361</v>
      </c>
      <c r="L91" s="544">
        <v>27.786910128021361</v>
      </c>
      <c r="M91" s="544">
        <v>27.786910128021361</v>
      </c>
      <c r="N91" s="544">
        <v>0</v>
      </c>
      <c r="O91" s="544">
        <v>0</v>
      </c>
      <c r="P91" s="544">
        <v>0</v>
      </c>
      <c r="Q91" s="544">
        <v>0</v>
      </c>
      <c r="R91" s="544">
        <v>0</v>
      </c>
      <c r="S91" s="544">
        <v>0</v>
      </c>
      <c r="T91" s="544">
        <v>0</v>
      </c>
      <c r="U91" s="544">
        <v>0</v>
      </c>
      <c r="V91" s="544">
        <v>0</v>
      </c>
      <c r="W91" s="544">
        <v>0</v>
      </c>
      <c r="X91" s="544">
        <v>0</v>
      </c>
      <c r="Y91" s="544">
        <v>0</v>
      </c>
      <c r="Z91" s="544">
        <v>0</v>
      </c>
      <c r="AA91" s="544">
        <v>0</v>
      </c>
      <c r="AB91" s="544">
        <v>0</v>
      </c>
      <c r="AC91" s="544">
        <v>0</v>
      </c>
      <c r="AD91" s="544">
        <v>0</v>
      </c>
      <c r="AE91" s="544">
        <v>0</v>
      </c>
      <c r="AF91" s="544">
        <v>0</v>
      </c>
      <c r="AG91" s="544">
        <v>0</v>
      </c>
      <c r="AH91" s="544">
        <v>0</v>
      </c>
      <c r="AI91" s="544">
        <v>0</v>
      </c>
      <c r="AJ91" s="544">
        <v>0</v>
      </c>
      <c r="AK91" s="544">
        <v>0</v>
      </c>
      <c r="AL91" s="544">
        <v>0</v>
      </c>
      <c r="AM91" s="544">
        <v>0</v>
      </c>
      <c r="AN91" s="544">
        <v>0</v>
      </c>
      <c r="AO91" s="544">
        <v>0</v>
      </c>
      <c r="AP91" s="544">
        <v>0</v>
      </c>
      <c r="AQ91" s="544">
        <v>0</v>
      </c>
      <c r="AR91" s="544">
        <v>0</v>
      </c>
      <c r="AS91" s="544">
        <v>0</v>
      </c>
      <c r="AT91" s="544">
        <v>0</v>
      </c>
      <c r="AU91" s="544">
        <v>0</v>
      </c>
      <c r="AV91" s="544">
        <v>0</v>
      </c>
      <c r="AW91" s="544">
        <v>0</v>
      </c>
      <c r="AX91" s="544">
        <v>0</v>
      </c>
      <c r="AY91" s="544">
        <v>0</v>
      </c>
      <c r="AZ91" s="545">
        <v>0</v>
      </c>
    </row>
    <row r="92" spans="1:52" s="470" customFormat="1">
      <c r="A92" s="486">
        <f>'[4]Allocation Methodology'!A6</f>
        <v>2</v>
      </c>
      <c r="B92" s="487" t="str">
        <f>'[4]Allocation Methodology'!B6</f>
        <v>Cool &amp; Hot Savings Rebate</v>
      </c>
      <c r="C92" s="487" t="str">
        <f>'[4]Allocation Methodology'!C6</f>
        <v>Consumer</v>
      </c>
      <c r="D92" s="487" t="s">
        <v>17</v>
      </c>
      <c r="E92" s="487">
        <f>'[4]Allocation Methodology'!D6</f>
        <v>2006</v>
      </c>
      <c r="F92" s="488" t="str">
        <f>'[4]Allocation Methodology'!E6</f>
        <v>Final</v>
      </c>
      <c r="G92" s="472" t="b">
        <v>0</v>
      </c>
      <c r="H92" s="546">
        <v>68.594205032184831</v>
      </c>
      <c r="I92" s="547">
        <v>68.594205032184831</v>
      </c>
      <c r="J92" s="547">
        <v>68.594205032184831</v>
      </c>
      <c r="K92" s="547">
        <v>68.594205032184831</v>
      </c>
      <c r="L92" s="547">
        <v>68.594205032184831</v>
      </c>
      <c r="M92" s="547">
        <v>68.594205032184831</v>
      </c>
      <c r="N92" s="547">
        <v>68.594205032184831</v>
      </c>
      <c r="O92" s="547">
        <v>68.594205032184831</v>
      </c>
      <c r="P92" s="547">
        <v>50.606642727339562</v>
      </c>
      <c r="Q92" s="547">
        <v>50.606642727339562</v>
      </c>
      <c r="R92" s="547">
        <v>50.606642727339562</v>
      </c>
      <c r="S92" s="547">
        <v>50.606642727339562</v>
      </c>
      <c r="T92" s="547">
        <v>50.606642727339562</v>
      </c>
      <c r="U92" s="547">
        <v>50.606642727339562</v>
      </c>
      <c r="V92" s="547">
        <v>25.517419987395233</v>
      </c>
      <c r="W92" s="547">
        <v>9.9462305879994481</v>
      </c>
      <c r="X92" s="547">
        <v>9.9462305879994481</v>
      </c>
      <c r="Y92" s="547">
        <v>9.9462305879994481</v>
      </c>
      <c r="Z92" s="547">
        <v>0</v>
      </c>
      <c r="AA92" s="547">
        <v>0</v>
      </c>
      <c r="AB92" s="547">
        <v>0</v>
      </c>
      <c r="AC92" s="547">
        <v>0</v>
      </c>
      <c r="AD92" s="547">
        <v>0</v>
      </c>
      <c r="AE92" s="547">
        <v>0</v>
      </c>
      <c r="AF92" s="547">
        <v>0</v>
      </c>
      <c r="AG92" s="547">
        <v>0</v>
      </c>
      <c r="AH92" s="547">
        <v>0</v>
      </c>
      <c r="AI92" s="547">
        <v>0</v>
      </c>
      <c r="AJ92" s="547">
        <v>0</v>
      </c>
      <c r="AK92" s="547">
        <v>0</v>
      </c>
      <c r="AL92" s="547">
        <v>0</v>
      </c>
      <c r="AM92" s="547">
        <v>0</v>
      </c>
      <c r="AN92" s="547">
        <v>0</v>
      </c>
      <c r="AO92" s="547">
        <v>0</v>
      </c>
      <c r="AP92" s="547">
        <v>0</v>
      </c>
      <c r="AQ92" s="547">
        <v>0</v>
      </c>
      <c r="AR92" s="547">
        <v>0</v>
      </c>
      <c r="AS92" s="547">
        <v>0</v>
      </c>
      <c r="AT92" s="547">
        <v>0</v>
      </c>
      <c r="AU92" s="547">
        <v>0</v>
      </c>
      <c r="AV92" s="547">
        <v>0</v>
      </c>
      <c r="AW92" s="547">
        <v>0</v>
      </c>
      <c r="AX92" s="547">
        <v>0</v>
      </c>
      <c r="AY92" s="547">
        <v>0</v>
      </c>
      <c r="AZ92" s="548">
        <v>0</v>
      </c>
    </row>
    <row r="93" spans="1:52" s="470" customFormat="1">
      <c r="A93" s="493">
        <f>'[4]Allocation Methodology'!A7</f>
        <v>3</v>
      </c>
      <c r="B93" s="494" t="str">
        <f>'[4]Allocation Methodology'!B7</f>
        <v>Every Kilowatt Counts</v>
      </c>
      <c r="C93" s="494" t="str">
        <f>'[4]Allocation Methodology'!C7</f>
        <v>Consumer</v>
      </c>
      <c r="D93" s="494" t="s">
        <v>17</v>
      </c>
      <c r="E93" s="494">
        <f>'[4]Allocation Methodology'!D7</f>
        <v>2006</v>
      </c>
      <c r="F93" s="495" t="str">
        <f>'[4]Allocation Methodology'!E7</f>
        <v>Final</v>
      </c>
      <c r="G93" s="472" t="b">
        <v>0</v>
      </c>
      <c r="H93" s="549">
        <v>1779.857419207262</v>
      </c>
      <c r="I93" s="550">
        <v>1779.857419207262</v>
      </c>
      <c r="J93" s="550">
        <v>1779.857419207262</v>
      </c>
      <c r="K93" s="550">
        <v>1779.857419207262</v>
      </c>
      <c r="L93" s="550">
        <v>229.4799735529177</v>
      </c>
      <c r="M93" s="550">
        <v>229.4799735529177</v>
      </c>
      <c r="N93" s="550">
        <v>229.4799735529177</v>
      </c>
      <c r="O93" s="550">
        <v>229.4799735529177</v>
      </c>
      <c r="P93" s="550">
        <v>229.4799735529177</v>
      </c>
      <c r="Q93" s="550">
        <v>229.4799735529177</v>
      </c>
      <c r="R93" s="550">
        <v>214.01342869268902</v>
      </c>
      <c r="S93" s="550">
        <v>214.01342869268902</v>
      </c>
      <c r="T93" s="550">
        <v>214.01342869268902</v>
      </c>
      <c r="U93" s="550">
        <v>214.01342869268902</v>
      </c>
      <c r="V93" s="550">
        <v>214.01342869268902</v>
      </c>
      <c r="W93" s="550">
        <v>198.25763518941719</v>
      </c>
      <c r="X93" s="550">
        <v>198.25763518941719</v>
      </c>
      <c r="Y93" s="550">
        <v>198.25763518941719</v>
      </c>
      <c r="Z93" s="550">
        <v>112.49868174790195</v>
      </c>
      <c r="AA93" s="550">
        <v>112.49868174790195</v>
      </c>
      <c r="AB93" s="550">
        <v>65.642743632997878</v>
      </c>
      <c r="AC93" s="550">
        <v>65.642743632997878</v>
      </c>
      <c r="AD93" s="550">
        <v>65.642743632997878</v>
      </c>
      <c r="AE93" s="550">
        <v>65.642743632997878</v>
      </c>
      <c r="AF93" s="550">
        <v>65.642743632997878</v>
      </c>
      <c r="AG93" s="550">
        <v>10.651235022659334</v>
      </c>
      <c r="AH93" s="550">
        <v>10.651235022659334</v>
      </c>
      <c r="AI93" s="550">
        <v>10.651235022659334</v>
      </c>
      <c r="AJ93" s="550">
        <v>10.651235022659334</v>
      </c>
      <c r="AK93" s="550">
        <v>10.651235022659334</v>
      </c>
      <c r="AL93" s="550">
        <v>0</v>
      </c>
      <c r="AM93" s="550">
        <v>0</v>
      </c>
      <c r="AN93" s="550">
        <v>0</v>
      </c>
      <c r="AO93" s="550">
        <v>0</v>
      </c>
      <c r="AP93" s="550">
        <v>0</v>
      </c>
      <c r="AQ93" s="550">
        <v>0</v>
      </c>
      <c r="AR93" s="550">
        <v>0</v>
      </c>
      <c r="AS93" s="550">
        <v>0</v>
      </c>
      <c r="AT93" s="550">
        <v>0</v>
      </c>
      <c r="AU93" s="550">
        <v>0</v>
      </c>
      <c r="AV93" s="550">
        <v>0</v>
      </c>
      <c r="AW93" s="550">
        <v>0</v>
      </c>
      <c r="AX93" s="550">
        <v>0</v>
      </c>
      <c r="AY93" s="550">
        <v>0</v>
      </c>
      <c r="AZ93" s="551">
        <v>0</v>
      </c>
    </row>
    <row r="94" spans="1:52" s="470" customFormat="1">
      <c r="A94" s="486">
        <f>'[4]Allocation Methodology'!A8</f>
        <v>4</v>
      </c>
      <c r="B94" s="487" t="str">
        <f>'[4]Allocation Methodology'!B8</f>
        <v>Demand Response 1</v>
      </c>
      <c r="C94" s="487" t="str">
        <f>'[4]Allocation Methodology'!C8</f>
        <v>Business, Industrial</v>
      </c>
      <c r="D94" s="487" t="s">
        <v>480</v>
      </c>
      <c r="E94" s="487">
        <f>'[4]Allocation Methodology'!D8</f>
        <v>2006</v>
      </c>
      <c r="F94" s="488" t="str">
        <f>'[4]Allocation Methodology'!E8</f>
        <v>Final</v>
      </c>
      <c r="G94" s="472" t="b">
        <v>0</v>
      </c>
      <c r="H94" s="546">
        <v>0</v>
      </c>
      <c r="I94" s="547">
        <v>0</v>
      </c>
      <c r="J94" s="547">
        <v>0</v>
      </c>
      <c r="K94" s="547">
        <v>0</v>
      </c>
      <c r="L94" s="547">
        <v>0</v>
      </c>
      <c r="M94" s="547">
        <v>0</v>
      </c>
      <c r="N94" s="547">
        <v>0</v>
      </c>
      <c r="O94" s="547">
        <v>0</v>
      </c>
      <c r="P94" s="547">
        <v>0</v>
      </c>
      <c r="Q94" s="547">
        <v>0</v>
      </c>
      <c r="R94" s="547">
        <v>0</v>
      </c>
      <c r="S94" s="547">
        <v>0</v>
      </c>
      <c r="T94" s="547">
        <v>0</v>
      </c>
      <c r="U94" s="547">
        <v>0</v>
      </c>
      <c r="V94" s="547">
        <v>0</v>
      </c>
      <c r="W94" s="547">
        <v>0</v>
      </c>
      <c r="X94" s="547">
        <v>0</v>
      </c>
      <c r="Y94" s="547">
        <v>0</v>
      </c>
      <c r="Z94" s="547">
        <v>0</v>
      </c>
      <c r="AA94" s="547">
        <v>0</v>
      </c>
      <c r="AB94" s="547">
        <v>0</v>
      </c>
      <c r="AC94" s="547">
        <v>0</v>
      </c>
      <c r="AD94" s="547">
        <v>0</v>
      </c>
      <c r="AE94" s="547">
        <v>0</v>
      </c>
      <c r="AF94" s="547">
        <v>0</v>
      </c>
      <c r="AG94" s="547">
        <v>0</v>
      </c>
      <c r="AH94" s="547">
        <v>0</v>
      </c>
      <c r="AI94" s="547">
        <v>0</v>
      </c>
      <c r="AJ94" s="547">
        <v>0</v>
      </c>
      <c r="AK94" s="547">
        <v>0</v>
      </c>
      <c r="AL94" s="547">
        <v>0</v>
      </c>
      <c r="AM94" s="547">
        <v>0</v>
      </c>
      <c r="AN94" s="547">
        <v>0</v>
      </c>
      <c r="AO94" s="547">
        <v>0</v>
      </c>
      <c r="AP94" s="547">
        <v>0</v>
      </c>
      <c r="AQ94" s="547">
        <v>0</v>
      </c>
      <c r="AR94" s="547">
        <v>0</v>
      </c>
      <c r="AS94" s="547">
        <v>0</v>
      </c>
      <c r="AT94" s="547">
        <v>0</v>
      </c>
      <c r="AU94" s="547">
        <v>0</v>
      </c>
      <c r="AV94" s="547">
        <v>0</v>
      </c>
      <c r="AW94" s="547">
        <v>0</v>
      </c>
      <c r="AX94" s="547">
        <v>0</v>
      </c>
      <c r="AY94" s="547">
        <v>0</v>
      </c>
      <c r="AZ94" s="548">
        <v>0</v>
      </c>
    </row>
    <row r="95" spans="1:52" s="470" customFormat="1">
      <c r="A95" s="500">
        <f>'[4]Allocation Methodology'!A9</f>
        <v>5</v>
      </c>
      <c r="B95" s="501" t="str">
        <f>'[4]Allocation Methodology'!B9</f>
        <v>Loblaw &amp; York Region Demand Response</v>
      </c>
      <c r="C95" s="501" t="str">
        <f>'[4]Allocation Methodology'!C9</f>
        <v>Business, Industrial</v>
      </c>
      <c r="D95" s="501" t="s">
        <v>480</v>
      </c>
      <c r="E95" s="501">
        <f>'[4]Allocation Methodology'!D9</f>
        <v>2006</v>
      </c>
      <c r="F95" s="502" t="str">
        <f>'[4]Allocation Methodology'!E9</f>
        <v>Final</v>
      </c>
      <c r="G95" s="472" t="b">
        <v>0</v>
      </c>
      <c r="H95" s="552">
        <v>0</v>
      </c>
      <c r="I95" s="553">
        <v>0</v>
      </c>
      <c r="J95" s="553">
        <v>0</v>
      </c>
      <c r="K95" s="553">
        <v>0</v>
      </c>
      <c r="L95" s="553">
        <v>0</v>
      </c>
      <c r="M95" s="553">
        <v>0</v>
      </c>
      <c r="N95" s="553">
        <v>0</v>
      </c>
      <c r="O95" s="553">
        <v>0</v>
      </c>
      <c r="P95" s="553">
        <v>0</v>
      </c>
      <c r="Q95" s="553">
        <v>0</v>
      </c>
      <c r="R95" s="553">
        <v>0</v>
      </c>
      <c r="S95" s="553">
        <v>0</v>
      </c>
      <c r="T95" s="553">
        <v>0</v>
      </c>
      <c r="U95" s="553">
        <v>0</v>
      </c>
      <c r="V95" s="553">
        <v>0</v>
      </c>
      <c r="W95" s="553">
        <v>0</v>
      </c>
      <c r="X95" s="553">
        <v>0</v>
      </c>
      <c r="Y95" s="553">
        <v>0</v>
      </c>
      <c r="Z95" s="553">
        <v>0</v>
      </c>
      <c r="AA95" s="553">
        <v>0</v>
      </c>
      <c r="AB95" s="553">
        <v>0</v>
      </c>
      <c r="AC95" s="553">
        <v>0</v>
      </c>
      <c r="AD95" s="553">
        <v>0</v>
      </c>
      <c r="AE95" s="553">
        <v>0</v>
      </c>
      <c r="AF95" s="553">
        <v>0</v>
      </c>
      <c r="AG95" s="553">
        <v>0</v>
      </c>
      <c r="AH95" s="553">
        <v>0</v>
      </c>
      <c r="AI95" s="553">
        <v>0</v>
      </c>
      <c r="AJ95" s="553">
        <v>0</v>
      </c>
      <c r="AK95" s="553">
        <v>0</v>
      </c>
      <c r="AL95" s="553">
        <v>0</v>
      </c>
      <c r="AM95" s="553">
        <v>0</v>
      </c>
      <c r="AN95" s="553">
        <v>0</v>
      </c>
      <c r="AO95" s="553">
        <v>0</v>
      </c>
      <c r="AP95" s="553">
        <v>0</v>
      </c>
      <c r="AQ95" s="553">
        <v>0</v>
      </c>
      <c r="AR95" s="553">
        <v>0</v>
      </c>
      <c r="AS95" s="553">
        <v>0</v>
      </c>
      <c r="AT95" s="553">
        <v>0</v>
      </c>
      <c r="AU95" s="553">
        <v>0</v>
      </c>
      <c r="AV95" s="553">
        <v>0</v>
      </c>
      <c r="AW95" s="553">
        <v>0</v>
      </c>
      <c r="AX95" s="553">
        <v>0</v>
      </c>
      <c r="AY95" s="553">
        <v>0</v>
      </c>
      <c r="AZ95" s="554">
        <v>0</v>
      </c>
    </row>
    <row r="96" spans="1:52" s="470" customFormat="1">
      <c r="A96" s="507">
        <f>'[4]Allocation Methodology'!A10</f>
        <v>6</v>
      </c>
      <c r="B96" s="508" t="str">
        <f>'[4]Allocation Methodology'!B10</f>
        <v>Great Refrigerator Roundup</v>
      </c>
      <c r="C96" s="508" t="str">
        <f>'[4]Allocation Methodology'!C10</f>
        <v>Consumer</v>
      </c>
      <c r="D96" s="508" t="s">
        <v>17</v>
      </c>
      <c r="E96" s="508">
        <f>'[4]Allocation Methodology'!D10</f>
        <v>2007</v>
      </c>
      <c r="F96" s="509" t="str">
        <f>'[4]Allocation Methodology'!E10</f>
        <v>Final</v>
      </c>
      <c r="G96" s="472" t="b">
        <v>0</v>
      </c>
      <c r="H96" s="555">
        <v>0</v>
      </c>
      <c r="I96" s="556">
        <v>61.0890258095747</v>
      </c>
      <c r="J96" s="556">
        <v>61.0890258095747</v>
      </c>
      <c r="K96" s="556">
        <v>61.0890258095747</v>
      </c>
      <c r="L96" s="556">
        <v>61.0890258095747</v>
      </c>
      <c r="M96" s="556">
        <v>60.933754501886966</v>
      </c>
      <c r="N96" s="556">
        <v>60.778483194199232</v>
      </c>
      <c r="O96" s="556">
        <v>60.778483194199232</v>
      </c>
      <c r="P96" s="556">
        <v>60.778483194199232</v>
      </c>
      <c r="Q96" s="556">
        <v>50.585221194297702</v>
      </c>
      <c r="R96" s="556">
        <v>0</v>
      </c>
      <c r="S96" s="556">
        <v>0</v>
      </c>
      <c r="T96" s="556">
        <v>0</v>
      </c>
      <c r="U96" s="556">
        <v>0</v>
      </c>
      <c r="V96" s="556">
        <v>0</v>
      </c>
      <c r="W96" s="556">
        <v>0</v>
      </c>
      <c r="X96" s="556">
        <v>0</v>
      </c>
      <c r="Y96" s="556">
        <v>0</v>
      </c>
      <c r="Z96" s="556">
        <v>0</v>
      </c>
      <c r="AA96" s="556">
        <v>0</v>
      </c>
      <c r="AB96" s="556">
        <v>0</v>
      </c>
      <c r="AC96" s="556">
        <v>0</v>
      </c>
      <c r="AD96" s="556">
        <v>0</v>
      </c>
      <c r="AE96" s="556">
        <v>0</v>
      </c>
      <c r="AF96" s="556">
        <v>0</v>
      </c>
      <c r="AG96" s="556">
        <v>0</v>
      </c>
      <c r="AH96" s="556">
        <v>0</v>
      </c>
      <c r="AI96" s="556">
        <v>0</v>
      </c>
      <c r="AJ96" s="556">
        <v>0</v>
      </c>
      <c r="AK96" s="556">
        <v>0</v>
      </c>
      <c r="AL96" s="556">
        <v>0</v>
      </c>
      <c r="AM96" s="556">
        <v>0</v>
      </c>
      <c r="AN96" s="556">
        <v>0</v>
      </c>
      <c r="AO96" s="556">
        <v>0</v>
      </c>
      <c r="AP96" s="556">
        <v>0</v>
      </c>
      <c r="AQ96" s="556">
        <v>0</v>
      </c>
      <c r="AR96" s="556">
        <v>0</v>
      </c>
      <c r="AS96" s="556">
        <v>0</v>
      </c>
      <c r="AT96" s="556">
        <v>0</v>
      </c>
      <c r="AU96" s="556">
        <v>0</v>
      </c>
      <c r="AV96" s="556">
        <v>0</v>
      </c>
      <c r="AW96" s="556">
        <v>0</v>
      </c>
      <c r="AX96" s="556">
        <v>0</v>
      </c>
      <c r="AY96" s="556">
        <v>0</v>
      </c>
      <c r="AZ96" s="557">
        <v>0</v>
      </c>
    </row>
    <row r="97" spans="1:52" s="470" customFormat="1">
      <c r="A97" s="493">
        <f>'[4]Allocation Methodology'!A11</f>
        <v>7</v>
      </c>
      <c r="B97" s="494" t="str">
        <f>'[4]Allocation Methodology'!B11</f>
        <v>Cool &amp; Hot Savings Rebate</v>
      </c>
      <c r="C97" s="494" t="str">
        <f>'[4]Allocation Methodology'!C11</f>
        <v>Consumer</v>
      </c>
      <c r="D97" s="494" t="s">
        <v>17</v>
      </c>
      <c r="E97" s="494">
        <f>'[4]Allocation Methodology'!D11</f>
        <v>2007</v>
      </c>
      <c r="F97" s="495" t="str">
        <f>'[4]Allocation Methodology'!E11</f>
        <v>Final</v>
      </c>
      <c r="G97" s="472" t="b">
        <v>0</v>
      </c>
      <c r="H97" s="549">
        <v>0</v>
      </c>
      <c r="I97" s="550">
        <v>117.87568510677875</v>
      </c>
      <c r="J97" s="550">
        <v>117.87568510677875</v>
      </c>
      <c r="K97" s="550">
        <v>117.87568510677875</v>
      </c>
      <c r="L97" s="550">
        <v>117.87568510677875</v>
      </c>
      <c r="M97" s="550">
        <v>117.87568510677875</v>
      </c>
      <c r="N97" s="550">
        <v>112.2872479638088</v>
      </c>
      <c r="O97" s="550">
        <v>112.2872479638088</v>
      </c>
      <c r="P97" s="550">
        <v>112.2872479638088</v>
      </c>
      <c r="Q97" s="550">
        <v>112.2872479638088</v>
      </c>
      <c r="R97" s="550">
        <v>112.2872479638088</v>
      </c>
      <c r="S97" s="550">
        <v>112.2872479638088</v>
      </c>
      <c r="T97" s="550">
        <v>112.2872479638088</v>
      </c>
      <c r="U97" s="550">
        <v>112.2872479638088</v>
      </c>
      <c r="V97" s="550">
        <v>112.2872479638088</v>
      </c>
      <c r="W97" s="550">
        <v>112.2872479638088</v>
      </c>
      <c r="X97" s="550">
        <v>12.313267905893658</v>
      </c>
      <c r="Y97" s="550">
        <v>12.313267905893658</v>
      </c>
      <c r="Z97" s="550">
        <v>12.313267905893658</v>
      </c>
      <c r="AA97" s="550">
        <v>0</v>
      </c>
      <c r="AB97" s="550">
        <v>0</v>
      </c>
      <c r="AC97" s="550">
        <v>0</v>
      </c>
      <c r="AD97" s="550">
        <v>0</v>
      </c>
      <c r="AE97" s="550">
        <v>0</v>
      </c>
      <c r="AF97" s="550">
        <v>0</v>
      </c>
      <c r="AG97" s="550">
        <v>0</v>
      </c>
      <c r="AH97" s="550">
        <v>0</v>
      </c>
      <c r="AI97" s="550">
        <v>0</v>
      </c>
      <c r="AJ97" s="550">
        <v>0</v>
      </c>
      <c r="AK97" s="550">
        <v>0</v>
      </c>
      <c r="AL97" s="550">
        <v>0</v>
      </c>
      <c r="AM97" s="550">
        <v>0</v>
      </c>
      <c r="AN97" s="550">
        <v>0</v>
      </c>
      <c r="AO97" s="550">
        <v>0</v>
      </c>
      <c r="AP97" s="550">
        <v>0</v>
      </c>
      <c r="AQ97" s="550">
        <v>0</v>
      </c>
      <c r="AR97" s="550">
        <v>0</v>
      </c>
      <c r="AS97" s="550">
        <v>0</v>
      </c>
      <c r="AT97" s="550">
        <v>0</v>
      </c>
      <c r="AU97" s="550">
        <v>0</v>
      </c>
      <c r="AV97" s="550">
        <v>0</v>
      </c>
      <c r="AW97" s="550">
        <v>0</v>
      </c>
      <c r="AX97" s="550">
        <v>0</v>
      </c>
      <c r="AY97" s="550">
        <v>0</v>
      </c>
      <c r="AZ97" s="551">
        <v>0</v>
      </c>
    </row>
    <row r="98" spans="1:52" s="470" customFormat="1">
      <c r="A98" s="486">
        <f>'[4]Allocation Methodology'!A12</f>
        <v>8</v>
      </c>
      <c r="B98" s="487" t="str">
        <f>'[4]Allocation Methodology'!B12</f>
        <v>Every Kilowatt Counts</v>
      </c>
      <c r="C98" s="487" t="str">
        <f>'[4]Allocation Methodology'!C12</f>
        <v>Consumer</v>
      </c>
      <c r="D98" s="487" t="s">
        <v>17</v>
      </c>
      <c r="E98" s="487">
        <f>'[4]Allocation Methodology'!D12</f>
        <v>2007</v>
      </c>
      <c r="F98" s="488" t="str">
        <f>'[4]Allocation Methodology'!E12</f>
        <v>Final</v>
      </c>
      <c r="G98" s="472" t="b">
        <v>0</v>
      </c>
      <c r="H98" s="546">
        <v>0</v>
      </c>
      <c r="I98" s="547">
        <v>706.59765787836398</v>
      </c>
      <c r="J98" s="547">
        <v>697.95602111293226</v>
      </c>
      <c r="K98" s="547">
        <v>697.95602111293226</v>
      </c>
      <c r="L98" s="547">
        <v>697.95602111293226</v>
      </c>
      <c r="M98" s="547">
        <v>697.95602111293226</v>
      </c>
      <c r="N98" s="547">
        <v>674.12112793337371</v>
      </c>
      <c r="O98" s="547">
        <v>674.12112793337371</v>
      </c>
      <c r="P98" s="547">
        <v>674.12112793337371</v>
      </c>
      <c r="Q98" s="547">
        <v>54.749276375538201</v>
      </c>
      <c r="R98" s="547">
        <v>54.749276375538201</v>
      </c>
      <c r="S98" s="547">
        <v>10.316243513196282</v>
      </c>
      <c r="T98" s="547">
        <v>10.316243513196282</v>
      </c>
      <c r="U98" s="547">
        <v>10.316243513196282</v>
      </c>
      <c r="V98" s="547">
        <v>10.316243513196282</v>
      </c>
      <c r="W98" s="547">
        <v>10.316243513196282</v>
      </c>
      <c r="X98" s="547">
        <v>6.162747119732785</v>
      </c>
      <c r="Y98" s="547">
        <v>2.7960996273735383</v>
      </c>
      <c r="Z98" s="547">
        <v>2.7960996273735383</v>
      </c>
      <c r="AA98" s="547">
        <v>0</v>
      </c>
      <c r="AB98" s="547">
        <v>0</v>
      </c>
      <c r="AC98" s="547">
        <v>0</v>
      </c>
      <c r="AD98" s="547">
        <v>0</v>
      </c>
      <c r="AE98" s="547">
        <v>0</v>
      </c>
      <c r="AF98" s="547">
        <v>0</v>
      </c>
      <c r="AG98" s="547">
        <v>0</v>
      </c>
      <c r="AH98" s="547">
        <v>0</v>
      </c>
      <c r="AI98" s="547">
        <v>0</v>
      </c>
      <c r="AJ98" s="547">
        <v>0</v>
      </c>
      <c r="AK98" s="547">
        <v>0</v>
      </c>
      <c r="AL98" s="547">
        <v>0</v>
      </c>
      <c r="AM98" s="547">
        <v>0</v>
      </c>
      <c r="AN98" s="547">
        <v>0</v>
      </c>
      <c r="AO98" s="547">
        <v>0</v>
      </c>
      <c r="AP98" s="547">
        <v>0</v>
      </c>
      <c r="AQ98" s="547">
        <v>0</v>
      </c>
      <c r="AR98" s="547">
        <v>0</v>
      </c>
      <c r="AS98" s="547">
        <v>0</v>
      </c>
      <c r="AT98" s="547">
        <v>0</v>
      </c>
      <c r="AU98" s="547">
        <v>0</v>
      </c>
      <c r="AV98" s="547">
        <v>0</v>
      </c>
      <c r="AW98" s="547">
        <v>0</v>
      </c>
      <c r="AX98" s="547">
        <v>0</v>
      </c>
      <c r="AY98" s="547">
        <v>0</v>
      </c>
      <c r="AZ98" s="548">
        <v>0</v>
      </c>
    </row>
    <row r="99" spans="1:52" s="470" customFormat="1">
      <c r="A99" s="493">
        <f>'[4]Allocation Methodology'!A13</f>
        <v>9</v>
      </c>
      <c r="B99" s="514" t="str">
        <f>'[4]Allocation Methodology'!B13</f>
        <v>peaksaver®</v>
      </c>
      <c r="C99" s="494" t="str">
        <f>'[4]Allocation Methodology'!C13</f>
        <v>Consumer, Business</v>
      </c>
      <c r="D99" s="494" t="s">
        <v>58</v>
      </c>
      <c r="E99" s="494">
        <f>'[4]Allocation Methodology'!D13</f>
        <v>2007</v>
      </c>
      <c r="F99" s="495" t="str">
        <f>'[4]Allocation Methodology'!E13</f>
        <v>Final</v>
      </c>
      <c r="G99" s="472" t="b">
        <v>0</v>
      </c>
      <c r="H99" s="549">
        <v>0</v>
      </c>
      <c r="I99" s="550">
        <v>0</v>
      </c>
      <c r="J99" s="550">
        <v>0</v>
      </c>
      <c r="K99" s="550">
        <v>0</v>
      </c>
      <c r="L99" s="550">
        <v>0</v>
      </c>
      <c r="M99" s="550">
        <v>0</v>
      </c>
      <c r="N99" s="550">
        <v>0</v>
      </c>
      <c r="O99" s="550">
        <v>0</v>
      </c>
      <c r="P99" s="550">
        <v>0</v>
      </c>
      <c r="Q99" s="550">
        <v>0</v>
      </c>
      <c r="R99" s="550">
        <v>0</v>
      </c>
      <c r="S99" s="550">
        <v>0</v>
      </c>
      <c r="T99" s="550">
        <v>0</v>
      </c>
      <c r="U99" s="550">
        <v>0</v>
      </c>
      <c r="V99" s="550">
        <v>0</v>
      </c>
      <c r="W99" s="550">
        <v>0</v>
      </c>
      <c r="X99" s="550">
        <v>0</v>
      </c>
      <c r="Y99" s="550">
        <v>0</v>
      </c>
      <c r="Z99" s="550">
        <v>0</v>
      </c>
      <c r="AA99" s="550">
        <v>0</v>
      </c>
      <c r="AB99" s="550">
        <v>0</v>
      </c>
      <c r="AC99" s="550">
        <v>0</v>
      </c>
      <c r="AD99" s="550">
        <v>0</v>
      </c>
      <c r="AE99" s="550">
        <v>0</v>
      </c>
      <c r="AF99" s="550">
        <v>0</v>
      </c>
      <c r="AG99" s="550">
        <v>0</v>
      </c>
      <c r="AH99" s="550">
        <v>0</v>
      </c>
      <c r="AI99" s="550">
        <v>0</v>
      </c>
      <c r="AJ99" s="550">
        <v>0</v>
      </c>
      <c r="AK99" s="550">
        <v>0</v>
      </c>
      <c r="AL99" s="550">
        <v>0</v>
      </c>
      <c r="AM99" s="550">
        <v>0</v>
      </c>
      <c r="AN99" s="550">
        <v>0</v>
      </c>
      <c r="AO99" s="550">
        <v>0</v>
      </c>
      <c r="AP99" s="550">
        <v>0</v>
      </c>
      <c r="AQ99" s="550">
        <v>0</v>
      </c>
      <c r="AR99" s="550">
        <v>0</v>
      </c>
      <c r="AS99" s="550">
        <v>0</v>
      </c>
      <c r="AT99" s="550">
        <v>0</v>
      </c>
      <c r="AU99" s="550">
        <v>0</v>
      </c>
      <c r="AV99" s="550">
        <v>0</v>
      </c>
      <c r="AW99" s="550">
        <v>0</v>
      </c>
      <c r="AX99" s="550">
        <v>0</v>
      </c>
      <c r="AY99" s="550">
        <v>0</v>
      </c>
      <c r="AZ99" s="551">
        <v>0</v>
      </c>
    </row>
    <row r="100" spans="1:52" s="470" customFormat="1">
      <c r="A100" s="486">
        <f>'[4]Allocation Methodology'!A14</f>
        <v>10</v>
      </c>
      <c r="B100" s="487" t="str">
        <f>'[4]Allocation Methodology'!B14</f>
        <v>Summer Savings</v>
      </c>
      <c r="C100" s="487" t="str">
        <f>'[4]Allocation Methodology'!C14</f>
        <v>Consumer</v>
      </c>
      <c r="D100" s="487" t="s">
        <v>17</v>
      </c>
      <c r="E100" s="487">
        <f>'[4]Allocation Methodology'!D14</f>
        <v>2007</v>
      </c>
      <c r="F100" s="488" t="str">
        <f>'[4]Allocation Methodology'!E14</f>
        <v>Final</v>
      </c>
      <c r="G100" s="472" t="b">
        <v>0</v>
      </c>
      <c r="H100" s="546">
        <v>0</v>
      </c>
      <c r="I100" s="547">
        <v>329.98675831798073</v>
      </c>
      <c r="J100" s="547">
        <v>55.620070514863954</v>
      </c>
      <c r="K100" s="547">
        <v>21.053092681750751</v>
      </c>
      <c r="L100" s="547">
        <v>21.053092681750751</v>
      </c>
      <c r="M100" s="547">
        <v>21.053092681750751</v>
      </c>
      <c r="N100" s="547">
        <v>21.053092681750751</v>
      </c>
      <c r="O100" s="547">
        <v>21.053092681750751</v>
      </c>
      <c r="P100" s="547">
        <v>21.053092681750751</v>
      </c>
      <c r="Q100" s="547">
        <v>13.370915840510813</v>
      </c>
      <c r="R100" s="547">
        <v>13.370915840510813</v>
      </c>
      <c r="S100" s="547">
        <v>13.370915840510813</v>
      </c>
      <c r="T100" s="547">
        <v>13.370915840510813</v>
      </c>
      <c r="U100" s="547">
        <v>13.370915840510813</v>
      </c>
      <c r="V100" s="547">
        <v>13.370915840510813</v>
      </c>
      <c r="W100" s="547">
        <v>0</v>
      </c>
      <c r="X100" s="547">
        <v>0</v>
      </c>
      <c r="Y100" s="547">
        <v>0</v>
      </c>
      <c r="Z100" s="547">
        <v>0</v>
      </c>
      <c r="AA100" s="547">
        <v>0</v>
      </c>
      <c r="AB100" s="547">
        <v>0</v>
      </c>
      <c r="AC100" s="547">
        <v>0</v>
      </c>
      <c r="AD100" s="547">
        <v>0</v>
      </c>
      <c r="AE100" s="547">
        <v>0</v>
      </c>
      <c r="AF100" s="547">
        <v>0</v>
      </c>
      <c r="AG100" s="547">
        <v>0</v>
      </c>
      <c r="AH100" s="547">
        <v>0</v>
      </c>
      <c r="AI100" s="547">
        <v>0</v>
      </c>
      <c r="AJ100" s="547">
        <v>0</v>
      </c>
      <c r="AK100" s="547">
        <v>0</v>
      </c>
      <c r="AL100" s="547">
        <v>0</v>
      </c>
      <c r="AM100" s="547">
        <v>0</v>
      </c>
      <c r="AN100" s="547">
        <v>0</v>
      </c>
      <c r="AO100" s="547">
        <v>0</v>
      </c>
      <c r="AP100" s="547">
        <v>0</v>
      </c>
      <c r="AQ100" s="547">
        <v>0</v>
      </c>
      <c r="AR100" s="547">
        <v>0</v>
      </c>
      <c r="AS100" s="547">
        <v>0</v>
      </c>
      <c r="AT100" s="547">
        <v>0</v>
      </c>
      <c r="AU100" s="547">
        <v>0</v>
      </c>
      <c r="AV100" s="547">
        <v>0</v>
      </c>
      <c r="AW100" s="547">
        <v>0</v>
      </c>
      <c r="AX100" s="547">
        <v>0</v>
      </c>
      <c r="AY100" s="547">
        <v>0</v>
      </c>
      <c r="AZ100" s="548">
        <v>0</v>
      </c>
    </row>
    <row r="101" spans="1:52" s="470" customFormat="1">
      <c r="A101" s="493">
        <f>'[4]Allocation Methodology'!A15</f>
        <v>11</v>
      </c>
      <c r="B101" s="494" t="str">
        <f>'[4]Allocation Methodology'!B15</f>
        <v>Aboriginal</v>
      </c>
      <c r="C101" s="494" t="str">
        <f>'[4]Allocation Methodology'!C15</f>
        <v>Consumer</v>
      </c>
      <c r="D101" s="494" t="s">
        <v>58</v>
      </c>
      <c r="E101" s="494">
        <f>'[4]Allocation Methodology'!D15</f>
        <v>2007</v>
      </c>
      <c r="F101" s="495" t="str">
        <f>'[4]Allocation Methodology'!E15</f>
        <v>Final</v>
      </c>
      <c r="G101" s="472" t="b">
        <v>0</v>
      </c>
      <c r="H101" s="549">
        <v>0</v>
      </c>
      <c r="I101" s="550">
        <v>0</v>
      </c>
      <c r="J101" s="550">
        <v>0</v>
      </c>
      <c r="K101" s="550">
        <v>0</v>
      </c>
      <c r="L101" s="550">
        <v>0</v>
      </c>
      <c r="M101" s="550">
        <v>0</v>
      </c>
      <c r="N101" s="550">
        <v>0</v>
      </c>
      <c r="O101" s="550">
        <v>0</v>
      </c>
      <c r="P101" s="550">
        <v>0</v>
      </c>
      <c r="Q101" s="550">
        <v>0</v>
      </c>
      <c r="R101" s="550">
        <v>0</v>
      </c>
      <c r="S101" s="550">
        <v>0</v>
      </c>
      <c r="T101" s="550">
        <v>0</v>
      </c>
      <c r="U101" s="550">
        <v>0</v>
      </c>
      <c r="V101" s="550">
        <v>0</v>
      </c>
      <c r="W101" s="550">
        <v>0</v>
      </c>
      <c r="X101" s="550">
        <v>0</v>
      </c>
      <c r="Y101" s="550">
        <v>0</v>
      </c>
      <c r="Z101" s="550">
        <v>0</v>
      </c>
      <c r="AA101" s="550">
        <v>0</v>
      </c>
      <c r="AB101" s="550">
        <v>0</v>
      </c>
      <c r="AC101" s="550">
        <v>0</v>
      </c>
      <c r="AD101" s="550">
        <v>0</v>
      </c>
      <c r="AE101" s="550">
        <v>0</v>
      </c>
      <c r="AF101" s="550">
        <v>0</v>
      </c>
      <c r="AG101" s="550">
        <v>0</v>
      </c>
      <c r="AH101" s="550">
        <v>0</v>
      </c>
      <c r="AI101" s="550">
        <v>0</v>
      </c>
      <c r="AJ101" s="550">
        <v>0</v>
      </c>
      <c r="AK101" s="550">
        <v>0</v>
      </c>
      <c r="AL101" s="550">
        <v>0</v>
      </c>
      <c r="AM101" s="550">
        <v>0</v>
      </c>
      <c r="AN101" s="550">
        <v>0</v>
      </c>
      <c r="AO101" s="550">
        <v>0</v>
      </c>
      <c r="AP101" s="550">
        <v>0</v>
      </c>
      <c r="AQ101" s="550">
        <v>0</v>
      </c>
      <c r="AR101" s="550">
        <v>0</v>
      </c>
      <c r="AS101" s="550">
        <v>0</v>
      </c>
      <c r="AT101" s="550">
        <v>0</v>
      </c>
      <c r="AU101" s="550">
        <v>0</v>
      </c>
      <c r="AV101" s="550">
        <v>0</v>
      </c>
      <c r="AW101" s="550">
        <v>0</v>
      </c>
      <c r="AX101" s="550">
        <v>0</v>
      </c>
      <c r="AY101" s="550">
        <v>0</v>
      </c>
      <c r="AZ101" s="551">
        <v>0</v>
      </c>
    </row>
    <row r="102" spans="1:52" s="470" customFormat="1">
      <c r="A102" s="486">
        <f>'[4]Allocation Methodology'!A16</f>
        <v>12</v>
      </c>
      <c r="B102" s="487" t="str">
        <f>'[4]Allocation Methodology'!B16</f>
        <v>Affordable Housing Pilot</v>
      </c>
      <c r="C102" s="487" t="str">
        <f>'[4]Allocation Methodology'!C16</f>
        <v>Consumer Low-Income</v>
      </c>
      <c r="D102" s="487" t="s">
        <v>17</v>
      </c>
      <c r="E102" s="487">
        <f>'[4]Allocation Methodology'!D16</f>
        <v>2007</v>
      </c>
      <c r="F102" s="488" t="str">
        <f>'[4]Allocation Methodology'!E16</f>
        <v>Final</v>
      </c>
      <c r="G102" s="472" t="b">
        <v>0</v>
      </c>
      <c r="H102" s="546">
        <v>0</v>
      </c>
      <c r="I102" s="547">
        <v>120.72139</v>
      </c>
      <c r="J102" s="547">
        <v>120.72139</v>
      </c>
      <c r="K102" s="547">
        <v>120.72139</v>
      </c>
      <c r="L102" s="547">
        <v>120.72139</v>
      </c>
      <c r="M102" s="547">
        <v>120.72139</v>
      </c>
      <c r="N102" s="547">
        <v>120.72139</v>
      </c>
      <c r="O102" s="547">
        <v>120.72139</v>
      </c>
      <c r="P102" s="547">
        <v>120.72139</v>
      </c>
      <c r="Q102" s="547">
        <v>120.72139</v>
      </c>
      <c r="R102" s="547">
        <v>120.72139</v>
      </c>
      <c r="S102" s="547">
        <v>120.72139</v>
      </c>
      <c r="T102" s="547">
        <v>120.72139</v>
      </c>
      <c r="U102" s="547">
        <v>120.72139</v>
      </c>
      <c r="V102" s="547">
        <v>120.72139</v>
      </c>
      <c r="W102" s="547">
        <v>0</v>
      </c>
      <c r="X102" s="547">
        <v>0</v>
      </c>
      <c r="Y102" s="547">
        <v>0</v>
      </c>
      <c r="Z102" s="547">
        <v>0</v>
      </c>
      <c r="AA102" s="547">
        <v>0</v>
      </c>
      <c r="AB102" s="547">
        <v>0</v>
      </c>
      <c r="AC102" s="547">
        <v>0</v>
      </c>
      <c r="AD102" s="547">
        <v>0</v>
      </c>
      <c r="AE102" s="547">
        <v>0</v>
      </c>
      <c r="AF102" s="547">
        <v>0</v>
      </c>
      <c r="AG102" s="547">
        <v>0</v>
      </c>
      <c r="AH102" s="547">
        <v>0</v>
      </c>
      <c r="AI102" s="547">
        <v>0</v>
      </c>
      <c r="AJ102" s="547">
        <v>0</v>
      </c>
      <c r="AK102" s="547">
        <v>0</v>
      </c>
      <c r="AL102" s="547">
        <v>0</v>
      </c>
      <c r="AM102" s="547">
        <v>0</v>
      </c>
      <c r="AN102" s="547">
        <v>0</v>
      </c>
      <c r="AO102" s="547">
        <v>0</v>
      </c>
      <c r="AP102" s="547">
        <v>0</v>
      </c>
      <c r="AQ102" s="547">
        <v>0</v>
      </c>
      <c r="AR102" s="547">
        <v>0</v>
      </c>
      <c r="AS102" s="547">
        <v>0</v>
      </c>
      <c r="AT102" s="547">
        <v>0</v>
      </c>
      <c r="AU102" s="547">
        <v>0</v>
      </c>
      <c r="AV102" s="547">
        <v>0</v>
      </c>
      <c r="AW102" s="547">
        <v>0</v>
      </c>
      <c r="AX102" s="547">
        <v>0</v>
      </c>
      <c r="AY102" s="547">
        <v>0</v>
      </c>
      <c r="AZ102" s="548">
        <v>0</v>
      </c>
    </row>
    <row r="103" spans="1:52" s="470" customFormat="1">
      <c r="A103" s="493">
        <f>'[4]Allocation Methodology'!A17</f>
        <v>13</v>
      </c>
      <c r="B103" s="494" t="str">
        <f>'[4]Allocation Methodology'!B17</f>
        <v>Social Housing Pilot</v>
      </c>
      <c r="C103" s="494" t="str">
        <f>'[4]Allocation Methodology'!C17</f>
        <v>Consumer Low-Income</v>
      </c>
      <c r="D103" s="494" t="s">
        <v>17</v>
      </c>
      <c r="E103" s="494">
        <f>'[4]Allocation Methodology'!D17</f>
        <v>2007</v>
      </c>
      <c r="F103" s="495" t="str">
        <f>'[4]Allocation Methodology'!E17</f>
        <v>Final</v>
      </c>
      <c r="G103" s="472" t="b">
        <v>0</v>
      </c>
      <c r="H103" s="549">
        <v>0</v>
      </c>
      <c r="I103" s="550">
        <v>64.220752287921457</v>
      </c>
      <c r="J103" s="550">
        <v>64.220752287921457</v>
      </c>
      <c r="K103" s="550">
        <v>64.220752287921457</v>
      </c>
      <c r="L103" s="550">
        <v>64.220752287921457</v>
      </c>
      <c r="M103" s="550">
        <v>64.220752287921457</v>
      </c>
      <c r="N103" s="550">
        <v>64.220752287921457</v>
      </c>
      <c r="O103" s="550">
        <v>64.220752287921457</v>
      </c>
      <c r="P103" s="550">
        <v>64.220752287921457</v>
      </c>
      <c r="Q103" s="550">
        <v>64.220752287921457</v>
      </c>
      <c r="R103" s="550">
        <v>64.220752287921457</v>
      </c>
      <c r="S103" s="550">
        <v>0</v>
      </c>
      <c r="T103" s="550">
        <v>0</v>
      </c>
      <c r="U103" s="550">
        <v>0</v>
      </c>
      <c r="V103" s="550">
        <v>0</v>
      </c>
      <c r="W103" s="550">
        <v>0</v>
      </c>
      <c r="X103" s="550">
        <v>0</v>
      </c>
      <c r="Y103" s="550">
        <v>0</v>
      </c>
      <c r="Z103" s="550">
        <v>0</v>
      </c>
      <c r="AA103" s="550">
        <v>0</v>
      </c>
      <c r="AB103" s="550">
        <v>0</v>
      </c>
      <c r="AC103" s="550">
        <v>0</v>
      </c>
      <c r="AD103" s="550">
        <v>0</v>
      </c>
      <c r="AE103" s="550">
        <v>0</v>
      </c>
      <c r="AF103" s="550">
        <v>0</v>
      </c>
      <c r="AG103" s="550">
        <v>0</v>
      </c>
      <c r="AH103" s="550">
        <v>0</v>
      </c>
      <c r="AI103" s="550">
        <v>0</v>
      </c>
      <c r="AJ103" s="550">
        <v>0</v>
      </c>
      <c r="AK103" s="550">
        <v>0</v>
      </c>
      <c r="AL103" s="550">
        <v>0</v>
      </c>
      <c r="AM103" s="550">
        <v>0</v>
      </c>
      <c r="AN103" s="550">
        <v>0</v>
      </c>
      <c r="AO103" s="550">
        <v>0</v>
      </c>
      <c r="AP103" s="550">
        <v>0</v>
      </c>
      <c r="AQ103" s="550">
        <v>0</v>
      </c>
      <c r="AR103" s="550">
        <v>0</v>
      </c>
      <c r="AS103" s="550">
        <v>0</v>
      </c>
      <c r="AT103" s="550">
        <v>0</v>
      </c>
      <c r="AU103" s="550">
        <v>0</v>
      </c>
      <c r="AV103" s="550">
        <v>0</v>
      </c>
      <c r="AW103" s="550">
        <v>0</v>
      </c>
      <c r="AX103" s="550">
        <v>0</v>
      </c>
      <c r="AY103" s="550">
        <v>0</v>
      </c>
      <c r="AZ103" s="551">
        <v>0</v>
      </c>
    </row>
    <row r="104" spans="1:52" s="470" customFormat="1">
      <c r="A104" s="486">
        <f>'[4]Allocation Methodology'!A18</f>
        <v>14</v>
      </c>
      <c r="B104" s="487" t="str">
        <f>'[4]Allocation Methodology'!B18</f>
        <v>Energy Efficiency Assistance for Houses Pilot</v>
      </c>
      <c r="C104" s="487" t="str">
        <f>'[4]Allocation Methodology'!C18</f>
        <v>Consumer Low-Income</v>
      </c>
      <c r="D104" s="487" t="s">
        <v>17</v>
      </c>
      <c r="E104" s="487">
        <f>'[4]Allocation Methodology'!D18</f>
        <v>2007</v>
      </c>
      <c r="F104" s="488" t="str">
        <f>'[4]Allocation Methodology'!E18</f>
        <v>Final</v>
      </c>
      <c r="G104" s="472" t="b">
        <v>0</v>
      </c>
      <c r="H104" s="546">
        <v>0</v>
      </c>
      <c r="I104" s="547">
        <v>131.6722004675193</v>
      </c>
      <c r="J104" s="547">
        <v>131.6722004675193</v>
      </c>
      <c r="K104" s="547">
        <v>131.6722004675193</v>
      </c>
      <c r="L104" s="547">
        <v>131.6722004675193</v>
      </c>
      <c r="M104" s="547">
        <v>131.6722004675193</v>
      </c>
      <c r="N104" s="547">
        <v>131.6722004675193</v>
      </c>
      <c r="O104" s="547">
        <v>131.6722004675193</v>
      </c>
      <c r="P104" s="547">
        <v>131.6722004675193</v>
      </c>
      <c r="Q104" s="547">
        <v>131.6722004675193</v>
      </c>
      <c r="R104" s="547">
        <v>131.6722004675193</v>
      </c>
      <c r="S104" s="547">
        <v>131.6722004675193</v>
      </c>
      <c r="T104" s="547">
        <v>131.6722004675193</v>
      </c>
      <c r="U104" s="547">
        <v>131.6722004675193</v>
      </c>
      <c r="V104" s="547">
        <v>131.6722004675193</v>
      </c>
      <c r="W104" s="547">
        <v>131.6722004675193</v>
      </c>
      <c r="X104" s="547">
        <v>131.6722004675193</v>
      </c>
      <c r="Y104" s="547">
        <v>131.6722004675193</v>
      </c>
      <c r="Z104" s="547">
        <v>131.6722004675193</v>
      </c>
      <c r="AA104" s="547">
        <v>131.6722004675193</v>
      </c>
      <c r="AB104" s="547">
        <v>0</v>
      </c>
      <c r="AC104" s="547">
        <v>0</v>
      </c>
      <c r="AD104" s="547">
        <v>0</v>
      </c>
      <c r="AE104" s="547">
        <v>0</v>
      </c>
      <c r="AF104" s="547">
        <v>0</v>
      </c>
      <c r="AG104" s="547">
        <v>0</v>
      </c>
      <c r="AH104" s="547">
        <v>0</v>
      </c>
      <c r="AI104" s="547">
        <v>0</v>
      </c>
      <c r="AJ104" s="547">
        <v>0</v>
      </c>
      <c r="AK104" s="547">
        <v>0</v>
      </c>
      <c r="AL104" s="547">
        <v>0</v>
      </c>
      <c r="AM104" s="547">
        <v>0</v>
      </c>
      <c r="AN104" s="547">
        <v>0</v>
      </c>
      <c r="AO104" s="547">
        <v>0</v>
      </c>
      <c r="AP104" s="547">
        <v>0</v>
      </c>
      <c r="AQ104" s="547">
        <v>0</v>
      </c>
      <c r="AR104" s="547">
        <v>0</v>
      </c>
      <c r="AS104" s="547">
        <v>0</v>
      </c>
      <c r="AT104" s="547">
        <v>0</v>
      </c>
      <c r="AU104" s="547">
        <v>0</v>
      </c>
      <c r="AV104" s="547">
        <v>0</v>
      </c>
      <c r="AW104" s="547">
        <v>0</v>
      </c>
      <c r="AX104" s="547">
        <v>0</v>
      </c>
      <c r="AY104" s="547">
        <v>0</v>
      </c>
      <c r="AZ104" s="548">
        <v>0</v>
      </c>
    </row>
    <row r="105" spans="1:52" s="470" customFormat="1">
      <c r="A105" s="493">
        <f>'[4]Allocation Methodology'!A19</f>
        <v>15</v>
      </c>
      <c r="B105" s="494" t="str">
        <f>'[4]Allocation Methodology'!B19</f>
        <v>Electricity Retrofit Incentive</v>
      </c>
      <c r="C105" s="494" t="str">
        <f>'[4]Allocation Methodology'!C19</f>
        <v>Business</v>
      </c>
      <c r="D105" s="494" t="s">
        <v>480</v>
      </c>
      <c r="E105" s="494">
        <f>'[4]Allocation Methodology'!D19</f>
        <v>2007</v>
      </c>
      <c r="F105" s="495" t="str">
        <f>'[4]Allocation Methodology'!E19</f>
        <v>Final</v>
      </c>
      <c r="G105" s="472" t="b">
        <v>0</v>
      </c>
      <c r="H105" s="549">
        <v>0</v>
      </c>
      <c r="I105" s="550">
        <v>0</v>
      </c>
      <c r="J105" s="550">
        <v>0</v>
      </c>
      <c r="K105" s="550">
        <v>0</v>
      </c>
      <c r="L105" s="550">
        <v>0</v>
      </c>
      <c r="M105" s="550">
        <v>0</v>
      </c>
      <c r="N105" s="550">
        <v>0</v>
      </c>
      <c r="O105" s="550">
        <v>0</v>
      </c>
      <c r="P105" s="550">
        <v>0</v>
      </c>
      <c r="Q105" s="550">
        <v>0</v>
      </c>
      <c r="R105" s="550">
        <v>0</v>
      </c>
      <c r="S105" s="550">
        <v>0</v>
      </c>
      <c r="T105" s="550">
        <v>0</v>
      </c>
      <c r="U105" s="550">
        <v>0</v>
      </c>
      <c r="V105" s="550">
        <v>0</v>
      </c>
      <c r="W105" s="550">
        <v>0</v>
      </c>
      <c r="X105" s="550">
        <v>0</v>
      </c>
      <c r="Y105" s="550">
        <v>0</v>
      </c>
      <c r="Z105" s="550">
        <v>0</v>
      </c>
      <c r="AA105" s="550">
        <v>0</v>
      </c>
      <c r="AB105" s="550">
        <v>0</v>
      </c>
      <c r="AC105" s="550">
        <v>0</v>
      </c>
      <c r="AD105" s="550">
        <v>0</v>
      </c>
      <c r="AE105" s="550">
        <v>0</v>
      </c>
      <c r="AF105" s="550">
        <v>0</v>
      </c>
      <c r="AG105" s="550">
        <v>0</v>
      </c>
      <c r="AH105" s="550">
        <v>0</v>
      </c>
      <c r="AI105" s="550">
        <v>0</v>
      </c>
      <c r="AJ105" s="550">
        <v>0</v>
      </c>
      <c r="AK105" s="550">
        <v>0</v>
      </c>
      <c r="AL105" s="550">
        <v>0</v>
      </c>
      <c r="AM105" s="550">
        <v>0</v>
      </c>
      <c r="AN105" s="550">
        <v>0</v>
      </c>
      <c r="AO105" s="550">
        <v>0</v>
      </c>
      <c r="AP105" s="550">
        <v>0</v>
      </c>
      <c r="AQ105" s="550">
        <v>0</v>
      </c>
      <c r="AR105" s="550">
        <v>0</v>
      </c>
      <c r="AS105" s="550">
        <v>0</v>
      </c>
      <c r="AT105" s="550">
        <v>0</v>
      </c>
      <c r="AU105" s="550">
        <v>0</v>
      </c>
      <c r="AV105" s="550">
        <v>0</v>
      </c>
      <c r="AW105" s="550">
        <v>0</v>
      </c>
      <c r="AX105" s="550">
        <v>0</v>
      </c>
      <c r="AY105" s="550">
        <v>0</v>
      </c>
      <c r="AZ105" s="551">
        <v>0</v>
      </c>
    </row>
    <row r="106" spans="1:52" s="470" customFormat="1">
      <c r="A106" s="486">
        <f>'[4]Allocation Methodology'!A20</f>
        <v>16</v>
      </c>
      <c r="B106" s="487" t="str">
        <f>'[4]Allocation Methodology'!B20</f>
        <v>Toronto Comprehensive</v>
      </c>
      <c r="C106" s="487" t="str">
        <f>'[4]Allocation Methodology'!C20</f>
        <v>Business</v>
      </c>
      <c r="D106" s="487" t="s">
        <v>58</v>
      </c>
      <c r="E106" s="487">
        <f>'[4]Allocation Methodology'!D20</f>
        <v>2007</v>
      </c>
      <c r="F106" s="488" t="str">
        <f>'[4]Allocation Methodology'!E20</f>
        <v>Final</v>
      </c>
      <c r="G106" s="472" t="b">
        <v>0</v>
      </c>
      <c r="H106" s="546">
        <v>0</v>
      </c>
      <c r="I106" s="547">
        <v>0</v>
      </c>
      <c r="J106" s="547">
        <v>0</v>
      </c>
      <c r="K106" s="547">
        <v>0</v>
      </c>
      <c r="L106" s="547">
        <v>0</v>
      </c>
      <c r="M106" s="547">
        <v>0</v>
      </c>
      <c r="N106" s="547">
        <v>0</v>
      </c>
      <c r="O106" s="547">
        <v>0</v>
      </c>
      <c r="P106" s="547">
        <v>0</v>
      </c>
      <c r="Q106" s="547">
        <v>0</v>
      </c>
      <c r="R106" s="547">
        <v>0</v>
      </c>
      <c r="S106" s="547">
        <v>0</v>
      </c>
      <c r="T106" s="547">
        <v>0</v>
      </c>
      <c r="U106" s="547">
        <v>0</v>
      </c>
      <c r="V106" s="547">
        <v>0</v>
      </c>
      <c r="W106" s="547">
        <v>0</v>
      </c>
      <c r="X106" s="547">
        <v>0</v>
      </c>
      <c r="Y106" s="547">
        <v>0</v>
      </c>
      <c r="Z106" s="547">
        <v>0</v>
      </c>
      <c r="AA106" s="547">
        <v>0</v>
      </c>
      <c r="AB106" s="547">
        <v>0</v>
      </c>
      <c r="AC106" s="547">
        <v>0</v>
      </c>
      <c r="AD106" s="547">
        <v>0</v>
      </c>
      <c r="AE106" s="547">
        <v>0</v>
      </c>
      <c r="AF106" s="547">
        <v>0</v>
      </c>
      <c r="AG106" s="547">
        <v>0</v>
      </c>
      <c r="AH106" s="547">
        <v>0</v>
      </c>
      <c r="AI106" s="547">
        <v>0</v>
      </c>
      <c r="AJ106" s="547">
        <v>0</v>
      </c>
      <c r="AK106" s="547">
        <v>0</v>
      </c>
      <c r="AL106" s="547">
        <v>0</v>
      </c>
      <c r="AM106" s="547">
        <v>0</v>
      </c>
      <c r="AN106" s="547">
        <v>0</v>
      </c>
      <c r="AO106" s="547">
        <v>0</v>
      </c>
      <c r="AP106" s="547">
        <v>0</v>
      </c>
      <c r="AQ106" s="547">
        <v>0</v>
      </c>
      <c r="AR106" s="547">
        <v>0</v>
      </c>
      <c r="AS106" s="547">
        <v>0</v>
      </c>
      <c r="AT106" s="547">
        <v>0</v>
      </c>
      <c r="AU106" s="547">
        <v>0</v>
      </c>
      <c r="AV106" s="547">
        <v>0</v>
      </c>
      <c r="AW106" s="547">
        <v>0</v>
      </c>
      <c r="AX106" s="547">
        <v>0</v>
      </c>
      <c r="AY106" s="547">
        <v>0</v>
      </c>
      <c r="AZ106" s="548">
        <v>0</v>
      </c>
    </row>
    <row r="107" spans="1:52" s="470" customFormat="1">
      <c r="A107" s="493">
        <f>'[4]Allocation Methodology'!A21</f>
        <v>17</v>
      </c>
      <c r="B107" s="494" t="str">
        <f>'[4]Allocation Methodology'!B21</f>
        <v>Demand Response 1</v>
      </c>
      <c r="C107" s="494" t="str">
        <f>'[4]Allocation Methodology'!C21</f>
        <v>Business, Industrial</v>
      </c>
      <c r="D107" s="494" t="s">
        <v>480</v>
      </c>
      <c r="E107" s="494">
        <f>'[4]Allocation Methodology'!D21</f>
        <v>2007</v>
      </c>
      <c r="F107" s="495" t="str">
        <f>'[4]Allocation Methodology'!E21</f>
        <v>Final</v>
      </c>
      <c r="G107" s="472" t="b">
        <v>0</v>
      </c>
      <c r="H107" s="549">
        <v>0</v>
      </c>
      <c r="I107" s="550">
        <v>0</v>
      </c>
      <c r="J107" s="550">
        <v>0</v>
      </c>
      <c r="K107" s="550">
        <v>0</v>
      </c>
      <c r="L107" s="550">
        <v>0</v>
      </c>
      <c r="M107" s="550">
        <v>0</v>
      </c>
      <c r="N107" s="550">
        <v>0</v>
      </c>
      <c r="O107" s="550">
        <v>0</v>
      </c>
      <c r="P107" s="550">
        <v>0</v>
      </c>
      <c r="Q107" s="550">
        <v>0</v>
      </c>
      <c r="R107" s="550">
        <v>0</v>
      </c>
      <c r="S107" s="550">
        <v>0</v>
      </c>
      <c r="T107" s="550">
        <v>0</v>
      </c>
      <c r="U107" s="550">
        <v>0</v>
      </c>
      <c r="V107" s="550">
        <v>0</v>
      </c>
      <c r="W107" s="550">
        <v>0</v>
      </c>
      <c r="X107" s="550">
        <v>0</v>
      </c>
      <c r="Y107" s="550">
        <v>0</v>
      </c>
      <c r="Z107" s="550">
        <v>0</v>
      </c>
      <c r="AA107" s="550">
        <v>0</v>
      </c>
      <c r="AB107" s="550">
        <v>0</v>
      </c>
      <c r="AC107" s="550">
        <v>0</v>
      </c>
      <c r="AD107" s="550">
        <v>0</v>
      </c>
      <c r="AE107" s="550">
        <v>0</v>
      </c>
      <c r="AF107" s="550">
        <v>0</v>
      </c>
      <c r="AG107" s="550">
        <v>0</v>
      </c>
      <c r="AH107" s="550">
        <v>0</v>
      </c>
      <c r="AI107" s="550">
        <v>0</v>
      </c>
      <c r="AJ107" s="550">
        <v>0</v>
      </c>
      <c r="AK107" s="550">
        <v>0</v>
      </c>
      <c r="AL107" s="550">
        <v>0</v>
      </c>
      <c r="AM107" s="550">
        <v>0</v>
      </c>
      <c r="AN107" s="550">
        <v>0</v>
      </c>
      <c r="AO107" s="550">
        <v>0</v>
      </c>
      <c r="AP107" s="550">
        <v>0</v>
      </c>
      <c r="AQ107" s="550">
        <v>0</v>
      </c>
      <c r="AR107" s="550">
        <v>0</v>
      </c>
      <c r="AS107" s="550">
        <v>0</v>
      </c>
      <c r="AT107" s="550">
        <v>0</v>
      </c>
      <c r="AU107" s="550">
        <v>0</v>
      </c>
      <c r="AV107" s="550">
        <v>0</v>
      </c>
      <c r="AW107" s="550">
        <v>0</v>
      </c>
      <c r="AX107" s="550">
        <v>0</v>
      </c>
      <c r="AY107" s="550">
        <v>0</v>
      </c>
      <c r="AZ107" s="551">
        <v>0</v>
      </c>
    </row>
    <row r="108" spans="1:52" s="470" customFormat="1">
      <c r="A108" s="486">
        <f>'[4]Allocation Methodology'!A22</f>
        <v>18</v>
      </c>
      <c r="B108" s="487" t="str">
        <f>'[4]Allocation Methodology'!B22</f>
        <v>Loblaw &amp; York Region Demand Response</v>
      </c>
      <c r="C108" s="487" t="str">
        <f>'[4]Allocation Methodology'!C22</f>
        <v>Business, Industrial</v>
      </c>
      <c r="D108" s="487" t="s">
        <v>480</v>
      </c>
      <c r="E108" s="487">
        <f>'[4]Allocation Methodology'!D22</f>
        <v>2007</v>
      </c>
      <c r="F108" s="488" t="str">
        <f>'[4]Allocation Methodology'!E22</f>
        <v>Final</v>
      </c>
      <c r="G108" s="472" t="b">
        <v>0</v>
      </c>
      <c r="H108" s="546">
        <v>0</v>
      </c>
      <c r="I108" s="547">
        <v>0</v>
      </c>
      <c r="J108" s="547">
        <v>0</v>
      </c>
      <c r="K108" s="547">
        <v>0</v>
      </c>
      <c r="L108" s="547">
        <v>0</v>
      </c>
      <c r="M108" s="547">
        <v>0</v>
      </c>
      <c r="N108" s="547">
        <v>0</v>
      </c>
      <c r="O108" s="547">
        <v>0</v>
      </c>
      <c r="P108" s="547">
        <v>0</v>
      </c>
      <c r="Q108" s="547">
        <v>0</v>
      </c>
      <c r="R108" s="547">
        <v>0</v>
      </c>
      <c r="S108" s="547">
        <v>0</v>
      </c>
      <c r="T108" s="547">
        <v>0</v>
      </c>
      <c r="U108" s="547">
        <v>0</v>
      </c>
      <c r="V108" s="547">
        <v>0</v>
      </c>
      <c r="W108" s="547">
        <v>0</v>
      </c>
      <c r="X108" s="547">
        <v>0</v>
      </c>
      <c r="Y108" s="547">
        <v>0</v>
      </c>
      <c r="Z108" s="547">
        <v>0</v>
      </c>
      <c r="AA108" s="547">
        <v>0</v>
      </c>
      <c r="AB108" s="547">
        <v>0</v>
      </c>
      <c r="AC108" s="547">
        <v>0</v>
      </c>
      <c r="AD108" s="547">
        <v>0</v>
      </c>
      <c r="AE108" s="547">
        <v>0</v>
      </c>
      <c r="AF108" s="547">
        <v>0</v>
      </c>
      <c r="AG108" s="547">
        <v>0</v>
      </c>
      <c r="AH108" s="547">
        <v>0</v>
      </c>
      <c r="AI108" s="547">
        <v>0</v>
      </c>
      <c r="AJ108" s="547">
        <v>0</v>
      </c>
      <c r="AK108" s="547">
        <v>0</v>
      </c>
      <c r="AL108" s="547">
        <v>0</v>
      </c>
      <c r="AM108" s="547">
        <v>0</v>
      </c>
      <c r="AN108" s="547">
        <v>0</v>
      </c>
      <c r="AO108" s="547">
        <v>0</v>
      </c>
      <c r="AP108" s="547">
        <v>0</v>
      </c>
      <c r="AQ108" s="547">
        <v>0</v>
      </c>
      <c r="AR108" s="547">
        <v>0</v>
      </c>
      <c r="AS108" s="547">
        <v>0</v>
      </c>
      <c r="AT108" s="547">
        <v>0</v>
      </c>
      <c r="AU108" s="547">
        <v>0</v>
      </c>
      <c r="AV108" s="547">
        <v>0</v>
      </c>
      <c r="AW108" s="547">
        <v>0</v>
      </c>
      <c r="AX108" s="547">
        <v>0</v>
      </c>
      <c r="AY108" s="547">
        <v>0</v>
      </c>
      <c r="AZ108" s="548">
        <v>0</v>
      </c>
    </row>
    <row r="109" spans="1:52" s="470" customFormat="1">
      <c r="A109" s="500">
        <f>'[4]Allocation Methodology'!A23</f>
        <v>19</v>
      </c>
      <c r="B109" s="501" t="str">
        <f>'[4]Allocation Methodology'!B23</f>
        <v>Renewable Energy Standard Offer</v>
      </c>
      <c r="C109" s="501" t="str">
        <f>'[4]Allocation Methodology'!C23</f>
        <v>Consumer, Business, Industrial</v>
      </c>
      <c r="D109" s="501" t="s">
        <v>17</v>
      </c>
      <c r="E109" s="501">
        <f>'[4]Allocation Methodology'!D23</f>
        <v>2007</v>
      </c>
      <c r="F109" s="502" t="str">
        <f>'[4]Allocation Methodology'!E23</f>
        <v>Final</v>
      </c>
      <c r="G109" s="472" t="b">
        <v>0</v>
      </c>
      <c r="H109" s="552">
        <v>0</v>
      </c>
      <c r="I109" s="553">
        <v>24.438648000000001</v>
      </c>
      <c r="J109" s="553">
        <v>24.438648000000001</v>
      </c>
      <c r="K109" s="553">
        <v>24.438648000000001</v>
      </c>
      <c r="L109" s="553">
        <v>24.438648000000001</v>
      </c>
      <c r="M109" s="553">
        <v>24.438648000000001</v>
      </c>
      <c r="N109" s="553">
        <v>24.438648000000001</v>
      </c>
      <c r="O109" s="553">
        <v>24.438648000000001</v>
      </c>
      <c r="P109" s="553">
        <v>24.438648000000001</v>
      </c>
      <c r="Q109" s="553">
        <v>24.438648000000001</v>
      </c>
      <c r="R109" s="553">
        <v>24.438648000000001</v>
      </c>
      <c r="S109" s="553">
        <v>24.438648000000001</v>
      </c>
      <c r="T109" s="553">
        <v>24.438648000000001</v>
      </c>
      <c r="U109" s="553">
        <v>24.438648000000001</v>
      </c>
      <c r="V109" s="553">
        <v>24.438648000000001</v>
      </c>
      <c r="W109" s="553">
        <v>24.438648000000001</v>
      </c>
      <c r="X109" s="553">
        <v>24.438648000000001</v>
      </c>
      <c r="Y109" s="553">
        <v>24.438648000000001</v>
      </c>
      <c r="Z109" s="553">
        <v>24.438648000000001</v>
      </c>
      <c r="AA109" s="553">
        <v>24.438648000000001</v>
      </c>
      <c r="AB109" s="553">
        <v>24.438648000000001</v>
      </c>
      <c r="AC109" s="553">
        <v>0</v>
      </c>
      <c r="AD109" s="553">
        <v>0</v>
      </c>
      <c r="AE109" s="553">
        <v>0</v>
      </c>
      <c r="AF109" s="553">
        <v>0</v>
      </c>
      <c r="AG109" s="553">
        <v>0</v>
      </c>
      <c r="AH109" s="553">
        <v>0</v>
      </c>
      <c r="AI109" s="553">
        <v>0</v>
      </c>
      <c r="AJ109" s="553">
        <v>0</v>
      </c>
      <c r="AK109" s="553">
        <v>0</v>
      </c>
      <c r="AL109" s="553">
        <v>0</v>
      </c>
      <c r="AM109" s="553">
        <v>0</v>
      </c>
      <c r="AN109" s="553">
        <v>0</v>
      </c>
      <c r="AO109" s="553">
        <v>0</v>
      </c>
      <c r="AP109" s="553">
        <v>0</v>
      </c>
      <c r="AQ109" s="553">
        <v>0</v>
      </c>
      <c r="AR109" s="553">
        <v>0</v>
      </c>
      <c r="AS109" s="553">
        <v>0</v>
      </c>
      <c r="AT109" s="553">
        <v>0</v>
      </c>
      <c r="AU109" s="553">
        <v>0</v>
      </c>
      <c r="AV109" s="553">
        <v>0</v>
      </c>
      <c r="AW109" s="553">
        <v>0</v>
      </c>
      <c r="AX109" s="553">
        <v>0</v>
      </c>
      <c r="AY109" s="553">
        <v>0</v>
      </c>
      <c r="AZ109" s="554">
        <v>0</v>
      </c>
    </row>
    <row r="110" spans="1:52" s="470" customFormat="1">
      <c r="A110" s="507">
        <f>'[4]Allocation Methodology'!A24</f>
        <v>20</v>
      </c>
      <c r="B110" s="508" t="str">
        <f>'[4]Allocation Methodology'!B24</f>
        <v>Great Refrigerator Roundup</v>
      </c>
      <c r="C110" s="508" t="str">
        <f>'[4]Allocation Methodology'!C24</f>
        <v>Consumer</v>
      </c>
      <c r="D110" s="508" t="s">
        <v>17</v>
      </c>
      <c r="E110" s="508">
        <f>'[4]Allocation Methodology'!D24</f>
        <v>2008</v>
      </c>
      <c r="F110" s="509" t="str">
        <f>'[4]Allocation Methodology'!E24</f>
        <v>Final</v>
      </c>
      <c r="G110" s="472" t="b">
        <v>0</v>
      </c>
      <c r="H110" s="555">
        <v>0</v>
      </c>
      <c r="I110" s="556">
        <v>0</v>
      </c>
      <c r="J110" s="556">
        <v>114.40516</v>
      </c>
      <c r="K110" s="556">
        <v>114.40516</v>
      </c>
      <c r="L110" s="556">
        <v>114.40516</v>
      </c>
      <c r="M110" s="556">
        <v>114.40516</v>
      </c>
      <c r="N110" s="556">
        <v>114.12147999999998</v>
      </c>
      <c r="O110" s="556">
        <v>113.83779999999999</v>
      </c>
      <c r="P110" s="556">
        <v>113.83779999999999</v>
      </c>
      <c r="Q110" s="556">
        <v>113.83779999999999</v>
      </c>
      <c r="R110" s="556">
        <v>90.364999999999995</v>
      </c>
      <c r="S110" s="556">
        <v>0</v>
      </c>
      <c r="T110" s="556">
        <v>0</v>
      </c>
      <c r="U110" s="556">
        <v>0</v>
      </c>
      <c r="V110" s="556">
        <v>0</v>
      </c>
      <c r="W110" s="556">
        <v>0</v>
      </c>
      <c r="X110" s="556">
        <v>0</v>
      </c>
      <c r="Y110" s="556">
        <v>0</v>
      </c>
      <c r="Z110" s="556">
        <v>0</v>
      </c>
      <c r="AA110" s="556">
        <v>0</v>
      </c>
      <c r="AB110" s="556">
        <v>0</v>
      </c>
      <c r="AC110" s="556">
        <v>0</v>
      </c>
      <c r="AD110" s="556">
        <v>0</v>
      </c>
      <c r="AE110" s="556">
        <v>0</v>
      </c>
      <c r="AF110" s="556">
        <v>0</v>
      </c>
      <c r="AG110" s="556">
        <v>0</v>
      </c>
      <c r="AH110" s="556">
        <v>0</v>
      </c>
      <c r="AI110" s="556">
        <v>0</v>
      </c>
      <c r="AJ110" s="556">
        <v>0</v>
      </c>
      <c r="AK110" s="556">
        <v>0</v>
      </c>
      <c r="AL110" s="556">
        <v>0</v>
      </c>
      <c r="AM110" s="556">
        <v>0</v>
      </c>
      <c r="AN110" s="556">
        <v>0</v>
      </c>
      <c r="AO110" s="556">
        <v>0</v>
      </c>
      <c r="AP110" s="556">
        <v>0</v>
      </c>
      <c r="AQ110" s="556">
        <v>0</v>
      </c>
      <c r="AR110" s="556">
        <v>0</v>
      </c>
      <c r="AS110" s="556">
        <v>0</v>
      </c>
      <c r="AT110" s="556">
        <v>0</v>
      </c>
      <c r="AU110" s="556">
        <v>0</v>
      </c>
      <c r="AV110" s="556">
        <v>0</v>
      </c>
      <c r="AW110" s="556">
        <v>0</v>
      </c>
      <c r="AX110" s="556">
        <v>0</v>
      </c>
      <c r="AY110" s="556">
        <v>0</v>
      </c>
      <c r="AZ110" s="557">
        <v>0</v>
      </c>
    </row>
    <row r="111" spans="1:52" s="470" customFormat="1">
      <c r="A111" s="493">
        <f>'[4]Allocation Methodology'!A25</f>
        <v>21</v>
      </c>
      <c r="B111" s="494" t="str">
        <f>'[4]Allocation Methodology'!B25</f>
        <v>Cool Savings Rebate</v>
      </c>
      <c r="C111" s="494" t="str">
        <f>'[4]Allocation Methodology'!C25</f>
        <v>Consumer</v>
      </c>
      <c r="D111" s="494" t="s">
        <v>17</v>
      </c>
      <c r="E111" s="494">
        <f>'[4]Allocation Methodology'!D25</f>
        <v>2008</v>
      </c>
      <c r="F111" s="495" t="str">
        <f>'[4]Allocation Methodology'!E25</f>
        <v>Final</v>
      </c>
      <c r="G111" s="472" t="b">
        <v>0</v>
      </c>
      <c r="H111" s="549">
        <v>0</v>
      </c>
      <c r="I111" s="550">
        <v>0</v>
      </c>
      <c r="J111" s="550">
        <v>115.59733116888511</v>
      </c>
      <c r="K111" s="550">
        <v>115.59733116888511</v>
      </c>
      <c r="L111" s="550">
        <v>115.59733116888511</v>
      </c>
      <c r="M111" s="550">
        <v>115.59733116888511</v>
      </c>
      <c r="N111" s="550">
        <v>115.59733116888511</v>
      </c>
      <c r="O111" s="550">
        <v>115.59733116888511</v>
      </c>
      <c r="P111" s="550">
        <v>115.59733116888511</v>
      </c>
      <c r="Q111" s="550">
        <v>115.59733116888511</v>
      </c>
      <c r="R111" s="550">
        <v>115.59733116888511</v>
      </c>
      <c r="S111" s="550">
        <v>115.59733116888511</v>
      </c>
      <c r="T111" s="550">
        <v>115.59733116888511</v>
      </c>
      <c r="U111" s="550">
        <v>115.59733116888511</v>
      </c>
      <c r="V111" s="550">
        <v>115.59733116888511</v>
      </c>
      <c r="W111" s="550">
        <v>115.59733116888511</v>
      </c>
      <c r="X111" s="550">
        <v>115.59733116888511</v>
      </c>
      <c r="Y111" s="550">
        <v>92.180854829928066</v>
      </c>
      <c r="Z111" s="550">
        <v>92.180854829928066</v>
      </c>
      <c r="AA111" s="550">
        <v>92.180854829928066</v>
      </c>
      <c r="AB111" s="550">
        <v>0</v>
      </c>
      <c r="AC111" s="550">
        <v>0</v>
      </c>
      <c r="AD111" s="550">
        <v>0</v>
      </c>
      <c r="AE111" s="550">
        <v>0</v>
      </c>
      <c r="AF111" s="550">
        <v>0</v>
      </c>
      <c r="AG111" s="550">
        <v>0</v>
      </c>
      <c r="AH111" s="550">
        <v>0</v>
      </c>
      <c r="AI111" s="550">
        <v>0</v>
      </c>
      <c r="AJ111" s="550">
        <v>0</v>
      </c>
      <c r="AK111" s="550">
        <v>0</v>
      </c>
      <c r="AL111" s="550">
        <v>0</v>
      </c>
      <c r="AM111" s="550">
        <v>0</v>
      </c>
      <c r="AN111" s="550">
        <v>0</v>
      </c>
      <c r="AO111" s="550">
        <v>0</v>
      </c>
      <c r="AP111" s="550">
        <v>0</v>
      </c>
      <c r="AQ111" s="550">
        <v>0</v>
      </c>
      <c r="AR111" s="550">
        <v>0</v>
      </c>
      <c r="AS111" s="550">
        <v>0</v>
      </c>
      <c r="AT111" s="550">
        <v>0</v>
      </c>
      <c r="AU111" s="550">
        <v>0</v>
      </c>
      <c r="AV111" s="550">
        <v>0</v>
      </c>
      <c r="AW111" s="550">
        <v>0</v>
      </c>
      <c r="AX111" s="550">
        <v>0</v>
      </c>
      <c r="AY111" s="550">
        <v>0</v>
      </c>
      <c r="AZ111" s="551">
        <v>0</v>
      </c>
    </row>
    <row r="112" spans="1:52" s="470" customFormat="1">
      <c r="A112" s="486">
        <f>'[4]Allocation Methodology'!A26</f>
        <v>22</v>
      </c>
      <c r="B112" s="487" t="str">
        <f>'[4]Allocation Methodology'!B26</f>
        <v>Every Kilowatt Counts Power Savings Event</v>
      </c>
      <c r="C112" s="487" t="str">
        <f>'[4]Allocation Methodology'!C26</f>
        <v>Consumer</v>
      </c>
      <c r="D112" s="487" t="s">
        <v>17</v>
      </c>
      <c r="E112" s="487">
        <f>'[4]Allocation Methodology'!D26</f>
        <v>2008</v>
      </c>
      <c r="F112" s="488" t="str">
        <f>'[4]Allocation Methodology'!E26</f>
        <v>Final</v>
      </c>
      <c r="G112" s="472" t="b">
        <v>0</v>
      </c>
      <c r="H112" s="546">
        <v>0</v>
      </c>
      <c r="I112" s="547">
        <v>0</v>
      </c>
      <c r="J112" s="547">
        <v>586.80083092528616</v>
      </c>
      <c r="K112" s="547">
        <v>584.24816249900425</v>
      </c>
      <c r="L112" s="547">
        <v>584.24816249900425</v>
      </c>
      <c r="M112" s="547">
        <v>584.24816249900425</v>
      </c>
      <c r="N112" s="547">
        <v>495.89046442035021</v>
      </c>
      <c r="O112" s="547">
        <v>495.89046442035021</v>
      </c>
      <c r="P112" s="547">
        <v>403.88130234424233</v>
      </c>
      <c r="Q112" s="547">
        <v>335.1426669440844</v>
      </c>
      <c r="R112" s="547">
        <v>211.5981537201412</v>
      </c>
      <c r="S112" s="547">
        <v>208.9010914171856</v>
      </c>
      <c r="T112" s="547">
        <v>171.30116197290698</v>
      </c>
      <c r="U112" s="547">
        <v>171.30116197290698</v>
      </c>
      <c r="V112" s="547">
        <v>162.49249884426379</v>
      </c>
      <c r="W112" s="547">
        <v>162.49249884426379</v>
      </c>
      <c r="X112" s="547">
        <v>162.49249884426379</v>
      </c>
      <c r="Y112" s="547">
        <v>156.421604982259</v>
      </c>
      <c r="Z112" s="547">
        <v>0</v>
      </c>
      <c r="AA112" s="547">
        <v>0</v>
      </c>
      <c r="AB112" s="547">
        <v>0</v>
      </c>
      <c r="AC112" s="547">
        <v>0</v>
      </c>
      <c r="AD112" s="547">
        <v>0</v>
      </c>
      <c r="AE112" s="547">
        <v>0</v>
      </c>
      <c r="AF112" s="547">
        <v>0</v>
      </c>
      <c r="AG112" s="547">
        <v>0</v>
      </c>
      <c r="AH112" s="547">
        <v>0</v>
      </c>
      <c r="AI112" s="547">
        <v>0</v>
      </c>
      <c r="AJ112" s="547">
        <v>0</v>
      </c>
      <c r="AK112" s="547">
        <v>0</v>
      </c>
      <c r="AL112" s="547">
        <v>0</v>
      </c>
      <c r="AM112" s="547">
        <v>0</v>
      </c>
      <c r="AN112" s="547">
        <v>0</v>
      </c>
      <c r="AO112" s="547">
        <v>0</v>
      </c>
      <c r="AP112" s="547">
        <v>0</v>
      </c>
      <c r="AQ112" s="547">
        <v>0</v>
      </c>
      <c r="AR112" s="547">
        <v>0</v>
      </c>
      <c r="AS112" s="547">
        <v>0</v>
      </c>
      <c r="AT112" s="547">
        <v>0</v>
      </c>
      <c r="AU112" s="547">
        <v>0</v>
      </c>
      <c r="AV112" s="547">
        <v>0</v>
      </c>
      <c r="AW112" s="547">
        <v>0</v>
      </c>
      <c r="AX112" s="547">
        <v>0</v>
      </c>
      <c r="AY112" s="547">
        <v>0</v>
      </c>
      <c r="AZ112" s="548">
        <v>0</v>
      </c>
    </row>
    <row r="113" spans="1:52" s="470" customFormat="1">
      <c r="A113" s="493">
        <f>'[4]Allocation Methodology'!A27</f>
        <v>23</v>
      </c>
      <c r="B113" s="514" t="str">
        <f>'[4]Allocation Methodology'!B27</f>
        <v>peaksaver®</v>
      </c>
      <c r="C113" s="494" t="str">
        <f>'[4]Allocation Methodology'!C27</f>
        <v>Consumer, Business</v>
      </c>
      <c r="D113" s="494" t="s">
        <v>58</v>
      </c>
      <c r="E113" s="494">
        <f>'[4]Allocation Methodology'!D27</f>
        <v>2008</v>
      </c>
      <c r="F113" s="495" t="str">
        <f>'[4]Allocation Methodology'!E27</f>
        <v>Final</v>
      </c>
      <c r="G113" s="472" t="b">
        <v>0</v>
      </c>
      <c r="H113" s="549">
        <v>0</v>
      </c>
      <c r="I113" s="550">
        <v>0</v>
      </c>
      <c r="J113" s="550">
        <v>0</v>
      </c>
      <c r="K113" s="550">
        <v>0</v>
      </c>
      <c r="L113" s="550">
        <v>0</v>
      </c>
      <c r="M113" s="550">
        <v>0</v>
      </c>
      <c r="N113" s="550">
        <v>0</v>
      </c>
      <c r="O113" s="550">
        <v>0</v>
      </c>
      <c r="P113" s="550">
        <v>0</v>
      </c>
      <c r="Q113" s="550">
        <v>0</v>
      </c>
      <c r="R113" s="550">
        <v>0</v>
      </c>
      <c r="S113" s="550">
        <v>0</v>
      </c>
      <c r="T113" s="550">
        <v>0</v>
      </c>
      <c r="U113" s="550">
        <v>0</v>
      </c>
      <c r="V113" s="550">
        <v>0</v>
      </c>
      <c r="W113" s="550">
        <v>0</v>
      </c>
      <c r="X113" s="550">
        <v>0</v>
      </c>
      <c r="Y113" s="550">
        <v>0</v>
      </c>
      <c r="Z113" s="550">
        <v>0</v>
      </c>
      <c r="AA113" s="550">
        <v>0</v>
      </c>
      <c r="AB113" s="550">
        <v>0</v>
      </c>
      <c r="AC113" s="550">
        <v>0</v>
      </c>
      <c r="AD113" s="550">
        <v>0</v>
      </c>
      <c r="AE113" s="550">
        <v>0</v>
      </c>
      <c r="AF113" s="550">
        <v>0</v>
      </c>
      <c r="AG113" s="550">
        <v>0</v>
      </c>
      <c r="AH113" s="550">
        <v>0</v>
      </c>
      <c r="AI113" s="550">
        <v>0</v>
      </c>
      <c r="AJ113" s="550">
        <v>0</v>
      </c>
      <c r="AK113" s="550">
        <v>0</v>
      </c>
      <c r="AL113" s="550">
        <v>0</v>
      </c>
      <c r="AM113" s="550">
        <v>0</v>
      </c>
      <c r="AN113" s="550">
        <v>0</v>
      </c>
      <c r="AO113" s="550">
        <v>0</v>
      </c>
      <c r="AP113" s="550">
        <v>0</v>
      </c>
      <c r="AQ113" s="550">
        <v>0</v>
      </c>
      <c r="AR113" s="550">
        <v>0</v>
      </c>
      <c r="AS113" s="550">
        <v>0</v>
      </c>
      <c r="AT113" s="550">
        <v>0</v>
      </c>
      <c r="AU113" s="550">
        <v>0</v>
      </c>
      <c r="AV113" s="550">
        <v>0</v>
      </c>
      <c r="AW113" s="550">
        <v>0</v>
      </c>
      <c r="AX113" s="550">
        <v>0</v>
      </c>
      <c r="AY113" s="550">
        <v>0</v>
      </c>
      <c r="AZ113" s="551">
        <v>0</v>
      </c>
    </row>
    <row r="114" spans="1:52" s="470" customFormat="1">
      <c r="A114" s="486">
        <f>'[4]Allocation Methodology'!A28</f>
        <v>24</v>
      </c>
      <c r="B114" s="487" t="str">
        <f>'[4]Allocation Methodology'!B28</f>
        <v>Summer Sweepstakes</v>
      </c>
      <c r="C114" s="487" t="str">
        <f>'[4]Allocation Methodology'!C28</f>
        <v>Consumer</v>
      </c>
      <c r="D114" s="487" t="s">
        <v>17</v>
      </c>
      <c r="E114" s="487">
        <f>'[4]Allocation Methodology'!D28</f>
        <v>2008</v>
      </c>
      <c r="F114" s="488" t="str">
        <f>'[4]Allocation Methodology'!E28</f>
        <v>Final</v>
      </c>
      <c r="G114" s="472" t="b">
        <v>0</v>
      </c>
      <c r="H114" s="546">
        <v>0</v>
      </c>
      <c r="I114" s="547">
        <v>0</v>
      </c>
      <c r="J114" s="547">
        <v>263.04053755573591</v>
      </c>
      <c r="K114" s="547">
        <v>94.919061593347493</v>
      </c>
      <c r="L114" s="547">
        <v>94.919061593347493</v>
      </c>
      <c r="M114" s="547">
        <v>94.919061593347493</v>
      </c>
      <c r="N114" s="547">
        <v>94.919061593347493</v>
      </c>
      <c r="O114" s="547">
        <v>94.919061593347493</v>
      </c>
      <c r="P114" s="547">
        <v>94.919061593347493</v>
      </c>
      <c r="Q114" s="547">
        <v>94.919061593347493</v>
      </c>
      <c r="R114" s="547">
        <v>52.000047194422017</v>
      </c>
      <c r="S114" s="547">
        <v>52.000047194422017</v>
      </c>
      <c r="T114" s="547">
        <v>39.400394351800976</v>
      </c>
      <c r="U114" s="547">
        <v>39.400394351800976</v>
      </c>
      <c r="V114" s="547">
        <v>39.400394351800976</v>
      </c>
      <c r="W114" s="547">
        <v>34.858617178971095</v>
      </c>
      <c r="X114" s="547">
        <v>33.240359680946696</v>
      </c>
      <c r="Y114" s="547">
        <v>31.603078487661914</v>
      </c>
      <c r="Z114" s="547">
        <v>31.603078487661914</v>
      </c>
      <c r="AA114" s="547">
        <v>31.603078487661914</v>
      </c>
      <c r="AB114" s="547">
        <v>31.603078487661914</v>
      </c>
      <c r="AC114" s="547">
        <v>31.603078487661914</v>
      </c>
      <c r="AD114" s="547">
        <v>0</v>
      </c>
      <c r="AE114" s="547">
        <v>0</v>
      </c>
      <c r="AF114" s="547">
        <v>0</v>
      </c>
      <c r="AG114" s="547">
        <v>0</v>
      </c>
      <c r="AH114" s="547">
        <v>0</v>
      </c>
      <c r="AI114" s="547">
        <v>0</v>
      </c>
      <c r="AJ114" s="547">
        <v>0</v>
      </c>
      <c r="AK114" s="547">
        <v>0</v>
      </c>
      <c r="AL114" s="547">
        <v>0</v>
      </c>
      <c r="AM114" s="547">
        <v>0</v>
      </c>
      <c r="AN114" s="547">
        <v>0</v>
      </c>
      <c r="AO114" s="547">
        <v>0</v>
      </c>
      <c r="AP114" s="547">
        <v>0</v>
      </c>
      <c r="AQ114" s="547">
        <v>0</v>
      </c>
      <c r="AR114" s="547">
        <v>0</v>
      </c>
      <c r="AS114" s="547">
        <v>0</v>
      </c>
      <c r="AT114" s="547">
        <v>0</v>
      </c>
      <c r="AU114" s="547">
        <v>0</v>
      </c>
      <c r="AV114" s="547">
        <v>0</v>
      </c>
      <c r="AW114" s="547">
        <v>0</v>
      </c>
      <c r="AX114" s="547">
        <v>0</v>
      </c>
      <c r="AY114" s="547">
        <v>0</v>
      </c>
      <c r="AZ114" s="548">
        <v>0</v>
      </c>
    </row>
    <row r="115" spans="1:52" s="470" customFormat="1">
      <c r="A115" s="493">
        <f>'[4]Allocation Methodology'!A29</f>
        <v>25</v>
      </c>
      <c r="B115" s="494" t="str">
        <f>'[4]Allocation Methodology'!B29</f>
        <v>Electricity Retrofit Incentive</v>
      </c>
      <c r="C115" s="494" t="str">
        <f>'[4]Allocation Methodology'!C29</f>
        <v>Consumer, Business</v>
      </c>
      <c r="D115" s="494" t="s">
        <v>480</v>
      </c>
      <c r="E115" s="494">
        <f>'[4]Allocation Methodology'!D29</f>
        <v>2008</v>
      </c>
      <c r="F115" s="495" t="str">
        <f>'[4]Allocation Methodology'!E29</f>
        <v>Final</v>
      </c>
      <c r="G115" s="472" t="b">
        <v>0</v>
      </c>
      <c r="H115" s="549">
        <v>0</v>
      </c>
      <c r="I115" s="550">
        <v>0</v>
      </c>
      <c r="J115" s="550">
        <v>1366.6943951189435</v>
      </c>
      <c r="K115" s="550">
        <v>1366.6850616468018</v>
      </c>
      <c r="L115" s="550">
        <v>1366.6850616468018</v>
      </c>
      <c r="M115" s="550">
        <v>1366.6850616468018</v>
      </c>
      <c r="N115" s="550">
        <v>1366.6850616468018</v>
      </c>
      <c r="O115" s="550">
        <v>1366.6850616468018</v>
      </c>
      <c r="P115" s="550">
        <v>1366.6850616468018</v>
      </c>
      <c r="Q115" s="550">
        <v>1366.6850616468018</v>
      </c>
      <c r="R115" s="550">
        <v>1255.2022258965644</v>
      </c>
      <c r="S115" s="550">
        <v>1255.2022258965644</v>
      </c>
      <c r="T115" s="550">
        <v>1255.2022258965644</v>
      </c>
      <c r="U115" s="550">
        <v>1255.2022258965644</v>
      </c>
      <c r="V115" s="550">
        <v>1255.2022258965644</v>
      </c>
      <c r="W115" s="550">
        <v>1255.2022258965644</v>
      </c>
      <c r="X115" s="550">
        <v>1255.2022258965644</v>
      </c>
      <c r="Y115" s="550">
        <v>1217.5461591196672</v>
      </c>
      <c r="Z115" s="550">
        <v>0</v>
      </c>
      <c r="AA115" s="550">
        <v>0</v>
      </c>
      <c r="AB115" s="550">
        <v>0</v>
      </c>
      <c r="AC115" s="550">
        <v>0</v>
      </c>
      <c r="AD115" s="550">
        <v>0</v>
      </c>
      <c r="AE115" s="550">
        <v>0</v>
      </c>
      <c r="AF115" s="550">
        <v>0</v>
      </c>
      <c r="AG115" s="550">
        <v>0</v>
      </c>
      <c r="AH115" s="550">
        <v>0</v>
      </c>
      <c r="AI115" s="550">
        <v>0</v>
      </c>
      <c r="AJ115" s="550">
        <v>0</v>
      </c>
      <c r="AK115" s="550">
        <v>0</v>
      </c>
      <c r="AL115" s="550">
        <v>0</v>
      </c>
      <c r="AM115" s="550">
        <v>0</v>
      </c>
      <c r="AN115" s="550">
        <v>0</v>
      </c>
      <c r="AO115" s="550">
        <v>0</v>
      </c>
      <c r="AP115" s="550">
        <v>0</v>
      </c>
      <c r="AQ115" s="550">
        <v>0</v>
      </c>
      <c r="AR115" s="550">
        <v>0</v>
      </c>
      <c r="AS115" s="550">
        <v>0</v>
      </c>
      <c r="AT115" s="550">
        <v>0</v>
      </c>
      <c r="AU115" s="550">
        <v>0</v>
      </c>
      <c r="AV115" s="550">
        <v>0</v>
      </c>
      <c r="AW115" s="550">
        <v>0</v>
      </c>
      <c r="AX115" s="550">
        <v>0</v>
      </c>
      <c r="AY115" s="550">
        <v>0</v>
      </c>
      <c r="AZ115" s="551">
        <v>0</v>
      </c>
    </row>
    <row r="116" spans="1:52" s="470" customFormat="1">
      <c r="A116" s="486">
        <f>'[4]Allocation Methodology'!A30</f>
        <v>26</v>
      </c>
      <c r="B116" s="487" t="str">
        <f>'[4]Allocation Methodology'!B30</f>
        <v>Toronto Comprehensive</v>
      </c>
      <c r="C116" s="487" t="str">
        <f>'[4]Allocation Methodology'!C30</f>
        <v>Consumer, Consumer Low-Income, Business</v>
      </c>
      <c r="D116" s="487" t="s">
        <v>58</v>
      </c>
      <c r="E116" s="487">
        <f>'[4]Allocation Methodology'!D30</f>
        <v>2008</v>
      </c>
      <c r="F116" s="488" t="str">
        <f>'[4]Allocation Methodology'!E30</f>
        <v>Final</v>
      </c>
      <c r="G116" s="472" t="b">
        <v>0</v>
      </c>
      <c r="H116" s="546">
        <v>0</v>
      </c>
      <c r="I116" s="547">
        <v>0</v>
      </c>
      <c r="J116" s="547">
        <v>0</v>
      </c>
      <c r="K116" s="547">
        <v>0</v>
      </c>
      <c r="L116" s="547">
        <v>0</v>
      </c>
      <c r="M116" s="547">
        <v>0</v>
      </c>
      <c r="N116" s="547">
        <v>0</v>
      </c>
      <c r="O116" s="547">
        <v>0</v>
      </c>
      <c r="P116" s="547">
        <v>0</v>
      </c>
      <c r="Q116" s="547">
        <v>0</v>
      </c>
      <c r="R116" s="547">
        <v>0</v>
      </c>
      <c r="S116" s="547">
        <v>0</v>
      </c>
      <c r="T116" s="547">
        <v>0</v>
      </c>
      <c r="U116" s="547">
        <v>0</v>
      </c>
      <c r="V116" s="547">
        <v>0</v>
      </c>
      <c r="W116" s="547">
        <v>0</v>
      </c>
      <c r="X116" s="547">
        <v>0</v>
      </c>
      <c r="Y116" s="547">
        <v>0</v>
      </c>
      <c r="Z116" s="547">
        <v>0</v>
      </c>
      <c r="AA116" s="547">
        <v>0</v>
      </c>
      <c r="AB116" s="547">
        <v>0</v>
      </c>
      <c r="AC116" s="547">
        <v>0</v>
      </c>
      <c r="AD116" s="547">
        <v>0</v>
      </c>
      <c r="AE116" s="547">
        <v>0</v>
      </c>
      <c r="AF116" s="547">
        <v>0</v>
      </c>
      <c r="AG116" s="547">
        <v>0</v>
      </c>
      <c r="AH116" s="547">
        <v>0</v>
      </c>
      <c r="AI116" s="547">
        <v>0</v>
      </c>
      <c r="AJ116" s="547">
        <v>0</v>
      </c>
      <c r="AK116" s="547">
        <v>0</v>
      </c>
      <c r="AL116" s="547">
        <v>0</v>
      </c>
      <c r="AM116" s="547">
        <v>0</v>
      </c>
      <c r="AN116" s="547">
        <v>0</v>
      </c>
      <c r="AO116" s="547">
        <v>0</v>
      </c>
      <c r="AP116" s="547">
        <v>0</v>
      </c>
      <c r="AQ116" s="547">
        <v>0</v>
      </c>
      <c r="AR116" s="547">
        <v>0</v>
      </c>
      <c r="AS116" s="547">
        <v>0</v>
      </c>
      <c r="AT116" s="547">
        <v>0</v>
      </c>
      <c r="AU116" s="547">
        <v>0</v>
      </c>
      <c r="AV116" s="547">
        <v>0</v>
      </c>
      <c r="AW116" s="547">
        <v>0</v>
      </c>
      <c r="AX116" s="547">
        <v>0</v>
      </c>
      <c r="AY116" s="547">
        <v>0</v>
      </c>
      <c r="AZ116" s="548">
        <v>0</v>
      </c>
    </row>
    <row r="117" spans="1:52" s="470" customFormat="1">
      <c r="A117" s="493">
        <f>'[4]Allocation Methodology'!A31</f>
        <v>27</v>
      </c>
      <c r="B117" s="494" t="str">
        <f>'[4]Allocation Methodology'!B31</f>
        <v>High Performance New Construction</v>
      </c>
      <c r="C117" s="494" t="str">
        <f>'[4]Allocation Methodology'!C31</f>
        <v>Business</v>
      </c>
      <c r="D117" s="494" t="s">
        <v>480</v>
      </c>
      <c r="E117" s="494">
        <f>'[4]Allocation Methodology'!D31</f>
        <v>2008</v>
      </c>
      <c r="F117" s="495" t="str">
        <f>'[4]Allocation Methodology'!E31</f>
        <v>Final</v>
      </c>
      <c r="G117" s="472" t="b">
        <v>0</v>
      </c>
      <c r="H117" s="549">
        <v>0</v>
      </c>
      <c r="I117" s="550">
        <v>0</v>
      </c>
      <c r="J117" s="550">
        <v>1.898213735600969</v>
      </c>
      <c r="K117" s="550">
        <v>1.898213735600969</v>
      </c>
      <c r="L117" s="550">
        <v>1.898213735600969</v>
      </c>
      <c r="M117" s="550">
        <v>1.898213735600969</v>
      </c>
      <c r="N117" s="550">
        <v>1.898213735600969</v>
      </c>
      <c r="O117" s="550">
        <v>1.898213735600969</v>
      </c>
      <c r="P117" s="550">
        <v>1.898213735600969</v>
      </c>
      <c r="Q117" s="550">
        <v>1.898213735600969</v>
      </c>
      <c r="R117" s="550">
        <v>1.898213735600969</v>
      </c>
      <c r="S117" s="550">
        <v>1.898213735600969</v>
      </c>
      <c r="T117" s="550">
        <v>1.898213735600969</v>
      </c>
      <c r="U117" s="550">
        <v>1.898213735600969</v>
      </c>
      <c r="V117" s="550">
        <v>1.898213735600969</v>
      </c>
      <c r="W117" s="550">
        <v>1.898213735600969</v>
      </c>
      <c r="X117" s="550">
        <v>0</v>
      </c>
      <c r="Y117" s="550">
        <v>0</v>
      </c>
      <c r="Z117" s="550">
        <v>0</v>
      </c>
      <c r="AA117" s="550">
        <v>0</v>
      </c>
      <c r="AB117" s="550">
        <v>0</v>
      </c>
      <c r="AC117" s="550">
        <v>0</v>
      </c>
      <c r="AD117" s="550">
        <v>0</v>
      </c>
      <c r="AE117" s="550">
        <v>0</v>
      </c>
      <c r="AF117" s="550">
        <v>0</v>
      </c>
      <c r="AG117" s="550">
        <v>0</v>
      </c>
      <c r="AH117" s="550">
        <v>0</v>
      </c>
      <c r="AI117" s="550">
        <v>0</v>
      </c>
      <c r="AJ117" s="550">
        <v>0</v>
      </c>
      <c r="AK117" s="550">
        <v>0</v>
      </c>
      <c r="AL117" s="550">
        <v>0</v>
      </c>
      <c r="AM117" s="550">
        <v>0</v>
      </c>
      <c r="AN117" s="550">
        <v>0</v>
      </c>
      <c r="AO117" s="550">
        <v>0</v>
      </c>
      <c r="AP117" s="550">
        <v>0</v>
      </c>
      <c r="AQ117" s="550">
        <v>0</v>
      </c>
      <c r="AR117" s="550">
        <v>0</v>
      </c>
      <c r="AS117" s="550">
        <v>0</v>
      </c>
      <c r="AT117" s="550">
        <v>0</v>
      </c>
      <c r="AU117" s="550">
        <v>0</v>
      </c>
      <c r="AV117" s="550">
        <v>0</v>
      </c>
      <c r="AW117" s="550">
        <v>0</v>
      </c>
      <c r="AX117" s="550">
        <v>0</v>
      </c>
      <c r="AY117" s="550">
        <v>0</v>
      </c>
      <c r="AZ117" s="551">
        <v>0</v>
      </c>
    </row>
    <row r="118" spans="1:52" s="470" customFormat="1">
      <c r="A118" s="486">
        <f>'[4]Allocation Methodology'!A32</f>
        <v>28</v>
      </c>
      <c r="B118" s="487" t="str">
        <f>'[4]Allocation Methodology'!B32</f>
        <v>Power Savings Blitz</v>
      </c>
      <c r="C118" s="487" t="str">
        <f>'[4]Allocation Methodology'!C32</f>
        <v>Business</v>
      </c>
      <c r="D118" s="487" t="s">
        <v>486</v>
      </c>
      <c r="E118" s="487">
        <f>'[4]Allocation Methodology'!D32</f>
        <v>2008</v>
      </c>
      <c r="F118" s="488" t="str">
        <f>'[4]Allocation Methodology'!E32</f>
        <v>Final</v>
      </c>
      <c r="G118" s="472" t="b">
        <v>0</v>
      </c>
      <c r="H118" s="546">
        <v>0</v>
      </c>
      <c r="I118" s="547">
        <v>0</v>
      </c>
      <c r="J118" s="547">
        <v>0</v>
      </c>
      <c r="K118" s="547">
        <v>0</v>
      </c>
      <c r="L118" s="547">
        <v>0</v>
      </c>
      <c r="M118" s="547">
        <v>0</v>
      </c>
      <c r="N118" s="547">
        <v>0</v>
      </c>
      <c r="O118" s="547">
        <v>0</v>
      </c>
      <c r="P118" s="547">
        <v>0</v>
      </c>
      <c r="Q118" s="547">
        <v>0</v>
      </c>
      <c r="R118" s="547">
        <v>0</v>
      </c>
      <c r="S118" s="547">
        <v>0</v>
      </c>
      <c r="T118" s="547">
        <v>0</v>
      </c>
      <c r="U118" s="547">
        <v>0</v>
      </c>
      <c r="V118" s="547">
        <v>0</v>
      </c>
      <c r="W118" s="547">
        <v>0</v>
      </c>
      <c r="X118" s="547">
        <v>0</v>
      </c>
      <c r="Y118" s="547">
        <v>0</v>
      </c>
      <c r="Z118" s="547">
        <v>0</v>
      </c>
      <c r="AA118" s="547">
        <v>0</v>
      </c>
      <c r="AB118" s="547">
        <v>0</v>
      </c>
      <c r="AC118" s="547">
        <v>0</v>
      </c>
      <c r="AD118" s="547">
        <v>0</v>
      </c>
      <c r="AE118" s="547">
        <v>0</v>
      </c>
      <c r="AF118" s="547">
        <v>0</v>
      </c>
      <c r="AG118" s="547">
        <v>0</v>
      </c>
      <c r="AH118" s="547">
        <v>0</v>
      </c>
      <c r="AI118" s="547">
        <v>0</v>
      </c>
      <c r="AJ118" s="547">
        <v>0</v>
      </c>
      <c r="AK118" s="547">
        <v>0</v>
      </c>
      <c r="AL118" s="547">
        <v>0</v>
      </c>
      <c r="AM118" s="547">
        <v>0</v>
      </c>
      <c r="AN118" s="547">
        <v>0</v>
      </c>
      <c r="AO118" s="547">
        <v>0</v>
      </c>
      <c r="AP118" s="547">
        <v>0</v>
      </c>
      <c r="AQ118" s="547">
        <v>0</v>
      </c>
      <c r="AR118" s="547">
        <v>0</v>
      </c>
      <c r="AS118" s="547">
        <v>0</v>
      </c>
      <c r="AT118" s="547">
        <v>0</v>
      </c>
      <c r="AU118" s="547">
        <v>0</v>
      </c>
      <c r="AV118" s="547">
        <v>0</v>
      </c>
      <c r="AW118" s="547">
        <v>0</v>
      </c>
      <c r="AX118" s="547">
        <v>0</v>
      </c>
      <c r="AY118" s="547">
        <v>0</v>
      </c>
      <c r="AZ118" s="548">
        <v>0</v>
      </c>
    </row>
    <row r="119" spans="1:52" s="470" customFormat="1">
      <c r="A119" s="493">
        <f>'[4]Allocation Methodology'!A33</f>
        <v>29</v>
      </c>
      <c r="B119" s="494" t="str">
        <f>'[4]Allocation Methodology'!B33</f>
        <v>Demand Response 1</v>
      </c>
      <c r="C119" s="494" t="str">
        <f>'[4]Allocation Methodology'!C33</f>
        <v>Business, Industrial</v>
      </c>
      <c r="D119" s="494" t="s">
        <v>480</v>
      </c>
      <c r="E119" s="494">
        <f>'[4]Allocation Methodology'!D33</f>
        <v>2008</v>
      </c>
      <c r="F119" s="495" t="str">
        <f>'[4]Allocation Methodology'!E33</f>
        <v>Final</v>
      </c>
      <c r="G119" s="472" t="b">
        <v>0</v>
      </c>
      <c r="H119" s="549">
        <v>0</v>
      </c>
      <c r="I119" s="550">
        <v>0</v>
      </c>
      <c r="J119" s="550">
        <v>0</v>
      </c>
      <c r="K119" s="550">
        <v>0</v>
      </c>
      <c r="L119" s="550">
        <v>0</v>
      </c>
      <c r="M119" s="550">
        <v>0</v>
      </c>
      <c r="N119" s="550">
        <v>0</v>
      </c>
      <c r="O119" s="550">
        <v>0</v>
      </c>
      <c r="P119" s="550">
        <v>0</v>
      </c>
      <c r="Q119" s="550">
        <v>0</v>
      </c>
      <c r="R119" s="550">
        <v>0</v>
      </c>
      <c r="S119" s="550">
        <v>0</v>
      </c>
      <c r="T119" s="550">
        <v>0</v>
      </c>
      <c r="U119" s="550">
        <v>0</v>
      </c>
      <c r="V119" s="550">
        <v>0</v>
      </c>
      <c r="W119" s="550">
        <v>0</v>
      </c>
      <c r="X119" s="550">
        <v>0</v>
      </c>
      <c r="Y119" s="550">
        <v>0</v>
      </c>
      <c r="Z119" s="550">
        <v>0</v>
      </c>
      <c r="AA119" s="550">
        <v>0</v>
      </c>
      <c r="AB119" s="550">
        <v>0</v>
      </c>
      <c r="AC119" s="550">
        <v>0</v>
      </c>
      <c r="AD119" s="550">
        <v>0</v>
      </c>
      <c r="AE119" s="550">
        <v>0</v>
      </c>
      <c r="AF119" s="550">
        <v>0</v>
      </c>
      <c r="AG119" s="550">
        <v>0</v>
      </c>
      <c r="AH119" s="550">
        <v>0</v>
      </c>
      <c r="AI119" s="550">
        <v>0</v>
      </c>
      <c r="AJ119" s="550">
        <v>0</v>
      </c>
      <c r="AK119" s="550">
        <v>0</v>
      </c>
      <c r="AL119" s="550">
        <v>0</v>
      </c>
      <c r="AM119" s="550">
        <v>0</v>
      </c>
      <c r="AN119" s="550">
        <v>0</v>
      </c>
      <c r="AO119" s="550">
        <v>0</v>
      </c>
      <c r="AP119" s="550">
        <v>0</v>
      </c>
      <c r="AQ119" s="550">
        <v>0</v>
      </c>
      <c r="AR119" s="550">
        <v>0</v>
      </c>
      <c r="AS119" s="550">
        <v>0</v>
      </c>
      <c r="AT119" s="550">
        <v>0</v>
      </c>
      <c r="AU119" s="550">
        <v>0</v>
      </c>
      <c r="AV119" s="550">
        <v>0</v>
      </c>
      <c r="AW119" s="550">
        <v>0</v>
      </c>
      <c r="AX119" s="550">
        <v>0</v>
      </c>
      <c r="AY119" s="550">
        <v>0</v>
      </c>
      <c r="AZ119" s="551">
        <v>0</v>
      </c>
    </row>
    <row r="120" spans="1:52" s="470" customFormat="1">
      <c r="A120" s="486">
        <f>'[4]Allocation Methodology'!A34</f>
        <v>30</v>
      </c>
      <c r="B120" s="487" t="str">
        <f>'[4]Allocation Methodology'!B34</f>
        <v>Demand Response 3</v>
      </c>
      <c r="C120" s="487" t="str">
        <f>'[4]Allocation Methodology'!C34</f>
        <v>Business, Industrial</v>
      </c>
      <c r="D120" s="487" t="s">
        <v>480</v>
      </c>
      <c r="E120" s="487">
        <f>'[4]Allocation Methodology'!D34</f>
        <v>2008</v>
      </c>
      <c r="F120" s="488" t="str">
        <f>'[4]Allocation Methodology'!E34</f>
        <v>Final</v>
      </c>
      <c r="G120" s="472" t="b">
        <v>0</v>
      </c>
      <c r="H120" s="546">
        <v>0</v>
      </c>
      <c r="I120" s="547">
        <v>0</v>
      </c>
      <c r="J120" s="547">
        <v>0</v>
      </c>
      <c r="K120" s="547">
        <v>0</v>
      </c>
      <c r="L120" s="547">
        <v>0</v>
      </c>
      <c r="M120" s="547">
        <v>0</v>
      </c>
      <c r="N120" s="547">
        <v>0</v>
      </c>
      <c r="O120" s="547">
        <v>0</v>
      </c>
      <c r="P120" s="547">
        <v>0</v>
      </c>
      <c r="Q120" s="547">
        <v>0</v>
      </c>
      <c r="R120" s="547">
        <v>0</v>
      </c>
      <c r="S120" s="547">
        <v>0</v>
      </c>
      <c r="T120" s="547">
        <v>0</v>
      </c>
      <c r="U120" s="547">
        <v>0</v>
      </c>
      <c r="V120" s="547">
        <v>0</v>
      </c>
      <c r="W120" s="547">
        <v>0</v>
      </c>
      <c r="X120" s="547">
        <v>0</v>
      </c>
      <c r="Y120" s="547">
        <v>0</v>
      </c>
      <c r="Z120" s="547">
        <v>0</v>
      </c>
      <c r="AA120" s="547">
        <v>0</v>
      </c>
      <c r="AB120" s="547">
        <v>0</v>
      </c>
      <c r="AC120" s="547">
        <v>0</v>
      </c>
      <c r="AD120" s="547">
        <v>0</v>
      </c>
      <c r="AE120" s="547">
        <v>0</v>
      </c>
      <c r="AF120" s="547">
        <v>0</v>
      </c>
      <c r="AG120" s="547">
        <v>0</v>
      </c>
      <c r="AH120" s="547">
        <v>0</v>
      </c>
      <c r="AI120" s="547">
        <v>0</v>
      </c>
      <c r="AJ120" s="547">
        <v>0</v>
      </c>
      <c r="AK120" s="547">
        <v>0</v>
      </c>
      <c r="AL120" s="547">
        <v>0</v>
      </c>
      <c r="AM120" s="547">
        <v>0</v>
      </c>
      <c r="AN120" s="547">
        <v>0</v>
      </c>
      <c r="AO120" s="547">
        <v>0</v>
      </c>
      <c r="AP120" s="547">
        <v>0</v>
      </c>
      <c r="AQ120" s="547">
        <v>0</v>
      </c>
      <c r="AR120" s="547">
        <v>0</v>
      </c>
      <c r="AS120" s="547">
        <v>0</v>
      </c>
      <c r="AT120" s="547">
        <v>0</v>
      </c>
      <c r="AU120" s="547">
        <v>0</v>
      </c>
      <c r="AV120" s="547">
        <v>0</v>
      </c>
      <c r="AW120" s="547">
        <v>0</v>
      </c>
      <c r="AX120" s="547">
        <v>0</v>
      </c>
      <c r="AY120" s="547">
        <v>0</v>
      </c>
      <c r="AZ120" s="548">
        <v>0</v>
      </c>
    </row>
    <row r="121" spans="1:52" s="470" customFormat="1">
      <c r="A121" s="493">
        <f>'[4]Allocation Methodology'!A35</f>
        <v>31</v>
      </c>
      <c r="B121" s="494" t="str">
        <f>'[4]Allocation Methodology'!B35</f>
        <v>Loblaw &amp; York Region Demand Response</v>
      </c>
      <c r="C121" s="494" t="str">
        <f>'[4]Allocation Methodology'!C35</f>
        <v>Business, Industrial</v>
      </c>
      <c r="D121" s="494" t="s">
        <v>480</v>
      </c>
      <c r="E121" s="494">
        <f>'[4]Allocation Methodology'!D35</f>
        <v>2008</v>
      </c>
      <c r="F121" s="495" t="str">
        <f>'[4]Allocation Methodology'!E35</f>
        <v>Final</v>
      </c>
      <c r="G121" s="472" t="b">
        <v>0</v>
      </c>
      <c r="H121" s="549">
        <v>0</v>
      </c>
      <c r="I121" s="550">
        <v>0</v>
      </c>
      <c r="J121" s="550">
        <v>0</v>
      </c>
      <c r="K121" s="550">
        <v>0</v>
      </c>
      <c r="L121" s="550">
        <v>0</v>
      </c>
      <c r="M121" s="550">
        <v>0</v>
      </c>
      <c r="N121" s="550">
        <v>0</v>
      </c>
      <c r="O121" s="550">
        <v>0</v>
      </c>
      <c r="P121" s="550">
        <v>0</v>
      </c>
      <c r="Q121" s="550">
        <v>0</v>
      </c>
      <c r="R121" s="550">
        <v>0</v>
      </c>
      <c r="S121" s="550">
        <v>0</v>
      </c>
      <c r="T121" s="550">
        <v>0</v>
      </c>
      <c r="U121" s="550">
        <v>0</v>
      </c>
      <c r="V121" s="550">
        <v>0</v>
      </c>
      <c r="W121" s="550">
        <v>0</v>
      </c>
      <c r="X121" s="550">
        <v>0</v>
      </c>
      <c r="Y121" s="550">
        <v>0</v>
      </c>
      <c r="Z121" s="550">
        <v>0</v>
      </c>
      <c r="AA121" s="550">
        <v>0</v>
      </c>
      <c r="AB121" s="550">
        <v>0</v>
      </c>
      <c r="AC121" s="550">
        <v>0</v>
      </c>
      <c r="AD121" s="550">
        <v>0</v>
      </c>
      <c r="AE121" s="550">
        <v>0</v>
      </c>
      <c r="AF121" s="550">
        <v>0</v>
      </c>
      <c r="AG121" s="550">
        <v>0</v>
      </c>
      <c r="AH121" s="550">
        <v>0</v>
      </c>
      <c r="AI121" s="550">
        <v>0</v>
      </c>
      <c r="AJ121" s="550">
        <v>0</v>
      </c>
      <c r="AK121" s="550">
        <v>0</v>
      </c>
      <c r="AL121" s="550">
        <v>0</v>
      </c>
      <c r="AM121" s="550">
        <v>0</v>
      </c>
      <c r="AN121" s="550">
        <v>0</v>
      </c>
      <c r="AO121" s="550">
        <v>0</v>
      </c>
      <c r="AP121" s="550">
        <v>0</v>
      </c>
      <c r="AQ121" s="550">
        <v>0</v>
      </c>
      <c r="AR121" s="550">
        <v>0</v>
      </c>
      <c r="AS121" s="550">
        <v>0</v>
      </c>
      <c r="AT121" s="550">
        <v>0</v>
      </c>
      <c r="AU121" s="550">
        <v>0</v>
      </c>
      <c r="AV121" s="550">
        <v>0</v>
      </c>
      <c r="AW121" s="550">
        <v>0</v>
      </c>
      <c r="AX121" s="550">
        <v>0</v>
      </c>
      <c r="AY121" s="550">
        <v>0</v>
      </c>
      <c r="AZ121" s="551">
        <v>0</v>
      </c>
    </row>
    <row r="122" spans="1:52" s="470" customFormat="1">
      <c r="A122" s="486">
        <f>'[4]Allocation Methodology'!A36</f>
        <v>32</v>
      </c>
      <c r="B122" s="487" t="str">
        <f>'[4]Allocation Methodology'!B36</f>
        <v>Renewable Energy Standard Offer</v>
      </c>
      <c r="C122" s="487" t="str">
        <f>'[4]Allocation Methodology'!C36</f>
        <v>Consumer, Business</v>
      </c>
      <c r="D122" s="487" t="s">
        <v>17</v>
      </c>
      <c r="E122" s="487">
        <f>'[4]Allocation Methodology'!D36</f>
        <v>2008</v>
      </c>
      <c r="F122" s="488" t="str">
        <f>'[4]Allocation Methodology'!E36</f>
        <v>Final</v>
      </c>
      <c r="G122" s="472" t="b">
        <v>0</v>
      </c>
      <c r="H122" s="546">
        <v>0</v>
      </c>
      <c r="I122" s="547">
        <v>0</v>
      </c>
      <c r="J122" s="547">
        <v>13.927524000000002</v>
      </c>
      <c r="K122" s="547">
        <v>13.927524000000002</v>
      </c>
      <c r="L122" s="547">
        <v>13.927524000000002</v>
      </c>
      <c r="M122" s="547">
        <v>13.927524000000002</v>
      </c>
      <c r="N122" s="547">
        <v>13.927524000000002</v>
      </c>
      <c r="O122" s="547">
        <v>13.927524000000002</v>
      </c>
      <c r="P122" s="547">
        <v>13.927524000000002</v>
      </c>
      <c r="Q122" s="547">
        <v>13.927524000000002</v>
      </c>
      <c r="R122" s="547">
        <v>13.927524000000002</v>
      </c>
      <c r="S122" s="547">
        <v>13.927524000000002</v>
      </c>
      <c r="T122" s="547">
        <v>13.927524000000002</v>
      </c>
      <c r="U122" s="547">
        <v>13.927524000000002</v>
      </c>
      <c r="V122" s="547">
        <v>13.927524000000002</v>
      </c>
      <c r="W122" s="547">
        <v>13.927524000000002</v>
      </c>
      <c r="X122" s="547">
        <v>13.927524000000002</v>
      </c>
      <c r="Y122" s="547">
        <v>13.927524000000002</v>
      </c>
      <c r="Z122" s="547">
        <v>13.927524000000002</v>
      </c>
      <c r="AA122" s="547">
        <v>13.927524000000002</v>
      </c>
      <c r="AB122" s="547">
        <v>13.927524000000002</v>
      </c>
      <c r="AC122" s="547">
        <v>13.927524000000002</v>
      </c>
      <c r="AD122" s="547">
        <v>0</v>
      </c>
      <c r="AE122" s="547">
        <v>0</v>
      </c>
      <c r="AF122" s="547">
        <v>0</v>
      </c>
      <c r="AG122" s="547">
        <v>0</v>
      </c>
      <c r="AH122" s="547">
        <v>0</v>
      </c>
      <c r="AI122" s="547">
        <v>0</v>
      </c>
      <c r="AJ122" s="547">
        <v>0</v>
      </c>
      <c r="AK122" s="547">
        <v>0</v>
      </c>
      <c r="AL122" s="547">
        <v>0</v>
      </c>
      <c r="AM122" s="547">
        <v>0</v>
      </c>
      <c r="AN122" s="547">
        <v>0</v>
      </c>
      <c r="AO122" s="547">
        <v>0</v>
      </c>
      <c r="AP122" s="547">
        <v>0</v>
      </c>
      <c r="AQ122" s="547">
        <v>0</v>
      </c>
      <c r="AR122" s="547">
        <v>0</v>
      </c>
      <c r="AS122" s="547">
        <v>0</v>
      </c>
      <c r="AT122" s="547">
        <v>0</v>
      </c>
      <c r="AU122" s="547">
        <v>0</v>
      </c>
      <c r="AV122" s="547">
        <v>0</v>
      </c>
      <c r="AW122" s="547">
        <v>0</v>
      </c>
      <c r="AX122" s="547">
        <v>0</v>
      </c>
      <c r="AY122" s="547">
        <v>0</v>
      </c>
      <c r="AZ122" s="548">
        <v>0</v>
      </c>
    </row>
    <row r="123" spans="1:52" s="470" customFormat="1">
      <c r="A123" s="493">
        <f>'[4]Allocation Methodology'!A37</f>
        <v>33</v>
      </c>
      <c r="B123" s="494" t="str">
        <f>'[4]Allocation Methodology'!B37</f>
        <v>Other Customer Based Generation</v>
      </c>
      <c r="C123" s="494" t="str">
        <f>'[4]Allocation Methodology'!C37</f>
        <v>Business</v>
      </c>
      <c r="D123" s="494" t="s">
        <v>17</v>
      </c>
      <c r="E123" s="494">
        <f>'[4]Allocation Methodology'!D37</f>
        <v>2008</v>
      </c>
      <c r="F123" s="495" t="str">
        <f>'[4]Allocation Methodology'!E37</f>
        <v>Final</v>
      </c>
      <c r="G123" s="472" t="b">
        <v>0</v>
      </c>
      <c r="H123" s="549">
        <v>0</v>
      </c>
      <c r="I123" s="550">
        <v>0</v>
      </c>
      <c r="J123" s="550">
        <v>0</v>
      </c>
      <c r="K123" s="550">
        <v>0</v>
      </c>
      <c r="L123" s="550">
        <v>0</v>
      </c>
      <c r="M123" s="550">
        <v>0</v>
      </c>
      <c r="N123" s="550">
        <v>0</v>
      </c>
      <c r="O123" s="550">
        <v>0</v>
      </c>
      <c r="P123" s="550">
        <v>0</v>
      </c>
      <c r="Q123" s="550">
        <v>0</v>
      </c>
      <c r="R123" s="550">
        <v>0</v>
      </c>
      <c r="S123" s="550">
        <v>0</v>
      </c>
      <c r="T123" s="550">
        <v>0</v>
      </c>
      <c r="U123" s="550">
        <v>0</v>
      </c>
      <c r="V123" s="550">
        <v>0</v>
      </c>
      <c r="W123" s="550">
        <v>0</v>
      </c>
      <c r="X123" s="550">
        <v>0</v>
      </c>
      <c r="Y123" s="550">
        <v>0</v>
      </c>
      <c r="Z123" s="550">
        <v>0</v>
      </c>
      <c r="AA123" s="550">
        <v>0</v>
      </c>
      <c r="AB123" s="550">
        <v>0</v>
      </c>
      <c r="AC123" s="550">
        <v>0</v>
      </c>
      <c r="AD123" s="550">
        <v>0</v>
      </c>
      <c r="AE123" s="550">
        <v>0</v>
      </c>
      <c r="AF123" s="550">
        <v>0</v>
      </c>
      <c r="AG123" s="550">
        <v>0</v>
      </c>
      <c r="AH123" s="550">
        <v>0</v>
      </c>
      <c r="AI123" s="550">
        <v>0</v>
      </c>
      <c r="AJ123" s="550">
        <v>0</v>
      </c>
      <c r="AK123" s="550">
        <v>0</v>
      </c>
      <c r="AL123" s="550">
        <v>0</v>
      </c>
      <c r="AM123" s="550">
        <v>0</v>
      </c>
      <c r="AN123" s="550">
        <v>0</v>
      </c>
      <c r="AO123" s="550">
        <v>0</v>
      </c>
      <c r="AP123" s="550">
        <v>0</v>
      </c>
      <c r="AQ123" s="550">
        <v>0</v>
      </c>
      <c r="AR123" s="550">
        <v>0</v>
      </c>
      <c r="AS123" s="550">
        <v>0</v>
      </c>
      <c r="AT123" s="550">
        <v>0</v>
      </c>
      <c r="AU123" s="550">
        <v>0</v>
      </c>
      <c r="AV123" s="550">
        <v>0</v>
      </c>
      <c r="AW123" s="550">
        <v>0</v>
      </c>
      <c r="AX123" s="550">
        <v>0</v>
      </c>
      <c r="AY123" s="550">
        <v>0</v>
      </c>
      <c r="AZ123" s="551">
        <v>0</v>
      </c>
    </row>
    <row r="124" spans="1:52" s="470" customFormat="1">
      <c r="A124" s="515">
        <f>'[4]Allocation Methodology'!A38</f>
        <v>34</v>
      </c>
      <c r="B124" s="516" t="str">
        <f>'[4]Allocation Methodology'!B38</f>
        <v>LDC Custom - Hydro One Networks Inc. - Double Return</v>
      </c>
      <c r="C124" s="516" t="str">
        <f>'[4]Allocation Methodology'!C38</f>
        <v>Business, Industrial</v>
      </c>
      <c r="D124" s="516" t="s">
        <v>58</v>
      </c>
      <c r="E124" s="516">
        <f>'[4]Allocation Methodology'!D38</f>
        <v>2008</v>
      </c>
      <c r="F124" s="517" t="str">
        <f>'[4]Allocation Methodology'!E38</f>
        <v>Final</v>
      </c>
      <c r="G124" s="472" t="b">
        <v>0</v>
      </c>
      <c r="H124" s="558">
        <v>0</v>
      </c>
      <c r="I124" s="559">
        <v>0</v>
      </c>
      <c r="J124" s="559">
        <v>0</v>
      </c>
      <c r="K124" s="559">
        <v>0</v>
      </c>
      <c r="L124" s="559">
        <v>0</v>
      </c>
      <c r="M124" s="559">
        <v>0</v>
      </c>
      <c r="N124" s="559">
        <v>0</v>
      </c>
      <c r="O124" s="559">
        <v>0</v>
      </c>
      <c r="P124" s="559">
        <v>0</v>
      </c>
      <c r="Q124" s="559">
        <v>0</v>
      </c>
      <c r="R124" s="559">
        <v>0</v>
      </c>
      <c r="S124" s="559">
        <v>0</v>
      </c>
      <c r="T124" s="559">
        <v>0</v>
      </c>
      <c r="U124" s="559">
        <v>0</v>
      </c>
      <c r="V124" s="559">
        <v>0</v>
      </c>
      <c r="W124" s="559">
        <v>0</v>
      </c>
      <c r="X124" s="559">
        <v>0</v>
      </c>
      <c r="Y124" s="559">
        <v>0</v>
      </c>
      <c r="Z124" s="559">
        <v>0</v>
      </c>
      <c r="AA124" s="559">
        <v>0</v>
      </c>
      <c r="AB124" s="559">
        <v>0</v>
      </c>
      <c r="AC124" s="559">
        <v>0</v>
      </c>
      <c r="AD124" s="559">
        <v>0</v>
      </c>
      <c r="AE124" s="559">
        <v>0</v>
      </c>
      <c r="AF124" s="559">
        <v>0</v>
      </c>
      <c r="AG124" s="559">
        <v>0</v>
      </c>
      <c r="AH124" s="559">
        <v>0</v>
      </c>
      <c r="AI124" s="559">
        <v>0</v>
      </c>
      <c r="AJ124" s="559">
        <v>0</v>
      </c>
      <c r="AK124" s="559">
        <v>0</v>
      </c>
      <c r="AL124" s="559">
        <v>0</v>
      </c>
      <c r="AM124" s="559">
        <v>0</v>
      </c>
      <c r="AN124" s="559">
        <v>0</v>
      </c>
      <c r="AO124" s="559">
        <v>0</v>
      </c>
      <c r="AP124" s="559">
        <v>0</v>
      </c>
      <c r="AQ124" s="559">
        <v>0</v>
      </c>
      <c r="AR124" s="559">
        <v>0</v>
      </c>
      <c r="AS124" s="559">
        <v>0</v>
      </c>
      <c r="AT124" s="559">
        <v>0</v>
      </c>
      <c r="AU124" s="559">
        <v>0</v>
      </c>
      <c r="AV124" s="559">
        <v>0</v>
      </c>
      <c r="AW124" s="559">
        <v>0</v>
      </c>
      <c r="AX124" s="559">
        <v>0</v>
      </c>
      <c r="AY124" s="559">
        <v>0</v>
      </c>
      <c r="AZ124" s="560">
        <v>0</v>
      </c>
    </row>
    <row r="125" spans="1:52" s="470" customFormat="1">
      <c r="A125" s="479">
        <f>'[4]Allocation Methodology'!A39</f>
        <v>35</v>
      </c>
      <c r="B125" s="480" t="str">
        <f>'[4]Allocation Methodology'!B39</f>
        <v>Great Refrigerator Roundup</v>
      </c>
      <c r="C125" s="480" t="str">
        <f>'[4]Allocation Methodology'!C39</f>
        <v>Consumer</v>
      </c>
      <c r="D125" s="480" t="s">
        <v>17</v>
      </c>
      <c r="E125" s="480">
        <f>'[4]Allocation Methodology'!D39</f>
        <v>2009</v>
      </c>
      <c r="F125" s="481" t="str">
        <f>'[4]Allocation Methodology'!E39</f>
        <v>Final</v>
      </c>
      <c r="G125" s="472" t="b">
        <v>0</v>
      </c>
      <c r="H125" s="542">
        <v>0</v>
      </c>
      <c r="I125" s="544">
        <v>0</v>
      </c>
      <c r="J125" s="544">
        <v>0</v>
      </c>
      <c r="K125" s="544">
        <v>115.53187274032652</v>
      </c>
      <c r="L125" s="544">
        <v>115.53187274032652</v>
      </c>
      <c r="M125" s="544">
        <v>115.53187274032652</v>
      </c>
      <c r="N125" s="544">
        <v>114.92346649327011</v>
      </c>
      <c r="O125" s="544">
        <v>86.561788416999903</v>
      </c>
      <c r="P125" s="544">
        <v>0</v>
      </c>
      <c r="Q125" s="544">
        <v>0</v>
      </c>
      <c r="R125" s="544">
        <v>0</v>
      </c>
      <c r="S125" s="544">
        <v>0</v>
      </c>
      <c r="T125" s="544">
        <v>0</v>
      </c>
      <c r="U125" s="544">
        <v>0</v>
      </c>
      <c r="V125" s="544">
        <v>0</v>
      </c>
      <c r="W125" s="544">
        <v>0</v>
      </c>
      <c r="X125" s="544">
        <v>0</v>
      </c>
      <c r="Y125" s="544">
        <v>0</v>
      </c>
      <c r="Z125" s="544">
        <v>0</v>
      </c>
      <c r="AA125" s="544">
        <v>0</v>
      </c>
      <c r="AB125" s="544">
        <v>0</v>
      </c>
      <c r="AC125" s="544">
        <v>0</v>
      </c>
      <c r="AD125" s="544">
        <v>0</v>
      </c>
      <c r="AE125" s="544">
        <v>0</v>
      </c>
      <c r="AF125" s="544">
        <v>0</v>
      </c>
      <c r="AG125" s="544">
        <v>0</v>
      </c>
      <c r="AH125" s="544">
        <v>0</v>
      </c>
      <c r="AI125" s="544">
        <v>0</v>
      </c>
      <c r="AJ125" s="544">
        <v>0</v>
      </c>
      <c r="AK125" s="544">
        <v>0</v>
      </c>
      <c r="AL125" s="544">
        <v>0</v>
      </c>
      <c r="AM125" s="544">
        <v>0</v>
      </c>
      <c r="AN125" s="544">
        <v>0</v>
      </c>
      <c r="AO125" s="544">
        <v>0</v>
      </c>
      <c r="AP125" s="544">
        <v>0</v>
      </c>
      <c r="AQ125" s="544">
        <v>0</v>
      </c>
      <c r="AR125" s="544">
        <v>0</v>
      </c>
      <c r="AS125" s="544">
        <v>0</v>
      </c>
      <c r="AT125" s="544">
        <v>0</v>
      </c>
      <c r="AU125" s="544">
        <v>0</v>
      </c>
      <c r="AV125" s="544">
        <v>0</v>
      </c>
      <c r="AW125" s="544">
        <v>0</v>
      </c>
      <c r="AX125" s="544">
        <v>0</v>
      </c>
      <c r="AY125" s="544">
        <v>0</v>
      </c>
      <c r="AZ125" s="545">
        <v>0</v>
      </c>
    </row>
    <row r="126" spans="1:52" s="470" customFormat="1">
      <c r="A126" s="486">
        <f>'[4]Allocation Methodology'!A40</f>
        <v>36</v>
      </c>
      <c r="B126" s="487" t="str">
        <f>'[4]Allocation Methodology'!B40</f>
        <v>Cool Savings Rebate</v>
      </c>
      <c r="C126" s="487" t="str">
        <f>'[4]Allocation Methodology'!C40</f>
        <v>Consumer</v>
      </c>
      <c r="D126" s="487" t="s">
        <v>17</v>
      </c>
      <c r="E126" s="487">
        <f>'[4]Allocation Methodology'!D40</f>
        <v>2009</v>
      </c>
      <c r="F126" s="488" t="str">
        <f>'[4]Allocation Methodology'!E40</f>
        <v>Final</v>
      </c>
      <c r="G126" s="472" t="b">
        <v>0</v>
      </c>
      <c r="H126" s="546">
        <v>0</v>
      </c>
      <c r="I126" s="547">
        <v>0</v>
      </c>
      <c r="J126" s="547">
        <v>0</v>
      </c>
      <c r="K126" s="547">
        <v>146.27561780700796</v>
      </c>
      <c r="L126" s="547">
        <v>146.27561780700796</v>
      </c>
      <c r="M126" s="547">
        <v>146.27561780700796</v>
      </c>
      <c r="N126" s="547">
        <v>145.7554166277709</v>
      </c>
      <c r="O126" s="547">
        <v>145.00734750560989</v>
      </c>
      <c r="P126" s="547">
        <v>144.12717321009495</v>
      </c>
      <c r="Q126" s="547">
        <v>144.12717321009495</v>
      </c>
      <c r="R126" s="547">
        <v>144.12717321009495</v>
      </c>
      <c r="S126" s="547">
        <v>144.12717321009495</v>
      </c>
      <c r="T126" s="547">
        <v>144.12717321009495</v>
      </c>
      <c r="U126" s="547">
        <v>140.90734238703621</v>
      </c>
      <c r="V126" s="547">
        <v>140.90734238703621</v>
      </c>
      <c r="W126" s="547">
        <v>140.90734238703621</v>
      </c>
      <c r="X126" s="547">
        <v>140.90734238703621</v>
      </c>
      <c r="Y126" s="547">
        <v>140.90734238703621</v>
      </c>
      <c r="Z126" s="547">
        <v>137.90318261341815</v>
      </c>
      <c r="AA126" s="547">
        <v>137.90318261341815</v>
      </c>
      <c r="AB126" s="547">
        <v>137.90318261341815</v>
      </c>
      <c r="AC126" s="547">
        <v>115.61685465596388</v>
      </c>
      <c r="AD126" s="547">
        <v>0</v>
      </c>
      <c r="AE126" s="547">
        <v>0</v>
      </c>
      <c r="AF126" s="547">
        <v>0</v>
      </c>
      <c r="AG126" s="547">
        <v>0</v>
      </c>
      <c r="AH126" s="547">
        <v>0</v>
      </c>
      <c r="AI126" s="547">
        <v>0</v>
      </c>
      <c r="AJ126" s="547">
        <v>0</v>
      </c>
      <c r="AK126" s="547">
        <v>0</v>
      </c>
      <c r="AL126" s="547">
        <v>0</v>
      </c>
      <c r="AM126" s="547">
        <v>0</v>
      </c>
      <c r="AN126" s="547">
        <v>0</v>
      </c>
      <c r="AO126" s="547">
        <v>0</v>
      </c>
      <c r="AP126" s="547">
        <v>0</v>
      </c>
      <c r="AQ126" s="547">
        <v>0</v>
      </c>
      <c r="AR126" s="547">
        <v>0</v>
      </c>
      <c r="AS126" s="547">
        <v>0</v>
      </c>
      <c r="AT126" s="547">
        <v>0</v>
      </c>
      <c r="AU126" s="547">
        <v>0</v>
      </c>
      <c r="AV126" s="547">
        <v>0</v>
      </c>
      <c r="AW126" s="547">
        <v>0</v>
      </c>
      <c r="AX126" s="547">
        <v>0</v>
      </c>
      <c r="AY126" s="547">
        <v>0</v>
      </c>
      <c r="AZ126" s="548">
        <v>0</v>
      </c>
    </row>
    <row r="127" spans="1:52" s="470" customFormat="1">
      <c r="A127" s="493">
        <f>'[4]Allocation Methodology'!A41</f>
        <v>37</v>
      </c>
      <c r="B127" s="494" t="str">
        <f>'[4]Allocation Methodology'!B41</f>
        <v>Every Kilowatt Counts Power Savings Event</v>
      </c>
      <c r="C127" s="494" t="str">
        <f>'[4]Allocation Methodology'!C41</f>
        <v>Consumer</v>
      </c>
      <c r="D127" s="494" t="s">
        <v>17</v>
      </c>
      <c r="E127" s="494">
        <f>'[4]Allocation Methodology'!D41</f>
        <v>2009</v>
      </c>
      <c r="F127" s="495" t="str">
        <f>'[4]Allocation Methodology'!E41</f>
        <v>Final</v>
      </c>
      <c r="G127" s="472" t="b">
        <v>0</v>
      </c>
      <c r="H127" s="549">
        <v>0</v>
      </c>
      <c r="I127" s="550">
        <v>0</v>
      </c>
      <c r="J127" s="550">
        <v>0</v>
      </c>
      <c r="K127" s="550">
        <v>254.35094570686604</v>
      </c>
      <c r="L127" s="550">
        <v>243.79656096353168</v>
      </c>
      <c r="M127" s="550">
        <v>243.79656096353168</v>
      </c>
      <c r="N127" s="550">
        <v>243.78165986686457</v>
      </c>
      <c r="O127" s="550">
        <v>242.15973280654072</v>
      </c>
      <c r="P127" s="550">
        <v>232.60722200927268</v>
      </c>
      <c r="Q127" s="550">
        <v>185.19224877707308</v>
      </c>
      <c r="R127" s="550">
        <v>184.15768808863157</v>
      </c>
      <c r="S127" s="550">
        <v>117.78468384098097</v>
      </c>
      <c r="T127" s="550">
        <v>117.78468384098097</v>
      </c>
      <c r="U127" s="550">
        <v>85.320398492060008</v>
      </c>
      <c r="V127" s="550">
        <v>85.256618646107654</v>
      </c>
      <c r="W127" s="550">
        <v>59.751179372802049</v>
      </c>
      <c r="X127" s="550">
        <v>59.751179372802049</v>
      </c>
      <c r="Y127" s="550">
        <v>56.116607131619212</v>
      </c>
      <c r="Z127" s="550">
        <v>28.989888578139634</v>
      </c>
      <c r="AA127" s="550">
        <v>10.292550046651648</v>
      </c>
      <c r="AB127" s="550">
        <v>6.5772055770340474</v>
      </c>
      <c r="AC127" s="550">
        <v>6.3874237982064335</v>
      </c>
      <c r="AD127" s="550">
        <v>6.3874237982064335</v>
      </c>
      <c r="AE127" s="550">
        <v>0</v>
      </c>
      <c r="AF127" s="550">
        <v>0</v>
      </c>
      <c r="AG127" s="550">
        <v>0</v>
      </c>
      <c r="AH127" s="550">
        <v>0</v>
      </c>
      <c r="AI127" s="550">
        <v>0</v>
      </c>
      <c r="AJ127" s="550">
        <v>0</v>
      </c>
      <c r="AK127" s="550">
        <v>0</v>
      </c>
      <c r="AL127" s="550">
        <v>0</v>
      </c>
      <c r="AM127" s="550">
        <v>0</v>
      </c>
      <c r="AN127" s="550">
        <v>0</v>
      </c>
      <c r="AO127" s="550">
        <v>0</v>
      </c>
      <c r="AP127" s="550">
        <v>0</v>
      </c>
      <c r="AQ127" s="550">
        <v>0</v>
      </c>
      <c r="AR127" s="550">
        <v>0</v>
      </c>
      <c r="AS127" s="550">
        <v>0</v>
      </c>
      <c r="AT127" s="550">
        <v>0</v>
      </c>
      <c r="AU127" s="550">
        <v>0</v>
      </c>
      <c r="AV127" s="550">
        <v>0</v>
      </c>
      <c r="AW127" s="550">
        <v>0</v>
      </c>
      <c r="AX127" s="550">
        <v>0</v>
      </c>
      <c r="AY127" s="550">
        <v>0</v>
      </c>
      <c r="AZ127" s="551">
        <v>0</v>
      </c>
    </row>
    <row r="128" spans="1:52" s="470" customFormat="1">
      <c r="A128" s="486">
        <f>'[4]Allocation Methodology'!A42</f>
        <v>38</v>
      </c>
      <c r="B128" s="522" t="str">
        <f>'[4]Allocation Methodology'!B42</f>
        <v>peaksaver®</v>
      </c>
      <c r="C128" s="487" t="str">
        <f>'[4]Allocation Methodology'!C42</f>
        <v>Consumer, Business</v>
      </c>
      <c r="D128" s="487" t="s">
        <v>58</v>
      </c>
      <c r="E128" s="487">
        <f>'[4]Allocation Methodology'!D42</f>
        <v>2009</v>
      </c>
      <c r="F128" s="488" t="str">
        <f>'[4]Allocation Methodology'!E42</f>
        <v>Final</v>
      </c>
      <c r="G128" s="472" t="b">
        <v>0</v>
      </c>
      <c r="H128" s="546">
        <v>0</v>
      </c>
      <c r="I128" s="547">
        <v>0</v>
      </c>
      <c r="J128" s="547">
        <v>0</v>
      </c>
      <c r="K128" s="547">
        <v>0</v>
      </c>
      <c r="L128" s="547">
        <v>0</v>
      </c>
      <c r="M128" s="547">
        <v>0</v>
      </c>
      <c r="N128" s="547">
        <v>0</v>
      </c>
      <c r="O128" s="547">
        <v>0</v>
      </c>
      <c r="P128" s="547">
        <v>0</v>
      </c>
      <c r="Q128" s="547">
        <v>0</v>
      </c>
      <c r="R128" s="547">
        <v>0</v>
      </c>
      <c r="S128" s="547">
        <v>0</v>
      </c>
      <c r="T128" s="547">
        <v>0</v>
      </c>
      <c r="U128" s="547">
        <v>0</v>
      </c>
      <c r="V128" s="547">
        <v>0</v>
      </c>
      <c r="W128" s="547">
        <v>0</v>
      </c>
      <c r="X128" s="547">
        <v>0</v>
      </c>
      <c r="Y128" s="547">
        <v>0</v>
      </c>
      <c r="Z128" s="547">
        <v>0</v>
      </c>
      <c r="AA128" s="547">
        <v>0</v>
      </c>
      <c r="AB128" s="547">
        <v>0</v>
      </c>
      <c r="AC128" s="547">
        <v>0</v>
      </c>
      <c r="AD128" s="547">
        <v>0</v>
      </c>
      <c r="AE128" s="547">
        <v>0</v>
      </c>
      <c r="AF128" s="547">
        <v>0</v>
      </c>
      <c r="AG128" s="547">
        <v>0</v>
      </c>
      <c r="AH128" s="547">
        <v>0</v>
      </c>
      <c r="AI128" s="547">
        <v>0</v>
      </c>
      <c r="AJ128" s="547">
        <v>0</v>
      </c>
      <c r="AK128" s="547">
        <v>0</v>
      </c>
      <c r="AL128" s="547">
        <v>0</v>
      </c>
      <c r="AM128" s="547">
        <v>0</v>
      </c>
      <c r="AN128" s="547">
        <v>0</v>
      </c>
      <c r="AO128" s="547">
        <v>0</v>
      </c>
      <c r="AP128" s="547">
        <v>0</v>
      </c>
      <c r="AQ128" s="547">
        <v>0</v>
      </c>
      <c r="AR128" s="547">
        <v>0</v>
      </c>
      <c r="AS128" s="547">
        <v>0</v>
      </c>
      <c r="AT128" s="547">
        <v>0</v>
      </c>
      <c r="AU128" s="547">
        <v>0</v>
      </c>
      <c r="AV128" s="547">
        <v>0</v>
      </c>
      <c r="AW128" s="547">
        <v>0</v>
      </c>
      <c r="AX128" s="547">
        <v>0</v>
      </c>
      <c r="AY128" s="547">
        <v>0</v>
      </c>
      <c r="AZ128" s="548">
        <v>0</v>
      </c>
    </row>
    <row r="129" spans="1:52" s="470" customFormat="1">
      <c r="A129" s="493">
        <f>'[4]Allocation Methodology'!A43</f>
        <v>39</v>
      </c>
      <c r="B129" s="494" t="str">
        <f>'[4]Allocation Methodology'!B43</f>
        <v>Electricity Retrofit Incentive</v>
      </c>
      <c r="C129" s="494" t="str">
        <f>'[4]Allocation Methodology'!C43</f>
        <v>Consumer, Business</v>
      </c>
      <c r="D129" s="494" t="s">
        <v>480</v>
      </c>
      <c r="E129" s="494">
        <f>'[4]Allocation Methodology'!D43</f>
        <v>2009</v>
      </c>
      <c r="F129" s="495" t="str">
        <f>'[4]Allocation Methodology'!E43</f>
        <v>Final</v>
      </c>
      <c r="G129" s="472" t="b">
        <v>0</v>
      </c>
      <c r="H129" s="549">
        <v>0</v>
      </c>
      <c r="I129" s="550">
        <v>0</v>
      </c>
      <c r="J129" s="550">
        <v>0</v>
      </c>
      <c r="K129" s="550">
        <v>658.28349282296642</v>
      </c>
      <c r="L129" s="550">
        <v>658.28349282296642</v>
      </c>
      <c r="M129" s="550">
        <v>658.28349282296642</v>
      </c>
      <c r="N129" s="550">
        <v>658.28349282296642</v>
      </c>
      <c r="O129" s="550">
        <v>658.28349282296642</v>
      </c>
      <c r="P129" s="550">
        <v>658.28349282296642</v>
      </c>
      <c r="Q129" s="550">
        <v>509.85191387561861</v>
      </c>
      <c r="R129" s="550">
        <v>406.70454545454544</v>
      </c>
      <c r="S129" s="550">
        <v>406.70454545454544</v>
      </c>
      <c r="T129" s="550">
        <v>406.70454545454544</v>
      </c>
      <c r="U129" s="550">
        <v>329.4306818181596</v>
      </c>
      <c r="V129" s="550">
        <v>0</v>
      </c>
      <c r="W129" s="550">
        <v>0</v>
      </c>
      <c r="X129" s="550">
        <v>0</v>
      </c>
      <c r="Y129" s="550">
        <v>0</v>
      </c>
      <c r="Z129" s="550">
        <v>0</v>
      </c>
      <c r="AA129" s="550">
        <v>0</v>
      </c>
      <c r="AB129" s="550">
        <v>0</v>
      </c>
      <c r="AC129" s="550">
        <v>0</v>
      </c>
      <c r="AD129" s="550">
        <v>0</v>
      </c>
      <c r="AE129" s="550">
        <v>0</v>
      </c>
      <c r="AF129" s="550">
        <v>0</v>
      </c>
      <c r="AG129" s="550">
        <v>0</v>
      </c>
      <c r="AH129" s="550">
        <v>0</v>
      </c>
      <c r="AI129" s="550">
        <v>0</v>
      </c>
      <c r="AJ129" s="550">
        <v>0</v>
      </c>
      <c r="AK129" s="550">
        <v>0</v>
      </c>
      <c r="AL129" s="550">
        <v>0</v>
      </c>
      <c r="AM129" s="550">
        <v>0</v>
      </c>
      <c r="AN129" s="550">
        <v>0</v>
      </c>
      <c r="AO129" s="550">
        <v>0</v>
      </c>
      <c r="AP129" s="550">
        <v>0</v>
      </c>
      <c r="AQ129" s="550">
        <v>0</v>
      </c>
      <c r="AR129" s="550">
        <v>0</v>
      </c>
      <c r="AS129" s="550">
        <v>0</v>
      </c>
      <c r="AT129" s="550">
        <v>0</v>
      </c>
      <c r="AU129" s="550">
        <v>0</v>
      </c>
      <c r="AV129" s="550">
        <v>0</v>
      </c>
      <c r="AW129" s="550">
        <v>0</v>
      </c>
      <c r="AX129" s="550">
        <v>0</v>
      </c>
      <c r="AY129" s="550">
        <v>0</v>
      </c>
      <c r="AZ129" s="551">
        <v>0</v>
      </c>
    </row>
    <row r="130" spans="1:52" s="470" customFormat="1">
      <c r="A130" s="486">
        <f>'[4]Allocation Methodology'!A44</f>
        <v>40</v>
      </c>
      <c r="B130" s="487" t="str">
        <f>'[4]Allocation Methodology'!B44</f>
        <v>Toronto Comprehensive</v>
      </c>
      <c r="C130" s="487" t="str">
        <f>'[4]Allocation Methodology'!C44</f>
        <v>Consumer, Consumer Low-Income, Business, Industrial</v>
      </c>
      <c r="D130" s="487" t="s">
        <v>58</v>
      </c>
      <c r="E130" s="487">
        <f>'[4]Allocation Methodology'!D44</f>
        <v>2009</v>
      </c>
      <c r="F130" s="488" t="str">
        <f>'[4]Allocation Methodology'!E44</f>
        <v>Final</v>
      </c>
      <c r="G130" s="472" t="b">
        <v>0</v>
      </c>
      <c r="H130" s="546">
        <v>0</v>
      </c>
      <c r="I130" s="547">
        <v>0</v>
      </c>
      <c r="J130" s="547">
        <v>0</v>
      </c>
      <c r="K130" s="547">
        <v>0</v>
      </c>
      <c r="L130" s="547">
        <v>0</v>
      </c>
      <c r="M130" s="547">
        <v>0</v>
      </c>
      <c r="N130" s="547">
        <v>0</v>
      </c>
      <c r="O130" s="547">
        <v>0</v>
      </c>
      <c r="P130" s="547">
        <v>0</v>
      </c>
      <c r="Q130" s="547">
        <v>0</v>
      </c>
      <c r="R130" s="547">
        <v>0</v>
      </c>
      <c r="S130" s="547">
        <v>0</v>
      </c>
      <c r="T130" s="547">
        <v>0</v>
      </c>
      <c r="U130" s="547">
        <v>0</v>
      </c>
      <c r="V130" s="547">
        <v>0</v>
      </c>
      <c r="W130" s="547">
        <v>0</v>
      </c>
      <c r="X130" s="547">
        <v>0</v>
      </c>
      <c r="Y130" s="547">
        <v>0</v>
      </c>
      <c r="Z130" s="547">
        <v>0</v>
      </c>
      <c r="AA130" s="547">
        <v>0</v>
      </c>
      <c r="AB130" s="547">
        <v>0</v>
      </c>
      <c r="AC130" s="547">
        <v>0</v>
      </c>
      <c r="AD130" s="547">
        <v>0</v>
      </c>
      <c r="AE130" s="547">
        <v>0</v>
      </c>
      <c r="AF130" s="547">
        <v>0</v>
      </c>
      <c r="AG130" s="547">
        <v>0</v>
      </c>
      <c r="AH130" s="547">
        <v>0</v>
      </c>
      <c r="AI130" s="547">
        <v>0</v>
      </c>
      <c r="AJ130" s="547">
        <v>0</v>
      </c>
      <c r="AK130" s="547">
        <v>0</v>
      </c>
      <c r="AL130" s="547">
        <v>0</v>
      </c>
      <c r="AM130" s="547">
        <v>0</v>
      </c>
      <c r="AN130" s="547">
        <v>0</v>
      </c>
      <c r="AO130" s="547">
        <v>0</v>
      </c>
      <c r="AP130" s="547">
        <v>0</v>
      </c>
      <c r="AQ130" s="547">
        <v>0</v>
      </c>
      <c r="AR130" s="547">
        <v>0</v>
      </c>
      <c r="AS130" s="547">
        <v>0</v>
      </c>
      <c r="AT130" s="547">
        <v>0</v>
      </c>
      <c r="AU130" s="547">
        <v>0</v>
      </c>
      <c r="AV130" s="547">
        <v>0</v>
      </c>
      <c r="AW130" s="547">
        <v>0</v>
      </c>
      <c r="AX130" s="547">
        <v>0</v>
      </c>
      <c r="AY130" s="547">
        <v>0</v>
      </c>
      <c r="AZ130" s="548">
        <v>0</v>
      </c>
    </row>
    <row r="131" spans="1:52" s="470" customFormat="1">
      <c r="A131" s="493">
        <f>'[4]Allocation Methodology'!A45</f>
        <v>41</v>
      </c>
      <c r="B131" s="494" t="str">
        <f>'[4]Allocation Methodology'!B45</f>
        <v>High Performance New Construction</v>
      </c>
      <c r="C131" s="494" t="str">
        <f>'[4]Allocation Methodology'!C45</f>
        <v>Business</v>
      </c>
      <c r="D131" s="494" t="s">
        <v>480</v>
      </c>
      <c r="E131" s="494">
        <f>'[4]Allocation Methodology'!D45</f>
        <v>2009</v>
      </c>
      <c r="F131" s="495" t="str">
        <f>'[4]Allocation Methodology'!E45</f>
        <v>Final</v>
      </c>
      <c r="G131" s="472" t="b">
        <v>0</v>
      </c>
      <c r="H131" s="549">
        <v>0</v>
      </c>
      <c r="I131" s="550">
        <v>0</v>
      </c>
      <c r="J131" s="550">
        <v>0</v>
      </c>
      <c r="K131" s="550">
        <v>60.381379884896717</v>
      </c>
      <c r="L131" s="550">
        <v>60.381379884896717</v>
      </c>
      <c r="M131" s="550">
        <v>60.381379884896717</v>
      </c>
      <c r="N131" s="550">
        <v>60.381379884896717</v>
      </c>
      <c r="O131" s="550">
        <v>60.381379884896717</v>
      </c>
      <c r="P131" s="550">
        <v>60.381379884896717</v>
      </c>
      <c r="Q131" s="550">
        <v>60.381379884896717</v>
      </c>
      <c r="R131" s="550">
        <v>60.381379884896717</v>
      </c>
      <c r="S131" s="550">
        <v>60.381379884896717</v>
      </c>
      <c r="T131" s="550">
        <v>60.381379884896717</v>
      </c>
      <c r="U131" s="550">
        <v>60.381379884896717</v>
      </c>
      <c r="V131" s="550">
        <v>60.381379884896717</v>
      </c>
      <c r="W131" s="550">
        <v>60.381379884896717</v>
      </c>
      <c r="X131" s="550">
        <v>60.381379884896717</v>
      </c>
      <c r="Y131" s="550">
        <v>60.381379884896717</v>
      </c>
      <c r="Z131" s="550">
        <v>60.381379884896717</v>
      </c>
      <c r="AA131" s="550">
        <v>60.381379884896717</v>
      </c>
      <c r="AB131" s="550">
        <v>60.381379884896717</v>
      </c>
      <c r="AC131" s="550">
        <v>60.381379884896717</v>
      </c>
      <c r="AD131" s="550">
        <v>60.381379884896717</v>
      </c>
      <c r="AE131" s="550">
        <v>0</v>
      </c>
      <c r="AF131" s="550">
        <v>0</v>
      </c>
      <c r="AG131" s="550">
        <v>0</v>
      </c>
      <c r="AH131" s="550">
        <v>0</v>
      </c>
      <c r="AI131" s="550">
        <v>0</v>
      </c>
      <c r="AJ131" s="550">
        <v>0</v>
      </c>
      <c r="AK131" s="550">
        <v>0</v>
      </c>
      <c r="AL131" s="550">
        <v>0</v>
      </c>
      <c r="AM131" s="550">
        <v>0</v>
      </c>
      <c r="AN131" s="550">
        <v>0</v>
      </c>
      <c r="AO131" s="550">
        <v>0</v>
      </c>
      <c r="AP131" s="550">
        <v>0</v>
      </c>
      <c r="AQ131" s="550">
        <v>0</v>
      </c>
      <c r="AR131" s="550">
        <v>0</v>
      </c>
      <c r="AS131" s="550">
        <v>0</v>
      </c>
      <c r="AT131" s="550">
        <v>0</v>
      </c>
      <c r="AU131" s="550">
        <v>0</v>
      </c>
      <c r="AV131" s="550">
        <v>0</v>
      </c>
      <c r="AW131" s="550">
        <v>0</v>
      </c>
      <c r="AX131" s="550">
        <v>0</v>
      </c>
      <c r="AY131" s="550">
        <v>0</v>
      </c>
      <c r="AZ131" s="551">
        <v>0</v>
      </c>
    </row>
    <row r="132" spans="1:52" s="470" customFormat="1">
      <c r="A132" s="486">
        <f>'[4]Allocation Methodology'!A46</f>
        <v>42</v>
      </c>
      <c r="B132" s="487" t="str">
        <f>'[4]Allocation Methodology'!B46</f>
        <v>Power Savings Blitz</v>
      </c>
      <c r="C132" s="487" t="str">
        <f>'[4]Allocation Methodology'!C46</f>
        <v>Business</v>
      </c>
      <c r="D132" s="487" t="s">
        <v>486</v>
      </c>
      <c r="E132" s="487">
        <f>'[4]Allocation Methodology'!D46</f>
        <v>2009</v>
      </c>
      <c r="F132" s="488" t="str">
        <f>'[4]Allocation Methodology'!E46</f>
        <v>Final</v>
      </c>
      <c r="G132" s="472" t="b">
        <v>0</v>
      </c>
      <c r="H132" s="546">
        <v>0</v>
      </c>
      <c r="I132" s="547">
        <v>0</v>
      </c>
      <c r="J132" s="547">
        <v>0</v>
      </c>
      <c r="K132" s="547">
        <v>683.04351826294976</v>
      </c>
      <c r="L132" s="547">
        <v>683.04351826294976</v>
      </c>
      <c r="M132" s="547">
        <v>683.04351826294976</v>
      </c>
      <c r="N132" s="547">
        <v>683.04351826294976</v>
      </c>
      <c r="O132" s="547">
        <v>683.04351826294976</v>
      </c>
      <c r="P132" s="547">
        <v>683.04351826294976</v>
      </c>
      <c r="Q132" s="547">
        <v>683.04351826294976</v>
      </c>
      <c r="R132" s="547">
        <v>683.04351826294976</v>
      </c>
      <c r="S132" s="547">
        <v>384.7026712056051</v>
      </c>
      <c r="T132" s="547">
        <v>0</v>
      </c>
      <c r="U132" s="547">
        <v>0</v>
      </c>
      <c r="V132" s="547">
        <v>0</v>
      </c>
      <c r="W132" s="547">
        <v>0</v>
      </c>
      <c r="X132" s="547">
        <v>0</v>
      </c>
      <c r="Y132" s="547">
        <v>0</v>
      </c>
      <c r="Z132" s="547">
        <v>0</v>
      </c>
      <c r="AA132" s="547">
        <v>0</v>
      </c>
      <c r="AB132" s="547">
        <v>0</v>
      </c>
      <c r="AC132" s="547">
        <v>0</v>
      </c>
      <c r="AD132" s="547">
        <v>0</v>
      </c>
      <c r="AE132" s="547">
        <v>0</v>
      </c>
      <c r="AF132" s="547">
        <v>0</v>
      </c>
      <c r="AG132" s="547">
        <v>0</v>
      </c>
      <c r="AH132" s="547">
        <v>0</v>
      </c>
      <c r="AI132" s="547">
        <v>0</v>
      </c>
      <c r="AJ132" s="547">
        <v>0</v>
      </c>
      <c r="AK132" s="547">
        <v>0</v>
      </c>
      <c r="AL132" s="547">
        <v>0</v>
      </c>
      <c r="AM132" s="547">
        <v>0</v>
      </c>
      <c r="AN132" s="547">
        <v>0</v>
      </c>
      <c r="AO132" s="547">
        <v>0</v>
      </c>
      <c r="AP132" s="547">
        <v>0</v>
      </c>
      <c r="AQ132" s="547">
        <v>0</v>
      </c>
      <c r="AR132" s="547">
        <v>0</v>
      </c>
      <c r="AS132" s="547">
        <v>0</v>
      </c>
      <c r="AT132" s="547">
        <v>0</v>
      </c>
      <c r="AU132" s="547">
        <v>0</v>
      </c>
      <c r="AV132" s="547">
        <v>0</v>
      </c>
      <c r="AW132" s="547">
        <v>0</v>
      </c>
      <c r="AX132" s="547">
        <v>0</v>
      </c>
      <c r="AY132" s="547">
        <v>0</v>
      </c>
      <c r="AZ132" s="548">
        <v>0</v>
      </c>
    </row>
    <row r="133" spans="1:52" s="470" customFormat="1">
      <c r="A133" s="493">
        <f>'[4]Allocation Methodology'!A47</f>
        <v>43</v>
      </c>
      <c r="B133" s="494" t="str">
        <f>'[4]Allocation Methodology'!B47</f>
        <v>Multi-Family Energy Efficiency Rebates</v>
      </c>
      <c r="C133" s="494" t="str">
        <f>'[4]Allocation Methodology'!C47</f>
        <v>Consumer, Consumer Low-Income</v>
      </c>
      <c r="D133" s="494" t="s">
        <v>58</v>
      </c>
      <c r="E133" s="494">
        <f>'[4]Allocation Methodology'!D47</f>
        <v>2009</v>
      </c>
      <c r="F133" s="495" t="str">
        <f>'[4]Allocation Methodology'!E47</f>
        <v>Final</v>
      </c>
      <c r="G133" s="472" t="b">
        <v>0</v>
      </c>
      <c r="H133" s="549">
        <v>0</v>
      </c>
      <c r="I133" s="550">
        <v>0</v>
      </c>
      <c r="J133" s="550">
        <v>0</v>
      </c>
      <c r="K133" s="550">
        <v>0</v>
      </c>
      <c r="L133" s="550">
        <v>0</v>
      </c>
      <c r="M133" s="550">
        <v>0</v>
      </c>
      <c r="N133" s="550">
        <v>0</v>
      </c>
      <c r="O133" s="550">
        <v>0</v>
      </c>
      <c r="P133" s="550">
        <v>0</v>
      </c>
      <c r="Q133" s="550">
        <v>0</v>
      </c>
      <c r="R133" s="550">
        <v>0</v>
      </c>
      <c r="S133" s="550">
        <v>0</v>
      </c>
      <c r="T133" s="550">
        <v>0</v>
      </c>
      <c r="U133" s="550">
        <v>0</v>
      </c>
      <c r="V133" s="550">
        <v>0</v>
      </c>
      <c r="W133" s="550">
        <v>0</v>
      </c>
      <c r="X133" s="550">
        <v>0</v>
      </c>
      <c r="Y133" s="550">
        <v>0</v>
      </c>
      <c r="Z133" s="550">
        <v>0</v>
      </c>
      <c r="AA133" s="550">
        <v>0</v>
      </c>
      <c r="AB133" s="550">
        <v>0</v>
      </c>
      <c r="AC133" s="550">
        <v>0</v>
      </c>
      <c r="AD133" s="550">
        <v>0</v>
      </c>
      <c r="AE133" s="550">
        <v>0</v>
      </c>
      <c r="AF133" s="550">
        <v>0</v>
      </c>
      <c r="AG133" s="550">
        <v>0</v>
      </c>
      <c r="AH133" s="550">
        <v>0</v>
      </c>
      <c r="AI133" s="550">
        <v>0</v>
      </c>
      <c r="AJ133" s="550">
        <v>0</v>
      </c>
      <c r="AK133" s="550">
        <v>0</v>
      </c>
      <c r="AL133" s="550">
        <v>0</v>
      </c>
      <c r="AM133" s="550">
        <v>0</v>
      </c>
      <c r="AN133" s="550">
        <v>0</v>
      </c>
      <c r="AO133" s="550">
        <v>0</v>
      </c>
      <c r="AP133" s="550">
        <v>0</v>
      </c>
      <c r="AQ133" s="550">
        <v>0</v>
      </c>
      <c r="AR133" s="550">
        <v>0</v>
      </c>
      <c r="AS133" s="550">
        <v>0</v>
      </c>
      <c r="AT133" s="550">
        <v>0</v>
      </c>
      <c r="AU133" s="550">
        <v>0</v>
      </c>
      <c r="AV133" s="550">
        <v>0</v>
      </c>
      <c r="AW133" s="550">
        <v>0</v>
      </c>
      <c r="AX133" s="550">
        <v>0</v>
      </c>
      <c r="AY133" s="550">
        <v>0</v>
      </c>
      <c r="AZ133" s="551">
        <v>0</v>
      </c>
    </row>
    <row r="134" spans="1:52" s="470" customFormat="1">
      <c r="A134" s="486">
        <f>'[4]Allocation Methodology'!A48</f>
        <v>44</v>
      </c>
      <c r="B134" s="487" t="str">
        <f>'[4]Allocation Methodology'!B48</f>
        <v>Demand Response 1</v>
      </c>
      <c r="C134" s="487" t="str">
        <f>'[4]Allocation Methodology'!C48</f>
        <v>Business, Industrial</v>
      </c>
      <c r="D134" s="487" t="s">
        <v>480</v>
      </c>
      <c r="E134" s="487">
        <f>'[4]Allocation Methodology'!D48</f>
        <v>2009</v>
      </c>
      <c r="F134" s="488" t="str">
        <f>'[4]Allocation Methodology'!E48</f>
        <v>Final</v>
      </c>
      <c r="G134" s="472" t="b">
        <v>0</v>
      </c>
      <c r="H134" s="546">
        <v>0</v>
      </c>
      <c r="I134" s="547">
        <v>0</v>
      </c>
      <c r="J134" s="547">
        <v>0</v>
      </c>
      <c r="K134" s="547">
        <v>52.538773828022777</v>
      </c>
      <c r="L134" s="547">
        <v>0</v>
      </c>
      <c r="M134" s="547">
        <v>0</v>
      </c>
      <c r="N134" s="547">
        <v>0</v>
      </c>
      <c r="O134" s="547">
        <v>0</v>
      </c>
      <c r="P134" s="547">
        <v>0</v>
      </c>
      <c r="Q134" s="547">
        <v>0</v>
      </c>
      <c r="R134" s="547">
        <v>0</v>
      </c>
      <c r="S134" s="547">
        <v>0</v>
      </c>
      <c r="T134" s="547">
        <v>0</v>
      </c>
      <c r="U134" s="547">
        <v>0</v>
      </c>
      <c r="V134" s="547">
        <v>0</v>
      </c>
      <c r="W134" s="547">
        <v>0</v>
      </c>
      <c r="X134" s="547">
        <v>0</v>
      </c>
      <c r="Y134" s="547">
        <v>0</v>
      </c>
      <c r="Z134" s="547">
        <v>0</v>
      </c>
      <c r="AA134" s="547">
        <v>0</v>
      </c>
      <c r="AB134" s="547">
        <v>0</v>
      </c>
      <c r="AC134" s="547">
        <v>0</v>
      </c>
      <c r="AD134" s="547">
        <v>0</v>
      </c>
      <c r="AE134" s="547">
        <v>0</v>
      </c>
      <c r="AF134" s="547">
        <v>0</v>
      </c>
      <c r="AG134" s="547">
        <v>0</v>
      </c>
      <c r="AH134" s="547">
        <v>0</v>
      </c>
      <c r="AI134" s="547">
        <v>0</v>
      </c>
      <c r="AJ134" s="547">
        <v>0</v>
      </c>
      <c r="AK134" s="547">
        <v>0</v>
      </c>
      <c r="AL134" s="547">
        <v>0</v>
      </c>
      <c r="AM134" s="547">
        <v>0</v>
      </c>
      <c r="AN134" s="547">
        <v>0</v>
      </c>
      <c r="AO134" s="547">
        <v>0</v>
      </c>
      <c r="AP134" s="547">
        <v>0</v>
      </c>
      <c r="AQ134" s="547">
        <v>0</v>
      </c>
      <c r="AR134" s="547">
        <v>0</v>
      </c>
      <c r="AS134" s="547">
        <v>0</v>
      </c>
      <c r="AT134" s="547">
        <v>0</v>
      </c>
      <c r="AU134" s="547">
        <v>0</v>
      </c>
      <c r="AV134" s="547">
        <v>0</v>
      </c>
      <c r="AW134" s="547">
        <v>0</v>
      </c>
      <c r="AX134" s="547">
        <v>0</v>
      </c>
      <c r="AY134" s="547">
        <v>0</v>
      </c>
      <c r="AZ134" s="548">
        <v>0</v>
      </c>
    </row>
    <row r="135" spans="1:52" s="470" customFormat="1">
      <c r="A135" s="493">
        <f>'[4]Allocation Methodology'!A49</f>
        <v>45</v>
      </c>
      <c r="B135" s="494" t="str">
        <f>'[4]Allocation Methodology'!B49</f>
        <v>Demand Response 2</v>
      </c>
      <c r="C135" s="494" t="str">
        <f>'[4]Allocation Methodology'!C49</f>
        <v>Business, Industrial</v>
      </c>
      <c r="D135" s="494" t="s">
        <v>480</v>
      </c>
      <c r="E135" s="494">
        <f>'[4]Allocation Methodology'!D49</f>
        <v>2009</v>
      </c>
      <c r="F135" s="495" t="str">
        <f>'[4]Allocation Methodology'!E49</f>
        <v>Final</v>
      </c>
      <c r="G135" s="472" t="b">
        <v>0</v>
      </c>
      <c r="H135" s="549">
        <v>0</v>
      </c>
      <c r="I135" s="550">
        <v>0</v>
      </c>
      <c r="J135" s="550">
        <v>0</v>
      </c>
      <c r="K135" s="550">
        <v>500.14183397325576</v>
      </c>
      <c r="L135" s="550">
        <v>0</v>
      </c>
      <c r="M135" s="550">
        <v>0</v>
      </c>
      <c r="N135" s="550">
        <v>0</v>
      </c>
      <c r="O135" s="550">
        <v>0</v>
      </c>
      <c r="P135" s="550">
        <v>0</v>
      </c>
      <c r="Q135" s="550">
        <v>0</v>
      </c>
      <c r="R135" s="550">
        <v>0</v>
      </c>
      <c r="S135" s="550">
        <v>0</v>
      </c>
      <c r="T135" s="550">
        <v>0</v>
      </c>
      <c r="U135" s="550">
        <v>0</v>
      </c>
      <c r="V135" s="550">
        <v>0</v>
      </c>
      <c r="W135" s="550">
        <v>0</v>
      </c>
      <c r="X135" s="550">
        <v>0</v>
      </c>
      <c r="Y135" s="550">
        <v>0</v>
      </c>
      <c r="Z135" s="550">
        <v>0</v>
      </c>
      <c r="AA135" s="550">
        <v>0</v>
      </c>
      <c r="AB135" s="550">
        <v>0</v>
      </c>
      <c r="AC135" s="550">
        <v>0</v>
      </c>
      <c r="AD135" s="550">
        <v>0</v>
      </c>
      <c r="AE135" s="550">
        <v>0</v>
      </c>
      <c r="AF135" s="550">
        <v>0</v>
      </c>
      <c r="AG135" s="550">
        <v>0</v>
      </c>
      <c r="AH135" s="550">
        <v>0</v>
      </c>
      <c r="AI135" s="550">
        <v>0</v>
      </c>
      <c r="AJ135" s="550">
        <v>0</v>
      </c>
      <c r="AK135" s="550">
        <v>0</v>
      </c>
      <c r="AL135" s="550">
        <v>0</v>
      </c>
      <c r="AM135" s="550">
        <v>0</v>
      </c>
      <c r="AN135" s="550">
        <v>0</v>
      </c>
      <c r="AO135" s="550">
        <v>0</v>
      </c>
      <c r="AP135" s="550">
        <v>0</v>
      </c>
      <c r="AQ135" s="550">
        <v>0</v>
      </c>
      <c r="AR135" s="550">
        <v>0</v>
      </c>
      <c r="AS135" s="550">
        <v>0</v>
      </c>
      <c r="AT135" s="550">
        <v>0</v>
      </c>
      <c r="AU135" s="550">
        <v>0</v>
      </c>
      <c r="AV135" s="550">
        <v>0</v>
      </c>
      <c r="AW135" s="550">
        <v>0</v>
      </c>
      <c r="AX135" s="550">
        <v>0</v>
      </c>
      <c r="AY135" s="550">
        <v>0</v>
      </c>
      <c r="AZ135" s="551">
        <v>0</v>
      </c>
    </row>
    <row r="136" spans="1:52" s="470" customFormat="1">
      <c r="A136" s="486">
        <f>'[4]Allocation Methodology'!A50</f>
        <v>46</v>
      </c>
      <c r="B136" s="487" t="str">
        <f>'[4]Allocation Methodology'!B50</f>
        <v>Demand Response 3</v>
      </c>
      <c r="C136" s="487" t="str">
        <f>'[4]Allocation Methodology'!C50</f>
        <v>Business, Industrial</v>
      </c>
      <c r="D136" s="487" t="s">
        <v>480</v>
      </c>
      <c r="E136" s="487">
        <f>'[4]Allocation Methodology'!D50</f>
        <v>2009</v>
      </c>
      <c r="F136" s="488" t="str">
        <f>'[4]Allocation Methodology'!E50</f>
        <v>Final</v>
      </c>
      <c r="G136" s="472" t="b">
        <v>0</v>
      </c>
      <c r="H136" s="546">
        <v>0</v>
      </c>
      <c r="I136" s="547">
        <v>0</v>
      </c>
      <c r="J136" s="547">
        <v>0</v>
      </c>
      <c r="K136" s="547">
        <v>9.5525043323677785</v>
      </c>
      <c r="L136" s="547">
        <v>0</v>
      </c>
      <c r="M136" s="547">
        <v>0</v>
      </c>
      <c r="N136" s="547">
        <v>0</v>
      </c>
      <c r="O136" s="547">
        <v>0</v>
      </c>
      <c r="P136" s="547">
        <v>0</v>
      </c>
      <c r="Q136" s="547">
        <v>0</v>
      </c>
      <c r="R136" s="547">
        <v>0</v>
      </c>
      <c r="S136" s="547">
        <v>0</v>
      </c>
      <c r="T136" s="547">
        <v>0</v>
      </c>
      <c r="U136" s="547">
        <v>0</v>
      </c>
      <c r="V136" s="547">
        <v>0</v>
      </c>
      <c r="W136" s="547">
        <v>0</v>
      </c>
      <c r="X136" s="547">
        <v>0</v>
      </c>
      <c r="Y136" s="547">
        <v>0</v>
      </c>
      <c r="Z136" s="547">
        <v>0</v>
      </c>
      <c r="AA136" s="547">
        <v>0</v>
      </c>
      <c r="AB136" s="547">
        <v>0</v>
      </c>
      <c r="AC136" s="547">
        <v>0</v>
      </c>
      <c r="AD136" s="547">
        <v>0</v>
      </c>
      <c r="AE136" s="547">
        <v>0</v>
      </c>
      <c r="AF136" s="547">
        <v>0</v>
      </c>
      <c r="AG136" s="547">
        <v>0</v>
      </c>
      <c r="AH136" s="547">
        <v>0</v>
      </c>
      <c r="AI136" s="547">
        <v>0</v>
      </c>
      <c r="AJ136" s="547">
        <v>0</v>
      </c>
      <c r="AK136" s="547">
        <v>0</v>
      </c>
      <c r="AL136" s="547">
        <v>0</v>
      </c>
      <c r="AM136" s="547">
        <v>0</v>
      </c>
      <c r="AN136" s="547">
        <v>0</v>
      </c>
      <c r="AO136" s="547">
        <v>0</v>
      </c>
      <c r="AP136" s="547">
        <v>0</v>
      </c>
      <c r="AQ136" s="547">
        <v>0</v>
      </c>
      <c r="AR136" s="547">
        <v>0</v>
      </c>
      <c r="AS136" s="547">
        <v>0</v>
      </c>
      <c r="AT136" s="547">
        <v>0</v>
      </c>
      <c r="AU136" s="547">
        <v>0</v>
      </c>
      <c r="AV136" s="547">
        <v>0</v>
      </c>
      <c r="AW136" s="547">
        <v>0</v>
      </c>
      <c r="AX136" s="547">
        <v>0</v>
      </c>
      <c r="AY136" s="547">
        <v>0</v>
      </c>
      <c r="AZ136" s="548">
        <v>0</v>
      </c>
    </row>
    <row r="137" spans="1:52" s="470" customFormat="1">
      <c r="A137" s="493">
        <f>'[4]Allocation Methodology'!A51</f>
        <v>47</v>
      </c>
      <c r="B137" s="494" t="str">
        <f>'[4]Allocation Methodology'!B51</f>
        <v>Loblaw &amp; York Region Demand Response</v>
      </c>
      <c r="C137" s="494" t="str">
        <f>'[4]Allocation Methodology'!C51</f>
        <v>Business, Industrial</v>
      </c>
      <c r="D137" s="494" t="s">
        <v>480</v>
      </c>
      <c r="E137" s="494">
        <f>'[4]Allocation Methodology'!D51</f>
        <v>2009</v>
      </c>
      <c r="F137" s="495" t="str">
        <f>'[4]Allocation Methodology'!E51</f>
        <v>Final</v>
      </c>
      <c r="G137" s="472" t="b">
        <v>0</v>
      </c>
      <c r="H137" s="549">
        <v>0</v>
      </c>
      <c r="I137" s="550">
        <v>0</v>
      </c>
      <c r="J137" s="550">
        <v>0</v>
      </c>
      <c r="K137" s="550">
        <v>0</v>
      </c>
      <c r="L137" s="550">
        <v>0</v>
      </c>
      <c r="M137" s="550">
        <v>0</v>
      </c>
      <c r="N137" s="550">
        <v>0</v>
      </c>
      <c r="O137" s="550">
        <v>0</v>
      </c>
      <c r="P137" s="550">
        <v>0</v>
      </c>
      <c r="Q137" s="550">
        <v>0</v>
      </c>
      <c r="R137" s="550">
        <v>0</v>
      </c>
      <c r="S137" s="550">
        <v>0</v>
      </c>
      <c r="T137" s="550">
        <v>0</v>
      </c>
      <c r="U137" s="550">
        <v>0</v>
      </c>
      <c r="V137" s="550">
        <v>0</v>
      </c>
      <c r="W137" s="550">
        <v>0</v>
      </c>
      <c r="X137" s="550">
        <v>0</v>
      </c>
      <c r="Y137" s="550">
        <v>0</v>
      </c>
      <c r="Z137" s="550">
        <v>0</v>
      </c>
      <c r="AA137" s="550">
        <v>0</v>
      </c>
      <c r="AB137" s="550">
        <v>0</v>
      </c>
      <c r="AC137" s="550">
        <v>0</v>
      </c>
      <c r="AD137" s="550">
        <v>0</v>
      </c>
      <c r="AE137" s="550">
        <v>0</v>
      </c>
      <c r="AF137" s="550">
        <v>0</v>
      </c>
      <c r="AG137" s="550">
        <v>0</v>
      </c>
      <c r="AH137" s="550">
        <v>0</v>
      </c>
      <c r="AI137" s="550">
        <v>0</v>
      </c>
      <c r="AJ137" s="550">
        <v>0</v>
      </c>
      <c r="AK137" s="550">
        <v>0</v>
      </c>
      <c r="AL137" s="550">
        <v>0</v>
      </c>
      <c r="AM137" s="550">
        <v>0</v>
      </c>
      <c r="AN137" s="550">
        <v>0</v>
      </c>
      <c r="AO137" s="550">
        <v>0</v>
      </c>
      <c r="AP137" s="550">
        <v>0</v>
      </c>
      <c r="AQ137" s="550">
        <v>0</v>
      </c>
      <c r="AR137" s="550">
        <v>0</v>
      </c>
      <c r="AS137" s="550">
        <v>0</v>
      </c>
      <c r="AT137" s="550">
        <v>0</v>
      </c>
      <c r="AU137" s="550">
        <v>0</v>
      </c>
      <c r="AV137" s="550">
        <v>0</v>
      </c>
      <c r="AW137" s="550">
        <v>0</v>
      </c>
      <c r="AX137" s="550">
        <v>0</v>
      </c>
      <c r="AY137" s="550">
        <v>0</v>
      </c>
      <c r="AZ137" s="551">
        <v>0</v>
      </c>
    </row>
    <row r="138" spans="1:52" s="470" customFormat="1">
      <c r="A138" s="486">
        <f>'[4]Allocation Methodology'!A52</f>
        <v>48</v>
      </c>
      <c r="B138" s="487" t="str">
        <f>'[4]Allocation Methodology'!B52</f>
        <v>LDC Custom - Thunder Bay Hydro - Phantom Load</v>
      </c>
      <c r="C138" s="487" t="str">
        <f>'[4]Allocation Methodology'!C52</f>
        <v>Consumer</v>
      </c>
      <c r="D138" s="487" t="s">
        <v>58</v>
      </c>
      <c r="E138" s="487">
        <f>'[4]Allocation Methodology'!D52</f>
        <v>2009</v>
      </c>
      <c r="F138" s="488" t="str">
        <f>'[4]Allocation Methodology'!E52</f>
        <v>Final</v>
      </c>
      <c r="G138" s="472" t="b">
        <v>0</v>
      </c>
      <c r="H138" s="546">
        <v>0</v>
      </c>
      <c r="I138" s="547">
        <v>0</v>
      </c>
      <c r="J138" s="547">
        <v>0</v>
      </c>
      <c r="K138" s="547">
        <v>0</v>
      </c>
      <c r="L138" s="547">
        <v>0</v>
      </c>
      <c r="M138" s="547">
        <v>0</v>
      </c>
      <c r="N138" s="547">
        <v>0</v>
      </c>
      <c r="O138" s="547">
        <v>0</v>
      </c>
      <c r="P138" s="547">
        <v>0</v>
      </c>
      <c r="Q138" s="547">
        <v>0</v>
      </c>
      <c r="R138" s="547">
        <v>0</v>
      </c>
      <c r="S138" s="547">
        <v>0</v>
      </c>
      <c r="T138" s="547">
        <v>0</v>
      </c>
      <c r="U138" s="547">
        <v>0</v>
      </c>
      <c r="V138" s="547">
        <v>0</v>
      </c>
      <c r="W138" s="547">
        <v>0</v>
      </c>
      <c r="X138" s="547">
        <v>0</v>
      </c>
      <c r="Y138" s="547">
        <v>0</v>
      </c>
      <c r="Z138" s="547">
        <v>0</v>
      </c>
      <c r="AA138" s="547">
        <v>0</v>
      </c>
      <c r="AB138" s="547">
        <v>0</v>
      </c>
      <c r="AC138" s="547">
        <v>0</v>
      </c>
      <c r="AD138" s="547">
        <v>0</v>
      </c>
      <c r="AE138" s="547">
        <v>0</v>
      </c>
      <c r="AF138" s="547">
        <v>0</v>
      </c>
      <c r="AG138" s="547">
        <v>0</v>
      </c>
      <c r="AH138" s="547">
        <v>0</v>
      </c>
      <c r="AI138" s="547">
        <v>0</v>
      </c>
      <c r="AJ138" s="547">
        <v>0</v>
      </c>
      <c r="AK138" s="547">
        <v>0</v>
      </c>
      <c r="AL138" s="547">
        <v>0</v>
      </c>
      <c r="AM138" s="547">
        <v>0</v>
      </c>
      <c r="AN138" s="547">
        <v>0</v>
      </c>
      <c r="AO138" s="547">
        <v>0</v>
      </c>
      <c r="AP138" s="547">
        <v>0</v>
      </c>
      <c r="AQ138" s="547">
        <v>0</v>
      </c>
      <c r="AR138" s="547">
        <v>0</v>
      </c>
      <c r="AS138" s="547">
        <v>0</v>
      </c>
      <c r="AT138" s="547">
        <v>0</v>
      </c>
      <c r="AU138" s="547">
        <v>0</v>
      </c>
      <c r="AV138" s="547">
        <v>0</v>
      </c>
      <c r="AW138" s="547">
        <v>0</v>
      </c>
      <c r="AX138" s="547">
        <v>0</v>
      </c>
      <c r="AY138" s="547">
        <v>0</v>
      </c>
      <c r="AZ138" s="548">
        <v>0</v>
      </c>
    </row>
    <row r="139" spans="1:52" s="470" customFormat="1">
      <c r="A139" s="523">
        <f>'[4]Allocation Methodology'!A53</f>
        <v>49</v>
      </c>
      <c r="B139" s="524" t="str">
        <f>'[4]Allocation Methodology'!B53</f>
        <v>LDC Custom - Toronto Hydro - Summer Challenge</v>
      </c>
      <c r="C139" s="524" t="str">
        <f>'[4]Allocation Methodology'!C53</f>
        <v>Consumer</v>
      </c>
      <c r="D139" s="524" t="s">
        <v>58</v>
      </c>
      <c r="E139" s="524">
        <f>'[4]Allocation Methodology'!D53</f>
        <v>2009</v>
      </c>
      <c r="F139" s="525" t="str">
        <f>'[4]Allocation Methodology'!E53</f>
        <v>Final</v>
      </c>
      <c r="G139" s="472" t="b">
        <v>0</v>
      </c>
      <c r="H139" s="561">
        <v>0</v>
      </c>
      <c r="I139" s="562">
        <v>0</v>
      </c>
      <c r="J139" s="562">
        <v>0</v>
      </c>
      <c r="K139" s="562">
        <v>0</v>
      </c>
      <c r="L139" s="562">
        <v>0</v>
      </c>
      <c r="M139" s="562">
        <v>0</v>
      </c>
      <c r="N139" s="562">
        <v>0</v>
      </c>
      <c r="O139" s="562">
        <v>0</v>
      </c>
      <c r="P139" s="562">
        <v>0</v>
      </c>
      <c r="Q139" s="562">
        <v>0</v>
      </c>
      <c r="R139" s="562">
        <v>0</v>
      </c>
      <c r="S139" s="562">
        <v>0</v>
      </c>
      <c r="T139" s="562">
        <v>0</v>
      </c>
      <c r="U139" s="562">
        <v>0</v>
      </c>
      <c r="V139" s="562">
        <v>0</v>
      </c>
      <c r="W139" s="562">
        <v>0</v>
      </c>
      <c r="X139" s="562">
        <v>0</v>
      </c>
      <c r="Y139" s="562">
        <v>0</v>
      </c>
      <c r="Z139" s="562">
        <v>0</v>
      </c>
      <c r="AA139" s="562">
        <v>0</v>
      </c>
      <c r="AB139" s="562">
        <v>0</v>
      </c>
      <c r="AC139" s="562">
        <v>0</v>
      </c>
      <c r="AD139" s="562">
        <v>0</v>
      </c>
      <c r="AE139" s="562">
        <v>0</v>
      </c>
      <c r="AF139" s="562">
        <v>0</v>
      </c>
      <c r="AG139" s="562">
        <v>0</v>
      </c>
      <c r="AH139" s="562">
        <v>0</v>
      </c>
      <c r="AI139" s="562">
        <v>0</v>
      </c>
      <c r="AJ139" s="562">
        <v>0</v>
      </c>
      <c r="AK139" s="562">
        <v>0</v>
      </c>
      <c r="AL139" s="562">
        <v>0</v>
      </c>
      <c r="AM139" s="562">
        <v>0</v>
      </c>
      <c r="AN139" s="562">
        <v>0</v>
      </c>
      <c r="AO139" s="562">
        <v>0</v>
      </c>
      <c r="AP139" s="562">
        <v>0</v>
      </c>
      <c r="AQ139" s="562">
        <v>0</v>
      </c>
      <c r="AR139" s="562">
        <v>0</v>
      </c>
      <c r="AS139" s="562">
        <v>0</v>
      </c>
      <c r="AT139" s="562">
        <v>0</v>
      </c>
      <c r="AU139" s="562">
        <v>0</v>
      </c>
      <c r="AV139" s="562">
        <v>0</v>
      </c>
      <c r="AW139" s="562">
        <v>0</v>
      </c>
      <c r="AX139" s="562">
        <v>0</v>
      </c>
      <c r="AY139" s="562">
        <v>0</v>
      </c>
      <c r="AZ139" s="563">
        <v>0</v>
      </c>
    </row>
    <row r="140" spans="1:52" s="470" customFormat="1">
      <c r="A140" s="515">
        <f>'[4]Allocation Methodology'!A54</f>
        <v>50</v>
      </c>
      <c r="B140" s="516" t="str">
        <f>'[4]Allocation Methodology'!B54</f>
        <v>LDC Custom - PowerStream - Data Centers</v>
      </c>
      <c r="C140" s="516" t="str">
        <f>'[4]Allocation Methodology'!C54</f>
        <v>Business</v>
      </c>
      <c r="D140" s="516" t="s">
        <v>58</v>
      </c>
      <c r="E140" s="516">
        <f>'[4]Allocation Methodology'!D54</f>
        <v>2009</v>
      </c>
      <c r="F140" s="517" t="str">
        <f>'[4]Allocation Methodology'!E54</f>
        <v>Final</v>
      </c>
      <c r="G140" s="472"/>
      <c r="H140" s="558">
        <v>0</v>
      </c>
      <c r="I140" s="559">
        <v>0</v>
      </c>
      <c r="J140" s="559">
        <v>0</v>
      </c>
      <c r="K140" s="559">
        <v>0</v>
      </c>
      <c r="L140" s="559">
        <v>0</v>
      </c>
      <c r="M140" s="559">
        <v>0</v>
      </c>
      <c r="N140" s="559">
        <v>0</v>
      </c>
      <c r="O140" s="559">
        <v>0</v>
      </c>
      <c r="P140" s="559">
        <v>0</v>
      </c>
      <c r="Q140" s="559">
        <v>0</v>
      </c>
      <c r="R140" s="559">
        <v>0</v>
      </c>
      <c r="S140" s="559">
        <v>0</v>
      </c>
      <c r="T140" s="559">
        <v>0</v>
      </c>
      <c r="U140" s="559">
        <v>0</v>
      </c>
      <c r="V140" s="559">
        <v>0</v>
      </c>
      <c r="W140" s="559">
        <v>0</v>
      </c>
      <c r="X140" s="559">
        <v>0</v>
      </c>
      <c r="Y140" s="559">
        <v>0</v>
      </c>
      <c r="Z140" s="559">
        <v>0</v>
      </c>
      <c r="AA140" s="559">
        <v>0</v>
      </c>
      <c r="AB140" s="559">
        <v>0</v>
      </c>
      <c r="AC140" s="559">
        <v>0</v>
      </c>
      <c r="AD140" s="559">
        <v>0</v>
      </c>
      <c r="AE140" s="559">
        <v>0</v>
      </c>
      <c r="AF140" s="559">
        <v>0</v>
      </c>
      <c r="AG140" s="559">
        <v>0</v>
      </c>
      <c r="AH140" s="559">
        <v>0</v>
      </c>
      <c r="AI140" s="559">
        <v>0</v>
      </c>
      <c r="AJ140" s="559">
        <v>0</v>
      </c>
      <c r="AK140" s="559">
        <v>0</v>
      </c>
      <c r="AL140" s="559">
        <v>0</v>
      </c>
      <c r="AM140" s="559">
        <v>0</v>
      </c>
      <c r="AN140" s="559">
        <v>0</v>
      </c>
      <c r="AO140" s="559">
        <v>0</v>
      </c>
      <c r="AP140" s="559">
        <v>0</v>
      </c>
      <c r="AQ140" s="559">
        <v>0</v>
      </c>
      <c r="AR140" s="559">
        <v>0</v>
      </c>
      <c r="AS140" s="559">
        <v>0</v>
      </c>
      <c r="AT140" s="559">
        <v>0</v>
      </c>
      <c r="AU140" s="559">
        <v>0</v>
      </c>
      <c r="AV140" s="559">
        <v>0</v>
      </c>
      <c r="AW140" s="559">
        <v>0</v>
      </c>
      <c r="AX140" s="559">
        <v>0</v>
      </c>
      <c r="AY140" s="559">
        <v>0</v>
      </c>
      <c r="AZ140" s="560">
        <v>0</v>
      </c>
    </row>
    <row r="141" spans="1:52" s="470" customFormat="1">
      <c r="A141" s="479">
        <f>'[4]Allocation Methodology'!A55</f>
        <v>51</v>
      </c>
      <c r="B141" s="480" t="str">
        <f>'[4]Allocation Methodology'!B55</f>
        <v>Toronto Comprehensive Adjustment</v>
      </c>
      <c r="C141" s="480" t="str">
        <f>'[4]Allocation Methodology'!C55</f>
        <v>Consumer, Business</v>
      </c>
      <c r="D141" s="480" t="s">
        <v>58</v>
      </c>
      <c r="E141" s="480">
        <f>'[4]Allocation Methodology'!D55</f>
        <v>2008</v>
      </c>
      <c r="F141" s="481" t="str">
        <f>'[4]Allocation Methodology'!E55</f>
        <v>Final</v>
      </c>
      <c r="G141" s="472"/>
      <c r="H141" s="542">
        <v>0</v>
      </c>
      <c r="I141" s="544">
        <v>0</v>
      </c>
      <c r="J141" s="544">
        <v>0</v>
      </c>
      <c r="K141" s="544">
        <v>0</v>
      </c>
      <c r="L141" s="544">
        <v>0</v>
      </c>
      <c r="M141" s="544">
        <v>0</v>
      </c>
      <c r="N141" s="544">
        <v>0</v>
      </c>
      <c r="O141" s="544">
        <v>0</v>
      </c>
      <c r="P141" s="544">
        <v>0</v>
      </c>
      <c r="Q141" s="544">
        <v>0</v>
      </c>
      <c r="R141" s="544">
        <v>0</v>
      </c>
      <c r="S141" s="544">
        <v>0</v>
      </c>
      <c r="T141" s="544">
        <v>0</v>
      </c>
      <c r="U141" s="544">
        <v>0</v>
      </c>
      <c r="V141" s="544">
        <v>0</v>
      </c>
      <c r="W141" s="544">
        <v>0</v>
      </c>
      <c r="X141" s="544">
        <v>0</v>
      </c>
      <c r="Y141" s="544">
        <v>0</v>
      </c>
      <c r="Z141" s="544">
        <v>0</v>
      </c>
      <c r="AA141" s="544">
        <v>0</v>
      </c>
      <c r="AB141" s="544">
        <v>0</v>
      </c>
      <c r="AC141" s="544">
        <v>0</v>
      </c>
      <c r="AD141" s="544">
        <v>0</v>
      </c>
      <c r="AE141" s="544">
        <v>0</v>
      </c>
      <c r="AF141" s="544">
        <v>0</v>
      </c>
      <c r="AG141" s="544">
        <v>0</v>
      </c>
      <c r="AH141" s="544">
        <v>0</v>
      </c>
      <c r="AI141" s="544">
        <v>0</v>
      </c>
      <c r="AJ141" s="544">
        <v>0</v>
      </c>
      <c r="AK141" s="544">
        <v>0</v>
      </c>
      <c r="AL141" s="544">
        <v>0</v>
      </c>
      <c r="AM141" s="544">
        <v>0</v>
      </c>
      <c r="AN141" s="544">
        <v>0</v>
      </c>
      <c r="AO141" s="544">
        <v>0</v>
      </c>
      <c r="AP141" s="544">
        <v>0</v>
      </c>
      <c r="AQ141" s="544">
        <v>0</v>
      </c>
      <c r="AR141" s="544">
        <v>0</v>
      </c>
      <c r="AS141" s="544">
        <v>0</v>
      </c>
      <c r="AT141" s="544">
        <v>0</v>
      </c>
      <c r="AU141" s="544">
        <v>0</v>
      </c>
      <c r="AV141" s="544">
        <v>0</v>
      </c>
      <c r="AW141" s="544">
        <v>0</v>
      </c>
      <c r="AX141" s="544">
        <v>0</v>
      </c>
      <c r="AY141" s="544">
        <v>0</v>
      </c>
      <c r="AZ141" s="545">
        <v>0</v>
      </c>
    </row>
    <row r="142" spans="1:52" s="470" customFormat="1">
      <c r="A142" s="515">
        <f>'[4]Allocation Methodology'!A56</f>
        <v>52</v>
      </c>
      <c r="B142" s="516" t="str">
        <f>'[4]Allocation Methodology'!B56</f>
        <v>LDC Custom - Hydro One Networks Inc. - Double Return Adjustment</v>
      </c>
      <c r="C142" s="516" t="str">
        <f>'[4]Allocation Methodology'!C56</f>
        <v>Business, Industrial</v>
      </c>
      <c r="D142" s="516" t="s">
        <v>58</v>
      </c>
      <c r="E142" s="516">
        <f>'[4]Allocation Methodology'!D56</f>
        <v>2008</v>
      </c>
      <c r="F142" s="517" t="str">
        <f>'[4]Allocation Methodology'!E56</f>
        <v>Final</v>
      </c>
      <c r="G142" s="472"/>
      <c r="H142" s="558">
        <v>0</v>
      </c>
      <c r="I142" s="559">
        <v>0</v>
      </c>
      <c r="J142" s="559">
        <v>0</v>
      </c>
      <c r="K142" s="559">
        <v>0</v>
      </c>
      <c r="L142" s="559">
        <v>0</v>
      </c>
      <c r="M142" s="559">
        <v>0</v>
      </c>
      <c r="N142" s="559">
        <v>0</v>
      </c>
      <c r="O142" s="559">
        <v>0</v>
      </c>
      <c r="P142" s="559">
        <v>0</v>
      </c>
      <c r="Q142" s="559">
        <v>0</v>
      </c>
      <c r="R142" s="559">
        <v>0</v>
      </c>
      <c r="S142" s="559">
        <v>0</v>
      </c>
      <c r="T142" s="559">
        <v>0</v>
      </c>
      <c r="U142" s="559">
        <v>0</v>
      </c>
      <c r="V142" s="559">
        <v>0</v>
      </c>
      <c r="W142" s="559">
        <v>0</v>
      </c>
      <c r="X142" s="559">
        <v>0</v>
      </c>
      <c r="Y142" s="559">
        <v>0</v>
      </c>
      <c r="Z142" s="559">
        <v>0</v>
      </c>
      <c r="AA142" s="559">
        <v>0</v>
      </c>
      <c r="AB142" s="559">
        <v>0</v>
      </c>
      <c r="AC142" s="559">
        <v>0</v>
      </c>
      <c r="AD142" s="559">
        <v>0</v>
      </c>
      <c r="AE142" s="559">
        <v>0</v>
      </c>
      <c r="AF142" s="559">
        <v>0</v>
      </c>
      <c r="AG142" s="559">
        <v>0</v>
      </c>
      <c r="AH142" s="559">
        <v>0</v>
      </c>
      <c r="AI142" s="559">
        <v>0</v>
      </c>
      <c r="AJ142" s="559">
        <v>0</v>
      </c>
      <c r="AK142" s="559">
        <v>0</v>
      </c>
      <c r="AL142" s="559">
        <v>0</v>
      </c>
      <c r="AM142" s="559">
        <v>0</v>
      </c>
      <c r="AN142" s="559">
        <v>0</v>
      </c>
      <c r="AO142" s="559">
        <v>0</v>
      </c>
      <c r="AP142" s="559">
        <v>0</v>
      </c>
      <c r="AQ142" s="559">
        <v>0</v>
      </c>
      <c r="AR142" s="559">
        <v>0</v>
      </c>
      <c r="AS142" s="559">
        <v>0</v>
      </c>
      <c r="AT142" s="559">
        <v>0</v>
      </c>
      <c r="AU142" s="559">
        <v>0</v>
      </c>
      <c r="AV142" s="559">
        <v>0</v>
      </c>
      <c r="AW142" s="559">
        <v>0</v>
      </c>
      <c r="AX142" s="559">
        <v>0</v>
      </c>
      <c r="AY142" s="559">
        <v>0</v>
      </c>
      <c r="AZ142" s="560">
        <v>0</v>
      </c>
    </row>
    <row r="143" spans="1:52" s="470" customFormat="1">
      <c r="A143" s="479">
        <f>'[4]Allocation Methodology'!A57</f>
        <v>53</v>
      </c>
      <c r="B143" s="480" t="str">
        <f>'[4]Allocation Methodology'!B57</f>
        <v>Great Refrigerator Roundup</v>
      </c>
      <c r="C143" s="480" t="str">
        <f>'[4]Allocation Methodology'!C57</f>
        <v>Consumer</v>
      </c>
      <c r="D143" s="480" t="s">
        <v>17</v>
      </c>
      <c r="E143" s="480">
        <f>'[4]Allocation Methodology'!D57</f>
        <v>2010</v>
      </c>
      <c r="F143" s="481" t="str">
        <f>'[4]Allocation Methodology'!E57</f>
        <v>Final</v>
      </c>
      <c r="G143" s="472"/>
      <c r="H143" s="542">
        <v>0</v>
      </c>
      <c r="I143" s="544">
        <v>0</v>
      </c>
      <c r="J143" s="544">
        <v>0</v>
      </c>
      <c r="K143" s="544">
        <v>0</v>
      </c>
      <c r="L143" s="544">
        <v>90.761836237952139</v>
      </c>
      <c r="M143" s="544">
        <v>90.761836237952139</v>
      </c>
      <c r="N143" s="544">
        <v>90.761836237952139</v>
      </c>
      <c r="O143" s="544">
        <v>89.819440608149833</v>
      </c>
      <c r="P143" s="544">
        <v>64.78083902315845</v>
      </c>
      <c r="Q143" s="544">
        <v>0</v>
      </c>
      <c r="R143" s="544">
        <v>0</v>
      </c>
      <c r="S143" s="544">
        <v>0</v>
      </c>
      <c r="T143" s="544">
        <v>0</v>
      </c>
      <c r="U143" s="544">
        <v>0</v>
      </c>
      <c r="V143" s="544">
        <v>0</v>
      </c>
      <c r="W143" s="544">
        <v>0</v>
      </c>
      <c r="X143" s="544">
        <v>0</v>
      </c>
      <c r="Y143" s="544">
        <v>0</v>
      </c>
      <c r="Z143" s="544">
        <v>0</v>
      </c>
      <c r="AA143" s="544">
        <v>0</v>
      </c>
      <c r="AB143" s="544">
        <v>0</v>
      </c>
      <c r="AC143" s="544">
        <v>0</v>
      </c>
      <c r="AD143" s="544">
        <v>0</v>
      </c>
      <c r="AE143" s="544">
        <v>0</v>
      </c>
      <c r="AF143" s="544">
        <v>0</v>
      </c>
      <c r="AG143" s="544">
        <v>0</v>
      </c>
      <c r="AH143" s="544">
        <v>0</v>
      </c>
      <c r="AI143" s="544">
        <v>0</v>
      </c>
      <c r="AJ143" s="544">
        <v>0</v>
      </c>
      <c r="AK143" s="544">
        <v>0</v>
      </c>
      <c r="AL143" s="544">
        <v>0</v>
      </c>
      <c r="AM143" s="544">
        <v>0</v>
      </c>
      <c r="AN143" s="544">
        <v>0</v>
      </c>
      <c r="AO143" s="544">
        <v>0</v>
      </c>
      <c r="AP143" s="544">
        <v>0</v>
      </c>
      <c r="AQ143" s="544">
        <v>0</v>
      </c>
      <c r="AR143" s="544">
        <v>0</v>
      </c>
      <c r="AS143" s="544">
        <v>0</v>
      </c>
      <c r="AT143" s="544">
        <v>0</v>
      </c>
      <c r="AU143" s="544">
        <v>0</v>
      </c>
      <c r="AV143" s="544">
        <v>0</v>
      </c>
      <c r="AW143" s="544">
        <v>0</v>
      </c>
      <c r="AX143" s="544">
        <v>0</v>
      </c>
      <c r="AY143" s="544">
        <v>0</v>
      </c>
      <c r="AZ143" s="545">
        <v>0</v>
      </c>
    </row>
    <row r="144" spans="1:52" s="470" customFormat="1">
      <c r="A144" s="486">
        <f>'[4]Allocation Methodology'!A58</f>
        <v>54</v>
      </c>
      <c r="B144" s="487" t="str">
        <f>'[4]Allocation Methodology'!B58</f>
        <v>Cool Savings Rebate</v>
      </c>
      <c r="C144" s="487" t="str">
        <f>'[4]Allocation Methodology'!C58</f>
        <v>Consumer</v>
      </c>
      <c r="D144" s="487" t="s">
        <v>17</v>
      </c>
      <c r="E144" s="487">
        <f>'[4]Allocation Methodology'!D58</f>
        <v>2010</v>
      </c>
      <c r="F144" s="488" t="str">
        <f>'[4]Allocation Methodology'!E58</f>
        <v>Final</v>
      </c>
      <c r="G144" s="472"/>
      <c r="H144" s="546">
        <v>0</v>
      </c>
      <c r="I144" s="547">
        <v>0</v>
      </c>
      <c r="J144" s="547">
        <v>0</v>
      </c>
      <c r="K144" s="547">
        <v>0</v>
      </c>
      <c r="L144" s="547">
        <v>73.788540411879836</v>
      </c>
      <c r="M144" s="547">
        <v>73.788540411879836</v>
      </c>
      <c r="N144" s="547">
        <v>73.788540411879836</v>
      </c>
      <c r="O144" s="547">
        <v>73.788540411879836</v>
      </c>
      <c r="P144" s="547">
        <v>73.788540411879836</v>
      </c>
      <c r="Q144" s="547">
        <v>73.788540411879836</v>
      </c>
      <c r="R144" s="547">
        <v>73.788540411879836</v>
      </c>
      <c r="S144" s="547">
        <v>73.788540411879836</v>
      </c>
      <c r="T144" s="547">
        <v>73.788540411879836</v>
      </c>
      <c r="U144" s="547">
        <v>73.788540411879836</v>
      </c>
      <c r="V144" s="547">
        <v>73.788540411879836</v>
      </c>
      <c r="W144" s="547">
        <v>73.788540411879836</v>
      </c>
      <c r="X144" s="547">
        <v>73.788540411879836</v>
      </c>
      <c r="Y144" s="547">
        <v>73.788540411879836</v>
      </c>
      <c r="Z144" s="547">
        <v>73.788540411879836</v>
      </c>
      <c r="AA144" s="547">
        <v>72.650584633795674</v>
      </c>
      <c r="AB144" s="547">
        <v>72.650584633795674</v>
      </c>
      <c r="AC144" s="547">
        <v>72.650584633795674</v>
      </c>
      <c r="AD144" s="547">
        <v>68.492976820811506</v>
      </c>
      <c r="AE144" s="547">
        <v>0</v>
      </c>
      <c r="AF144" s="547">
        <v>0</v>
      </c>
      <c r="AG144" s="547">
        <v>0</v>
      </c>
      <c r="AH144" s="547">
        <v>0</v>
      </c>
      <c r="AI144" s="547">
        <v>0</v>
      </c>
      <c r="AJ144" s="547">
        <v>0</v>
      </c>
      <c r="AK144" s="547">
        <v>0</v>
      </c>
      <c r="AL144" s="547">
        <v>0</v>
      </c>
      <c r="AM144" s="547">
        <v>0</v>
      </c>
      <c r="AN144" s="547">
        <v>0</v>
      </c>
      <c r="AO144" s="547">
        <v>0</v>
      </c>
      <c r="AP144" s="547">
        <v>0</v>
      </c>
      <c r="AQ144" s="547">
        <v>0</v>
      </c>
      <c r="AR144" s="547">
        <v>0</v>
      </c>
      <c r="AS144" s="547">
        <v>0</v>
      </c>
      <c r="AT144" s="547">
        <v>0</v>
      </c>
      <c r="AU144" s="547">
        <v>0</v>
      </c>
      <c r="AV144" s="547">
        <v>0</v>
      </c>
      <c r="AW144" s="547">
        <v>0</v>
      </c>
      <c r="AX144" s="547">
        <v>0</v>
      </c>
      <c r="AY144" s="547">
        <v>0</v>
      </c>
      <c r="AZ144" s="548">
        <v>0</v>
      </c>
    </row>
    <row r="145" spans="1:52" s="470" customFormat="1">
      <c r="A145" s="493">
        <f>'[4]Allocation Methodology'!A59</f>
        <v>55</v>
      </c>
      <c r="B145" s="494" t="str">
        <f>'[4]Allocation Methodology'!B59</f>
        <v>Every Kilowatt Counts Power Savings Event</v>
      </c>
      <c r="C145" s="494" t="str">
        <f>'[4]Allocation Methodology'!C59</f>
        <v>Consumer</v>
      </c>
      <c r="D145" s="494" t="s">
        <v>17</v>
      </c>
      <c r="E145" s="494">
        <f>'[4]Allocation Methodology'!D59</f>
        <v>2010</v>
      </c>
      <c r="F145" s="495" t="str">
        <f>'[4]Allocation Methodology'!E59</f>
        <v>Final</v>
      </c>
      <c r="G145" s="472"/>
      <c r="H145" s="549">
        <v>0</v>
      </c>
      <c r="I145" s="550">
        <v>0</v>
      </c>
      <c r="J145" s="550">
        <v>0</v>
      </c>
      <c r="K145" s="550">
        <v>0</v>
      </c>
      <c r="L145" s="550">
        <v>89.169325477264849</v>
      </c>
      <c r="M145" s="550">
        <v>78.373205665959077</v>
      </c>
      <c r="N145" s="550">
        <v>75.878908270781039</v>
      </c>
      <c r="O145" s="550">
        <v>75.878908270781039</v>
      </c>
      <c r="P145" s="550">
        <v>75.878908270781039</v>
      </c>
      <c r="Q145" s="550">
        <v>39.056265787903357</v>
      </c>
      <c r="R145" s="550">
        <v>29.820787209951266</v>
      </c>
      <c r="S145" s="550">
        <v>29.820787209951266</v>
      </c>
      <c r="T145" s="550">
        <v>29.060493047651505</v>
      </c>
      <c r="U145" s="550">
        <v>27.342906458006642</v>
      </c>
      <c r="V145" s="550">
        <v>21.033030181417733</v>
      </c>
      <c r="W145" s="550">
        <v>21.033030181417733</v>
      </c>
      <c r="X145" s="550">
        <v>18.579670473626194</v>
      </c>
      <c r="Y145" s="550">
        <v>18.579670473626194</v>
      </c>
      <c r="Z145" s="550">
        <v>18.579670473626194</v>
      </c>
      <c r="AA145" s="550">
        <v>10.576196620479793</v>
      </c>
      <c r="AB145" s="550">
        <v>0.25818335244921631</v>
      </c>
      <c r="AC145" s="550">
        <v>0.25818335244921631</v>
      </c>
      <c r="AD145" s="550">
        <v>0.25818335244921631</v>
      </c>
      <c r="AE145" s="550">
        <v>0.25818335244921631</v>
      </c>
      <c r="AF145" s="550">
        <v>0</v>
      </c>
      <c r="AG145" s="550">
        <v>0</v>
      </c>
      <c r="AH145" s="550">
        <v>0</v>
      </c>
      <c r="AI145" s="550">
        <v>0</v>
      </c>
      <c r="AJ145" s="550">
        <v>0</v>
      </c>
      <c r="AK145" s="550">
        <v>0</v>
      </c>
      <c r="AL145" s="550">
        <v>0</v>
      </c>
      <c r="AM145" s="550">
        <v>0</v>
      </c>
      <c r="AN145" s="550">
        <v>0</v>
      </c>
      <c r="AO145" s="550">
        <v>0</v>
      </c>
      <c r="AP145" s="550">
        <v>0</v>
      </c>
      <c r="AQ145" s="550">
        <v>0</v>
      </c>
      <c r="AR145" s="550">
        <v>0</v>
      </c>
      <c r="AS145" s="550">
        <v>0</v>
      </c>
      <c r="AT145" s="550">
        <v>0</v>
      </c>
      <c r="AU145" s="550">
        <v>0</v>
      </c>
      <c r="AV145" s="550">
        <v>0</v>
      </c>
      <c r="AW145" s="550">
        <v>0</v>
      </c>
      <c r="AX145" s="550">
        <v>0</v>
      </c>
      <c r="AY145" s="550">
        <v>0</v>
      </c>
      <c r="AZ145" s="551">
        <v>0</v>
      </c>
    </row>
    <row r="146" spans="1:52" s="470" customFormat="1">
      <c r="A146" s="486">
        <f>'[4]Allocation Methodology'!A60</f>
        <v>56</v>
      </c>
      <c r="B146" s="522" t="str">
        <f>'[4]Allocation Methodology'!B60</f>
        <v>peaksaver®</v>
      </c>
      <c r="C146" s="487" t="str">
        <f>'[4]Allocation Methodology'!C60</f>
        <v>Consumer, Business</v>
      </c>
      <c r="D146" s="487" t="s">
        <v>58</v>
      </c>
      <c r="E146" s="487">
        <f>'[4]Allocation Methodology'!D60</f>
        <v>2010</v>
      </c>
      <c r="F146" s="488" t="str">
        <f>'[4]Allocation Methodology'!E60</f>
        <v>Final</v>
      </c>
      <c r="G146" s="472"/>
      <c r="H146" s="546">
        <v>0</v>
      </c>
      <c r="I146" s="547">
        <v>0</v>
      </c>
      <c r="J146" s="547">
        <v>0</v>
      </c>
      <c r="K146" s="547">
        <v>0</v>
      </c>
      <c r="L146" s="547">
        <v>0</v>
      </c>
      <c r="M146" s="547">
        <v>0</v>
      </c>
      <c r="N146" s="547">
        <v>0</v>
      </c>
      <c r="O146" s="547">
        <v>0</v>
      </c>
      <c r="P146" s="547">
        <v>0</v>
      </c>
      <c r="Q146" s="547">
        <v>0</v>
      </c>
      <c r="R146" s="547">
        <v>0</v>
      </c>
      <c r="S146" s="547">
        <v>0</v>
      </c>
      <c r="T146" s="547">
        <v>0</v>
      </c>
      <c r="U146" s="547">
        <v>0</v>
      </c>
      <c r="V146" s="547">
        <v>0</v>
      </c>
      <c r="W146" s="547">
        <v>0</v>
      </c>
      <c r="X146" s="547">
        <v>0</v>
      </c>
      <c r="Y146" s="547">
        <v>0</v>
      </c>
      <c r="Z146" s="547">
        <v>0</v>
      </c>
      <c r="AA146" s="547">
        <v>0</v>
      </c>
      <c r="AB146" s="547">
        <v>0</v>
      </c>
      <c r="AC146" s="547">
        <v>0</v>
      </c>
      <c r="AD146" s="547">
        <v>0</v>
      </c>
      <c r="AE146" s="547">
        <v>0</v>
      </c>
      <c r="AF146" s="547">
        <v>0</v>
      </c>
      <c r="AG146" s="547">
        <v>0</v>
      </c>
      <c r="AH146" s="547">
        <v>0</v>
      </c>
      <c r="AI146" s="547">
        <v>0</v>
      </c>
      <c r="AJ146" s="547">
        <v>0</v>
      </c>
      <c r="AK146" s="547">
        <v>0</v>
      </c>
      <c r="AL146" s="547">
        <v>0</v>
      </c>
      <c r="AM146" s="547">
        <v>0</v>
      </c>
      <c r="AN146" s="547">
        <v>0</v>
      </c>
      <c r="AO146" s="547">
        <v>0</v>
      </c>
      <c r="AP146" s="547">
        <v>0</v>
      </c>
      <c r="AQ146" s="547">
        <v>0</v>
      </c>
      <c r="AR146" s="547">
        <v>0</v>
      </c>
      <c r="AS146" s="547">
        <v>0</v>
      </c>
      <c r="AT146" s="547">
        <v>0</v>
      </c>
      <c r="AU146" s="547">
        <v>0</v>
      </c>
      <c r="AV146" s="547">
        <v>0</v>
      </c>
      <c r="AW146" s="547">
        <v>0</v>
      </c>
      <c r="AX146" s="547">
        <v>0</v>
      </c>
      <c r="AY146" s="547">
        <v>0</v>
      </c>
      <c r="AZ146" s="548">
        <v>0</v>
      </c>
    </row>
    <row r="147" spans="1:52" s="470" customFormat="1">
      <c r="A147" s="493">
        <f>'[4]Allocation Methodology'!A61</f>
        <v>57</v>
      </c>
      <c r="B147" s="494" t="str">
        <f>'[4]Allocation Methodology'!B61</f>
        <v>Electricity Retrofit Incentive</v>
      </c>
      <c r="C147" s="494" t="str">
        <f>'[4]Allocation Methodology'!C61</f>
        <v>Consumer, Business</v>
      </c>
      <c r="D147" s="494" t="s">
        <v>480</v>
      </c>
      <c r="E147" s="494">
        <f>'[4]Allocation Methodology'!D61</f>
        <v>2010</v>
      </c>
      <c r="F147" s="495" t="str">
        <f>'[4]Allocation Methodology'!E61</f>
        <v>Final</v>
      </c>
      <c r="G147" s="472"/>
      <c r="H147" s="549">
        <v>0</v>
      </c>
      <c r="I147" s="550">
        <v>0</v>
      </c>
      <c r="J147" s="550">
        <v>0</v>
      </c>
      <c r="K147" s="550">
        <v>0</v>
      </c>
      <c r="L147" s="550">
        <v>240.79429308437139</v>
      </c>
      <c r="M147" s="550">
        <v>240.79429308437139</v>
      </c>
      <c r="N147" s="550">
        <v>240.79429308437139</v>
      </c>
      <c r="O147" s="550">
        <v>240.79429308437139</v>
      </c>
      <c r="P147" s="550">
        <v>240.79429308437139</v>
      </c>
      <c r="Q147" s="550">
        <v>240.79429308437139</v>
      </c>
      <c r="R147" s="550">
        <v>240.79429308437139</v>
      </c>
      <c r="S147" s="550">
        <v>240.79429308437139</v>
      </c>
      <c r="T147" s="550">
        <v>238.20742511927511</v>
      </c>
      <c r="U147" s="550">
        <v>53.893082606184144</v>
      </c>
      <c r="V147" s="550">
        <v>0</v>
      </c>
      <c r="W147" s="550">
        <v>0</v>
      </c>
      <c r="X147" s="550">
        <v>0</v>
      </c>
      <c r="Y147" s="550">
        <v>0</v>
      </c>
      <c r="Z147" s="550">
        <v>0</v>
      </c>
      <c r="AA147" s="550">
        <v>0</v>
      </c>
      <c r="AB147" s="550">
        <v>0</v>
      </c>
      <c r="AC147" s="550">
        <v>0</v>
      </c>
      <c r="AD147" s="550">
        <v>0</v>
      </c>
      <c r="AE147" s="550">
        <v>0</v>
      </c>
      <c r="AF147" s="550">
        <v>0</v>
      </c>
      <c r="AG147" s="550">
        <v>0</v>
      </c>
      <c r="AH147" s="550">
        <v>0</v>
      </c>
      <c r="AI147" s="550">
        <v>0</v>
      </c>
      <c r="AJ147" s="550">
        <v>0</v>
      </c>
      <c r="AK147" s="550">
        <v>0</v>
      </c>
      <c r="AL147" s="550">
        <v>0</v>
      </c>
      <c r="AM147" s="550">
        <v>0</v>
      </c>
      <c r="AN147" s="550">
        <v>0</v>
      </c>
      <c r="AO147" s="550">
        <v>0</v>
      </c>
      <c r="AP147" s="550">
        <v>0</v>
      </c>
      <c r="AQ147" s="550">
        <v>0</v>
      </c>
      <c r="AR147" s="550">
        <v>0</v>
      </c>
      <c r="AS147" s="550">
        <v>0</v>
      </c>
      <c r="AT147" s="550">
        <v>0</v>
      </c>
      <c r="AU147" s="550">
        <v>0</v>
      </c>
      <c r="AV147" s="550">
        <v>0</v>
      </c>
      <c r="AW147" s="550">
        <v>0</v>
      </c>
      <c r="AX147" s="550">
        <v>0</v>
      </c>
      <c r="AY147" s="550">
        <v>0</v>
      </c>
      <c r="AZ147" s="551">
        <v>0</v>
      </c>
    </row>
    <row r="148" spans="1:52" s="470" customFormat="1">
      <c r="A148" s="486">
        <f>'[4]Allocation Methodology'!A62</f>
        <v>58</v>
      </c>
      <c r="B148" s="487" t="str">
        <f>'[4]Allocation Methodology'!B62</f>
        <v>Toronto Comprehensive</v>
      </c>
      <c r="C148" s="487" t="str">
        <f>'[4]Allocation Methodology'!C62</f>
        <v>Consumer, Consumer Low-Income, Business, Industrial</v>
      </c>
      <c r="D148" s="487" t="s">
        <v>58</v>
      </c>
      <c r="E148" s="487">
        <f>'[4]Allocation Methodology'!D62</f>
        <v>2010</v>
      </c>
      <c r="F148" s="488" t="str">
        <f>'[4]Allocation Methodology'!E62</f>
        <v>Final</v>
      </c>
      <c r="G148" s="472"/>
      <c r="H148" s="546">
        <v>0</v>
      </c>
      <c r="I148" s="547">
        <v>0</v>
      </c>
      <c r="J148" s="547">
        <v>0</v>
      </c>
      <c r="K148" s="547">
        <v>0</v>
      </c>
      <c r="L148" s="547">
        <v>0</v>
      </c>
      <c r="M148" s="547">
        <v>0</v>
      </c>
      <c r="N148" s="547">
        <v>0</v>
      </c>
      <c r="O148" s="547">
        <v>0</v>
      </c>
      <c r="P148" s="547">
        <v>0</v>
      </c>
      <c r="Q148" s="547">
        <v>0</v>
      </c>
      <c r="R148" s="547">
        <v>0</v>
      </c>
      <c r="S148" s="547">
        <v>0</v>
      </c>
      <c r="T148" s="547">
        <v>0</v>
      </c>
      <c r="U148" s="547">
        <v>0</v>
      </c>
      <c r="V148" s="547">
        <v>0</v>
      </c>
      <c r="W148" s="547">
        <v>0</v>
      </c>
      <c r="X148" s="547">
        <v>0</v>
      </c>
      <c r="Y148" s="547">
        <v>0</v>
      </c>
      <c r="Z148" s="547">
        <v>0</v>
      </c>
      <c r="AA148" s="547">
        <v>0</v>
      </c>
      <c r="AB148" s="547">
        <v>0</v>
      </c>
      <c r="AC148" s="547">
        <v>0</v>
      </c>
      <c r="AD148" s="547">
        <v>0</v>
      </c>
      <c r="AE148" s="547">
        <v>0</v>
      </c>
      <c r="AF148" s="547">
        <v>0</v>
      </c>
      <c r="AG148" s="547">
        <v>0</v>
      </c>
      <c r="AH148" s="547">
        <v>0</v>
      </c>
      <c r="AI148" s="547">
        <v>0</v>
      </c>
      <c r="AJ148" s="547">
        <v>0</v>
      </c>
      <c r="AK148" s="547">
        <v>0</v>
      </c>
      <c r="AL148" s="547">
        <v>0</v>
      </c>
      <c r="AM148" s="547">
        <v>0</v>
      </c>
      <c r="AN148" s="547">
        <v>0</v>
      </c>
      <c r="AO148" s="547">
        <v>0</v>
      </c>
      <c r="AP148" s="547">
        <v>0</v>
      </c>
      <c r="AQ148" s="547">
        <v>0</v>
      </c>
      <c r="AR148" s="547">
        <v>0</v>
      </c>
      <c r="AS148" s="547">
        <v>0</v>
      </c>
      <c r="AT148" s="547">
        <v>0</v>
      </c>
      <c r="AU148" s="547">
        <v>0</v>
      </c>
      <c r="AV148" s="547">
        <v>0</v>
      </c>
      <c r="AW148" s="547">
        <v>0</v>
      </c>
      <c r="AX148" s="547">
        <v>0</v>
      </c>
      <c r="AY148" s="547">
        <v>0</v>
      </c>
      <c r="AZ148" s="548">
        <v>0</v>
      </c>
    </row>
    <row r="149" spans="1:52" s="470" customFormat="1">
      <c r="A149" s="493">
        <f>'[4]Allocation Methodology'!A63</f>
        <v>59</v>
      </c>
      <c r="B149" s="494" t="str">
        <f>'[4]Allocation Methodology'!B63</f>
        <v>High Performance New Construction</v>
      </c>
      <c r="C149" s="494" t="str">
        <f>'[4]Allocation Methodology'!C63</f>
        <v>Business</v>
      </c>
      <c r="D149" s="494" t="s">
        <v>480</v>
      </c>
      <c r="E149" s="494">
        <f>'[4]Allocation Methodology'!D63</f>
        <v>2010</v>
      </c>
      <c r="F149" s="495" t="str">
        <f>'[4]Allocation Methodology'!E63</f>
        <v>Final</v>
      </c>
      <c r="G149" s="472"/>
      <c r="H149" s="549">
        <v>0</v>
      </c>
      <c r="I149" s="550">
        <v>0</v>
      </c>
      <c r="J149" s="550">
        <v>0</v>
      </c>
      <c r="K149" s="550">
        <v>0</v>
      </c>
      <c r="L149" s="550">
        <v>196.16017213547786</v>
      </c>
      <c r="M149" s="550">
        <v>196.16017213547786</v>
      </c>
      <c r="N149" s="550">
        <v>196.16017213547786</v>
      </c>
      <c r="O149" s="550">
        <v>196.16017213547786</v>
      </c>
      <c r="P149" s="550">
        <v>196.16017213547786</v>
      </c>
      <c r="Q149" s="550">
        <v>196.16017213547786</v>
      </c>
      <c r="R149" s="550">
        <v>196.16017213547786</v>
      </c>
      <c r="S149" s="550">
        <v>196.16017213547786</v>
      </c>
      <c r="T149" s="550">
        <v>196.16017213547786</v>
      </c>
      <c r="U149" s="550">
        <v>196.16017213547786</v>
      </c>
      <c r="V149" s="550">
        <v>196.16017213547786</v>
      </c>
      <c r="W149" s="550">
        <v>196.16017213547786</v>
      </c>
      <c r="X149" s="550">
        <v>196.16017213547786</v>
      </c>
      <c r="Y149" s="550">
        <v>196.16017213547786</v>
      </c>
      <c r="Z149" s="550">
        <v>196.16017213547786</v>
      </c>
      <c r="AA149" s="550">
        <v>196.16017213547786</v>
      </c>
      <c r="AB149" s="550">
        <v>196.16017213547786</v>
      </c>
      <c r="AC149" s="550">
        <v>196.16017213547786</v>
      </c>
      <c r="AD149" s="550">
        <v>196.16017213547786</v>
      </c>
      <c r="AE149" s="550">
        <v>196.16017213547786</v>
      </c>
      <c r="AF149" s="550">
        <v>0</v>
      </c>
      <c r="AG149" s="550">
        <v>0</v>
      </c>
      <c r="AH149" s="550">
        <v>0</v>
      </c>
      <c r="AI149" s="550">
        <v>0</v>
      </c>
      <c r="AJ149" s="550">
        <v>0</v>
      </c>
      <c r="AK149" s="550">
        <v>0</v>
      </c>
      <c r="AL149" s="550">
        <v>0</v>
      </c>
      <c r="AM149" s="550">
        <v>0</v>
      </c>
      <c r="AN149" s="550">
        <v>0</v>
      </c>
      <c r="AO149" s="550">
        <v>0</v>
      </c>
      <c r="AP149" s="550">
        <v>0</v>
      </c>
      <c r="AQ149" s="550">
        <v>0</v>
      </c>
      <c r="AR149" s="550">
        <v>0</v>
      </c>
      <c r="AS149" s="550">
        <v>0</v>
      </c>
      <c r="AT149" s="550">
        <v>0</v>
      </c>
      <c r="AU149" s="550">
        <v>0</v>
      </c>
      <c r="AV149" s="550">
        <v>0</v>
      </c>
      <c r="AW149" s="550">
        <v>0</v>
      </c>
      <c r="AX149" s="550">
        <v>0</v>
      </c>
      <c r="AY149" s="550">
        <v>0</v>
      </c>
      <c r="AZ149" s="551">
        <v>0</v>
      </c>
    </row>
    <row r="150" spans="1:52" s="470" customFormat="1">
      <c r="A150" s="486">
        <f>'[4]Allocation Methodology'!A64</f>
        <v>60</v>
      </c>
      <c r="B150" s="487" t="str">
        <f>'[4]Allocation Methodology'!B64</f>
        <v>Power Savings Blitz</v>
      </c>
      <c r="C150" s="487" t="str">
        <f>'[4]Allocation Methodology'!C64</f>
        <v>Business</v>
      </c>
      <c r="D150" s="487" t="s">
        <v>486</v>
      </c>
      <c r="E150" s="487">
        <f>'[4]Allocation Methodology'!D64</f>
        <v>2010</v>
      </c>
      <c r="F150" s="488" t="str">
        <f>'[4]Allocation Methodology'!E64</f>
        <v>Final</v>
      </c>
      <c r="G150" s="472"/>
      <c r="H150" s="546">
        <v>0</v>
      </c>
      <c r="I150" s="547">
        <v>0</v>
      </c>
      <c r="J150" s="547">
        <v>0</v>
      </c>
      <c r="K150" s="547">
        <v>0</v>
      </c>
      <c r="L150" s="547">
        <v>539.41236895018005</v>
      </c>
      <c r="M150" s="547">
        <v>539.41236895018005</v>
      </c>
      <c r="N150" s="547">
        <v>539.41236895018005</v>
      </c>
      <c r="O150" s="547">
        <v>539.41236895018005</v>
      </c>
      <c r="P150" s="547">
        <v>539.41236895018005</v>
      </c>
      <c r="Q150" s="547">
        <v>539.41236895018005</v>
      </c>
      <c r="R150" s="547">
        <v>539.41236895018005</v>
      </c>
      <c r="S150" s="547">
        <v>364.05128221036796</v>
      </c>
      <c r="T150" s="547">
        <v>0</v>
      </c>
      <c r="U150" s="547">
        <v>0</v>
      </c>
      <c r="V150" s="547">
        <v>0</v>
      </c>
      <c r="W150" s="547">
        <v>0</v>
      </c>
      <c r="X150" s="547">
        <v>0</v>
      </c>
      <c r="Y150" s="547">
        <v>0</v>
      </c>
      <c r="Z150" s="547">
        <v>0</v>
      </c>
      <c r="AA150" s="547">
        <v>0</v>
      </c>
      <c r="AB150" s="547">
        <v>0</v>
      </c>
      <c r="AC150" s="547">
        <v>0</v>
      </c>
      <c r="AD150" s="547">
        <v>0</v>
      </c>
      <c r="AE150" s="547">
        <v>0</v>
      </c>
      <c r="AF150" s="547">
        <v>0</v>
      </c>
      <c r="AG150" s="547">
        <v>0</v>
      </c>
      <c r="AH150" s="547">
        <v>0</v>
      </c>
      <c r="AI150" s="547">
        <v>0</v>
      </c>
      <c r="AJ150" s="547">
        <v>0</v>
      </c>
      <c r="AK150" s="547">
        <v>0</v>
      </c>
      <c r="AL150" s="547">
        <v>0</v>
      </c>
      <c r="AM150" s="547">
        <v>0</v>
      </c>
      <c r="AN150" s="547">
        <v>0</v>
      </c>
      <c r="AO150" s="547">
        <v>0</v>
      </c>
      <c r="AP150" s="547">
        <v>0</v>
      </c>
      <c r="AQ150" s="547">
        <v>0</v>
      </c>
      <c r="AR150" s="547">
        <v>0</v>
      </c>
      <c r="AS150" s="547">
        <v>0</v>
      </c>
      <c r="AT150" s="547">
        <v>0</v>
      </c>
      <c r="AU150" s="547">
        <v>0</v>
      </c>
      <c r="AV150" s="547">
        <v>0</v>
      </c>
      <c r="AW150" s="547">
        <v>0</v>
      </c>
      <c r="AX150" s="547">
        <v>0</v>
      </c>
      <c r="AY150" s="547">
        <v>0</v>
      </c>
      <c r="AZ150" s="548">
        <v>0</v>
      </c>
    </row>
    <row r="151" spans="1:52" s="470" customFormat="1">
      <c r="A151" s="493">
        <f>'[4]Allocation Methodology'!A65</f>
        <v>61</v>
      </c>
      <c r="B151" s="494" t="str">
        <f>'[4]Allocation Methodology'!B65</f>
        <v>Multi-Family Energy Efficiency Rebates</v>
      </c>
      <c r="C151" s="494" t="str">
        <f>'[4]Allocation Methodology'!C65</f>
        <v>Consumer, Consumer Low-Income</v>
      </c>
      <c r="D151" s="494" t="s">
        <v>17</v>
      </c>
      <c r="E151" s="494">
        <f>'[4]Allocation Methodology'!D65</f>
        <v>2010</v>
      </c>
      <c r="F151" s="495" t="str">
        <f>'[4]Allocation Methodology'!E65</f>
        <v>Final</v>
      </c>
      <c r="G151" s="472"/>
      <c r="H151" s="549">
        <v>0</v>
      </c>
      <c r="I151" s="550">
        <v>0</v>
      </c>
      <c r="J151" s="550">
        <v>0</v>
      </c>
      <c r="K151" s="550">
        <v>0</v>
      </c>
      <c r="L151" s="550">
        <v>99.460353780097165</v>
      </c>
      <c r="M151" s="550">
        <v>99.460353780097165</v>
      </c>
      <c r="N151" s="550">
        <v>99.460353780097165</v>
      </c>
      <c r="O151" s="550">
        <v>99.460353780097165</v>
      </c>
      <c r="P151" s="550">
        <v>99.460353780097165</v>
      </c>
      <c r="Q151" s="550">
        <v>99.460353780097165</v>
      </c>
      <c r="R151" s="550">
        <v>99.460353780097165</v>
      </c>
      <c r="S151" s="550">
        <v>99.460353780097165</v>
      </c>
      <c r="T151" s="550">
        <v>99.460353780097165</v>
      </c>
      <c r="U151" s="550">
        <v>8.8903109524138273</v>
      </c>
      <c r="V151" s="550">
        <v>0</v>
      </c>
      <c r="W151" s="550">
        <v>0</v>
      </c>
      <c r="X151" s="550">
        <v>0</v>
      </c>
      <c r="Y151" s="550">
        <v>0</v>
      </c>
      <c r="Z151" s="550">
        <v>0</v>
      </c>
      <c r="AA151" s="550">
        <v>0</v>
      </c>
      <c r="AB151" s="550">
        <v>0</v>
      </c>
      <c r="AC151" s="550">
        <v>0</v>
      </c>
      <c r="AD151" s="550">
        <v>0</v>
      </c>
      <c r="AE151" s="550">
        <v>0</v>
      </c>
      <c r="AF151" s="550">
        <v>0</v>
      </c>
      <c r="AG151" s="550">
        <v>0</v>
      </c>
      <c r="AH151" s="550">
        <v>0</v>
      </c>
      <c r="AI151" s="550">
        <v>0</v>
      </c>
      <c r="AJ151" s="550">
        <v>0</v>
      </c>
      <c r="AK151" s="550">
        <v>0</v>
      </c>
      <c r="AL151" s="550">
        <v>0</v>
      </c>
      <c r="AM151" s="550">
        <v>0</v>
      </c>
      <c r="AN151" s="550">
        <v>0</v>
      </c>
      <c r="AO151" s="550">
        <v>0</v>
      </c>
      <c r="AP151" s="550">
        <v>0</v>
      </c>
      <c r="AQ151" s="550">
        <v>0</v>
      </c>
      <c r="AR151" s="550">
        <v>0</v>
      </c>
      <c r="AS151" s="550">
        <v>0</v>
      </c>
      <c r="AT151" s="550">
        <v>0</v>
      </c>
      <c r="AU151" s="550">
        <v>0</v>
      </c>
      <c r="AV151" s="550">
        <v>0</v>
      </c>
      <c r="AW151" s="550">
        <v>0</v>
      </c>
      <c r="AX151" s="550">
        <v>0</v>
      </c>
      <c r="AY151" s="550">
        <v>0</v>
      </c>
      <c r="AZ151" s="551">
        <v>0</v>
      </c>
    </row>
    <row r="152" spans="1:52" s="470" customFormat="1">
      <c r="A152" s="486">
        <f>'[4]Allocation Methodology'!A66</f>
        <v>62</v>
      </c>
      <c r="B152" s="487" t="str">
        <f>'[4]Allocation Methodology'!B66</f>
        <v>Demand Response 2</v>
      </c>
      <c r="C152" s="487" t="str">
        <f>'[4]Allocation Methodology'!C66</f>
        <v>Business, Industrial</v>
      </c>
      <c r="D152" s="487" t="s">
        <v>480</v>
      </c>
      <c r="E152" s="487">
        <f>'[4]Allocation Methodology'!D66</f>
        <v>2010</v>
      </c>
      <c r="F152" s="488" t="str">
        <f>'[4]Allocation Methodology'!E66</f>
        <v>Final</v>
      </c>
      <c r="G152" s="472"/>
      <c r="H152" s="546">
        <v>0</v>
      </c>
      <c r="I152" s="547">
        <v>0</v>
      </c>
      <c r="J152" s="547">
        <v>0</v>
      </c>
      <c r="K152" s="547">
        <v>0</v>
      </c>
      <c r="L152" s="547">
        <v>927.03949446998331</v>
      </c>
      <c r="M152" s="547">
        <v>0</v>
      </c>
      <c r="N152" s="547">
        <v>0</v>
      </c>
      <c r="O152" s="547">
        <v>0</v>
      </c>
      <c r="P152" s="547">
        <v>0</v>
      </c>
      <c r="Q152" s="547">
        <v>0</v>
      </c>
      <c r="R152" s="547">
        <v>0</v>
      </c>
      <c r="S152" s="547">
        <v>0</v>
      </c>
      <c r="T152" s="547">
        <v>0</v>
      </c>
      <c r="U152" s="547">
        <v>0</v>
      </c>
      <c r="V152" s="547">
        <v>0</v>
      </c>
      <c r="W152" s="547">
        <v>0</v>
      </c>
      <c r="X152" s="547">
        <v>0</v>
      </c>
      <c r="Y152" s="547">
        <v>0</v>
      </c>
      <c r="Z152" s="547">
        <v>0</v>
      </c>
      <c r="AA152" s="547">
        <v>0</v>
      </c>
      <c r="AB152" s="547">
        <v>0</v>
      </c>
      <c r="AC152" s="547">
        <v>0</v>
      </c>
      <c r="AD152" s="547">
        <v>0</v>
      </c>
      <c r="AE152" s="547">
        <v>0</v>
      </c>
      <c r="AF152" s="547">
        <v>0</v>
      </c>
      <c r="AG152" s="547">
        <v>0</v>
      </c>
      <c r="AH152" s="547">
        <v>0</v>
      </c>
      <c r="AI152" s="547">
        <v>0</v>
      </c>
      <c r="AJ152" s="547">
        <v>0</v>
      </c>
      <c r="AK152" s="547">
        <v>0</v>
      </c>
      <c r="AL152" s="547">
        <v>0</v>
      </c>
      <c r="AM152" s="547">
        <v>0</v>
      </c>
      <c r="AN152" s="547">
        <v>0</v>
      </c>
      <c r="AO152" s="547">
        <v>0</v>
      </c>
      <c r="AP152" s="547">
        <v>0</v>
      </c>
      <c r="AQ152" s="547">
        <v>0</v>
      </c>
      <c r="AR152" s="547">
        <v>0</v>
      </c>
      <c r="AS152" s="547">
        <v>0</v>
      </c>
      <c r="AT152" s="547">
        <v>0</v>
      </c>
      <c r="AU152" s="547">
        <v>0</v>
      </c>
      <c r="AV152" s="547">
        <v>0</v>
      </c>
      <c r="AW152" s="547">
        <v>0</v>
      </c>
      <c r="AX152" s="547">
        <v>0</v>
      </c>
      <c r="AY152" s="547">
        <v>0</v>
      </c>
      <c r="AZ152" s="548">
        <v>0</v>
      </c>
    </row>
    <row r="153" spans="1:52" s="470" customFormat="1">
      <c r="A153" s="493">
        <f>'[4]Allocation Methodology'!A67</f>
        <v>63</v>
      </c>
      <c r="B153" s="494" t="str">
        <f>'[4]Allocation Methodology'!B67</f>
        <v>Demand Response 3</v>
      </c>
      <c r="C153" s="494" t="str">
        <f>'[4]Allocation Methodology'!C67</f>
        <v>Business, Industrial</v>
      </c>
      <c r="D153" s="494" t="s">
        <v>480</v>
      </c>
      <c r="E153" s="494">
        <f>'[4]Allocation Methodology'!D67</f>
        <v>2010</v>
      </c>
      <c r="F153" s="495" t="str">
        <f>'[4]Allocation Methodology'!E67</f>
        <v>Final</v>
      </c>
      <c r="G153" s="472"/>
      <c r="H153" s="549">
        <v>0</v>
      </c>
      <c r="I153" s="550">
        <v>0</v>
      </c>
      <c r="J153" s="550">
        <v>0</v>
      </c>
      <c r="K153" s="550">
        <v>0</v>
      </c>
      <c r="L153" s="550">
        <v>32.85625239207058</v>
      </c>
      <c r="M153" s="550">
        <v>0</v>
      </c>
      <c r="N153" s="550">
        <v>0</v>
      </c>
      <c r="O153" s="550">
        <v>0</v>
      </c>
      <c r="P153" s="550">
        <v>0</v>
      </c>
      <c r="Q153" s="550">
        <v>0</v>
      </c>
      <c r="R153" s="550">
        <v>0</v>
      </c>
      <c r="S153" s="550">
        <v>0</v>
      </c>
      <c r="T153" s="550">
        <v>0</v>
      </c>
      <c r="U153" s="550">
        <v>0</v>
      </c>
      <c r="V153" s="550">
        <v>0</v>
      </c>
      <c r="W153" s="550">
        <v>0</v>
      </c>
      <c r="X153" s="550">
        <v>0</v>
      </c>
      <c r="Y153" s="550">
        <v>0</v>
      </c>
      <c r="Z153" s="550">
        <v>0</v>
      </c>
      <c r="AA153" s="550">
        <v>0</v>
      </c>
      <c r="AB153" s="550">
        <v>0</v>
      </c>
      <c r="AC153" s="550">
        <v>0</v>
      </c>
      <c r="AD153" s="550">
        <v>0</v>
      </c>
      <c r="AE153" s="550">
        <v>0</v>
      </c>
      <c r="AF153" s="550">
        <v>0</v>
      </c>
      <c r="AG153" s="550">
        <v>0</v>
      </c>
      <c r="AH153" s="550">
        <v>0</v>
      </c>
      <c r="AI153" s="550">
        <v>0</v>
      </c>
      <c r="AJ153" s="550">
        <v>0</v>
      </c>
      <c r="AK153" s="550">
        <v>0</v>
      </c>
      <c r="AL153" s="550">
        <v>0</v>
      </c>
      <c r="AM153" s="550">
        <v>0</v>
      </c>
      <c r="AN153" s="550">
        <v>0</v>
      </c>
      <c r="AO153" s="550">
        <v>0</v>
      </c>
      <c r="AP153" s="550">
        <v>0</v>
      </c>
      <c r="AQ153" s="550">
        <v>0</v>
      </c>
      <c r="AR153" s="550">
        <v>0</v>
      </c>
      <c r="AS153" s="550">
        <v>0</v>
      </c>
      <c r="AT153" s="550">
        <v>0</v>
      </c>
      <c r="AU153" s="550">
        <v>0</v>
      </c>
      <c r="AV153" s="550">
        <v>0</v>
      </c>
      <c r="AW153" s="550">
        <v>0</v>
      </c>
      <c r="AX153" s="550">
        <v>0</v>
      </c>
      <c r="AY153" s="550">
        <v>0</v>
      </c>
      <c r="AZ153" s="551">
        <v>0</v>
      </c>
    </row>
    <row r="154" spans="1:52" s="470" customFormat="1">
      <c r="A154" s="486">
        <f>'[4]Allocation Methodology'!A68</f>
        <v>64</v>
      </c>
      <c r="B154" s="487" t="str">
        <f>'[4]Allocation Methodology'!B68</f>
        <v>Loblaw &amp; York Region Demand Response</v>
      </c>
      <c r="C154" s="487" t="str">
        <f>'[4]Allocation Methodology'!C68</f>
        <v>Business, Industrial</v>
      </c>
      <c r="D154" s="487" t="s">
        <v>480</v>
      </c>
      <c r="E154" s="487">
        <f>'[4]Allocation Methodology'!D68</f>
        <v>2010</v>
      </c>
      <c r="F154" s="488" t="str">
        <f>'[4]Allocation Methodology'!E68</f>
        <v>Final</v>
      </c>
      <c r="G154" s="472"/>
      <c r="H154" s="546">
        <v>0</v>
      </c>
      <c r="I154" s="547">
        <v>0</v>
      </c>
      <c r="J154" s="547">
        <v>0</v>
      </c>
      <c r="K154" s="547">
        <v>0</v>
      </c>
      <c r="L154" s="547">
        <v>0</v>
      </c>
      <c r="M154" s="547">
        <v>0</v>
      </c>
      <c r="N154" s="547">
        <v>0</v>
      </c>
      <c r="O154" s="547">
        <v>0</v>
      </c>
      <c r="P154" s="547">
        <v>0</v>
      </c>
      <c r="Q154" s="547">
        <v>0</v>
      </c>
      <c r="R154" s="547">
        <v>0</v>
      </c>
      <c r="S154" s="547">
        <v>0</v>
      </c>
      <c r="T154" s="547">
        <v>0</v>
      </c>
      <c r="U154" s="547">
        <v>0</v>
      </c>
      <c r="V154" s="547">
        <v>0</v>
      </c>
      <c r="W154" s="547">
        <v>0</v>
      </c>
      <c r="X154" s="547">
        <v>0</v>
      </c>
      <c r="Y154" s="547">
        <v>0</v>
      </c>
      <c r="Z154" s="547">
        <v>0</v>
      </c>
      <c r="AA154" s="547">
        <v>0</v>
      </c>
      <c r="AB154" s="547">
        <v>0</v>
      </c>
      <c r="AC154" s="547">
        <v>0</v>
      </c>
      <c r="AD154" s="547">
        <v>0</v>
      </c>
      <c r="AE154" s="547">
        <v>0</v>
      </c>
      <c r="AF154" s="547">
        <v>0</v>
      </c>
      <c r="AG154" s="547">
        <v>0</v>
      </c>
      <c r="AH154" s="547">
        <v>0</v>
      </c>
      <c r="AI154" s="547">
        <v>0</v>
      </c>
      <c r="AJ154" s="547">
        <v>0</v>
      </c>
      <c r="AK154" s="547">
        <v>0</v>
      </c>
      <c r="AL154" s="547">
        <v>0</v>
      </c>
      <c r="AM154" s="547">
        <v>0</v>
      </c>
      <c r="AN154" s="547">
        <v>0</v>
      </c>
      <c r="AO154" s="547">
        <v>0</v>
      </c>
      <c r="AP154" s="547">
        <v>0</v>
      </c>
      <c r="AQ154" s="547">
        <v>0</v>
      </c>
      <c r="AR154" s="547">
        <v>0</v>
      </c>
      <c r="AS154" s="547">
        <v>0</v>
      </c>
      <c r="AT154" s="547">
        <v>0</v>
      </c>
      <c r="AU154" s="547">
        <v>0</v>
      </c>
      <c r="AV154" s="547">
        <v>0</v>
      </c>
      <c r="AW154" s="547">
        <v>0</v>
      </c>
      <c r="AX154" s="547">
        <v>0</v>
      </c>
      <c r="AY154" s="547">
        <v>0</v>
      </c>
      <c r="AZ154" s="548">
        <v>0</v>
      </c>
    </row>
    <row r="155" spans="1:52" s="470" customFormat="1">
      <c r="A155" s="500">
        <f>'[4]Allocation Methodology'!A69</f>
        <v>65</v>
      </c>
      <c r="B155" s="501" t="str">
        <f>'[4]Allocation Methodology'!B69</f>
        <v>LDC Custom - Hydro Ottawa - Small Commercial Demand Response</v>
      </c>
      <c r="C155" s="501" t="str">
        <f>'[4]Allocation Methodology'!C69</f>
        <v>Consumer</v>
      </c>
      <c r="D155" s="501" t="s">
        <v>58</v>
      </c>
      <c r="E155" s="501">
        <f>'[4]Allocation Methodology'!D69</f>
        <v>2010</v>
      </c>
      <c r="F155" s="502" t="str">
        <f>'[4]Allocation Methodology'!E69</f>
        <v>Final</v>
      </c>
      <c r="G155" s="472"/>
      <c r="H155" s="552">
        <v>0</v>
      </c>
      <c r="I155" s="553">
        <v>0</v>
      </c>
      <c r="J155" s="553">
        <v>0</v>
      </c>
      <c r="K155" s="553">
        <v>0</v>
      </c>
      <c r="L155" s="553">
        <v>0</v>
      </c>
      <c r="M155" s="553">
        <v>0</v>
      </c>
      <c r="N155" s="553">
        <v>0</v>
      </c>
      <c r="O155" s="553">
        <v>0</v>
      </c>
      <c r="P155" s="553">
        <v>0</v>
      </c>
      <c r="Q155" s="553">
        <v>0</v>
      </c>
      <c r="R155" s="553">
        <v>0</v>
      </c>
      <c r="S155" s="553">
        <v>0</v>
      </c>
      <c r="T155" s="553">
        <v>0</v>
      </c>
      <c r="U155" s="553">
        <v>0</v>
      </c>
      <c r="V155" s="553">
        <v>0</v>
      </c>
      <c r="W155" s="553">
        <v>0</v>
      </c>
      <c r="X155" s="553">
        <v>0</v>
      </c>
      <c r="Y155" s="553">
        <v>0</v>
      </c>
      <c r="Z155" s="553">
        <v>0</v>
      </c>
      <c r="AA155" s="553">
        <v>0</v>
      </c>
      <c r="AB155" s="553">
        <v>0</v>
      </c>
      <c r="AC155" s="553">
        <v>0</v>
      </c>
      <c r="AD155" s="553">
        <v>0</v>
      </c>
      <c r="AE155" s="553">
        <v>0</v>
      </c>
      <c r="AF155" s="553">
        <v>0</v>
      </c>
      <c r="AG155" s="553">
        <v>0</v>
      </c>
      <c r="AH155" s="553">
        <v>0</v>
      </c>
      <c r="AI155" s="553">
        <v>0</v>
      </c>
      <c r="AJ155" s="553">
        <v>0</v>
      </c>
      <c r="AK155" s="553">
        <v>0</v>
      </c>
      <c r="AL155" s="553">
        <v>0</v>
      </c>
      <c r="AM155" s="553">
        <v>0</v>
      </c>
      <c r="AN155" s="553">
        <v>0</v>
      </c>
      <c r="AO155" s="553">
        <v>0</v>
      </c>
      <c r="AP155" s="553">
        <v>0</v>
      </c>
      <c r="AQ155" s="553">
        <v>0</v>
      </c>
      <c r="AR155" s="553">
        <v>0</v>
      </c>
      <c r="AS155" s="553">
        <v>0</v>
      </c>
      <c r="AT155" s="553">
        <v>0</v>
      </c>
      <c r="AU155" s="553">
        <v>0</v>
      </c>
      <c r="AV155" s="553">
        <v>0</v>
      </c>
      <c r="AW155" s="553">
        <v>0</v>
      </c>
      <c r="AX155" s="553">
        <v>0</v>
      </c>
      <c r="AY155" s="553">
        <v>0</v>
      </c>
      <c r="AZ155" s="554">
        <v>0</v>
      </c>
    </row>
    <row r="156" spans="1:52" s="470" customFormat="1" ht="4.5" customHeight="1">
      <c r="A156" s="478"/>
      <c r="B156" s="478"/>
      <c r="C156" s="478"/>
      <c r="D156" s="478"/>
      <c r="E156" s="478"/>
      <c r="F156" s="478"/>
      <c r="G156" s="468"/>
      <c r="H156" s="469"/>
      <c r="I156" s="469"/>
      <c r="J156" s="469"/>
      <c r="K156" s="469"/>
      <c r="L156" s="469"/>
      <c r="M156" s="469"/>
      <c r="N156" s="469"/>
      <c r="O156" s="469"/>
      <c r="P156" s="469"/>
      <c r="Q156" s="469"/>
      <c r="R156" s="469"/>
      <c r="S156" s="469"/>
      <c r="T156" s="469"/>
      <c r="U156" s="469"/>
      <c r="V156" s="469"/>
      <c r="W156" s="469"/>
      <c r="X156" s="469"/>
      <c r="Y156" s="469"/>
      <c r="Z156" s="469"/>
      <c r="AA156" s="469"/>
      <c r="AB156" s="469"/>
      <c r="AC156" s="469"/>
      <c r="AD156" s="469"/>
      <c r="AE156" s="469"/>
      <c r="AF156" s="469"/>
      <c r="AG156" s="469"/>
      <c r="AH156" s="469"/>
      <c r="AI156" s="469"/>
      <c r="AJ156" s="469"/>
      <c r="AK156" s="469"/>
      <c r="AL156" s="469"/>
      <c r="AM156" s="469"/>
      <c r="AN156" s="469"/>
      <c r="AO156" s="469"/>
      <c r="AP156" s="469"/>
      <c r="AQ156" s="469"/>
      <c r="AR156" s="469"/>
      <c r="AS156" s="469"/>
      <c r="AT156" s="469"/>
      <c r="AU156" s="469"/>
      <c r="AV156" s="469"/>
      <c r="AW156" s="469"/>
      <c r="AX156" s="469"/>
      <c r="AY156" s="469"/>
      <c r="AZ156" s="469"/>
    </row>
    <row r="157" spans="1:52" s="470" customFormat="1">
      <c r="A157" s="530" t="s">
        <v>510</v>
      </c>
      <c r="B157" s="531"/>
      <c r="C157" s="531"/>
      <c r="D157" s="531"/>
      <c r="E157" s="531"/>
      <c r="F157" s="532"/>
      <c r="G157" s="468"/>
      <c r="H157" s="564">
        <f>SUM(H91:H95)</f>
        <v>1876.2385343674682</v>
      </c>
      <c r="I157" s="564">
        <f t="shared" ref="I157:AZ157" si="9">SUM(I91:I95)</f>
        <v>1876.2385343674682</v>
      </c>
      <c r="J157" s="564">
        <f t="shared" si="9"/>
        <v>1876.2385343674682</v>
      </c>
      <c r="K157" s="564">
        <f t="shared" si="9"/>
        <v>1876.2385343674682</v>
      </c>
      <c r="L157" s="564">
        <f t="shared" si="9"/>
        <v>325.86108871312388</v>
      </c>
      <c r="M157" s="564">
        <f t="shared" si="9"/>
        <v>325.86108871312388</v>
      </c>
      <c r="N157" s="564">
        <f t="shared" si="9"/>
        <v>298.07417858510252</v>
      </c>
      <c r="O157" s="564">
        <f t="shared" si="9"/>
        <v>298.07417858510252</v>
      </c>
      <c r="P157" s="564">
        <f t="shared" si="9"/>
        <v>280.08661628025726</v>
      </c>
      <c r="Q157" s="564">
        <f t="shared" si="9"/>
        <v>280.08661628025726</v>
      </c>
      <c r="R157" s="564">
        <f t="shared" si="9"/>
        <v>264.62007142002858</v>
      </c>
      <c r="S157" s="564">
        <f t="shared" si="9"/>
        <v>264.62007142002858</v>
      </c>
      <c r="T157" s="564">
        <f t="shared" si="9"/>
        <v>264.62007142002858</v>
      </c>
      <c r="U157" s="564">
        <f t="shared" si="9"/>
        <v>264.62007142002858</v>
      </c>
      <c r="V157" s="564">
        <f t="shared" si="9"/>
        <v>239.53084868008426</v>
      </c>
      <c r="W157" s="564">
        <f t="shared" si="9"/>
        <v>208.20386577741664</v>
      </c>
      <c r="X157" s="564">
        <f t="shared" si="9"/>
        <v>208.20386577741664</v>
      </c>
      <c r="Y157" s="564">
        <f t="shared" si="9"/>
        <v>208.20386577741664</v>
      </c>
      <c r="Z157" s="564">
        <f t="shared" si="9"/>
        <v>112.49868174790195</v>
      </c>
      <c r="AA157" s="564">
        <f t="shared" si="9"/>
        <v>112.49868174790195</v>
      </c>
      <c r="AB157" s="564">
        <f t="shared" si="9"/>
        <v>65.642743632997878</v>
      </c>
      <c r="AC157" s="564">
        <f t="shared" si="9"/>
        <v>65.642743632997878</v>
      </c>
      <c r="AD157" s="564">
        <f t="shared" si="9"/>
        <v>65.642743632997878</v>
      </c>
      <c r="AE157" s="564">
        <f t="shared" si="9"/>
        <v>65.642743632997878</v>
      </c>
      <c r="AF157" s="564">
        <f t="shared" si="9"/>
        <v>65.642743632997878</v>
      </c>
      <c r="AG157" s="564">
        <f t="shared" si="9"/>
        <v>10.651235022659334</v>
      </c>
      <c r="AH157" s="564">
        <f t="shared" si="9"/>
        <v>10.651235022659334</v>
      </c>
      <c r="AI157" s="564">
        <f t="shared" si="9"/>
        <v>10.651235022659334</v>
      </c>
      <c r="AJ157" s="564">
        <f t="shared" si="9"/>
        <v>10.651235022659334</v>
      </c>
      <c r="AK157" s="564">
        <f t="shared" si="9"/>
        <v>10.651235022659334</v>
      </c>
      <c r="AL157" s="564">
        <f t="shared" si="9"/>
        <v>0</v>
      </c>
      <c r="AM157" s="564">
        <f t="shared" si="9"/>
        <v>0</v>
      </c>
      <c r="AN157" s="564">
        <f t="shared" si="9"/>
        <v>0</v>
      </c>
      <c r="AO157" s="564">
        <f t="shared" si="9"/>
        <v>0</v>
      </c>
      <c r="AP157" s="564">
        <f t="shared" si="9"/>
        <v>0</v>
      </c>
      <c r="AQ157" s="564">
        <f t="shared" si="9"/>
        <v>0</v>
      </c>
      <c r="AR157" s="564">
        <f t="shared" si="9"/>
        <v>0</v>
      </c>
      <c r="AS157" s="564">
        <f t="shared" si="9"/>
        <v>0</v>
      </c>
      <c r="AT157" s="564">
        <f t="shared" si="9"/>
        <v>0</v>
      </c>
      <c r="AU157" s="564">
        <f t="shared" si="9"/>
        <v>0</v>
      </c>
      <c r="AV157" s="564">
        <f t="shared" si="9"/>
        <v>0</v>
      </c>
      <c r="AW157" s="564">
        <f t="shared" si="9"/>
        <v>0</v>
      </c>
      <c r="AX157" s="564">
        <f t="shared" si="9"/>
        <v>0</v>
      </c>
      <c r="AY157" s="564">
        <f t="shared" si="9"/>
        <v>0</v>
      </c>
      <c r="AZ157" s="564">
        <f t="shared" si="9"/>
        <v>0</v>
      </c>
    </row>
    <row r="158" spans="1:52" s="470" customFormat="1" ht="4.5" customHeight="1">
      <c r="A158" s="478"/>
      <c r="B158" s="478"/>
      <c r="C158" s="478"/>
      <c r="D158" s="478"/>
      <c r="E158" s="478"/>
      <c r="F158" s="478"/>
      <c r="G158" s="468"/>
      <c r="H158" s="565"/>
      <c r="I158" s="565"/>
      <c r="J158" s="565"/>
      <c r="K158" s="565"/>
      <c r="L158" s="565"/>
      <c r="M158" s="565"/>
      <c r="N158" s="565"/>
      <c r="O158" s="565"/>
      <c r="P158" s="565"/>
      <c r="Q158" s="565"/>
      <c r="R158" s="565"/>
      <c r="S158" s="565"/>
      <c r="T158" s="565"/>
      <c r="U158" s="565"/>
      <c r="V158" s="565"/>
      <c r="W158" s="565"/>
      <c r="X158" s="565"/>
      <c r="Y158" s="565"/>
      <c r="Z158" s="565"/>
      <c r="AA158" s="565"/>
      <c r="AB158" s="565"/>
      <c r="AC158" s="565"/>
      <c r="AD158" s="565"/>
      <c r="AE158" s="565"/>
      <c r="AF158" s="565"/>
      <c r="AG158" s="565"/>
      <c r="AH158" s="565"/>
      <c r="AI158" s="565"/>
      <c r="AJ158" s="565"/>
      <c r="AK158" s="565"/>
      <c r="AL158" s="565"/>
      <c r="AM158" s="565"/>
      <c r="AN158" s="565"/>
      <c r="AO158" s="565"/>
      <c r="AP158" s="565"/>
      <c r="AQ158" s="565"/>
      <c r="AR158" s="565"/>
      <c r="AS158" s="565"/>
      <c r="AT158" s="565"/>
      <c r="AU158" s="565"/>
      <c r="AV158" s="565"/>
      <c r="AW158" s="565"/>
      <c r="AX158" s="565"/>
      <c r="AY158" s="565"/>
      <c r="AZ158" s="565"/>
    </row>
    <row r="159" spans="1:52" s="470" customFormat="1">
      <c r="A159" s="530" t="s">
        <v>511</v>
      </c>
      <c r="B159" s="531"/>
      <c r="C159" s="531"/>
      <c r="D159" s="531"/>
      <c r="E159" s="531"/>
      <c r="F159" s="532"/>
      <c r="G159" s="468"/>
      <c r="H159" s="564">
        <f>SUM(H96:H109)</f>
        <v>0</v>
      </c>
      <c r="I159" s="564">
        <f t="shared" ref="I159:AZ159" si="10">SUM(I96:I109)</f>
        <v>1556.602117868139</v>
      </c>
      <c r="J159" s="564">
        <f t="shared" si="10"/>
        <v>1273.5937932995905</v>
      </c>
      <c r="K159" s="564">
        <f t="shared" si="10"/>
        <v>1239.0268154664775</v>
      </c>
      <c r="L159" s="564">
        <f t="shared" si="10"/>
        <v>1239.0268154664775</v>
      </c>
      <c r="M159" s="564">
        <f t="shared" si="10"/>
        <v>1238.8715441587897</v>
      </c>
      <c r="N159" s="564">
        <f t="shared" si="10"/>
        <v>1209.2929425285733</v>
      </c>
      <c r="O159" s="564">
        <f t="shared" si="10"/>
        <v>1209.2929425285733</v>
      </c>
      <c r="P159" s="564">
        <f t="shared" si="10"/>
        <v>1209.2929425285733</v>
      </c>
      <c r="Q159" s="564">
        <f t="shared" si="10"/>
        <v>572.04565212959619</v>
      </c>
      <c r="R159" s="564">
        <f t="shared" si="10"/>
        <v>521.46043093529852</v>
      </c>
      <c r="S159" s="564">
        <f t="shared" si="10"/>
        <v>412.80664578503519</v>
      </c>
      <c r="T159" s="564">
        <f t="shared" si="10"/>
        <v>412.80664578503519</v>
      </c>
      <c r="U159" s="564">
        <f t="shared" si="10"/>
        <v>412.80664578503519</v>
      </c>
      <c r="V159" s="564">
        <f t="shared" si="10"/>
        <v>412.80664578503519</v>
      </c>
      <c r="W159" s="564">
        <f t="shared" si="10"/>
        <v>278.7143399445244</v>
      </c>
      <c r="X159" s="564">
        <f t="shared" si="10"/>
        <v>174.58686349314576</v>
      </c>
      <c r="Y159" s="564">
        <f t="shared" si="10"/>
        <v>171.22021600078651</v>
      </c>
      <c r="Z159" s="564">
        <f t="shared" si="10"/>
        <v>171.22021600078651</v>
      </c>
      <c r="AA159" s="564">
        <f t="shared" si="10"/>
        <v>156.1108484675193</v>
      </c>
      <c r="AB159" s="564">
        <f t="shared" si="10"/>
        <v>24.438648000000001</v>
      </c>
      <c r="AC159" s="564">
        <f t="shared" si="10"/>
        <v>0</v>
      </c>
      <c r="AD159" s="564">
        <f t="shared" si="10"/>
        <v>0</v>
      </c>
      <c r="AE159" s="564">
        <f t="shared" si="10"/>
        <v>0</v>
      </c>
      <c r="AF159" s="564">
        <f t="shared" si="10"/>
        <v>0</v>
      </c>
      <c r="AG159" s="564">
        <f t="shared" si="10"/>
        <v>0</v>
      </c>
      <c r="AH159" s="564">
        <f t="shared" si="10"/>
        <v>0</v>
      </c>
      <c r="AI159" s="564">
        <f t="shared" si="10"/>
        <v>0</v>
      </c>
      <c r="AJ159" s="564">
        <f t="shared" si="10"/>
        <v>0</v>
      </c>
      <c r="AK159" s="564">
        <f t="shared" si="10"/>
        <v>0</v>
      </c>
      <c r="AL159" s="564">
        <f t="shared" si="10"/>
        <v>0</v>
      </c>
      <c r="AM159" s="564">
        <f t="shared" si="10"/>
        <v>0</v>
      </c>
      <c r="AN159" s="564">
        <f t="shared" si="10"/>
        <v>0</v>
      </c>
      <c r="AO159" s="564">
        <f t="shared" si="10"/>
        <v>0</v>
      </c>
      <c r="AP159" s="564">
        <f t="shared" si="10"/>
        <v>0</v>
      </c>
      <c r="AQ159" s="564">
        <f t="shared" si="10"/>
        <v>0</v>
      </c>
      <c r="AR159" s="564">
        <f t="shared" si="10"/>
        <v>0</v>
      </c>
      <c r="AS159" s="564">
        <f t="shared" si="10"/>
        <v>0</v>
      </c>
      <c r="AT159" s="564">
        <f t="shared" si="10"/>
        <v>0</v>
      </c>
      <c r="AU159" s="564">
        <f t="shared" si="10"/>
        <v>0</v>
      </c>
      <c r="AV159" s="564">
        <f t="shared" si="10"/>
        <v>0</v>
      </c>
      <c r="AW159" s="564">
        <f t="shared" si="10"/>
        <v>0</v>
      </c>
      <c r="AX159" s="564">
        <f t="shared" si="10"/>
        <v>0</v>
      </c>
      <c r="AY159" s="564">
        <f t="shared" si="10"/>
        <v>0</v>
      </c>
      <c r="AZ159" s="564">
        <f t="shared" si="10"/>
        <v>0</v>
      </c>
    </row>
    <row r="160" spans="1:52" s="470" customFormat="1" ht="5.0999999999999996" customHeight="1">
      <c r="A160" s="478"/>
      <c r="B160" s="478"/>
      <c r="C160" s="478"/>
      <c r="D160" s="478"/>
      <c r="E160" s="478"/>
      <c r="F160" s="478"/>
      <c r="G160" s="468"/>
      <c r="H160" s="565"/>
      <c r="I160" s="565"/>
      <c r="J160" s="565"/>
      <c r="K160" s="565"/>
      <c r="L160" s="565"/>
      <c r="M160" s="565"/>
      <c r="N160" s="565"/>
      <c r="O160" s="565"/>
      <c r="P160" s="565"/>
      <c r="Q160" s="565"/>
      <c r="R160" s="565"/>
      <c r="S160" s="565"/>
      <c r="T160" s="565"/>
      <c r="U160" s="565"/>
      <c r="V160" s="565"/>
      <c r="W160" s="565"/>
      <c r="X160" s="565"/>
      <c r="Y160" s="565"/>
      <c r="Z160" s="565"/>
      <c r="AA160" s="565"/>
      <c r="AB160" s="565"/>
      <c r="AC160" s="565"/>
      <c r="AD160" s="565"/>
      <c r="AE160" s="565"/>
      <c r="AF160" s="565"/>
      <c r="AG160" s="565"/>
      <c r="AH160" s="565"/>
      <c r="AI160" s="565"/>
      <c r="AJ160" s="565"/>
      <c r="AK160" s="565"/>
      <c r="AL160" s="565"/>
      <c r="AM160" s="565"/>
      <c r="AN160" s="565"/>
      <c r="AO160" s="565"/>
      <c r="AP160" s="565"/>
      <c r="AQ160" s="565"/>
      <c r="AR160" s="565"/>
      <c r="AS160" s="565"/>
      <c r="AT160" s="565"/>
      <c r="AU160" s="565"/>
      <c r="AV160" s="565"/>
      <c r="AW160" s="565"/>
      <c r="AX160" s="565"/>
      <c r="AY160" s="565"/>
      <c r="AZ160" s="565"/>
    </row>
    <row r="161" spans="1:52" s="470" customFormat="1">
      <c r="A161" s="530" t="s">
        <v>512</v>
      </c>
      <c r="B161" s="531"/>
      <c r="C161" s="531"/>
      <c r="D161" s="531"/>
      <c r="E161" s="531"/>
      <c r="F161" s="532"/>
      <c r="G161" s="468"/>
      <c r="H161" s="564">
        <f>SUM(H110:H124,H141:H142)</f>
        <v>0</v>
      </c>
      <c r="I161" s="564">
        <f t="shared" ref="I161:AZ161" si="11">SUM(I110:I124,I141:I142)</f>
        <v>0</v>
      </c>
      <c r="J161" s="564">
        <f t="shared" si="11"/>
        <v>2462.3639925044517</v>
      </c>
      <c r="K161" s="564">
        <f t="shared" si="11"/>
        <v>2291.68051464364</v>
      </c>
      <c r="L161" s="564">
        <f t="shared" si="11"/>
        <v>2291.68051464364</v>
      </c>
      <c r="M161" s="564">
        <f t="shared" si="11"/>
        <v>2291.68051464364</v>
      </c>
      <c r="N161" s="564">
        <f t="shared" si="11"/>
        <v>2203.0391365649857</v>
      </c>
      <c r="O161" s="564">
        <f t="shared" si="11"/>
        <v>2202.7554565649857</v>
      </c>
      <c r="P161" s="564">
        <f t="shared" si="11"/>
        <v>2110.746294488878</v>
      </c>
      <c r="Q161" s="564">
        <f t="shared" si="11"/>
        <v>2042.0076590887199</v>
      </c>
      <c r="R161" s="564">
        <f t="shared" si="11"/>
        <v>1740.5884957156138</v>
      </c>
      <c r="S161" s="564">
        <f t="shared" si="11"/>
        <v>1647.5264334126582</v>
      </c>
      <c r="T161" s="564">
        <f t="shared" si="11"/>
        <v>1597.3268511257586</v>
      </c>
      <c r="U161" s="564">
        <f t="shared" si="11"/>
        <v>1597.3268511257586</v>
      </c>
      <c r="V161" s="564">
        <f t="shared" si="11"/>
        <v>1588.5181879971153</v>
      </c>
      <c r="W161" s="564">
        <f t="shared" si="11"/>
        <v>1583.9764108242855</v>
      </c>
      <c r="X161" s="564">
        <f t="shared" si="11"/>
        <v>1580.45993959066</v>
      </c>
      <c r="Y161" s="564">
        <f t="shared" si="11"/>
        <v>1511.6792214195161</v>
      </c>
      <c r="Z161" s="564">
        <f t="shared" si="11"/>
        <v>137.71145731758997</v>
      </c>
      <c r="AA161" s="564">
        <f t="shared" si="11"/>
        <v>137.71145731758997</v>
      </c>
      <c r="AB161" s="564">
        <f t="shared" si="11"/>
        <v>45.530602487661916</v>
      </c>
      <c r="AC161" s="564">
        <f t="shared" si="11"/>
        <v>45.530602487661916</v>
      </c>
      <c r="AD161" s="564">
        <f t="shared" si="11"/>
        <v>0</v>
      </c>
      <c r="AE161" s="564">
        <f t="shared" si="11"/>
        <v>0</v>
      </c>
      <c r="AF161" s="564">
        <f t="shared" si="11"/>
        <v>0</v>
      </c>
      <c r="AG161" s="564">
        <f t="shared" si="11"/>
        <v>0</v>
      </c>
      <c r="AH161" s="564">
        <f t="shared" si="11"/>
        <v>0</v>
      </c>
      <c r="AI161" s="564">
        <f t="shared" si="11"/>
        <v>0</v>
      </c>
      <c r="AJ161" s="564">
        <f t="shared" si="11"/>
        <v>0</v>
      </c>
      <c r="AK161" s="564">
        <f t="shared" si="11"/>
        <v>0</v>
      </c>
      <c r="AL161" s="564">
        <f t="shared" si="11"/>
        <v>0</v>
      </c>
      <c r="AM161" s="564">
        <f t="shared" si="11"/>
        <v>0</v>
      </c>
      <c r="AN161" s="564">
        <f t="shared" si="11"/>
        <v>0</v>
      </c>
      <c r="AO161" s="564">
        <f t="shared" si="11"/>
        <v>0</v>
      </c>
      <c r="AP161" s="564">
        <f t="shared" si="11"/>
        <v>0</v>
      </c>
      <c r="AQ161" s="564">
        <f t="shared" si="11"/>
        <v>0</v>
      </c>
      <c r="AR161" s="564">
        <f t="shared" si="11"/>
        <v>0</v>
      </c>
      <c r="AS161" s="564">
        <f t="shared" si="11"/>
        <v>0</v>
      </c>
      <c r="AT161" s="564">
        <f t="shared" si="11"/>
        <v>0</v>
      </c>
      <c r="AU161" s="564">
        <f t="shared" si="11"/>
        <v>0</v>
      </c>
      <c r="AV161" s="564">
        <f t="shared" si="11"/>
        <v>0</v>
      </c>
      <c r="AW161" s="564">
        <f t="shared" si="11"/>
        <v>0</v>
      </c>
      <c r="AX161" s="564">
        <f t="shared" si="11"/>
        <v>0</v>
      </c>
      <c r="AY161" s="564">
        <f t="shared" si="11"/>
        <v>0</v>
      </c>
      <c r="AZ161" s="564">
        <f t="shared" si="11"/>
        <v>0</v>
      </c>
    </row>
    <row r="162" spans="1:52" s="470" customFormat="1" ht="5.0999999999999996" customHeight="1">
      <c r="A162" s="478"/>
      <c r="B162" s="478"/>
      <c r="C162" s="478"/>
      <c r="D162" s="478"/>
      <c r="E162" s="478"/>
      <c r="F162" s="478"/>
      <c r="G162" s="468"/>
      <c r="H162" s="565"/>
      <c r="I162" s="565"/>
      <c r="J162" s="565"/>
      <c r="K162" s="565"/>
      <c r="L162" s="565"/>
      <c r="M162" s="565"/>
      <c r="N162" s="565"/>
      <c r="O162" s="565"/>
      <c r="P162" s="565"/>
      <c r="Q162" s="565"/>
      <c r="R162" s="565"/>
      <c r="S162" s="565"/>
      <c r="T162" s="565"/>
      <c r="U162" s="565"/>
      <c r="V162" s="565"/>
      <c r="W162" s="565"/>
      <c r="X162" s="565"/>
      <c r="Y162" s="565"/>
      <c r="Z162" s="565"/>
      <c r="AA162" s="565"/>
      <c r="AB162" s="565"/>
      <c r="AC162" s="565"/>
      <c r="AD162" s="565"/>
      <c r="AE162" s="565"/>
      <c r="AF162" s="565"/>
      <c r="AG162" s="565"/>
      <c r="AH162" s="565"/>
      <c r="AI162" s="565"/>
      <c r="AJ162" s="565"/>
      <c r="AK162" s="565"/>
      <c r="AL162" s="565"/>
      <c r="AM162" s="565"/>
      <c r="AN162" s="565"/>
      <c r="AO162" s="565"/>
      <c r="AP162" s="565"/>
      <c r="AQ162" s="565"/>
      <c r="AR162" s="565"/>
      <c r="AS162" s="565"/>
      <c r="AT162" s="565"/>
      <c r="AU162" s="565"/>
      <c r="AV162" s="565"/>
      <c r="AW162" s="565"/>
      <c r="AX162" s="565"/>
      <c r="AY162" s="565"/>
      <c r="AZ162" s="565"/>
    </row>
    <row r="163" spans="1:52" s="470" customFormat="1">
      <c r="A163" s="530" t="s">
        <v>513</v>
      </c>
      <c r="B163" s="531"/>
      <c r="C163" s="531"/>
      <c r="D163" s="531"/>
      <c r="E163" s="531"/>
      <c r="F163" s="532"/>
      <c r="G163" s="468"/>
      <c r="H163" s="564">
        <f>SUM(H125:H140)</f>
        <v>0</v>
      </c>
      <c r="I163" s="564">
        <f t="shared" ref="I163:AZ163" si="12">SUM(I125:I140)</f>
        <v>0</v>
      </c>
      <c r="J163" s="564">
        <f t="shared" si="12"/>
        <v>0</v>
      </c>
      <c r="K163" s="564">
        <f t="shared" si="12"/>
        <v>2480.0999393586599</v>
      </c>
      <c r="L163" s="564">
        <f t="shared" si="12"/>
        <v>1907.3124424816788</v>
      </c>
      <c r="M163" s="564">
        <f t="shared" si="12"/>
        <v>1907.3124424816788</v>
      </c>
      <c r="N163" s="564">
        <f t="shared" si="12"/>
        <v>1906.1689339587183</v>
      </c>
      <c r="O163" s="564">
        <f t="shared" si="12"/>
        <v>1875.4372596999633</v>
      </c>
      <c r="P163" s="564">
        <f t="shared" si="12"/>
        <v>1778.4427861901804</v>
      </c>
      <c r="Q163" s="564">
        <f t="shared" si="12"/>
        <v>1582.596234010633</v>
      </c>
      <c r="R163" s="564">
        <f t="shared" si="12"/>
        <v>1478.4143049011186</v>
      </c>
      <c r="S163" s="564">
        <f t="shared" si="12"/>
        <v>1113.7004535961232</v>
      </c>
      <c r="T163" s="564">
        <f t="shared" si="12"/>
        <v>728.99778239051807</v>
      </c>
      <c r="U163" s="564">
        <f t="shared" si="12"/>
        <v>616.03980258215256</v>
      </c>
      <c r="V163" s="564">
        <f t="shared" si="12"/>
        <v>286.54534091804055</v>
      </c>
      <c r="W163" s="564">
        <f t="shared" si="12"/>
        <v>261.03990164473498</v>
      </c>
      <c r="X163" s="564">
        <f t="shared" si="12"/>
        <v>261.03990164473498</v>
      </c>
      <c r="Y163" s="564">
        <f t="shared" si="12"/>
        <v>257.40532940355217</v>
      </c>
      <c r="Z163" s="564">
        <f t="shared" si="12"/>
        <v>227.27445107645451</v>
      </c>
      <c r="AA163" s="564">
        <f t="shared" si="12"/>
        <v>208.57711254496652</v>
      </c>
      <c r="AB163" s="564">
        <f t="shared" si="12"/>
        <v>204.86176807534892</v>
      </c>
      <c r="AC163" s="564">
        <f t="shared" si="12"/>
        <v>182.38565833906702</v>
      </c>
      <c r="AD163" s="564">
        <f t="shared" si="12"/>
        <v>66.768803683103144</v>
      </c>
      <c r="AE163" s="564">
        <f t="shared" si="12"/>
        <v>0</v>
      </c>
      <c r="AF163" s="564">
        <f t="shared" si="12"/>
        <v>0</v>
      </c>
      <c r="AG163" s="564">
        <f t="shared" si="12"/>
        <v>0</v>
      </c>
      <c r="AH163" s="564">
        <f t="shared" si="12"/>
        <v>0</v>
      </c>
      <c r="AI163" s="564">
        <f t="shared" si="12"/>
        <v>0</v>
      </c>
      <c r="AJ163" s="564">
        <f t="shared" si="12"/>
        <v>0</v>
      </c>
      <c r="AK163" s="564">
        <f t="shared" si="12"/>
        <v>0</v>
      </c>
      <c r="AL163" s="564">
        <f t="shared" si="12"/>
        <v>0</v>
      </c>
      <c r="AM163" s="564">
        <f t="shared" si="12"/>
        <v>0</v>
      </c>
      <c r="AN163" s="564">
        <f t="shared" si="12"/>
        <v>0</v>
      </c>
      <c r="AO163" s="564">
        <f t="shared" si="12"/>
        <v>0</v>
      </c>
      <c r="AP163" s="564">
        <f t="shared" si="12"/>
        <v>0</v>
      </c>
      <c r="AQ163" s="564">
        <f t="shared" si="12"/>
        <v>0</v>
      </c>
      <c r="AR163" s="564">
        <f t="shared" si="12"/>
        <v>0</v>
      </c>
      <c r="AS163" s="564">
        <f t="shared" si="12"/>
        <v>0</v>
      </c>
      <c r="AT163" s="564">
        <f t="shared" si="12"/>
        <v>0</v>
      </c>
      <c r="AU163" s="564">
        <f t="shared" si="12"/>
        <v>0</v>
      </c>
      <c r="AV163" s="564">
        <f t="shared" si="12"/>
        <v>0</v>
      </c>
      <c r="AW163" s="564">
        <f t="shared" si="12"/>
        <v>0</v>
      </c>
      <c r="AX163" s="564">
        <f t="shared" si="12"/>
        <v>0</v>
      </c>
      <c r="AY163" s="564">
        <f t="shared" si="12"/>
        <v>0</v>
      </c>
      <c r="AZ163" s="564">
        <f t="shared" si="12"/>
        <v>0</v>
      </c>
    </row>
    <row r="164" spans="1:52" s="470" customFormat="1" ht="6" customHeight="1">
      <c r="A164" s="534"/>
      <c r="B164" s="534"/>
      <c r="C164" s="534"/>
      <c r="D164" s="534"/>
      <c r="E164" s="534"/>
      <c r="F164" s="534"/>
      <c r="G164" s="468"/>
      <c r="H164" s="566"/>
      <c r="I164" s="566"/>
      <c r="J164" s="566"/>
      <c r="K164" s="566"/>
      <c r="L164" s="566"/>
      <c r="M164" s="566"/>
      <c r="N164" s="566"/>
      <c r="O164" s="566"/>
      <c r="P164" s="566"/>
      <c r="Q164" s="566"/>
      <c r="R164" s="566"/>
      <c r="S164" s="566"/>
      <c r="T164" s="566"/>
      <c r="U164" s="566"/>
      <c r="V164" s="566"/>
      <c r="W164" s="566"/>
      <c r="X164" s="566"/>
      <c r="Y164" s="566"/>
      <c r="Z164" s="566"/>
      <c r="AA164" s="566"/>
      <c r="AB164" s="566"/>
      <c r="AC164" s="566"/>
      <c r="AD164" s="566"/>
      <c r="AE164" s="566"/>
      <c r="AF164" s="566"/>
      <c r="AG164" s="566"/>
      <c r="AH164" s="566"/>
      <c r="AI164" s="566"/>
      <c r="AJ164" s="566"/>
      <c r="AK164" s="566"/>
      <c r="AL164" s="566"/>
      <c r="AM164" s="566"/>
      <c r="AN164" s="566"/>
      <c r="AO164" s="566"/>
      <c r="AP164" s="566"/>
      <c r="AQ164" s="566"/>
      <c r="AR164" s="566"/>
      <c r="AS164" s="566"/>
      <c r="AT164" s="566"/>
      <c r="AU164" s="566"/>
      <c r="AV164" s="566"/>
      <c r="AW164" s="566"/>
      <c r="AX164" s="566"/>
      <c r="AY164" s="566"/>
      <c r="AZ164" s="566"/>
    </row>
    <row r="165" spans="1:52" s="470" customFormat="1">
      <c r="A165" s="530" t="s">
        <v>514</v>
      </c>
      <c r="B165" s="531"/>
      <c r="C165" s="531"/>
      <c r="D165" s="531"/>
      <c r="E165" s="531"/>
      <c r="F165" s="532"/>
      <c r="G165" s="468"/>
      <c r="H165" s="564">
        <f>SUM(H143:H155)</f>
        <v>0</v>
      </c>
      <c r="I165" s="564">
        <f t="shared" ref="I165:AZ165" si="13">SUM(I143:I155)</f>
        <v>0</v>
      </c>
      <c r="J165" s="564">
        <f t="shared" si="13"/>
        <v>0</v>
      </c>
      <c r="K165" s="564">
        <f t="shared" si="13"/>
        <v>0</v>
      </c>
      <c r="L165" s="564">
        <f t="shared" si="13"/>
        <v>2289.4426369392772</v>
      </c>
      <c r="M165" s="564">
        <f t="shared" si="13"/>
        <v>1318.7507702659177</v>
      </c>
      <c r="N165" s="564">
        <f t="shared" si="13"/>
        <v>1316.2564728707396</v>
      </c>
      <c r="O165" s="564">
        <f t="shared" si="13"/>
        <v>1315.3140772409372</v>
      </c>
      <c r="P165" s="564">
        <f t="shared" si="13"/>
        <v>1290.2754756559457</v>
      </c>
      <c r="Q165" s="564">
        <f t="shared" si="13"/>
        <v>1188.6719941499096</v>
      </c>
      <c r="R165" s="564">
        <f t="shared" si="13"/>
        <v>1179.4365155719577</v>
      </c>
      <c r="S165" s="564">
        <f t="shared" si="13"/>
        <v>1004.0754288321456</v>
      </c>
      <c r="T165" s="564">
        <f t="shared" si="13"/>
        <v>636.67698449438149</v>
      </c>
      <c r="U165" s="564">
        <f t="shared" si="13"/>
        <v>360.07501256396228</v>
      </c>
      <c r="V165" s="564">
        <f t="shared" si="13"/>
        <v>290.98174272877543</v>
      </c>
      <c r="W165" s="564">
        <f t="shared" si="13"/>
        <v>290.98174272877543</v>
      </c>
      <c r="X165" s="564">
        <f t="shared" si="13"/>
        <v>288.52838302098388</v>
      </c>
      <c r="Y165" s="564">
        <f t="shared" si="13"/>
        <v>288.52838302098388</v>
      </c>
      <c r="Z165" s="564">
        <f t="shared" si="13"/>
        <v>288.52838302098388</v>
      </c>
      <c r="AA165" s="564">
        <f t="shared" si="13"/>
        <v>279.38695338975333</v>
      </c>
      <c r="AB165" s="564">
        <f t="shared" si="13"/>
        <v>269.06894012172279</v>
      </c>
      <c r="AC165" s="564">
        <f t="shared" si="13"/>
        <v>269.06894012172279</v>
      </c>
      <c r="AD165" s="564">
        <f t="shared" si="13"/>
        <v>264.91133230873857</v>
      </c>
      <c r="AE165" s="564">
        <f t="shared" si="13"/>
        <v>196.41835548792707</v>
      </c>
      <c r="AF165" s="564">
        <f t="shared" si="13"/>
        <v>0</v>
      </c>
      <c r="AG165" s="564">
        <f t="shared" si="13"/>
        <v>0</v>
      </c>
      <c r="AH165" s="564">
        <f t="shared" si="13"/>
        <v>0</v>
      </c>
      <c r="AI165" s="564">
        <f t="shared" si="13"/>
        <v>0</v>
      </c>
      <c r="AJ165" s="564">
        <f t="shared" si="13"/>
        <v>0</v>
      </c>
      <c r="AK165" s="564">
        <f t="shared" si="13"/>
        <v>0</v>
      </c>
      <c r="AL165" s="564">
        <f t="shared" si="13"/>
        <v>0</v>
      </c>
      <c r="AM165" s="564">
        <f t="shared" si="13"/>
        <v>0</v>
      </c>
      <c r="AN165" s="564">
        <f t="shared" si="13"/>
        <v>0</v>
      </c>
      <c r="AO165" s="564">
        <f t="shared" si="13"/>
        <v>0</v>
      </c>
      <c r="AP165" s="564">
        <f t="shared" si="13"/>
        <v>0</v>
      </c>
      <c r="AQ165" s="564">
        <f t="shared" si="13"/>
        <v>0</v>
      </c>
      <c r="AR165" s="564">
        <f t="shared" si="13"/>
        <v>0</v>
      </c>
      <c r="AS165" s="564">
        <f t="shared" si="13"/>
        <v>0</v>
      </c>
      <c r="AT165" s="564">
        <f t="shared" si="13"/>
        <v>0</v>
      </c>
      <c r="AU165" s="564">
        <f t="shared" si="13"/>
        <v>0</v>
      </c>
      <c r="AV165" s="564">
        <f t="shared" si="13"/>
        <v>0</v>
      </c>
      <c r="AW165" s="564">
        <f t="shared" si="13"/>
        <v>0</v>
      </c>
      <c r="AX165" s="564">
        <f t="shared" si="13"/>
        <v>0</v>
      </c>
      <c r="AY165" s="564">
        <f t="shared" si="13"/>
        <v>0</v>
      </c>
      <c r="AZ165" s="564">
        <f t="shared" si="13"/>
        <v>0</v>
      </c>
    </row>
    <row r="166" spans="1:52" s="470" customFormat="1" ht="5.0999999999999996" customHeight="1">
      <c r="A166" s="478"/>
      <c r="B166" s="478"/>
      <c r="C166" s="478"/>
      <c r="D166" s="478"/>
      <c r="E166" s="478"/>
      <c r="F166" s="478"/>
      <c r="G166" s="468"/>
      <c r="H166" s="565"/>
      <c r="I166" s="565"/>
      <c r="J166" s="565"/>
      <c r="K166" s="565"/>
      <c r="L166" s="565"/>
      <c r="M166" s="565"/>
      <c r="N166" s="565"/>
      <c r="O166" s="565"/>
      <c r="P166" s="565"/>
      <c r="Q166" s="565"/>
      <c r="R166" s="565"/>
      <c r="S166" s="565"/>
      <c r="T166" s="565"/>
      <c r="U166" s="565"/>
      <c r="V166" s="565"/>
      <c r="W166" s="565"/>
      <c r="X166" s="565"/>
      <c r="Y166" s="565"/>
      <c r="Z166" s="565"/>
      <c r="AA166" s="565"/>
      <c r="AB166" s="565"/>
      <c r="AC166" s="565"/>
      <c r="AD166" s="565"/>
      <c r="AE166" s="565"/>
      <c r="AF166" s="565"/>
      <c r="AG166" s="565"/>
      <c r="AH166" s="565"/>
      <c r="AI166" s="565"/>
      <c r="AJ166" s="565"/>
      <c r="AK166" s="565"/>
      <c r="AL166" s="565"/>
      <c r="AM166" s="565"/>
      <c r="AN166" s="565"/>
      <c r="AO166" s="565"/>
      <c r="AP166" s="565"/>
      <c r="AQ166" s="565"/>
      <c r="AR166" s="565"/>
      <c r="AS166" s="565"/>
      <c r="AT166" s="565"/>
      <c r="AU166" s="565"/>
      <c r="AV166" s="565"/>
      <c r="AW166" s="565"/>
      <c r="AX166" s="565"/>
      <c r="AY166" s="565"/>
      <c r="AZ166" s="565"/>
    </row>
    <row r="167" spans="1:52" s="470" customFormat="1">
      <c r="A167" s="530" t="s">
        <v>515</v>
      </c>
      <c r="B167" s="536"/>
      <c r="C167" s="536"/>
      <c r="D167" s="536"/>
      <c r="E167" s="536"/>
      <c r="F167" s="537"/>
      <c r="G167" s="468"/>
      <c r="H167" s="564">
        <f>SUM(H91:H155)</f>
        <v>1876.2385343674682</v>
      </c>
      <c r="I167" s="564">
        <f t="shared" ref="I167:AZ167" si="14">SUM(I91:I155)</f>
        <v>3432.8406522356072</v>
      </c>
      <c r="J167" s="564">
        <f t="shared" si="14"/>
        <v>5612.1963201715089</v>
      </c>
      <c r="K167" s="564">
        <f t="shared" si="14"/>
        <v>7887.0458038362431</v>
      </c>
      <c r="L167" s="564">
        <f t="shared" si="14"/>
        <v>8053.3234982441982</v>
      </c>
      <c r="M167" s="564">
        <f t="shared" si="14"/>
        <v>7082.476360263151</v>
      </c>
      <c r="N167" s="564">
        <f t="shared" si="14"/>
        <v>6932.8316645081204</v>
      </c>
      <c r="O167" s="564">
        <f t="shared" si="14"/>
        <v>6900.873914619563</v>
      </c>
      <c r="P167" s="564">
        <f t="shared" si="14"/>
        <v>6668.8441151438346</v>
      </c>
      <c r="Q167" s="564">
        <f t="shared" si="14"/>
        <v>5665.4081556591163</v>
      </c>
      <c r="R167" s="564">
        <f t="shared" si="14"/>
        <v>5184.5198185440167</v>
      </c>
      <c r="S167" s="564">
        <f t="shared" si="14"/>
        <v>4442.72903304599</v>
      </c>
      <c r="T167" s="564">
        <f t="shared" si="14"/>
        <v>3640.4283352157222</v>
      </c>
      <c r="U167" s="564">
        <f t="shared" si="14"/>
        <v>3250.8683834769377</v>
      </c>
      <c r="V167" s="564">
        <f t="shared" si="14"/>
        <v>2818.3827661090513</v>
      </c>
      <c r="W167" s="564">
        <f t="shared" si="14"/>
        <v>2622.9162609197374</v>
      </c>
      <c r="X167" s="564">
        <f t="shared" si="14"/>
        <v>2512.8189535269412</v>
      </c>
      <c r="Y167" s="564">
        <f t="shared" si="14"/>
        <v>2437.0370156222552</v>
      </c>
      <c r="Z167" s="564">
        <f t="shared" si="14"/>
        <v>937.2331891637167</v>
      </c>
      <c r="AA167" s="564">
        <f t="shared" si="14"/>
        <v>894.28505346773102</v>
      </c>
      <c r="AB167" s="564">
        <f t="shared" si="14"/>
        <v>609.54270231773148</v>
      </c>
      <c r="AC167" s="564">
        <f t="shared" si="14"/>
        <v>562.62794458144958</v>
      </c>
      <c r="AD167" s="564">
        <f t="shared" si="14"/>
        <v>397.32287962483963</v>
      </c>
      <c r="AE167" s="564">
        <f t="shared" si="14"/>
        <v>262.06109912092495</v>
      </c>
      <c r="AF167" s="564">
        <f t="shared" si="14"/>
        <v>65.642743632997878</v>
      </c>
      <c r="AG167" s="564">
        <f t="shared" si="14"/>
        <v>10.651235022659334</v>
      </c>
      <c r="AH167" s="564">
        <f t="shared" si="14"/>
        <v>10.651235022659334</v>
      </c>
      <c r="AI167" s="564">
        <f t="shared" si="14"/>
        <v>10.651235022659334</v>
      </c>
      <c r="AJ167" s="564">
        <f t="shared" si="14"/>
        <v>10.651235022659334</v>
      </c>
      <c r="AK167" s="564">
        <f t="shared" si="14"/>
        <v>10.651235022659334</v>
      </c>
      <c r="AL167" s="564">
        <f t="shared" si="14"/>
        <v>0</v>
      </c>
      <c r="AM167" s="564">
        <f t="shared" si="14"/>
        <v>0</v>
      </c>
      <c r="AN167" s="564">
        <f t="shared" si="14"/>
        <v>0</v>
      </c>
      <c r="AO167" s="564">
        <f t="shared" si="14"/>
        <v>0</v>
      </c>
      <c r="AP167" s="564">
        <f t="shared" si="14"/>
        <v>0</v>
      </c>
      <c r="AQ167" s="564">
        <f t="shared" si="14"/>
        <v>0</v>
      </c>
      <c r="AR167" s="564">
        <f t="shared" si="14"/>
        <v>0</v>
      </c>
      <c r="AS167" s="564">
        <f t="shared" si="14"/>
        <v>0</v>
      </c>
      <c r="AT167" s="564">
        <f t="shared" si="14"/>
        <v>0</v>
      </c>
      <c r="AU167" s="564">
        <f t="shared" si="14"/>
        <v>0</v>
      </c>
      <c r="AV167" s="564">
        <f t="shared" si="14"/>
        <v>0</v>
      </c>
      <c r="AW167" s="564">
        <f t="shared" si="14"/>
        <v>0</v>
      </c>
      <c r="AX167" s="564">
        <f t="shared" si="14"/>
        <v>0</v>
      </c>
      <c r="AY167" s="564">
        <f t="shared" si="14"/>
        <v>0</v>
      </c>
      <c r="AZ167" s="564">
        <f t="shared" si="14"/>
        <v>0</v>
      </c>
    </row>
    <row r="168" spans="1:52" s="541" customFormat="1">
      <c r="A168" s="538"/>
      <c r="B168" s="538"/>
      <c r="C168" s="538"/>
      <c r="D168" s="538"/>
      <c r="E168" s="538"/>
      <c r="F168" s="538"/>
      <c r="G168" s="539"/>
      <c r="H168" s="540">
        <v>96</v>
      </c>
      <c r="I168" s="540">
        <f>H168+1</f>
        <v>97</v>
      </c>
      <c r="J168" s="540">
        <f t="shared" ref="J168:AZ168" si="15">I168+1</f>
        <v>98</v>
      </c>
      <c r="K168" s="540">
        <f t="shared" si="15"/>
        <v>99</v>
      </c>
      <c r="L168" s="540">
        <f t="shared" si="15"/>
        <v>100</v>
      </c>
      <c r="M168" s="540">
        <f t="shared" si="15"/>
        <v>101</v>
      </c>
      <c r="N168" s="540">
        <f t="shared" si="15"/>
        <v>102</v>
      </c>
      <c r="O168" s="540">
        <f t="shared" si="15"/>
        <v>103</v>
      </c>
      <c r="P168" s="540">
        <f t="shared" si="15"/>
        <v>104</v>
      </c>
      <c r="Q168" s="540">
        <f t="shared" si="15"/>
        <v>105</v>
      </c>
      <c r="R168" s="540">
        <f t="shared" si="15"/>
        <v>106</v>
      </c>
      <c r="S168" s="540">
        <f t="shared" si="15"/>
        <v>107</v>
      </c>
      <c r="T168" s="540">
        <f t="shared" si="15"/>
        <v>108</v>
      </c>
      <c r="U168" s="540">
        <f t="shared" si="15"/>
        <v>109</v>
      </c>
      <c r="V168" s="540">
        <f t="shared" si="15"/>
        <v>110</v>
      </c>
      <c r="W168" s="540">
        <f t="shared" si="15"/>
        <v>111</v>
      </c>
      <c r="X168" s="540">
        <f t="shared" si="15"/>
        <v>112</v>
      </c>
      <c r="Y168" s="540">
        <f t="shared" si="15"/>
        <v>113</v>
      </c>
      <c r="Z168" s="540">
        <f t="shared" si="15"/>
        <v>114</v>
      </c>
      <c r="AA168" s="540">
        <f t="shared" si="15"/>
        <v>115</v>
      </c>
      <c r="AB168" s="540">
        <f t="shared" si="15"/>
        <v>116</v>
      </c>
      <c r="AC168" s="540">
        <f t="shared" si="15"/>
        <v>117</v>
      </c>
      <c r="AD168" s="540">
        <f t="shared" si="15"/>
        <v>118</v>
      </c>
      <c r="AE168" s="540">
        <f t="shared" si="15"/>
        <v>119</v>
      </c>
      <c r="AF168" s="540">
        <f t="shared" si="15"/>
        <v>120</v>
      </c>
      <c r="AG168" s="540">
        <f t="shared" si="15"/>
        <v>121</v>
      </c>
      <c r="AH168" s="540">
        <f t="shared" si="15"/>
        <v>122</v>
      </c>
      <c r="AI168" s="540">
        <f t="shared" si="15"/>
        <v>123</v>
      </c>
      <c r="AJ168" s="540">
        <f t="shared" si="15"/>
        <v>124</v>
      </c>
      <c r="AK168" s="540">
        <f t="shared" si="15"/>
        <v>125</v>
      </c>
      <c r="AL168" s="540">
        <f t="shared" si="15"/>
        <v>126</v>
      </c>
      <c r="AM168" s="540">
        <f t="shared" si="15"/>
        <v>127</v>
      </c>
      <c r="AN168" s="540">
        <f t="shared" si="15"/>
        <v>128</v>
      </c>
      <c r="AO168" s="540">
        <f t="shared" si="15"/>
        <v>129</v>
      </c>
      <c r="AP168" s="540">
        <f t="shared" si="15"/>
        <v>130</v>
      </c>
      <c r="AQ168" s="540">
        <f t="shared" si="15"/>
        <v>131</v>
      </c>
      <c r="AR168" s="540">
        <f t="shared" si="15"/>
        <v>132</v>
      </c>
      <c r="AS168" s="540">
        <f t="shared" si="15"/>
        <v>133</v>
      </c>
      <c r="AT168" s="540">
        <f t="shared" si="15"/>
        <v>134</v>
      </c>
      <c r="AU168" s="540">
        <f t="shared" si="15"/>
        <v>135</v>
      </c>
      <c r="AV168" s="540">
        <f t="shared" si="15"/>
        <v>136</v>
      </c>
      <c r="AW168" s="540">
        <f t="shared" si="15"/>
        <v>137</v>
      </c>
      <c r="AX168" s="540">
        <f t="shared" si="15"/>
        <v>138</v>
      </c>
      <c r="AY168" s="540">
        <f t="shared" si="15"/>
        <v>139</v>
      </c>
      <c r="AZ168" s="540">
        <f t="shared" si="15"/>
        <v>140</v>
      </c>
    </row>
    <row r="169" spans="1:52" s="470" customFormat="1">
      <c r="A169" s="467"/>
      <c r="B169" s="467"/>
      <c r="C169" s="467"/>
      <c r="D169" s="467"/>
      <c r="E169" s="467"/>
      <c r="F169" s="467"/>
      <c r="G169" s="468"/>
      <c r="H169" s="469"/>
      <c r="I169" s="469"/>
      <c r="J169" s="469"/>
      <c r="K169" s="469"/>
      <c r="L169" s="469"/>
      <c r="M169" s="469"/>
      <c r="N169" s="469"/>
      <c r="O169" s="469"/>
      <c r="P169" s="469"/>
      <c r="Q169" s="469"/>
      <c r="R169" s="469"/>
      <c r="S169" s="469"/>
      <c r="T169" s="469"/>
      <c r="U169" s="469"/>
      <c r="V169" s="469"/>
      <c r="W169" s="469"/>
      <c r="X169" s="469"/>
      <c r="Y169" s="469"/>
      <c r="Z169" s="469"/>
      <c r="AA169" s="469"/>
      <c r="AB169" s="469"/>
      <c r="AC169" s="469"/>
      <c r="AD169" s="469"/>
      <c r="AE169" s="469"/>
      <c r="AF169" s="469"/>
      <c r="AG169" s="469"/>
      <c r="AH169" s="469"/>
      <c r="AI169" s="469"/>
      <c r="AJ169" s="469"/>
      <c r="AK169" s="469"/>
      <c r="AL169" s="469"/>
      <c r="AM169" s="469"/>
      <c r="AN169" s="469"/>
      <c r="AO169" s="469"/>
      <c r="AP169" s="469"/>
      <c r="AQ169" s="469"/>
      <c r="AR169" s="469"/>
      <c r="AS169" s="469"/>
      <c r="AT169" s="469"/>
      <c r="AU169" s="469"/>
      <c r="AV169" s="469"/>
      <c r="AW169" s="469"/>
      <c r="AX169" s="469"/>
      <c r="AY169" s="469"/>
      <c r="AZ169" s="469"/>
    </row>
    <row r="170" spans="1:52" s="470" customFormat="1" ht="15.75">
      <c r="A170" s="475" t="s">
        <v>35</v>
      </c>
      <c r="B170" s="467"/>
      <c r="C170" s="467"/>
      <c r="D170" s="467"/>
      <c r="E170" s="467"/>
      <c r="F170" s="467"/>
      <c r="G170" s="468"/>
      <c r="H170" s="469"/>
      <c r="I170" s="469"/>
      <c r="J170" s="469"/>
      <c r="K170" s="469"/>
      <c r="L170" s="469"/>
      <c r="M170" s="469"/>
      <c r="N170" s="469"/>
      <c r="O170" s="469"/>
      <c r="P170" s="469"/>
      <c r="Q170" s="469"/>
      <c r="R170" s="469"/>
      <c r="S170" s="469"/>
      <c r="T170" s="469"/>
      <c r="U170" s="469"/>
      <c r="V170" s="469"/>
      <c r="W170" s="469"/>
      <c r="X170" s="469"/>
      <c r="Y170" s="469"/>
      <c r="Z170" s="469"/>
      <c r="AA170" s="469"/>
      <c r="AB170" s="469"/>
      <c r="AC170" s="469"/>
      <c r="AD170" s="469"/>
      <c r="AE170" s="469"/>
      <c r="AF170" s="469"/>
      <c r="AG170" s="469"/>
      <c r="AH170" s="469"/>
      <c r="AI170" s="469"/>
      <c r="AJ170" s="469"/>
      <c r="AK170" s="469"/>
      <c r="AL170" s="469"/>
      <c r="AM170" s="469"/>
      <c r="AN170" s="469"/>
      <c r="AO170" s="469"/>
      <c r="AP170" s="469"/>
      <c r="AQ170" s="469"/>
      <c r="AR170" s="469"/>
      <c r="AS170" s="469"/>
      <c r="AT170" s="469"/>
      <c r="AU170" s="469"/>
      <c r="AV170" s="469"/>
      <c r="AW170" s="469"/>
      <c r="AX170" s="469"/>
      <c r="AY170" s="469"/>
      <c r="AZ170" s="469"/>
    </row>
    <row r="171" spans="1:52" s="470" customFormat="1" ht="25.5">
      <c r="A171" s="476" t="s">
        <v>504</v>
      </c>
      <c r="B171" s="476" t="s">
        <v>505</v>
      </c>
      <c r="C171" s="476" t="s">
        <v>506</v>
      </c>
      <c r="D171" s="476"/>
      <c r="E171" s="477" t="s">
        <v>508</v>
      </c>
      <c r="F171" s="477" t="s">
        <v>509</v>
      </c>
      <c r="G171" s="468"/>
      <c r="H171" s="476">
        <v>2006</v>
      </c>
      <c r="I171" s="476">
        <f>H171+1</f>
        <v>2007</v>
      </c>
      <c r="J171" s="476">
        <f t="shared" ref="J171:AZ171" si="16">I171+1</f>
        <v>2008</v>
      </c>
      <c r="K171" s="476">
        <f t="shared" si="16"/>
        <v>2009</v>
      </c>
      <c r="L171" s="476">
        <f t="shared" si="16"/>
        <v>2010</v>
      </c>
      <c r="M171" s="476">
        <f t="shared" si="16"/>
        <v>2011</v>
      </c>
      <c r="N171" s="476">
        <f t="shared" si="16"/>
        <v>2012</v>
      </c>
      <c r="O171" s="476">
        <f t="shared" si="16"/>
        <v>2013</v>
      </c>
      <c r="P171" s="476">
        <f t="shared" si="16"/>
        <v>2014</v>
      </c>
      <c r="Q171" s="476">
        <f t="shared" si="16"/>
        <v>2015</v>
      </c>
      <c r="R171" s="476">
        <f t="shared" si="16"/>
        <v>2016</v>
      </c>
      <c r="S171" s="476">
        <f t="shared" si="16"/>
        <v>2017</v>
      </c>
      <c r="T171" s="476">
        <f t="shared" si="16"/>
        <v>2018</v>
      </c>
      <c r="U171" s="476">
        <f t="shared" si="16"/>
        <v>2019</v>
      </c>
      <c r="V171" s="476">
        <f t="shared" si="16"/>
        <v>2020</v>
      </c>
      <c r="W171" s="476">
        <f t="shared" si="16"/>
        <v>2021</v>
      </c>
      <c r="X171" s="476">
        <f t="shared" si="16"/>
        <v>2022</v>
      </c>
      <c r="Y171" s="476">
        <f t="shared" si="16"/>
        <v>2023</v>
      </c>
      <c r="Z171" s="476">
        <f t="shared" si="16"/>
        <v>2024</v>
      </c>
      <c r="AA171" s="476">
        <f t="shared" si="16"/>
        <v>2025</v>
      </c>
      <c r="AB171" s="476">
        <f t="shared" si="16"/>
        <v>2026</v>
      </c>
      <c r="AC171" s="476">
        <f t="shared" si="16"/>
        <v>2027</v>
      </c>
      <c r="AD171" s="476">
        <f t="shared" si="16"/>
        <v>2028</v>
      </c>
      <c r="AE171" s="476">
        <f t="shared" si="16"/>
        <v>2029</v>
      </c>
      <c r="AF171" s="476">
        <f t="shared" si="16"/>
        <v>2030</v>
      </c>
      <c r="AG171" s="476">
        <f t="shared" si="16"/>
        <v>2031</v>
      </c>
      <c r="AH171" s="476">
        <f t="shared" si="16"/>
        <v>2032</v>
      </c>
      <c r="AI171" s="476">
        <f t="shared" si="16"/>
        <v>2033</v>
      </c>
      <c r="AJ171" s="476">
        <f t="shared" si="16"/>
        <v>2034</v>
      </c>
      <c r="AK171" s="476">
        <f t="shared" si="16"/>
        <v>2035</v>
      </c>
      <c r="AL171" s="476">
        <f t="shared" si="16"/>
        <v>2036</v>
      </c>
      <c r="AM171" s="476">
        <f t="shared" si="16"/>
        <v>2037</v>
      </c>
      <c r="AN171" s="476">
        <f t="shared" si="16"/>
        <v>2038</v>
      </c>
      <c r="AO171" s="476">
        <f t="shared" si="16"/>
        <v>2039</v>
      </c>
      <c r="AP171" s="476">
        <f t="shared" si="16"/>
        <v>2040</v>
      </c>
      <c r="AQ171" s="476">
        <f t="shared" si="16"/>
        <v>2041</v>
      </c>
      <c r="AR171" s="476">
        <f t="shared" si="16"/>
        <v>2042</v>
      </c>
      <c r="AS171" s="476">
        <f t="shared" si="16"/>
        <v>2043</v>
      </c>
      <c r="AT171" s="476">
        <f t="shared" si="16"/>
        <v>2044</v>
      </c>
      <c r="AU171" s="476">
        <f t="shared" si="16"/>
        <v>2045</v>
      </c>
      <c r="AV171" s="476">
        <f t="shared" si="16"/>
        <v>2046</v>
      </c>
      <c r="AW171" s="476">
        <f t="shared" si="16"/>
        <v>2047</v>
      </c>
      <c r="AX171" s="476">
        <f t="shared" si="16"/>
        <v>2048</v>
      </c>
      <c r="AY171" s="476">
        <f t="shared" si="16"/>
        <v>2049</v>
      </c>
      <c r="AZ171" s="476">
        <f t="shared" si="16"/>
        <v>2050</v>
      </c>
    </row>
    <row r="172" spans="1:52" s="470" customFormat="1" ht="5.0999999999999996" customHeight="1">
      <c r="A172" s="478"/>
      <c r="B172" s="478"/>
      <c r="C172" s="478"/>
      <c r="D172" s="478"/>
      <c r="E172" s="478"/>
      <c r="F172" s="478"/>
      <c r="G172" s="468"/>
      <c r="H172" s="467"/>
      <c r="I172" s="467"/>
      <c r="J172" s="467"/>
      <c r="K172" s="467"/>
      <c r="L172" s="467"/>
      <c r="M172" s="467"/>
      <c r="N172" s="467"/>
      <c r="O172" s="467"/>
      <c r="P172" s="467"/>
      <c r="Q172" s="467"/>
      <c r="R172" s="467"/>
      <c r="S172" s="467"/>
      <c r="T172" s="467"/>
      <c r="U172" s="467"/>
      <c r="V172" s="467"/>
      <c r="W172" s="467"/>
      <c r="X172" s="467"/>
      <c r="Y172" s="467"/>
      <c r="Z172" s="467"/>
      <c r="AA172" s="467"/>
      <c r="AB172" s="467"/>
      <c r="AC172" s="467"/>
      <c r="AD172" s="467"/>
      <c r="AE172" s="467"/>
      <c r="AF172" s="467"/>
      <c r="AG172" s="467"/>
      <c r="AH172" s="467"/>
      <c r="AI172" s="467"/>
      <c r="AJ172" s="467"/>
      <c r="AK172" s="467"/>
      <c r="AL172" s="467"/>
      <c r="AM172" s="467"/>
      <c r="AN172" s="467"/>
      <c r="AO172" s="467"/>
      <c r="AP172" s="467"/>
      <c r="AQ172" s="467"/>
      <c r="AR172" s="467"/>
      <c r="AS172" s="467"/>
      <c r="AT172" s="467"/>
      <c r="AU172" s="467"/>
      <c r="AV172" s="467"/>
      <c r="AW172" s="467"/>
      <c r="AX172" s="467"/>
      <c r="AY172" s="467"/>
      <c r="AZ172" s="467"/>
    </row>
    <row r="173" spans="1:52" s="470" customFormat="1">
      <c r="A173" s="479">
        <f>'[4]Allocation Methodology'!A5</f>
        <v>1</v>
      </c>
      <c r="B173" s="480" t="str">
        <f>'[4]Allocation Methodology'!B5</f>
        <v>Secondary Refrigerator Retirement Pilot</v>
      </c>
      <c r="C173" s="480" t="str">
        <f>'[4]Allocation Methodology'!C5</f>
        <v>Consumer</v>
      </c>
      <c r="D173" s="480"/>
      <c r="E173" s="480">
        <f>'[4]Allocation Methodology'!D5</f>
        <v>2006</v>
      </c>
      <c r="F173" s="481" t="str">
        <f>'[4]Allocation Methodology'!E5</f>
        <v>Final</v>
      </c>
      <c r="G173" s="472" t="b">
        <v>0</v>
      </c>
      <c r="H173" s="567">
        <v>6.9981847729831594E-3</v>
      </c>
      <c r="I173" s="568">
        <v>6.9981847729831594E-3</v>
      </c>
      <c r="J173" s="484">
        <v>6.9981847729831594E-3</v>
      </c>
      <c r="K173" s="568">
        <v>6.9981847729831594E-3</v>
      </c>
      <c r="L173" s="484">
        <v>6.9981847729831594E-3</v>
      </c>
      <c r="M173" s="484">
        <v>6.9981847729831594E-3</v>
      </c>
      <c r="N173" s="484">
        <v>0</v>
      </c>
      <c r="O173" s="484">
        <v>0</v>
      </c>
      <c r="P173" s="484">
        <v>0</v>
      </c>
      <c r="Q173" s="484">
        <v>0</v>
      </c>
      <c r="R173" s="484">
        <v>0</v>
      </c>
      <c r="S173" s="484">
        <v>0</v>
      </c>
      <c r="T173" s="484">
        <v>0</v>
      </c>
      <c r="U173" s="484">
        <v>0</v>
      </c>
      <c r="V173" s="484">
        <v>0</v>
      </c>
      <c r="W173" s="484">
        <v>0</v>
      </c>
      <c r="X173" s="484">
        <v>0</v>
      </c>
      <c r="Y173" s="484">
        <v>0</v>
      </c>
      <c r="Z173" s="484">
        <v>0</v>
      </c>
      <c r="AA173" s="484">
        <v>0</v>
      </c>
      <c r="AB173" s="484">
        <v>0</v>
      </c>
      <c r="AC173" s="484">
        <v>0</v>
      </c>
      <c r="AD173" s="484">
        <v>0</v>
      </c>
      <c r="AE173" s="484">
        <v>0</v>
      </c>
      <c r="AF173" s="484">
        <v>0</v>
      </c>
      <c r="AG173" s="484">
        <v>0</v>
      </c>
      <c r="AH173" s="484">
        <v>0</v>
      </c>
      <c r="AI173" s="484">
        <v>0</v>
      </c>
      <c r="AJ173" s="484">
        <v>0</v>
      </c>
      <c r="AK173" s="484">
        <v>0</v>
      </c>
      <c r="AL173" s="484">
        <v>0</v>
      </c>
      <c r="AM173" s="484">
        <v>0</v>
      </c>
      <c r="AN173" s="484">
        <v>0</v>
      </c>
      <c r="AO173" s="484">
        <v>0</v>
      </c>
      <c r="AP173" s="484">
        <v>0</v>
      </c>
      <c r="AQ173" s="484">
        <v>0</v>
      </c>
      <c r="AR173" s="484">
        <v>0</v>
      </c>
      <c r="AS173" s="484">
        <v>0</v>
      </c>
      <c r="AT173" s="484">
        <v>0</v>
      </c>
      <c r="AU173" s="484">
        <v>0</v>
      </c>
      <c r="AV173" s="484">
        <v>0</v>
      </c>
      <c r="AW173" s="484">
        <v>0</v>
      </c>
      <c r="AX173" s="484">
        <v>0</v>
      </c>
      <c r="AY173" s="484">
        <v>0</v>
      </c>
      <c r="AZ173" s="485">
        <v>0</v>
      </c>
    </row>
    <row r="174" spans="1:52" s="470" customFormat="1">
      <c r="A174" s="486">
        <f>'[4]Allocation Methodology'!A6</f>
        <v>2</v>
      </c>
      <c r="B174" s="487" t="str">
        <f>'[4]Allocation Methodology'!B6</f>
        <v>Cool &amp; Hot Savings Rebate</v>
      </c>
      <c r="C174" s="487" t="str">
        <f>'[4]Allocation Methodology'!C6</f>
        <v>Consumer</v>
      </c>
      <c r="D174" s="487"/>
      <c r="E174" s="487">
        <f>'[4]Allocation Methodology'!D6</f>
        <v>2006</v>
      </c>
      <c r="F174" s="488" t="str">
        <f>'[4]Allocation Methodology'!E6</f>
        <v>Final</v>
      </c>
      <c r="G174" s="472" t="b">
        <v>0</v>
      </c>
      <c r="H174" s="569">
        <v>7.729684489564384E-2</v>
      </c>
      <c r="I174" s="491">
        <v>7.729684489564384E-2</v>
      </c>
      <c r="J174" s="491">
        <v>7.729684489564384E-2</v>
      </c>
      <c r="K174" s="491">
        <v>7.729684489564384E-2</v>
      </c>
      <c r="L174" s="491">
        <v>7.729684489564384E-2</v>
      </c>
      <c r="M174" s="491">
        <v>7.729684489564384E-2</v>
      </c>
      <c r="N174" s="491">
        <v>7.729684489564384E-2</v>
      </c>
      <c r="O174" s="491">
        <v>7.729684489564384E-2</v>
      </c>
      <c r="P174" s="491">
        <v>5.6825080937432902E-2</v>
      </c>
      <c r="Q174" s="491">
        <v>5.6825080937432902E-2</v>
      </c>
      <c r="R174" s="491">
        <v>5.6825080937432902E-2</v>
      </c>
      <c r="S174" s="491">
        <v>5.6825080937432902E-2</v>
      </c>
      <c r="T174" s="491">
        <v>5.6825080937432902E-2</v>
      </c>
      <c r="U174" s="491">
        <v>5.6825080937432902E-2</v>
      </c>
      <c r="V174" s="491">
        <v>2.8313597279191423E-2</v>
      </c>
      <c r="W174" s="491">
        <v>1.2327058538798782E-2</v>
      </c>
      <c r="X174" s="491">
        <v>1.2327058538798782E-2</v>
      </c>
      <c r="Y174" s="491">
        <v>1.2327058538798782E-2</v>
      </c>
      <c r="Z174" s="491">
        <v>0</v>
      </c>
      <c r="AA174" s="491">
        <v>0</v>
      </c>
      <c r="AB174" s="491">
        <v>0</v>
      </c>
      <c r="AC174" s="491">
        <v>0</v>
      </c>
      <c r="AD174" s="491">
        <v>0</v>
      </c>
      <c r="AE174" s="491">
        <v>0</v>
      </c>
      <c r="AF174" s="491">
        <v>0</v>
      </c>
      <c r="AG174" s="491">
        <v>0</v>
      </c>
      <c r="AH174" s="491">
        <v>0</v>
      </c>
      <c r="AI174" s="491">
        <v>0</v>
      </c>
      <c r="AJ174" s="491">
        <v>0</v>
      </c>
      <c r="AK174" s="491">
        <v>0</v>
      </c>
      <c r="AL174" s="491">
        <v>0</v>
      </c>
      <c r="AM174" s="491">
        <v>0</v>
      </c>
      <c r="AN174" s="491">
        <v>0</v>
      </c>
      <c r="AO174" s="491">
        <v>0</v>
      </c>
      <c r="AP174" s="491">
        <v>0</v>
      </c>
      <c r="AQ174" s="491">
        <v>0</v>
      </c>
      <c r="AR174" s="491">
        <v>0</v>
      </c>
      <c r="AS174" s="491">
        <v>0</v>
      </c>
      <c r="AT174" s="491">
        <v>0</v>
      </c>
      <c r="AU174" s="491">
        <v>0</v>
      </c>
      <c r="AV174" s="491">
        <v>0</v>
      </c>
      <c r="AW174" s="491">
        <v>0</v>
      </c>
      <c r="AX174" s="491">
        <v>0</v>
      </c>
      <c r="AY174" s="491">
        <v>0</v>
      </c>
      <c r="AZ174" s="492">
        <v>0</v>
      </c>
    </row>
    <row r="175" spans="1:52" s="470" customFormat="1">
      <c r="A175" s="493">
        <f>'[4]Allocation Methodology'!A7</f>
        <v>3</v>
      </c>
      <c r="B175" s="494" t="str">
        <f>'[4]Allocation Methodology'!B7</f>
        <v>Every Kilowatt Counts</v>
      </c>
      <c r="C175" s="494" t="str">
        <f>'[4]Allocation Methodology'!C7</f>
        <v>Consumer</v>
      </c>
      <c r="D175" s="494"/>
      <c r="E175" s="494">
        <f>'[4]Allocation Methodology'!D7</f>
        <v>2006</v>
      </c>
      <c r="F175" s="495" t="str">
        <f>'[4]Allocation Methodology'!E7</f>
        <v>Final</v>
      </c>
      <c r="G175" s="472" t="b">
        <v>0</v>
      </c>
      <c r="H175" s="570">
        <v>2.3324159781415509E-2</v>
      </c>
      <c r="I175" s="498">
        <v>2.3324159781415509E-2</v>
      </c>
      <c r="J175" s="498">
        <v>2.3324159781415509E-2</v>
      </c>
      <c r="K175" s="498">
        <v>2.3324159781415509E-2</v>
      </c>
      <c r="L175" s="498">
        <v>2.3324159781415509E-2</v>
      </c>
      <c r="M175" s="498">
        <v>2.3324159781415509E-2</v>
      </c>
      <c r="N175" s="498">
        <v>2.3324159781415509E-2</v>
      </c>
      <c r="O175" s="498">
        <v>2.3324159781415509E-2</v>
      </c>
      <c r="P175" s="498">
        <v>2.3324159781415509E-2</v>
      </c>
      <c r="Q175" s="498">
        <v>2.3324159781415509E-2</v>
      </c>
      <c r="R175" s="498">
        <v>2.3324159781415509E-2</v>
      </c>
      <c r="S175" s="498">
        <v>2.3324159781415509E-2</v>
      </c>
      <c r="T175" s="498">
        <v>2.3324159781415509E-2</v>
      </c>
      <c r="U175" s="498">
        <v>2.3324159781415509E-2</v>
      </c>
      <c r="V175" s="498">
        <v>2.3324159781415509E-2</v>
      </c>
      <c r="W175" s="498">
        <v>1.9271743756911437E-2</v>
      </c>
      <c r="X175" s="498">
        <v>1.9271743756911437E-2</v>
      </c>
      <c r="Y175" s="498">
        <v>1.9271743756911437E-2</v>
      </c>
      <c r="Z175" s="498">
        <v>8.6317454561158431E-4</v>
      </c>
      <c r="AA175" s="498">
        <v>8.6317454561158431E-4</v>
      </c>
      <c r="AB175" s="498">
        <v>0</v>
      </c>
      <c r="AC175" s="498">
        <v>0</v>
      </c>
      <c r="AD175" s="498">
        <v>0</v>
      </c>
      <c r="AE175" s="498">
        <v>0</v>
      </c>
      <c r="AF175" s="498">
        <v>0</v>
      </c>
      <c r="AG175" s="498">
        <v>0</v>
      </c>
      <c r="AH175" s="498">
        <v>0</v>
      </c>
      <c r="AI175" s="498">
        <v>0</v>
      </c>
      <c r="AJ175" s="498">
        <v>0</v>
      </c>
      <c r="AK175" s="498">
        <v>0</v>
      </c>
      <c r="AL175" s="498">
        <v>0</v>
      </c>
      <c r="AM175" s="498">
        <v>0</v>
      </c>
      <c r="AN175" s="498">
        <v>0</v>
      </c>
      <c r="AO175" s="498">
        <v>0</v>
      </c>
      <c r="AP175" s="498">
        <v>0</v>
      </c>
      <c r="AQ175" s="498">
        <v>0</v>
      </c>
      <c r="AR175" s="498">
        <v>0</v>
      </c>
      <c r="AS175" s="498">
        <v>0</v>
      </c>
      <c r="AT175" s="498">
        <v>0</v>
      </c>
      <c r="AU175" s="498">
        <v>0</v>
      </c>
      <c r="AV175" s="498">
        <v>0</v>
      </c>
      <c r="AW175" s="498">
        <v>0</v>
      </c>
      <c r="AX175" s="498">
        <v>0</v>
      </c>
      <c r="AY175" s="498">
        <v>0</v>
      </c>
      <c r="AZ175" s="499">
        <v>0</v>
      </c>
    </row>
    <row r="176" spans="1:52" s="470" customFormat="1">
      <c r="A176" s="486">
        <f>'[4]Allocation Methodology'!A8</f>
        <v>4</v>
      </c>
      <c r="B176" s="487" t="str">
        <f>'[4]Allocation Methodology'!B8</f>
        <v>Demand Response 1</v>
      </c>
      <c r="C176" s="487" t="str">
        <f>'[4]Allocation Methodology'!C8</f>
        <v>Business, Industrial</v>
      </c>
      <c r="D176" s="487"/>
      <c r="E176" s="487">
        <f>'[4]Allocation Methodology'!D8</f>
        <v>2006</v>
      </c>
      <c r="F176" s="488" t="str">
        <f>'[4]Allocation Methodology'!E8</f>
        <v>Final</v>
      </c>
      <c r="G176" s="472" t="b">
        <v>0</v>
      </c>
      <c r="H176" s="569">
        <v>1.8056307353830989</v>
      </c>
      <c r="I176" s="491">
        <v>0</v>
      </c>
      <c r="J176" s="491">
        <v>0</v>
      </c>
      <c r="K176" s="491">
        <v>0</v>
      </c>
      <c r="L176" s="491">
        <v>0</v>
      </c>
      <c r="M176" s="491">
        <v>0</v>
      </c>
      <c r="N176" s="491">
        <v>0</v>
      </c>
      <c r="O176" s="491">
        <v>0</v>
      </c>
      <c r="P176" s="491">
        <v>0</v>
      </c>
      <c r="Q176" s="491">
        <v>0</v>
      </c>
      <c r="R176" s="491">
        <v>0</v>
      </c>
      <c r="S176" s="491">
        <v>0</v>
      </c>
      <c r="T176" s="491">
        <v>0</v>
      </c>
      <c r="U176" s="491">
        <v>0</v>
      </c>
      <c r="V176" s="491">
        <v>0</v>
      </c>
      <c r="W176" s="491">
        <v>0</v>
      </c>
      <c r="X176" s="491">
        <v>0</v>
      </c>
      <c r="Y176" s="491">
        <v>0</v>
      </c>
      <c r="Z176" s="491">
        <v>0</v>
      </c>
      <c r="AA176" s="491">
        <v>0</v>
      </c>
      <c r="AB176" s="491">
        <v>0</v>
      </c>
      <c r="AC176" s="491">
        <v>0</v>
      </c>
      <c r="AD176" s="491">
        <v>0</v>
      </c>
      <c r="AE176" s="491">
        <v>0</v>
      </c>
      <c r="AF176" s="491">
        <v>0</v>
      </c>
      <c r="AG176" s="491">
        <v>0</v>
      </c>
      <c r="AH176" s="491">
        <v>0</v>
      </c>
      <c r="AI176" s="491">
        <v>0</v>
      </c>
      <c r="AJ176" s="491">
        <v>0</v>
      </c>
      <c r="AK176" s="491">
        <v>0</v>
      </c>
      <c r="AL176" s="491">
        <v>0</v>
      </c>
      <c r="AM176" s="491">
        <v>0</v>
      </c>
      <c r="AN176" s="491">
        <v>0</v>
      </c>
      <c r="AO176" s="491">
        <v>0</v>
      </c>
      <c r="AP176" s="491">
        <v>0</v>
      </c>
      <c r="AQ176" s="491">
        <v>0</v>
      </c>
      <c r="AR176" s="491">
        <v>0</v>
      </c>
      <c r="AS176" s="491">
        <v>0</v>
      </c>
      <c r="AT176" s="491">
        <v>0</v>
      </c>
      <c r="AU176" s="491">
        <v>0</v>
      </c>
      <c r="AV176" s="491">
        <v>0</v>
      </c>
      <c r="AW176" s="491">
        <v>0</v>
      </c>
      <c r="AX176" s="491">
        <v>0</v>
      </c>
      <c r="AY176" s="491">
        <v>0</v>
      </c>
      <c r="AZ176" s="492">
        <v>0</v>
      </c>
    </row>
    <row r="177" spans="1:52" s="470" customFormat="1">
      <c r="A177" s="500">
        <f>'[4]Allocation Methodology'!A9</f>
        <v>5</v>
      </c>
      <c r="B177" s="501" t="str">
        <f>'[4]Allocation Methodology'!B9</f>
        <v>Loblaw &amp; York Region Demand Response</v>
      </c>
      <c r="C177" s="501" t="str">
        <f>'[4]Allocation Methodology'!C9</f>
        <v>Business, Industrial</v>
      </c>
      <c r="D177" s="501"/>
      <c r="E177" s="501">
        <f>'[4]Allocation Methodology'!D9</f>
        <v>2006</v>
      </c>
      <c r="F177" s="502" t="str">
        <f>'[4]Allocation Methodology'!E9</f>
        <v>Final</v>
      </c>
      <c r="G177" s="472" t="b">
        <v>0</v>
      </c>
      <c r="H177" s="571">
        <v>8.837801039149204E-2</v>
      </c>
      <c r="I177" s="505">
        <v>0</v>
      </c>
      <c r="J177" s="505">
        <v>0</v>
      </c>
      <c r="K177" s="505">
        <v>0</v>
      </c>
      <c r="L177" s="505">
        <v>0</v>
      </c>
      <c r="M177" s="505">
        <v>0</v>
      </c>
      <c r="N177" s="505">
        <v>0</v>
      </c>
      <c r="O177" s="505">
        <v>0</v>
      </c>
      <c r="P177" s="505">
        <v>0</v>
      </c>
      <c r="Q177" s="505">
        <v>0</v>
      </c>
      <c r="R177" s="505">
        <v>0</v>
      </c>
      <c r="S177" s="505">
        <v>0</v>
      </c>
      <c r="T177" s="505">
        <v>0</v>
      </c>
      <c r="U177" s="505">
        <v>0</v>
      </c>
      <c r="V177" s="505">
        <v>0</v>
      </c>
      <c r="W177" s="505">
        <v>0</v>
      </c>
      <c r="X177" s="505">
        <v>0</v>
      </c>
      <c r="Y177" s="505">
        <v>0</v>
      </c>
      <c r="Z177" s="505">
        <v>0</v>
      </c>
      <c r="AA177" s="505">
        <v>0</v>
      </c>
      <c r="AB177" s="505">
        <v>0</v>
      </c>
      <c r="AC177" s="505">
        <v>0</v>
      </c>
      <c r="AD177" s="505">
        <v>0</v>
      </c>
      <c r="AE177" s="505">
        <v>0</v>
      </c>
      <c r="AF177" s="505">
        <v>0</v>
      </c>
      <c r="AG177" s="505">
        <v>0</v>
      </c>
      <c r="AH177" s="505">
        <v>0</v>
      </c>
      <c r="AI177" s="505">
        <v>0</v>
      </c>
      <c r="AJ177" s="505">
        <v>0</v>
      </c>
      <c r="AK177" s="505">
        <v>0</v>
      </c>
      <c r="AL177" s="505">
        <v>0</v>
      </c>
      <c r="AM177" s="505">
        <v>0</v>
      </c>
      <c r="AN177" s="505">
        <v>0</v>
      </c>
      <c r="AO177" s="505">
        <v>0</v>
      </c>
      <c r="AP177" s="505">
        <v>0</v>
      </c>
      <c r="AQ177" s="505">
        <v>0</v>
      </c>
      <c r="AR177" s="505">
        <v>0</v>
      </c>
      <c r="AS177" s="505">
        <v>0</v>
      </c>
      <c r="AT177" s="505">
        <v>0</v>
      </c>
      <c r="AU177" s="505">
        <v>0</v>
      </c>
      <c r="AV177" s="505">
        <v>0</v>
      </c>
      <c r="AW177" s="505">
        <v>0</v>
      </c>
      <c r="AX177" s="505">
        <v>0</v>
      </c>
      <c r="AY177" s="505">
        <v>0</v>
      </c>
      <c r="AZ177" s="506">
        <v>0</v>
      </c>
    </row>
    <row r="178" spans="1:52" s="470" customFormat="1">
      <c r="A178" s="507">
        <f>'[4]Allocation Methodology'!A10</f>
        <v>6</v>
      </c>
      <c r="B178" s="508" t="str">
        <f>'[4]Allocation Methodology'!B10</f>
        <v>Great Refrigerator Roundup</v>
      </c>
      <c r="C178" s="508" t="str">
        <f>'[4]Allocation Methodology'!C10</f>
        <v>Consumer</v>
      </c>
      <c r="D178" s="508"/>
      <c r="E178" s="508">
        <f>'[4]Allocation Methodology'!D10</f>
        <v>2007</v>
      </c>
      <c r="F178" s="509" t="str">
        <f>'[4]Allocation Methodology'!E10</f>
        <v>Final</v>
      </c>
      <c r="G178" s="472" t="b">
        <v>0</v>
      </c>
      <c r="H178" s="572">
        <v>0</v>
      </c>
      <c r="I178" s="512">
        <v>1.871227691573317E-2</v>
      </c>
      <c r="J178" s="512">
        <v>1.871227691573317E-2</v>
      </c>
      <c r="K178" s="512">
        <v>1.871227691573317E-2</v>
      </c>
      <c r="L178" s="512">
        <v>1.871227691573317E-2</v>
      </c>
      <c r="M178" s="512">
        <v>1.7027560513871012E-2</v>
      </c>
      <c r="N178" s="512">
        <v>1.7027560513871012E-2</v>
      </c>
      <c r="O178" s="512">
        <v>1.7027560513871012E-2</v>
      </c>
      <c r="P178" s="512">
        <v>1.7027560513871012E-2</v>
      </c>
      <c r="Q178" s="512">
        <v>1.3816113031446213E-2</v>
      </c>
      <c r="R178" s="512">
        <v>0</v>
      </c>
      <c r="S178" s="512">
        <v>0</v>
      </c>
      <c r="T178" s="512">
        <v>0</v>
      </c>
      <c r="U178" s="512">
        <v>0</v>
      </c>
      <c r="V178" s="512">
        <v>0</v>
      </c>
      <c r="W178" s="512">
        <v>0</v>
      </c>
      <c r="X178" s="512">
        <v>0</v>
      </c>
      <c r="Y178" s="512">
        <v>0</v>
      </c>
      <c r="Z178" s="512">
        <v>0</v>
      </c>
      <c r="AA178" s="512">
        <v>0</v>
      </c>
      <c r="AB178" s="512">
        <v>0</v>
      </c>
      <c r="AC178" s="512">
        <v>0</v>
      </c>
      <c r="AD178" s="512">
        <v>0</v>
      </c>
      <c r="AE178" s="512">
        <v>0</v>
      </c>
      <c r="AF178" s="512">
        <v>0</v>
      </c>
      <c r="AG178" s="512">
        <v>0</v>
      </c>
      <c r="AH178" s="512">
        <v>0</v>
      </c>
      <c r="AI178" s="512">
        <v>0</v>
      </c>
      <c r="AJ178" s="512">
        <v>0</v>
      </c>
      <c r="AK178" s="512">
        <v>0</v>
      </c>
      <c r="AL178" s="512">
        <v>0</v>
      </c>
      <c r="AM178" s="512">
        <v>0</v>
      </c>
      <c r="AN178" s="512">
        <v>0</v>
      </c>
      <c r="AO178" s="512">
        <v>0</v>
      </c>
      <c r="AP178" s="512">
        <v>0</v>
      </c>
      <c r="AQ178" s="512">
        <v>0</v>
      </c>
      <c r="AR178" s="512">
        <v>0</v>
      </c>
      <c r="AS178" s="512">
        <v>0</v>
      </c>
      <c r="AT178" s="512">
        <v>0</v>
      </c>
      <c r="AU178" s="512">
        <v>0</v>
      </c>
      <c r="AV178" s="512">
        <v>0</v>
      </c>
      <c r="AW178" s="512">
        <v>0</v>
      </c>
      <c r="AX178" s="512">
        <v>0</v>
      </c>
      <c r="AY178" s="512">
        <v>0</v>
      </c>
      <c r="AZ178" s="513">
        <v>0</v>
      </c>
    </row>
    <row r="179" spans="1:52" s="470" customFormat="1">
      <c r="A179" s="493">
        <f>'[4]Allocation Methodology'!A11</f>
        <v>7</v>
      </c>
      <c r="B179" s="494" t="str">
        <f>'[4]Allocation Methodology'!B11</f>
        <v>Cool &amp; Hot Savings Rebate</v>
      </c>
      <c r="C179" s="494" t="str">
        <f>'[4]Allocation Methodology'!C11</f>
        <v>Consumer</v>
      </c>
      <c r="D179" s="494"/>
      <c r="E179" s="494">
        <f>'[4]Allocation Methodology'!D11</f>
        <v>2007</v>
      </c>
      <c r="F179" s="495" t="str">
        <f>'[4]Allocation Methodology'!E11</f>
        <v>Final</v>
      </c>
      <c r="G179" s="472" t="b">
        <v>0</v>
      </c>
      <c r="H179" s="570">
        <v>0</v>
      </c>
      <c r="I179" s="498">
        <v>0.16509240452595328</v>
      </c>
      <c r="J179" s="498">
        <v>0.16509240452595328</v>
      </c>
      <c r="K179" s="498">
        <v>0.16509240452595328</v>
      </c>
      <c r="L179" s="498">
        <v>0.16509240452595328</v>
      </c>
      <c r="M179" s="498">
        <v>0.16509240452595328</v>
      </c>
      <c r="N179" s="498">
        <v>0.12620005314340504</v>
      </c>
      <c r="O179" s="498">
        <v>0.12620005314340504</v>
      </c>
      <c r="P179" s="498">
        <v>0.12620005314340504</v>
      </c>
      <c r="Q179" s="498">
        <v>0.12620005314340504</v>
      </c>
      <c r="R179" s="498">
        <v>0.12620005314340504</v>
      </c>
      <c r="S179" s="498">
        <v>0.12620005314340504</v>
      </c>
      <c r="T179" s="498">
        <v>0.12620005314340504</v>
      </c>
      <c r="U179" s="498">
        <v>0.12620005314340504</v>
      </c>
      <c r="V179" s="498">
        <v>0.12620005314340504</v>
      </c>
      <c r="W179" s="498">
        <v>0.12620005314340504</v>
      </c>
      <c r="X179" s="498">
        <v>2.353945594428377E-2</v>
      </c>
      <c r="Y179" s="498">
        <v>2.353945594428377E-2</v>
      </c>
      <c r="Z179" s="498">
        <v>2.353945594428377E-2</v>
      </c>
      <c r="AA179" s="498">
        <v>0</v>
      </c>
      <c r="AB179" s="498">
        <v>0</v>
      </c>
      <c r="AC179" s="498">
        <v>0</v>
      </c>
      <c r="AD179" s="498">
        <v>0</v>
      </c>
      <c r="AE179" s="498">
        <v>0</v>
      </c>
      <c r="AF179" s="498">
        <v>0</v>
      </c>
      <c r="AG179" s="498">
        <v>0</v>
      </c>
      <c r="AH179" s="498">
        <v>0</v>
      </c>
      <c r="AI179" s="498">
        <v>0</v>
      </c>
      <c r="AJ179" s="498">
        <v>0</v>
      </c>
      <c r="AK179" s="498">
        <v>0</v>
      </c>
      <c r="AL179" s="498">
        <v>0</v>
      </c>
      <c r="AM179" s="498">
        <v>0</v>
      </c>
      <c r="AN179" s="498">
        <v>0</v>
      </c>
      <c r="AO179" s="498">
        <v>0</v>
      </c>
      <c r="AP179" s="498">
        <v>0</v>
      </c>
      <c r="AQ179" s="498">
        <v>0</v>
      </c>
      <c r="AR179" s="498">
        <v>0</v>
      </c>
      <c r="AS179" s="498">
        <v>0</v>
      </c>
      <c r="AT179" s="498">
        <v>0</v>
      </c>
      <c r="AU179" s="498">
        <v>0</v>
      </c>
      <c r="AV179" s="498">
        <v>0</v>
      </c>
      <c r="AW179" s="498">
        <v>0</v>
      </c>
      <c r="AX179" s="498">
        <v>0</v>
      </c>
      <c r="AY179" s="498">
        <v>0</v>
      </c>
      <c r="AZ179" s="499">
        <v>0</v>
      </c>
    </row>
    <row r="180" spans="1:52" s="470" customFormat="1">
      <c r="A180" s="486">
        <f>'[4]Allocation Methodology'!A12</f>
        <v>8</v>
      </c>
      <c r="B180" s="487" t="str">
        <f>'[4]Allocation Methodology'!B12</f>
        <v>Every Kilowatt Counts</v>
      </c>
      <c r="C180" s="487" t="str">
        <f>'[4]Allocation Methodology'!C12</f>
        <v>Consumer</v>
      </c>
      <c r="D180" s="487"/>
      <c r="E180" s="487">
        <f>'[4]Allocation Methodology'!D12</f>
        <v>2007</v>
      </c>
      <c r="F180" s="488" t="str">
        <f>'[4]Allocation Methodology'!E12</f>
        <v>Final</v>
      </c>
      <c r="G180" s="472" t="b">
        <v>0</v>
      </c>
      <c r="H180" s="569">
        <v>0</v>
      </c>
      <c r="I180" s="491">
        <v>3.9615869495274986E-2</v>
      </c>
      <c r="J180" s="491">
        <v>3.4948093668275435E-2</v>
      </c>
      <c r="K180" s="491">
        <v>3.4948093668275435E-2</v>
      </c>
      <c r="L180" s="491">
        <v>3.4948093668275435E-2</v>
      </c>
      <c r="M180" s="491">
        <v>3.4948093668275435E-2</v>
      </c>
      <c r="N180" s="491">
        <v>3.4948093668275435E-2</v>
      </c>
      <c r="O180" s="491">
        <v>3.4948093668275435E-2</v>
      </c>
      <c r="P180" s="491">
        <v>3.4948093668275435E-2</v>
      </c>
      <c r="Q180" s="491">
        <v>1.0804398986265068E-2</v>
      </c>
      <c r="R180" s="491">
        <v>1.0804398986265068E-2</v>
      </c>
      <c r="S180" s="491">
        <v>3.9605315705092272E-4</v>
      </c>
      <c r="T180" s="491">
        <v>3.9605315705092272E-4</v>
      </c>
      <c r="U180" s="491">
        <v>3.9605315705092272E-4</v>
      </c>
      <c r="V180" s="491">
        <v>3.9605315705092272E-4</v>
      </c>
      <c r="W180" s="491">
        <v>3.9605315705092272E-4</v>
      </c>
      <c r="X180" s="491">
        <v>3.9605315705092272E-4</v>
      </c>
      <c r="Y180" s="491">
        <v>1.1713865217316873E-4</v>
      </c>
      <c r="Z180" s="491">
        <v>1.1713865217316873E-4</v>
      </c>
      <c r="AA180" s="491">
        <v>0</v>
      </c>
      <c r="AB180" s="491">
        <v>0</v>
      </c>
      <c r="AC180" s="491">
        <v>0</v>
      </c>
      <c r="AD180" s="491">
        <v>0</v>
      </c>
      <c r="AE180" s="491">
        <v>0</v>
      </c>
      <c r="AF180" s="491">
        <v>0</v>
      </c>
      <c r="AG180" s="491">
        <v>0</v>
      </c>
      <c r="AH180" s="491">
        <v>0</v>
      </c>
      <c r="AI180" s="491">
        <v>0</v>
      </c>
      <c r="AJ180" s="491">
        <v>0</v>
      </c>
      <c r="AK180" s="491">
        <v>0</v>
      </c>
      <c r="AL180" s="491">
        <v>0</v>
      </c>
      <c r="AM180" s="491">
        <v>0</v>
      </c>
      <c r="AN180" s="491">
        <v>0</v>
      </c>
      <c r="AO180" s="491">
        <v>0</v>
      </c>
      <c r="AP180" s="491">
        <v>0</v>
      </c>
      <c r="AQ180" s="491">
        <v>0</v>
      </c>
      <c r="AR180" s="491">
        <v>0</v>
      </c>
      <c r="AS180" s="491">
        <v>0</v>
      </c>
      <c r="AT180" s="491">
        <v>0</v>
      </c>
      <c r="AU180" s="491">
        <v>0</v>
      </c>
      <c r="AV180" s="491">
        <v>0</v>
      </c>
      <c r="AW180" s="491">
        <v>0</v>
      </c>
      <c r="AX180" s="491">
        <v>0</v>
      </c>
      <c r="AY180" s="491">
        <v>0</v>
      </c>
      <c r="AZ180" s="492">
        <v>0</v>
      </c>
    </row>
    <row r="181" spans="1:52" s="470" customFormat="1">
      <c r="A181" s="493">
        <f>'[4]Allocation Methodology'!A13</f>
        <v>9</v>
      </c>
      <c r="B181" s="514" t="str">
        <f>'[4]Allocation Methodology'!B13</f>
        <v>peaksaver®</v>
      </c>
      <c r="C181" s="494" t="str">
        <f>'[4]Allocation Methodology'!C13</f>
        <v>Consumer, Business</v>
      </c>
      <c r="D181" s="494"/>
      <c r="E181" s="494">
        <f>'[4]Allocation Methodology'!D13</f>
        <v>2007</v>
      </c>
      <c r="F181" s="495" t="str">
        <f>'[4]Allocation Methodology'!E13</f>
        <v>Final</v>
      </c>
      <c r="G181" s="472" t="b">
        <v>0</v>
      </c>
      <c r="H181" s="570">
        <v>0</v>
      </c>
      <c r="I181" s="498">
        <v>0</v>
      </c>
      <c r="J181" s="498">
        <v>0</v>
      </c>
      <c r="K181" s="498">
        <v>0</v>
      </c>
      <c r="L181" s="498">
        <v>0</v>
      </c>
      <c r="M181" s="498">
        <v>0</v>
      </c>
      <c r="N181" s="498">
        <v>0</v>
      </c>
      <c r="O181" s="498">
        <v>0</v>
      </c>
      <c r="P181" s="498">
        <v>0</v>
      </c>
      <c r="Q181" s="498">
        <v>0</v>
      </c>
      <c r="R181" s="498">
        <v>0</v>
      </c>
      <c r="S181" s="498">
        <v>0</v>
      </c>
      <c r="T181" s="498">
        <v>0</v>
      </c>
      <c r="U181" s="498">
        <v>0</v>
      </c>
      <c r="V181" s="498">
        <v>0</v>
      </c>
      <c r="W181" s="498">
        <v>0</v>
      </c>
      <c r="X181" s="498">
        <v>0</v>
      </c>
      <c r="Y181" s="498">
        <v>0</v>
      </c>
      <c r="Z181" s="498">
        <v>0</v>
      </c>
      <c r="AA181" s="498">
        <v>0</v>
      </c>
      <c r="AB181" s="498">
        <v>0</v>
      </c>
      <c r="AC181" s="498">
        <v>0</v>
      </c>
      <c r="AD181" s="498">
        <v>0</v>
      </c>
      <c r="AE181" s="498">
        <v>0</v>
      </c>
      <c r="AF181" s="498">
        <v>0</v>
      </c>
      <c r="AG181" s="498">
        <v>0</v>
      </c>
      <c r="AH181" s="498">
        <v>0</v>
      </c>
      <c r="AI181" s="498">
        <v>0</v>
      </c>
      <c r="AJ181" s="498">
        <v>0</v>
      </c>
      <c r="AK181" s="498">
        <v>0</v>
      </c>
      <c r="AL181" s="498">
        <v>0</v>
      </c>
      <c r="AM181" s="498">
        <v>0</v>
      </c>
      <c r="AN181" s="498">
        <v>0</v>
      </c>
      <c r="AO181" s="498">
        <v>0</v>
      </c>
      <c r="AP181" s="498">
        <v>0</v>
      </c>
      <c r="AQ181" s="498">
        <v>0</v>
      </c>
      <c r="AR181" s="498">
        <v>0</v>
      </c>
      <c r="AS181" s="498">
        <v>0</v>
      </c>
      <c r="AT181" s="498">
        <v>0</v>
      </c>
      <c r="AU181" s="498">
        <v>0</v>
      </c>
      <c r="AV181" s="498">
        <v>0</v>
      </c>
      <c r="AW181" s="498">
        <v>0</v>
      </c>
      <c r="AX181" s="498">
        <v>0</v>
      </c>
      <c r="AY181" s="498">
        <v>0</v>
      </c>
      <c r="AZ181" s="499">
        <v>0</v>
      </c>
    </row>
    <row r="182" spans="1:52" s="470" customFormat="1">
      <c r="A182" s="486">
        <f>'[4]Allocation Methodology'!A14</f>
        <v>10</v>
      </c>
      <c r="B182" s="487" t="str">
        <f>'[4]Allocation Methodology'!B14</f>
        <v>Summer Savings</v>
      </c>
      <c r="C182" s="487" t="str">
        <f>'[4]Allocation Methodology'!C14</f>
        <v>Consumer</v>
      </c>
      <c r="D182" s="487"/>
      <c r="E182" s="487">
        <f>'[4]Allocation Methodology'!D14</f>
        <v>2007</v>
      </c>
      <c r="F182" s="488" t="str">
        <f>'[4]Allocation Methodology'!E14</f>
        <v>Final</v>
      </c>
      <c r="G182" s="472" t="b">
        <v>0</v>
      </c>
      <c r="H182" s="569">
        <v>0</v>
      </c>
      <c r="I182" s="491">
        <v>1.5394873974857723</v>
      </c>
      <c r="J182" s="491">
        <v>0.45911445277013319</v>
      </c>
      <c r="K182" s="491">
        <v>0.22105368604093717</v>
      </c>
      <c r="L182" s="491">
        <v>0.22105368604093717</v>
      </c>
      <c r="M182" s="491">
        <v>0.22105368604093717</v>
      </c>
      <c r="N182" s="491">
        <v>0.22105368604093717</v>
      </c>
      <c r="O182" s="491">
        <v>0.22105368604093717</v>
      </c>
      <c r="P182" s="491">
        <v>0.22105368604093717</v>
      </c>
      <c r="Q182" s="491">
        <v>0.21906478358358042</v>
      </c>
      <c r="R182" s="491">
        <v>0.21906478358358042</v>
      </c>
      <c r="S182" s="491">
        <v>0.21906478358358042</v>
      </c>
      <c r="T182" s="491">
        <v>0.21906478358358042</v>
      </c>
      <c r="U182" s="491">
        <v>0.21906478358358042</v>
      </c>
      <c r="V182" s="491">
        <v>0.21906478358358042</v>
      </c>
      <c r="W182" s="491">
        <v>0</v>
      </c>
      <c r="X182" s="491">
        <v>0</v>
      </c>
      <c r="Y182" s="491">
        <v>0</v>
      </c>
      <c r="Z182" s="491">
        <v>0</v>
      </c>
      <c r="AA182" s="491">
        <v>0</v>
      </c>
      <c r="AB182" s="491">
        <v>0</v>
      </c>
      <c r="AC182" s="491">
        <v>0</v>
      </c>
      <c r="AD182" s="491">
        <v>0</v>
      </c>
      <c r="AE182" s="491">
        <v>0</v>
      </c>
      <c r="AF182" s="491">
        <v>0</v>
      </c>
      <c r="AG182" s="491">
        <v>0</v>
      </c>
      <c r="AH182" s="491">
        <v>0</v>
      </c>
      <c r="AI182" s="491">
        <v>0</v>
      </c>
      <c r="AJ182" s="491">
        <v>0</v>
      </c>
      <c r="AK182" s="491">
        <v>0</v>
      </c>
      <c r="AL182" s="491">
        <v>0</v>
      </c>
      <c r="AM182" s="491">
        <v>0</v>
      </c>
      <c r="AN182" s="491">
        <v>0</v>
      </c>
      <c r="AO182" s="491">
        <v>0</v>
      </c>
      <c r="AP182" s="491">
        <v>0</v>
      </c>
      <c r="AQ182" s="491">
        <v>0</v>
      </c>
      <c r="AR182" s="491">
        <v>0</v>
      </c>
      <c r="AS182" s="491">
        <v>0</v>
      </c>
      <c r="AT182" s="491">
        <v>0</v>
      </c>
      <c r="AU182" s="491">
        <v>0</v>
      </c>
      <c r="AV182" s="491">
        <v>0</v>
      </c>
      <c r="AW182" s="491">
        <v>0</v>
      </c>
      <c r="AX182" s="491">
        <v>0</v>
      </c>
      <c r="AY182" s="491">
        <v>0</v>
      </c>
      <c r="AZ182" s="492">
        <v>0</v>
      </c>
    </row>
    <row r="183" spans="1:52" s="470" customFormat="1">
      <c r="A183" s="493">
        <f>'[4]Allocation Methodology'!A15</f>
        <v>11</v>
      </c>
      <c r="B183" s="494" t="str">
        <f>'[4]Allocation Methodology'!B15</f>
        <v>Aboriginal</v>
      </c>
      <c r="C183" s="494" t="str">
        <f>'[4]Allocation Methodology'!C15</f>
        <v>Consumer</v>
      </c>
      <c r="D183" s="494"/>
      <c r="E183" s="494">
        <f>'[4]Allocation Methodology'!D15</f>
        <v>2007</v>
      </c>
      <c r="F183" s="495" t="str">
        <f>'[4]Allocation Methodology'!E15</f>
        <v>Final</v>
      </c>
      <c r="G183" s="472" t="b">
        <v>0</v>
      </c>
      <c r="H183" s="570">
        <v>0</v>
      </c>
      <c r="I183" s="498">
        <v>0</v>
      </c>
      <c r="J183" s="498">
        <v>0</v>
      </c>
      <c r="K183" s="498">
        <v>0</v>
      </c>
      <c r="L183" s="498">
        <v>0</v>
      </c>
      <c r="M183" s="498">
        <v>0</v>
      </c>
      <c r="N183" s="498">
        <v>0</v>
      </c>
      <c r="O183" s="498">
        <v>0</v>
      </c>
      <c r="P183" s="498">
        <v>0</v>
      </c>
      <c r="Q183" s="498">
        <v>0</v>
      </c>
      <c r="R183" s="498">
        <v>0</v>
      </c>
      <c r="S183" s="498">
        <v>0</v>
      </c>
      <c r="T183" s="498">
        <v>0</v>
      </c>
      <c r="U183" s="498">
        <v>0</v>
      </c>
      <c r="V183" s="498">
        <v>0</v>
      </c>
      <c r="W183" s="498">
        <v>0</v>
      </c>
      <c r="X183" s="498">
        <v>0</v>
      </c>
      <c r="Y183" s="498">
        <v>0</v>
      </c>
      <c r="Z183" s="498">
        <v>0</v>
      </c>
      <c r="AA183" s="498">
        <v>0</v>
      </c>
      <c r="AB183" s="498">
        <v>0</v>
      </c>
      <c r="AC183" s="498">
        <v>0</v>
      </c>
      <c r="AD183" s="498">
        <v>0</v>
      </c>
      <c r="AE183" s="498">
        <v>0</v>
      </c>
      <c r="AF183" s="498">
        <v>0</v>
      </c>
      <c r="AG183" s="498">
        <v>0</v>
      </c>
      <c r="AH183" s="498">
        <v>0</v>
      </c>
      <c r="AI183" s="498">
        <v>0</v>
      </c>
      <c r="AJ183" s="498">
        <v>0</v>
      </c>
      <c r="AK183" s="498">
        <v>0</v>
      </c>
      <c r="AL183" s="498">
        <v>0</v>
      </c>
      <c r="AM183" s="498">
        <v>0</v>
      </c>
      <c r="AN183" s="498">
        <v>0</v>
      </c>
      <c r="AO183" s="498">
        <v>0</v>
      </c>
      <c r="AP183" s="498">
        <v>0</v>
      </c>
      <c r="AQ183" s="498">
        <v>0</v>
      </c>
      <c r="AR183" s="498">
        <v>0</v>
      </c>
      <c r="AS183" s="498">
        <v>0</v>
      </c>
      <c r="AT183" s="498">
        <v>0</v>
      </c>
      <c r="AU183" s="498">
        <v>0</v>
      </c>
      <c r="AV183" s="498">
        <v>0</v>
      </c>
      <c r="AW183" s="498">
        <v>0</v>
      </c>
      <c r="AX183" s="498">
        <v>0</v>
      </c>
      <c r="AY183" s="498">
        <v>0</v>
      </c>
      <c r="AZ183" s="499">
        <v>0</v>
      </c>
    </row>
    <row r="184" spans="1:52" s="470" customFormat="1">
      <c r="A184" s="486">
        <f>'[4]Allocation Methodology'!A16</f>
        <v>12</v>
      </c>
      <c r="B184" s="487" t="str">
        <f>'[4]Allocation Methodology'!B16</f>
        <v>Affordable Housing Pilot</v>
      </c>
      <c r="C184" s="487" t="str">
        <f>'[4]Allocation Methodology'!C16</f>
        <v>Consumer Low-Income</v>
      </c>
      <c r="D184" s="487"/>
      <c r="E184" s="487">
        <f>'[4]Allocation Methodology'!D16</f>
        <v>2007</v>
      </c>
      <c r="F184" s="488" t="str">
        <f>'[4]Allocation Methodology'!E16</f>
        <v>Final</v>
      </c>
      <c r="G184" s="472" t="b">
        <v>0</v>
      </c>
      <c r="H184" s="569">
        <v>0</v>
      </c>
      <c r="I184" s="491">
        <v>3.7263824999999996E-3</v>
      </c>
      <c r="J184" s="491">
        <v>3.7263824999999996E-3</v>
      </c>
      <c r="K184" s="491">
        <v>3.7263824999999996E-3</v>
      </c>
      <c r="L184" s="491">
        <v>3.7263824999999996E-3</v>
      </c>
      <c r="M184" s="491">
        <v>3.7263824999999996E-3</v>
      </c>
      <c r="N184" s="491">
        <v>3.7263824999999996E-3</v>
      </c>
      <c r="O184" s="491">
        <v>3.7263824999999996E-3</v>
      </c>
      <c r="P184" s="491">
        <v>3.7263824999999996E-3</v>
      </c>
      <c r="Q184" s="491">
        <v>3.7263824999999996E-3</v>
      </c>
      <c r="R184" s="491">
        <v>3.7263824999999996E-3</v>
      </c>
      <c r="S184" s="491">
        <v>3.7263824999999996E-3</v>
      </c>
      <c r="T184" s="491">
        <v>3.7263824999999996E-3</v>
      </c>
      <c r="U184" s="491">
        <v>3.7263824999999996E-3</v>
      </c>
      <c r="V184" s="491">
        <v>3.7263824999999996E-3</v>
      </c>
      <c r="W184" s="491">
        <v>0</v>
      </c>
      <c r="X184" s="491">
        <v>0</v>
      </c>
      <c r="Y184" s="491">
        <v>0</v>
      </c>
      <c r="Z184" s="491">
        <v>0</v>
      </c>
      <c r="AA184" s="491">
        <v>0</v>
      </c>
      <c r="AB184" s="491">
        <v>0</v>
      </c>
      <c r="AC184" s="491">
        <v>0</v>
      </c>
      <c r="AD184" s="491">
        <v>0</v>
      </c>
      <c r="AE184" s="491">
        <v>0</v>
      </c>
      <c r="AF184" s="491">
        <v>0</v>
      </c>
      <c r="AG184" s="491">
        <v>0</v>
      </c>
      <c r="AH184" s="491">
        <v>0</v>
      </c>
      <c r="AI184" s="491">
        <v>0</v>
      </c>
      <c r="AJ184" s="491">
        <v>0</v>
      </c>
      <c r="AK184" s="491">
        <v>0</v>
      </c>
      <c r="AL184" s="491">
        <v>0</v>
      </c>
      <c r="AM184" s="491">
        <v>0</v>
      </c>
      <c r="AN184" s="491">
        <v>0</v>
      </c>
      <c r="AO184" s="491">
        <v>0</v>
      </c>
      <c r="AP184" s="491">
        <v>0</v>
      </c>
      <c r="AQ184" s="491">
        <v>0</v>
      </c>
      <c r="AR184" s="491">
        <v>0</v>
      </c>
      <c r="AS184" s="491">
        <v>0</v>
      </c>
      <c r="AT184" s="491">
        <v>0</v>
      </c>
      <c r="AU184" s="491">
        <v>0</v>
      </c>
      <c r="AV184" s="491">
        <v>0</v>
      </c>
      <c r="AW184" s="491">
        <v>0</v>
      </c>
      <c r="AX184" s="491">
        <v>0</v>
      </c>
      <c r="AY184" s="491">
        <v>0</v>
      </c>
      <c r="AZ184" s="492">
        <v>0</v>
      </c>
    </row>
    <row r="185" spans="1:52" s="470" customFormat="1">
      <c r="A185" s="493">
        <f>'[4]Allocation Methodology'!A17</f>
        <v>13</v>
      </c>
      <c r="B185" s="494" t="str">
        <f>'[4]Allocation Methodology'!B17</f>
        <v>Social Housing Pilot</v>
      </c>
      <c r="C185" s="494" t="str">
        <f>'[4]Allocation Methodology'!C17</f>
        <v>Consumer Low-Income</v>
      </c>
      <c r="D185" s="494"/>
      <c r="E185" s="494">
        <f>'[4]Allocation Methodology'!D17</f>
        <v>2007</v>
      </c>
      <c r="F185" s="495" t="str">
        <f>'[4]Allocation Methodology'!E17</f>
        <v>Final</v>
      </c>
      <c r="G185" s="472" t="b">
        <v>0</v>
      </c>
      <c r="H185" s="570">
        <v>0</v>
      </c>
      <c r="I185" s="498">
        <v>7.5553826221084076E-3</v>
      </c>
      <c r="J185" s="498">
        <v>7.5553826221084076E-3</v>
      </c>
      <c r="K185" s="498">
        <v>7.5553826221084076E-3</v>
      </c>
      <c r="L185" s="498">
        <v>7.5553826221084076E-3</v>
      </c>
      <c r="M185" s="498">
        <v>7.5553826221084076E-3</v>
      </c>
      <c r="N185" s="498">
        <v>7.5553826221084076E-3</v>
      </c>
      <c r="O185" s="498">
        <v>7.5553826221084076E-3</v>
      </c>
      <c r="P185" s="498">
        <v>7.5553826221084076E-3</v>
      </c>
      <c r="Q185" s="498">
        <v>7.5553826221084076E-3</v>
      </c>
      <c r="R185" s="498">
        <v>7.5553826221084076E-3</v>
      </c>
      <c r="S185" s="498">
        <v>0</v>
      </c>
      <c r="T185" s="498">
        <v>0</v>
      </c>
      <c r="U185" s="498">
        <v>0</v>
      </c>
      <c r="V185" s="498">
        <v>0</v>
      </c>
      <c r="W185" s="498">
        <v>0</v>
      </c>
      <c r="X185" s="498">
        <v>0</v>
      </c>
      <c r="Y185" s="498">
        <v>0</v>
      </c>
      <c r="Z185" s="498">
        <v>0</v>
      </c>
      <c r="AA185" s="498">
        <v>0</v>
      </c>
      <c r="AB185" s="498">
        <v>0</v>
      </c>
      <c r="AC185" s="498">
        <v>0</v>
      </c>
      <c r="AD185" s="498">
        <v>0</v>
      </c>
      <c r="AE185" s="498">
        <v>0</v>
      </c>
      <c r="AF185" s="498">
        <v>0</v>
      </c>
      <c r="AG185" s="498">
        <v>0</v>
      </c>
      <c r="AH185" s="498">
        <v>0</v>
      </c>
      <c r="AI185" s="498">
        <v>0</v>
      </c>
      <c r="AJ185" s="498">
        <v>0</v>
      </c>
      <c r="AK185" s="498">
        <v>0</v>
      </c>
      <c r="AL185" s="498">
        <v>0</v>
      </c>
      <c r="AM185" s="498">
        <v>0</v>
      </c>
      <c r="AN185" s="498">
        <v>0</v>
      </c>
      <c r="AO185" s="498">
        <v>0</v>
      </c>
      <c r="AP185" s="498">
        <v>0</v>
      </c>
      <c r="AQ185" s="498">
        <v>0</v>
      </c>
      <c r="AR185" s="498">
        <v>0</v>
      </c>
      <c r="AS185" s="498">
        <v>0</v>
      </c>
      <c r="AT185" s="498">
        <v>0</v>
      </c>
      <c r="AU185" s="498">
        <v>0</v>
      </c>
      <c r="AV185" s="498">
        <v>0</v>
      </c>
      <c r="AW185" s="498">
        <v>0</v>
      </c>
      <c r="AX185" s="498">
        <v>0</v>
      </c>
      <c r="AY185" s="498">
        <v>0</v>
      </c>
      <c r="AZ185" s="499">
        <v>0</v>
      </c>
    </row>
    <row r="186" spans="1:52" s="470" customFormat="1">
      <c r="A186" s="486">
        <f>'[4]Allocation Methodology'!A18</f>
        <v>14</v>
      </c>
      <c r="B186" s="487" t="str">
        <f>'[4]Allocation Methodology'!B18</f>
        <v>Energy Efficiency Assistance for Houses Pilot</v>
      </c>
      <c r="C186" s="487" t="str">
        <f>'[4]Allocation Methodology'!C18</f>
        <v>Consumer Low-Income</v>
      </c>
      <c r="D186" s="487"/>
      <c r="E186" s="487">
        <f>'[4]Allocation Methodology'!D18</f>
        <v>2007</v>
      </c>
      <c r="F186" s="488" t="str">
        <f>'[4]Allocation Methodology'!E18</f>
        <v>Final</v>
      </c>
      <c r="G186" s="472" t="b">
        <v>0</v>
      </c>
      <c r="H186" s="569">
        <v>0</v>
      </c>
      <c r="I186" s="491">
        <v>2.6126666666666666E-2</v>
      </c>
      <c r="J186" s="491">
        <v>2.6126666666666666E-2</v>
      </c>
      <c r="K186" s="491">
        <v>2.6126666666666666E-2</v>
      </c>
      <c r="L186" s="491">
        <v>2.6126666666666666E-2</v>
      </c>
      <c r="M186" s="491">
        <v>2.6126666666666666E-2</v>
      </c>
      <c r="N186" s="491">
        <v>2.6126666666666666E-2</v>
      </c>
      <c r="O186" s="491">
        <v>2.6126666666666666E-2</v>
      </c>
      <c r="P186" s="491">
        <v>2.6126666666666666E-2</v>
      </c>
      <c r="Q186" s="491">
        <v>2.6126666666666666E-2</v>
      </c>
      <c r="R186" s="491">
        <v>2.6126666666666666E-2</v>
      </c>
      <c r="S186" s="491">
        <v>2.6126666666666666E-2</v>
      </c>
      <c r="T186" s="491">
        <v>2.6126666666666666E-2</v>
      </c>
      <c r="U186" s="491">
        <v>2.6126666666666666E-2</v>
      </c>
      <c r="V186" s="491">
        <v>2.6126666666666666E-2</v>
      </c>
      <c r="W186" s="491">
        <v>2.6126666666666666E-2</v>
      </c>
      <c r="X186" s="491">
        <v>2.6126666666666666E-2</v>
      </c>
      <c r="Y186" s="491">
        <v>2.6126666666666666E-2</v>
      </c>
      <c r="Z186" s="491">
        <v>2.6126666666666666E-2</v>
      </c>
      <c r="AA186" s="491">
        <v>2.6126666666666666E-2</v>
      </c>
      <c r="AB186" s="491">
        <v>0</v>
      </c>
      <c r="AC186" s="491">
        <v>0</v>
      </c>
      <c r="AD186" s="491">
        <v>0</v>
      </c>
      <c r="AE186" s="491">
        <v>0</v>
      </c>
      <c r="AF186" s="491">
        <v>0</v>
      </c>
      <c r="AG186" s="491">
        <v>0</v>
      </c>
      <c r="AH186" s="491">
        <v>0</v>
      </c>
      <c r="AI186" s="491">
        <v>0</v>
      </c>
      <c r="AJ186" s="491">
        <v>0</v>
      </c>
      <c r="AK186" s="491">
        <v>0</v>
      </c>
      <c r="AL186" s="491">
        <v>0</v>
      </c>
      <c r="AM186" s="491">
        <v>0</v>
      </c>
      <c r="AN186" s="491">
        <v>0</v>
      </c>
      <c r="AO186" s="491">
        <v>0</v>
      </c>
      <c r="AP186" s="491">
        <v>0</v>
      </c>
      <c r="AQ186" s="491">
        <v>0</v>
      </c>
      <c r="AR186" s="491">
        <v>0</v>
      </c>
      <c r="AS186" s="491">
        <v>0</v>
      </c>
      <c r="AT186" s="491">
        <v>0</v>
      </c>
      <c r="AU186" s="491">
        <v>0</v>
      </c>
      <c r="AV186" s="491">
        <v>0</v>
      </c>
      <c r="AW186" s="491">
        <v>0</v>
      </c>
      <c r="AX186" s="491">
        <v>0</v>
      </c>
      <c r="AY186" s="491">
        <v>0</v>
      </c>
      <c r="AZ186" s="492">
        <v>0</v>
      </c>
    </row>
    <row r="187" spans="1:52" s="470" customFormat="1">
      <c r="A187" s="493">
        <f>'[4]Allocation Methodology'!A19</f>
        <v>15</v>
      </c>
      <c r="B187" s="494" t="str">
        <f>'[4]Allocation Methodology'!B19</f>
        <v>Electricity Retrofit Incentive</v>
      </c>
      <c r="C187" s="494" t="str">
        <f>'[4]Allocation Methodology'!C19</f>
        <v>Business</v>
      </c>
      <c r="D187" s="494"/>
      <c r="E187" s="494">
        <f>'[4]Allocation Methodology'!D19</f>
        <v>2007</v>
      </c>
      <c r="F187" s="495" t="str">
        <f>'[4]Allocation Methodology'!E19</f>
        <v>Final</v>
      </c>
      <c r="G187" s="472" t="b">
        <v>0</v>
      </c>
      <c r="H187" s="570">
        <v>0</v>
      </c>
      <c r="I187" s="498">
        <v>0</v>
      </c>
      <c r="J187" s="498">
        <v>0</v>
      </c>
      <c r="K187" s="498">
        <v>0</v>
      </c>
      <c r="L187" s="498">
        <v>0</v>
      </c>
      <c r="M187" s="498">
        <v>0</v>
      </c>
      <c r="N187" s="498">
        <v>0</v>
      </c>
      <c r="O187" s="498">
        <v>0</v>
      </c>
      <c r="P187" s="498">
        <v>0</v>
      </c>
      <c r="Q187" s="498">
        <v>0</v>
      </c>
      <c r="R187" s="498">
        <v>0</v>
      </c>
      <c r="S187" s="498">
        <v>0</v>
      </c>
      <c r="T187" s="498">
        <v>0</v>
      </c>
      <c r="U187" s="498">
        <v>0</v>
      </c>
      <c r="V187" s="498">
        <v>0</v>
      </c>
      <c r="W187" s="498">
        <v>0</v>
      </c>
      <c r="X187" s="498">
        <v>0</v>
      </c>
      <c r="Y187" s="498">
        <v>0</v>
      </c>
      <c r="Z187" s="498">
        <v>0</v>
      </c>
      <c r="AA187" s="498">
        <v>0</v>
      </c>
      <c r="AB187" s="498">
        <v>0</v>
      </c>
      <c r="AC187" s="498">
        <v>0</v>
      </c>
      <c r="AD187" s="498">
        <v>0</v>
      </c>
      <c r="AE187" s="498">
        <v>0</v>
      </c>
      <c r="AF187" s="498">
        <v>0</v>
      </c>
      <c r="AG187" s="498">
        <v>0</v>
      </c>
      <c r="AH187" s="498">
        <v>0</v>
      </c>
      <c r="AI187" s="498">
        <v>0</v>
      </c>
      <c r="AJ187" s="498">
        <v>0</v>
      </c>
      <c r="AK187" s="498">
        <v>0</v>
      </c>
      <c r="AL187" s="498">
        <v>0</v>
      </c>
      <c r="AM187" s="498">
        <v>0</v>
      </c>
      <c r="AN187" s="498">
        <v>0</v>
      </c>
      <c r="AO187" s="498">
        <v>0</v>
      </c>
      <c r="AP187" s="498">
        <v>0</v>
      </c>
      <c r="AQ187" s="498">
        <v>0</v>
      </c>
      <c r="AR187" s="498">
        <v>0</v>
      </c>
      <c r="AS187" s="498">
        <v>0</v>
      </c>
      <c r="AT187" s="498">
        <v>0</v>
      </c>
      <c r="AU187" s="498">
        <v>0</v>
      </c>
      <c r="AV187" s="498">
        <v>0</v>
      </c>
      <c r="AW187" s="498">
        <v>0</v>
      </c>
      <c r="AX187" s="498">
        <v>0</v>
      </c>
      <c r="AY187" s="498">
        <v>0</v>
      </c>
      <c r="AZ187" s="499">
        <v>0</v>
      </c>
    </row>
    <row r="188" spans="1:52" s="470" customFormat="1">
      <c r="A188" s="486">
        <f>'[4]Allocation Methodology'!A20</f>
        <v>16</v>
      </c>
      <c r="B188" s="487" t="str">
        <f>'[4]Allocation Methodology'!B20</f>
        <v>Toronto Comprehensive</v>
      </c>
      <c r="C188" s="487" t="str">
        <f>'[4]Allocation Methodology'!C20</f>
        <v>Business</v>
      </c>
      <c r="D188" s="487"/>
      <c r="E188" s="487">
        <f>'[4]Allocation Methodology'!D20</f>
        <v>2007</v>
      </c>
      <c r="F188" s="488" t="str">
        <f>'[4]Allocation Methodology'!E20</f>
        <v>Final</v>
      </c>
      <c r="G188" s="472" t="b">
        <v>0</v>
      </c>
      <c r="H188" s="569">
        <v>0</v>
      </c>
      <c r="I188" s="491">
        <v>0</v>
      </c>
      <c r="J188" s="491">
        <v>0</v>
      </c>
      <c r="K188" s="491">
        <v>0</v>
      </c>
      <c r="L188" s="491">
        <v>0</v>
      </c>
      <c r="M188" s="491">
        <v>0</v>
      </c>
      <c r="N188" s="491">
        <v>0</v>
      </c>
      <c r="O188" s="491">
        <v>0</v>
      </c>
      <c r="P188" s="491">
        <v>0</v>
      </c>
      <c r="Q188" s="491">
        <v>0</v>
      </c>
      <c r="R188" s="491">
        <v>0</v>
      </c>
      <c r="S188" s="491">
        <v>0</v>
      </c>
      <c r="T188" s="491">
        <v>0</v>
      </c>
      <c r="U188" s="491">
        <v>0</v>
      </c>
      <c r="V188" s="491">
        <v>0</v>
      </c>
      <c r="W188" s="491">
        <v>0</v>
      </c>
      <c r="X188" s="491">
        <v>0</v>
      </c>
      <c r="Y188" s="491">
        <v>0</v>
      </c>
      <c r="Z188" s="491">
        <v>0</v>
      </c>
      <c r="AA188" s="491">
        <v>0</v>
      </c>
      <c r="AB188" s="491">
        <v>0</v>
      </c>
      <c r="AC188" s="491">
        <v>0</v>
      </c>
      <c r="AD188" s="491">
        <v>0</v>
      </c>
      <c r="AE188" s="491">
        <v>0</v>
      </c>
      <c r="AF188" s="491">
        <v>0</v>
      </c>
      <c r="AG188" s="491">
        <v>0</v>
      </c>
      <c r="AH188" s="491">
        <v>0</v>
      </c>
      <c r="AI188" s="491">
        <v>0</v>
      </c>
      <c r="AJ188" s="491">
        <v>0</v>
      </c>
      <c r="AK188" s="491">
        <v>0</v>
      </c>
      <c r="AL188" s="491">
        <v>0</v>
      </c>
      <c r="AM188" s="491">
        <v>0</v>
      </c>
      <c r="AN188" s="491">
        <v>0</v>
      </c>
      <c r="AO188" s="491">
        <v>0</v>
      </c>
      <c r="AP188" s="491">
        <v>0</v>
      </c>
      <c r="AQ188" s="491">
        <v>0</v>
      </c>
      <c r="AR188" s="491">
        <v>0</v>
      </c>
      <c r="AS188" s="491">
        <v>0</v>
      </c>
      <c r="AT188" s="491">
        <v>0</v>
      </c>
      <c r="AU188" s="491">
        <v>0</v>
      </c>
      <c r="AV188" s="491">
        <v>0</v>
      </c>
      <c r="AW188" s="491">
        <v>0</v>
      </c>
      <c r="AX188" s="491">
        <v>0</v>
      </c>
      <c r="AY188" s="491">
        <v>0</v>
      </c>
      <c r="AZ188" s="492">
        <v>0</v>
      </c>
    </row>
    <row r="189" spans="1:52" s="470" customFormat="1">
      <c r="A189" s="493">
        <f>'[4]Allocation Methodology'!A21</f>
        <v>17</v>
      </c>
      <c r="B189" s="494" t="str">
        <f>'[4]Allocation Methodology'!B21</f>
        <v>Demand Response 1</v>
      </c>
      <c r="C189" s="494" t="str">
        <f>'[4]Allocation Methodology'!C21</f>
        <v>Business, Industrial</v>
      </c>
      <c r="D189" s="494"/>
      <c r="E189" s="494">
        <f>'[4]Allocation Methodology'!D21</f>
        <v>2007</v>
      </c>
      <c r="F189" s="495" t="str">
        <f>'[4]Allocation Methodology'!E21</f>
        <v>Final</v>
      </c>
      <c r="G189" s="472" t="b">
        <v>0</v>
      </c>
      <c r="H189" s="570">
        <v>0</v>
      </c>
      <c r="I189" s="498">
        <v>1.9100236982573271</v>
      </c>
      <c r="J189" s="498">
        <v>0</v>
      </c>
      <c r="K189" s="498">
        <v>0</v>
      </c>
      <c r="L189" s="498">
        <v>0</v>
      </c>
      <c r="M189" s="498">
        <v>0</v>
      </c>
      <c r="N189" s="498">
        <v>0</v>
      </c>
      <c r="O189" s="498">
        <v>0</v>
      </c>
      <c r="P189" s="498">
        <v>0</v>
      </c>
      <c r="Q189" s="498">
        <v>0</v>
      </c>
      <c r="R189" s="498">
        <v>0</v>
      </c>
      <c r="S189" s="498">
        <v>0</v>
      </c>
      <c r="T189" s="498">
        <v>0</v>
      </c>
      <c r="U189" s="498">
        <v>0</v>
      </c>
      <c r="V189" s="498">
        <v>0</v>
      </c>
      <c r="W189" s="498">
        <v>0</v>
      </c>
      <c r="X189" s="498">
        <v>0</v>
      </c>
      <c r="Y189" s="498">
        <v>0</v>
      </c>
      <c r="Z189" s="498">
        <v>0</v>
      </c>
      <c r="AA189" s="498">
        <v>0</v>
      </c>
      <c r="AB189" s="498">
        <v>0</v>
      </c>
      <c r="AC189" s="498">
        <v>0</v>
      </c>
      <c r="AD189" s="498">
        <v>0</v>
      </c>
      <c r="AE189" s="498">
        <v>0</v>
      </c>
      <c r="AF189" s="498">
        <v>0</v>
      </c>
      <c r="AG189" s="498">
        <v>0</v>
      </c>
      <c r="AH189" s="498">
        <v>0</v>
      </c>
      <c r="AI189" s="498">
        <v>0</v>
      </c>
      <c r="AJ189" s="498">
        <v>0</v>
      </c>
      <c r="AK189" s="498">
        <v>0</v>
      </c>
      <c r="AL189" s="498">
        <v>0</v>
      </c>
      <c r="AM189" s="498">
        <v>0</v>
      </c>
      <c r="AN189" s="498">
        <v>0</v>
      </c>
      <c r="AO189" s="498">
        <v>0</v>
      </c>
      <c r="AP189" s="498">
        <v>0</v>
      </c>
      <c r="AQ189" s="498">
        <v>0</v>
      </c>
      <c r="AR189" s="498">
        <v>0</v>
      </c>
      <c r="AS189" s="498">
        <v>0</v>
      </c>
      <c r="AT189" s="498">
        <v>0</v>
      </c>
      <c r="AU189" s="498">
        <v>0</v>
      </c>
      <c r="AV189" s="498">
        <v>0</v>
      </c>
      <c r="AW189" s="498">
        <v>0</v>
      </c>
      <c r="AX189" s="498">
        <v>0</v>
      </c>
      <c r="AY189" s="498">
        <v>0</v>
      </c>
      <c r="AZ189" s="499">
        <v>0</v>
      </c>
    </row>
    <row r="190" spans="1:52" s="470" customFormat="1">
      <c r="A190" s="486">
        <f>'[4]Allocation Methodology'!A22</f>
        <v>18</v>
      </c>
      <c r="B190" s="487" t="str">
        <f>'[4]Allocation Methodology'!B22</f>
        <v>Loblaw &amp; York Region Demand Response</v>
      </c>
      <c r="C190" s="487" t="str">
        <f>'[4]Allocation Methodology'!C22</f>
        <v>Business, Industrial</v>
      </c>
      <c r="D190" s="487"/>
      <c r="E190" s="487">
        <f>'[4]Allocation Methodology'!D22</f>
        <v>2007</v>
      </c>
      <c r="F190" s="488" t="str">
        <f>'[4]Allocation Methodology'!E22</f>
        <v>Final</v>
      </c>
      <c r="G190" s="472" t="b">
        <v>0</v>
      </c>
      <c r="H190" s="569">
        <v>0</v>
      </c>
      <c r="I190" s="491">
        <v>0.15889278599021095</v>
      </c>
      <c r="J190" s="491">
        <v>0</v>
      </c>
      <c r="K190" s="491">
        <v>0</v>
      </c>
      <c r="L190" s="491">
        <v>0</v>
      </c>
      <c r="M190" s="491">
        <v>0</v>
      </c>
      <c r="N190" s="491">
        <v>0</v>
      </c>
      <c r="O190" s="491">
        <v>0</v>
      </c>
      <c r="P190" s="491">
        <v>0</v>
      </c>
      <c r="Q190" s="491">
        <v>0</v>
      </c>
      <c r="R190" s="491">
        <v>0</v>
      </c>
      <c r="S190" s="491">
        <v>0</v>
      </c>
      <c r="T190" s="491">
        <v>0</v>
      </c>
      <c r="U190" s="491">
        <v>0</v>
      </c>
      <c r="V190" s="491">
        <v>0</v>
      </c>
      <c r="W190" s="491">
        <v>0</v>
      </c>
      <c r="X190" s="491">
        <v>0</v>
      </c>
      <c r="Y190" s="491">
        <v>0</v>
      </c>
      <c r="Z190" s="491">
        <v>0</v>
      </c>
      <c r="AA190" s="491">
        <v>0</v>
      </c>
      <c r="AB190" s="491">
        <v>0</v>
      </c>
      <c r="AC190" s="491">
        <v>0</v>
      </c>
      <c r="AD190" s="491">
        <v>0</v>
      </c>
      <c r="AE190" s="491">
        <v>0</v>
      </c>
      <c r="AF190" s="491">
        <v>0</v>
      </c>
      <c r="AG190" s="491">
        <v>0</v>
      </c>
      <c r="AH190" s="491">
        <v>0</v>
      </c>
      <c r="AI190" s="491">
        <v>0</v>
      </c>
      <c r="AJ190" s="491">
        <v>0</v>
      </c>
      <c r="AK190" s="491">
        <v>0</v>
      </c>
      <c r="AL190" s="491">
        <v>0</v>
      </c>
      <c r="AM190" s="491">
        <v>0</v>
      </c>
      <c r="AN190" s="491">
        <v>0</v>
      </c>
      <c r="AO190" s="491">
        <v>0</v>
      </c>
      <c r="AP190" s="491">
        <v>0</v>
      </c>
      <c r="AQ190" s="491">
        <v>0</v>
      </c>
      <c r="AR190" s="491">
        <v>0</v>
      </c>
      <c r="AS190" s="491">
        <v>0</v>
      </c>
      <c r="AT190" s="491">
        <v>0</v>
      </c>
      <c r="AU190" s="491">
        <v>0</v>
      </c>
      <c r="AV190" s="491">
        <v>0</v>
      </c>
      <c r="AW190" s="491">
        <v>0</v>
      </c>
      <c r="AX190" s="491">
        <v>0</v>
      </c>
      <c r="AY190" s="491">
        <v>0</v>
      </c>
      <c r="AZ190" s="492">
        <v>0</v>
      </c>
    </row>
    <row r="191" spans="1:52" s="470" customFormat="1">
      <c r="A191" s="500">
        <f>'[4]Allocation Methodology'!A23</f>
        <v>19</v>
      </c>
      <c r="B191" s="501" t="str">
        <f>'[4]Allocation Methodology'!B23</f>
        <v>Renewable Energy Standard Offer</v>
      </c>
      <c r="C191" s="501" t="str">
        <f>'[4]Allocation Methodology'!C23</f>
        <v>Consumer, Business, Industrial</v>
      </c>
      <c r="D191" s="501"/>
      <c r="E191" s="501">
        <f>'[4]Allocation Methodology'!D23</f>
        <v>2007</v>
      </c>
      <c r="F191" s="502" t="str">
        <f>'[4]Allocation Methodology'!E23</f>
        <v>Final</v>
      </c>
      <c r="G191" s="472" t="b">
        <v>0</v>
      </c>
      <c r="H191" s="571">
        <v>0</v>
      </c>
      <c r="I191" s="505">
        <v>2.146E-2</v>
      </c>
      <c r="J191" s="505">
        <v>2.146E-2</v>
      </c>
      <c r="K191" s="505">
        <v>2.146E-2</v>
      </c>
      <c r="L191" s="505">
        <v>2.146E-2</v>
      </c>
      <c r="M191" s="505">
        <v>2.146E-2</v>
      </c>
      <c r="N191" s="505">
        <v>2.146E-2</v>
      </c>
      <c r="O191" s="505">
        <v>2.146E-2</v>
      </c>
      <c r="P191" s="505">
        <v>2.146E-2</v>
      </c>
      <c r="Q191" s="505">
        <v>2.146E-2</v>
      </c>
      <c r="R191" s="505">
        <v>2.146E-2</v>
      </c>
      <c r="S191" s="505">
        <v>2.146E-2</v>
      </c>
      <c r="T191" s="505">
        <v>2.146E-2</v>
      </c>
      <c r="U191" s="505">
        <v>2.146E-2</v>
      </c>
      <c r="V191" s="505">
        <v>2.146E-2</v>
      </c>
      <c r="W191" s="505">
        <v>2.146E-2</v>
      </c>
      <c r="X191" s="505">
        <v>2.146E-2</v>
      </c>
      <c r="Y191" s="505">
        <v>2.146E-2</v>
      </c>
      <c r="Z191" s="505">
        <v>2.146E-2</v>
      </c>
      <c r="AA191" s="505">
        <v>2.146E-2</v>
      </c>
      <c r="AB191" s="505">
        <v>2.146E-2</v>
      </c>
      <c r="AC191" s="505">
        <v>0</v>
      </c>
      <c r="AD191" s="505">
        <v>0</v>
      </c>
      <c r="AE191" s="505">
        <v>0</v>
      </c>
      <c r="AF191" s="505">
        <v>0</v>
      </c>
      <c r="AG191" s="505">
        <v>0</v>
      </c>
      <c r="AH191" s="505">
        <v>0</v>
      </c>
      <c r="AI191" s="505">
        <v>0</v>
      </c>
      <c r="AJ191" s="505">
        <v>0</v>
      </c>
      <c r="AK191" s="505">
        <v>0</v>
      </c>
      <c r="AL191" s="505">
        <v>0</v>
      </c>
      <c r="AM191" s="505">
        <v>0</v>
      </c>
      <c r="AN191" s="505">
        <v>0</v>
      </c>
      <c r="AO191" s="505">
        <v>0</v>
      </c>
      <c r="AP191" s="505">
        <v>0</v>
      </c>
      <c r="AQ191" s="505">
        <v>0</v>
      </c>
      <c r="AR191" s="505">
        <v>0</v>
      </c>
      <c r="AS191" s="505">
        <v>0</v>
      </c>
      <c r="AT191" s="505">
        <v>0</v>
      </c>
      <c r="AU191" s="505">
        <v>0</v>
      </c>
      <c r="AV191" s="505">
        <v>0</v>
      </c>
      <c r="AW191" s="505">
        <v>0</v>
      </c>
      <c r="AX191" s="505">
        <v>0</v>
      </c>
      <c r="AY191" s="505">
        <v>0</v>
      </c>
      <c r="AZ191" s="506">
        <v>0</v>
      </c>
    </row>
    <row r="192" spans="1:52" s="470" customFormat="1">
      <c r="A192" s="507">
        <f>'[4]Allocation Methodology'!A24</f>
        <v>20</v>
      </c>
      <c r="B192" s="508" t="str">
        <f>'[4]Allocation Methodology'!B24</f>
        <v>Great Refrigerator Roundup</v>
      </c>
      <c r="C192" s="508" t="str">
        <f>'[4]Allocation Methodology'!C24</f>
        <v>Consumer</v>
      </c>
      <c r="D192" s="508"/>
      <c r="E192" s="508">
        <f>'[4]Allocation Methodology'!D24</f>
        <v>2008</v>
      </c>
      <c r="F192" s="509" t="str">
        <f>'[4]Allocation Methodology'!E24</f>
        <v>Final</v>
      </c>
      <c r="G192" s="472" t="b">
        <v>0</v>
      </c>
      <c r="H192" s="572">
        <v>0</v>
      </c>
      <c r="I192" s="512">
        <v>0</v>
      </c>
      <c r="J192" s="512">
        <v>2.3584822872999997E-2</v>
      </c>
      <c r="K192" s="512">
        <v>2.3584822872999997E-2</v>
      </c>
      <c r="L192" s="512">
        <v>2.3584822872999997E-2</v>
      </c>
      <c r="M192" s="512">
        <v>2.3584822872999997E-2</v>
      </c>
      <c r="N192" s="512">
        <v>2.1992822872999997E-2</v>
      </c>
      <c r="O192" s="512">
        <v>2.1992822872999997E-2</v>
      </c>
      <c r="P192" s="512">
        <v>2.1992822872999997E-2</v>
      </c>
      <c r="Q192" s="512">
        <v>2.1992822872999997E-2</v>
      </c>
      <c r="R192" s="512">
        <v>1.6830033399999996E-2</v>
      </c>
      <c r="S192" s="512">
        <v>0</v>
      </c>
      <c r="T192" s="512">
        <v>0</v>
      </c>
      <c r="U192" s="512">
        <v>0</v>
      </c>
      <c r="V192" s="512">
        <v>0</v>
      </c>
      <c r="W192" s="512">
        <v>0</v>
      </c>
      <c r="X192" s="512">
        <v>0</v>
      </c>
      <c r="Y192" s="512">
        <v>0</v>
      </c>
      <c r="Z192" s="512">
        <v>0</v>
      </c>
      <c r="AA192" s="512">
        <v>0</v>
      </c>
      <c r="AB192" s="512">
        <v>0</v>
      </c>
      <c r="AC192" s="512">
        <v>0</v>
      </c>
      <c r="AD192" s="512">
        <v>0</v>
      </c>
      <c r="AE192" s="512">
        <v>0</v>
      </c>
      <c r="AF192" s="512">
        <v>0</v>
      </c>
      <c r="AG192" s="512">
        <v>0</v>
      </c>
      <c r="AH192" s="512">
        <v>0</v>
      </c>
      <c r="AI192" s="512">
        <v>0</v>
      </c>
      <c r="AJ192" s="512">
        <v>0</v>
      </c>
      <c r="AK192" s="512">
        <v>0</v>
      </c>
      <c r="AL192" s="512">
        <v>0</v>
      </c>
      <c r="AM192" s="512">
        <v>0</v>
      </c>
      <c r="AN192" s="512">
        <v>0</v>
      </c>
      <c r="AO192" s="512">
        <v>0</v>
      </c>
      <c r="AP192" s="512">
        <v>0</v>
      </c>
      <c r="AQ192" s="512">
        <v>0</v>
      </c>
      <c r="AR192" s="512">
        <v>0</v>
      </c>
      <c r="AS192" s="512">
        <v>0</v>
      </c>
      <c r="AT192" s="512">
        <v>0</v>
      </c>
      <c r="AU192" s="512">
        <v>0</v>
      </c>
      <c r="AV192" s="512">
        <v>0</v>
      </c>
      <c r="AW192" s="512">
        <v>0</v>
      </c>
      <c r="AX192" s="512">
        <v>0</v>
      </c>
      <c r="AY192" s="512">
        <v>0</v>
      </c>
      <c r="AZ192" s="513">
        <v>0</v>
      </c>
    </row>
    <row r="193" spans="1:52" s="470" customFormat="1">
      <c r="A193" s="493">
        <f>'[4]Allocation Methodology'!A25</f>
        <v>21</v>
      </c>
      <c r="B193" s="494" t="str">
        <f>'[4]Allocation Methodology'!B25</f>
        <v>Cool Savings Rebate</v>
      </c>
      <c r="C193" s="494" t="str">
        <f>'[4]Allocation Methodology'!C25</f>
        <v>Consumer</v>
      </c>
      <c r="D193" s="494"/>
      <c r="E193" s="494">
        <f>'[4]Allocation Methodology'!D25</f>
        <v>2008</v>
      </c>
      <c r="F193" s="495" t="str">
        <f>'[4]Allocation Methodology'!E25</f>
        <v>Final</v>
      </c>
      <c r="G193" s="472" t="b">
        <v>0</v>
      </c>
      <c r="H193" s="570">
        <v>0</v>
      </c>
      <c r="I193" s="498">
        <v>0</v>
      </c>
      <c r="J193" s="498">
        <v>0.12713053769576005</v>
      </c>
      <c r="K193" s="498">
        <v>0.12713053769576005</v>
      </c>
      <c r="L193" s="498">
        <v>0.12713053769576005</v>
      </c>
      <c r="M193" s="498">
        <v>0.12713053769576005</v>
      </c>
      <c r="N193" s="498">
        <v>0.12713053769576005</v>
      </c>
      <c r="O193" s="498">
        <v>0.12713053769576005</v>
      </c>
      <c r="P193" s="498">
        <v>0.12713053769576005</v>
      </c>
      <c r="Q193" s="498">
        <v>0.12713053769576005</v>
      </c>
      <c r="R193" s="498">
        <v>0.12713053769576005</v>
      </c>
      <c r="S193" s="498">
        <v>0.12713053769576005</v>
      </c>
      <c r="T193" s="498">
        <v>0.12713053769576005</v>
      </c>
      <c r="U193" s="498">
        <v>0.12713053769576005</v>
      </c>
      <c r="V193" s="498">
        <v>0.12713053769576005</v>
      </c>
      <c r="W193" s="498">
        <v>0.12713053769576005</v>
      </c>
      <c r="X193" s="498">
        <v>0.12713053769576005</v>
      </c>
      <c r="Y193" s="498">
        <v>0.10317099493932096</v>
      </c>
      <c r="Z193" s="498">
        <v>0.10317099493932096</v>
      </c>
      <c r="AA193" s="498">
        <v>0.10317099493932096</v>
      </c>
      <c r="AB193" s="498">
        <v>0</v>
      </c>
      <c r="AC193" s="498">
        <v>0</v>
      </c>
      <c r="AD193" s="498">
        <v>0</v>
      </c>
      <c r="AE193" s="498">
        <v>0</v>
      </c>
      <c r="AF193" s="498">
        <v>0</v>
      </c>
      <c r="AG193" s="498">
        <v>0</v>
      </c>
      <c r="AH193" s="498">
        <v>0</v>
      </c>
      <c r="AI193" s="498">
        <v>0</v>
      </c>
      <c r="AJ193" s="498">
        <v>0</v>
      </c>
      <c r="AK193" s="498">
        <v>0</v>
      </c>
      <c r="AL193" s="498">
        <v>0</v>
      </c>
      <c r="AM193" s="498">
        <v>0</v>
      </c>
      <c r="AN193" s="498">
        <v>0</v>
      </c>
      <c r="AO193" s="498">
        <v>0</v>
      </c>
      <c r="AP193" s="498">
        <v>0</v>
      </c>
      <c r="AQ193" s="498">
        <v>0</v>
      </c>
      <c r="AR193" s="498">
        <v>0</v>
      </c>
      <c r="AS193" s="498">
        <v>0</v>
      </c>
      <c r="AT193" s="498">
        <v>0</v>
      </c>
      <c r="AU193" s="498">
        <v>0</v>
      </c>
      <c r="AV193" s="498">
        <v>0</v>
      </c>
      <c r="AW193" s="498">
        <v>0</v>
      </c>
      <c r="AX193" s="498">
        <v>0</v>
      </c>
      <c r="AY193" s="498">
        <v>0</v>
      </c>
      <c r="AZ193" s="499">
        <v>0</v>
      </c>
    </row>
    <row r="194" spans="1:52" s="470" customFormat="1">
      <c r="A194" s="486">
        <f>'[4]Allocation Methodology'!A26</f>
        <v>22</v>
      </c>
      <c r="B194" s="487" t="str">
        <f>'[4]Allocation Methodology'!B26</f>
        <v>Every Kilowatt Counts Power Savings Event</v>
      </c>
      <c r="C194" s="487" t="str">
        <f>'[4]Allocation Methodology'!C26</f>
        <v>Consumer</v>
      </c>
      <c r="D194" s="487"/>
      <c r="E194" s="487">
        <f>'[4]Allocation Methodology'!D26</f>
        <v>2008</v>
      </c>
      <c r="F194" s="488" t="str">
        <f>'[4]Allocation Methodology'!E26</f>
        <v>Final</v>
      </c>
      <c r="G194" s="472" t="b">
        <v>0</v>
      </c>
      <c r="H194" s="569">
        <v>0</v>
      </c>
      <c r="I194" s="491">
        <v>0</v>
      </c>
      <c r="J194" s="491">
        <v>7.6643412159194346E-2</v>
      </c>
      <c r="K194" s="491">
        <v>7.2590966394924475E-2</v>
      </c>
      <c r="L194" s="491">
        <v>7.2590966394924475E-2</v>
      </c>
      <c r="M194" s="491">
        <v>7.2590966394924475E-2</v>
      </c>
      <c r="N194" s="491">
        <v>6.5370401423512692E-2</v>
      </c>
      <c r="O194" s="491">
        <v>6.5370401423512692E-2</v>
      </c>
      <c r="P194" s="491">
        <v>5.1378536857366416E-2</v>
      </c>
      <c r="Q194" s="491">
        <v>4.559636414097247E-2</v>
      </c>
      <c r="R194" s="491">
        <v>3.5775148043087547E-2</v>
      </c>
      <c r="S194" s="491">
        <v>2.9579416910929662E-2</v>
      </c>
      <c r="T194" s="491">
        <v>2.625703041383249E-2</v>
      </c>
      <c r="U194" s="491">
        <v>2.625703041383249E-2</v>
      </c>
      <c r="V194" s="491">
        <v>1.4563876352662654E-2</v>
      </c>
      <c r="W194" s="491">
        <v>1.4563876352662654E-2</v>
      </c>
      <c r="X194" s="491">
        <v>1.4563876352662654E-2</v>
      </c>
      <c r="Y194" s="491">
        <v>1.4563876352662654E-2</v>
      </c>
      <c r="Z194" s="491">
        <v>0</v>
      </c>
      <c r="AA194" s="491">
        <v>0</v>
      </c>
      <c r="AB194" s="491">
        <v>0</v>
      </c>
      <c r="AC194" s="491">
        <v>0</v>
      </c>
      <c r="AD194" s="491">
        <v>0</v>
      </c>
      <c r="AE194" s="491">
        <v>0</v>
      </c>
      <c r="AF194" s="491">
        <v>0</v>
      </c>
      <c r="AG194" s="491">
        <v>0</v>
      </c>
      <c r="AH194" s="491">
        <v>0</v>
      </c>
      <c r="AI194" s="491">
        <v>0</v>
      </c>
      <c r="AJ194" s="491">
        <v>0</v>
      </c>
      <c r="AK194" s="491">
        <v>0</v>
      </c>
      <c r="AL194" s="491">
        <v>0</v>
      </c>
      <c r="AM194" s="491">
        <v>0</v>
      </c>
      <c r="AN194" s="491">
        <v>0</v>
      </c>
      <c r="AO194" s="491">
        <v>0</v>
      </c>
      <c r="AP194" s="491">
        <v>0</v>
      </c>
      <c r="AQ194" s="491">
        <v>0</v>
      </c>
      <c r="AR194" s="491">
        <v>0</v>
      </c>
      <c r="AS194" s="491">
        <v>0</v>
      </c>
      <c r="AT194" s="491">
        <v>0</v>
      </c>
      <c r="AU194" s="491">
        <v>0</v>
      </c>
      <c r="AV194" s="491">
        <v>0</v>
      </c>
      <c r="AW194" s="491">
        <v>0</v>
      </c>
      <c r="AX194" s="491">
        <v>0</v>
      </c>
      <c r="AY194" s="491">
        <v>0</v>
      </c>
      <c r="AZ194" s="492">
        <v>0</v>
      </c>
    </row>
    <row r="195" spans="1:52" s="470" customFormat="1">
      <c r="A195" s="493">
        <f>'[4]Allocation Methodology'!A27</f>
        <v>23</v>
      </c>
      <c r="B195" s="514" t="str">
        <f>'[4]Allocation Methodology'!B27</f>
        <v>peaksaver®</v>
      </c>
      <c r="C195" s="494" t="str">
        <f>'[4]Allocation Methodology'!C27</f>
        <v>Consumer, Business</v>
      </c>
      <c r="D195" s="494"/>
      <c r="E195" s="494">
        <f>'[4]Allocation Methodology'!D27</f>
        <v>2008</v>
      </c>
      <c r="F195" s="495" t="str">
        <f>'[4]Allocation Methodology'!E27</f>
        <v>Final</v>
      </c>
      <c r="G195" s="472" t="b">
        <v>0</v>
      </c>
      <c r="H195" s="570">
        <v>0</v>
      </c>
      <c r="I195" s="498">
        <v>0</v>
      </c>
      <c r="J195" s="498">
        <v>0</v>
      </c>
      <c r="K195" s="498">
        <v>0</v>
      </c>
      <c r="L195" s="498">
        <v>0</v>
      </c>
      <c r="M195" s="498">
        <v>0</v>
      </c>
      <c r="N195" s="498">
        <v>0</v>
      </c>
      <c r="O195" s="498">
        <v>0</v>
      </c>
      <c r="P195" s="498">
        <v>0</v>
      </c>
      <c r="Q195" s="498">
        <v>0</v>
      </c>
      <c r="R195" s="498">
        <v>0</v>
      </c>
      <c r="S195" s="498">
        <v>0</v>
      </c>
      <c r="T195" s="498">
        <v>0</v>
      </c>
      <c r="U195" s="498">
        <v>0</v>
      </c>
      <c r="V195" s="498">
        <v>0</v>
      </c>
      <c r="W195" s="498">
        <v>0</v>
      </c>
      <c r="X195" s="498">
        <v>0</v>
      </c>
      <c r="Y195" s="498">
        <v>0</v>
      </c>
      <c r="Z195" s="498">
        <v>0</v>
      </c>
      <c r="AA195" s="498">
        <v>0</v>
      </c>
      <c r="AB195" s="498">
        <v>0</v>
      </c>
      <c r="AC195" s="498">
        <v>0</v>
      </c>
      <c r="AD195" s="498">
        <v>0</v>
      </c>
      <c r="AE195" s="498">
        <v>0</v>
      </c>
      <c r="AF195" s="498">
        <v>0</v>
      </c>
      <c r="AG195" s="498">
        <v>0</v>
      </c>
      <c r="AH195" s="498">
        <v>0</v>
      </c>
      <c r="AI195" s="498">
        <v>0</v>
      </c>
      <c r="AJ195" s="498">
        <v>0</v>
      </c>
      <c r="AK195" s="498">
        <v>0</v>
      </c>
      <c r="AL195" s="498">
        <v>0</v>
      </c>
      <c r="AM195" s="498">
        <v>0</v>
      </c>
      <c r="AN195" s="498">
        <v>0</v>
      </c>
      <c r="AO195" s="498">
        <v>0</v>
      </c>
      <c r="AP195" s="498">
        <v>0</v>
      </c>
      <c r="AQ195" s="498">
        <v>0</v>
      </c>
      <c r="AR195" s="498">
        <v>0</v>
      </c>
      <c r="AS195" s="498">
        <v>0</v>
      </c>
      <c r="AT195" s="498">
        <v>0</v>
      </c>
      <c r="AU195" s="498">
        <v>0</v>
      </c>
      <c r="AV195" s="498">
        <v>0</v>
      </c>
      <c r="AW195" s="498">
        <v>0</v>
      </c>
      <c r="AX195" s="498">
        <v>0</v>
      </c>
      <c r="AY195" s="498">
        <v>0</v>
      </c>
      <c r="AZ195" s="499">
        <v>0</v>
      </c>
    </row>
    <row r="196" spans="1:52" s="470" customFormat="1">
      <c r="A196" s="486">
        <f>'[4]Allocation Methodology'!A28</f>
        <v>24</v>
      </c>
      <c r="B196" s="487" t="str">
        <f>'[4]Allocation Methodology'!B28</f>
        <v>Summer Sweepstakes</v>
      </c>
      <c r="C196" s="487" t="str">
        <f>'[4]Allocation Methodology'!C28</f>
        <v>Consumer</v>
      </c>
      <c r="D196" s="487"/>
      <c r="E196" s="487">
        <f>'[4]Allocation Methodology'!D28</f>
        <v>2008</v>
      </c>
      <c r="F196" s="488" t="str">
        <f>'[4]Allocation Methodology'!E28</f>
        <v>Final</v>
      </c>
      <c r="G196" s="472" t="b">
        <v>0</v>
      </c>
      <c r="H196" s="569">
        <v>0</v>
      </c>
      <c r="I196" s="491">
        <v>0</v>
      </c>
      <c r="J196" s="491">
        <v>8.5771907536497508E-2</v>
      </c>
      <c r="K196" s="491">
        <v>4.9186276029234893E-2</v>
      </c>
      <c r="L196" s="491">
        <v>4.9186276029234893E-2</v>
      </c>
      <c r="M196" s="491">
        <v>4.9186276029234893E-2</v>
      </c>
      <c r="N196" s="491">
        <v>4.9186276029234893E-2</v>
      </c>
      <c r="O196" s="491">
        <v>4.9186276029234893E-2</v>
      </c>
      <c r="P196" s="491">
        <v>4.9186276029234893E-2</v>
      </c>
      <c r="Q196" s="491">
        <v>4.9186276029234893E-2</v>
      </c>
      <c r="R196" s="491">
        <v>4.7474458252680492E-2</v>
      </c>
      <c r="S196" s="491">
        <v>4.7474458252680492E-2</v>
      </c>
      <c r="T196" s="491">
        <v>4.6971923187127979E-2</v>
      </c>
      <c r="U196" s="491">
        <v>4.6971923187127979E-2</v>
      </c>
      <c r="V196" s="491">
        <v>4.6971923187127979E-2</v>
      </c>
      <c r="W196" s="491">
        <v>4.6374653326874439E-2</v>
      </c>
      <c r="X196" s="491">
        <v>4.6150355007229533E-2</v>
      </c>
      <c r="Y196" s="491">
        <v>4.3872711719928036E-2</v>
      </c>
      <c r="Z196" s="491">
        <v>4.3872711719928036E-2</v>
      </c>
      <c r="AA196" s="491">
        <v>4.3872711719928036E-2</v>
      </c>
      <c r="AB196" s="491">
        <v>4.3872711719928036E-2</v>
      </c>
      <c r="AC196" s="491">
        <v>4.3872711719928036E-2</v>
      </c>
      <c r="AD196" s="491">
        <v>0</v>
      </c>
      <c r="AE196" s="491">
        <v>0</v>
      </c>
      <c r="AF196" s="491">
        <v>0</v>
      </c>
      <c r="AG196" s="491">
        <v>0</v>
      </c>
      <c r="AH196" s="491">
        <v>0</v>
      </c>
      <c r="AI196" s="491">
        <v>0</v>
      </c>
      <c r="AJ196" s="491">
        <v>0</v>
      </c>
      <c r="AK196" s="491">
        <v>0</v>
      </c>
      <c r="AL196" s="491">
        <v>0</v>
      </c>
      <c r="AM196" s="491">
        <v>0</v>
      </c>
      <c r="AN196" s="491">
        <v>0</v>
      </c>
      <c r="AO196" s="491">
        <v>0</v>
      </c>
      <c r="AP196" s="491">
        <v>0</v>
      </c>
      <c r="AQ196" s="491">
        <v>0</v>
      </c>
      <c r="AR196" s="491">
        <v>0</v>
      </c>
      <c r="AS196" s="491">
        <v>0</v>
      </c>
      <c r="AT196" s="491">
        <v>0</v>
      </c>
      <c r="AU196" s="491">
        <v>0</v>
      </c>
      <c r="AV196" s="491">
        <v>0</v>
      </c>
      <c r="AW196" s="491">
        <v>0</v>
      </c>
      <c r="AX196" s="491">
        <v>0</v>
      </c>
      <c r="AY196" s="491">
        <v>0</v>
      </c>
      <c r="AZ196" s="492">
        <v>0</v>
      </c>
    </row>
    <row r="197" spans="1:52" s="470" customFormat="1">
      <c r="A197" s="493">
        <f>'[4]Allocation Methodology'!A29</f>
        <v>25</v>
      </c>
      <c r="B197" s="494" t="str">
        <f>'[4]Allocation Methodology'!B29</f>
        <v>Electricity Retrofit Incentive</v>
      </c>
      <c r="C197" s="494" t="str">
        <f>'[4]Allocation Methodology'!C29</f>
        <v>Consumer, Business</v>
      </c>
      <c r="D197" s="494"/>
      <c r="E197" s="494">
        <f>'[4]Allocation Methodology'!D29</f>
        <v>2008</v>
      </c>
      <c r="F197" s="495" t="str">
        <f>'[4]Allocation Methodology'!E29</f>
        <v>Final</v>
      </c>
      <c r="G197" s="472" t="b">
        <v>0</v>
      </c>
      <c r="H197" s="570">
        <v>0</v>
      </c>
      <c r="I197" s="498">
        <v>0</v>
      </c>
      <c r="J197" s="498">
        <v>0.31891449231409169</v>
      </c>
      <c r="K197" s="498">
        <v>0.31892423412783233</v>
      </c>
      <c r="L197" s="498">
        <v>0.31892423412783233</v>
      </c>
      <c r="M197" s="498">
        <v>0.31892423412783233</v>
      </c>
      <c r="N197" s="498">
        <v>0.31892423412783233</v>
      </c>
      <c r="O197" s="498">
        <v>0.31892423412783233</v>
      </c>
      <c r="P197" s="498">
        <v>0.31892423412783233</v>
      </c>
      <c r="Q197" s="498">
        <v>0.31892423412783233</v>
      </c>
      <c r="R197" s="498">
        <v>0.31417459035375167</v>
      </c>
      <c r="S197" s="498">
        <v>0.31417459035375167</v>
      </c>
      <c r="T197" s="498">
        <v>0.31417459035375167</v>
      </c>
      <c r="U197" s="498">
        <v>0.31417459035375167</v>
      </c>
      <c r="V197" s="498">
        <v>0.31417459035375167</v>
      </c>
      <c r="W197" s="498">
        <v>0.31417459035375167</v>
      </c>
      <c r="X197" s="498">
        <v>0.31417459035375167</v>
      </c>
      <c r="Y197" s="498">
        <v>0.30474935264313902</v>
      </c>
      <c r="Z197" s="498">
        <v>0</v>
      </c>
      <c r="AA197" s="498">
        <v>0</v>
      </c>
      <c r="AB197" s="498">
        <v>0</v>
      </c>
      <c r="AC197" s="498">
        <v>0</v>
      </c>
      <c r="AD197" s="498">
        <v>0</v>
      </c>
      <c r="AE197" s="498">
        <v>0</v>
      </c>
      <c r="AF197" s="498">
        <v>0</v>
      </c>
      <c r="AG197" s="498">
        <v>0</v>
      </c>
      <c r="AH197" s="498">
        <v>0</v>
      </c>
      <c r="AI197" s="498">
        <v>0</v>
      </c>
      <c r="AJ197" s="498">
        <v>0</v>
      </c>
      <c r="AK197" s="498">
        <v>0</v>
      </c>
      <c r="AL197" s="498">
        <v>0</v>
      </c>
      <c r="AM197" s="498">
        <v>0</v>
      </c>
      <c r="AN197" s="498">
        <v>0</v>
      </c>
      <c r="AO197" s="498">
        <v>0</v>
      </c>
      <c r="AP197" s="498">
        <v>0</v>
      </c>
      <c r="AQ197" s="498">
        <v>0</v>
      </c>
      <c r="AR197" s="498">
        <v>0</v>
      </c>
      <c r="AS197" s="498">
        <v>0</v>
      </c>
      <c r="AT197" s="498">
        <v>0</v>
      </c>
      <c r="AU197" s="498">
        <v>0</v>
      </c>
      <c r="AV197" s="498">
        <v>0</v>
      </c>
      <c r="AW197" s="498">
        <v>0</v>
      </c>
      <c r="AX197" s="498">
        <v>0</v>
      </c>
      <c r="AY197" s="498">
        <v>0</v>
      </c>
      <c r="AZ197" s="499">
        <v>0</v>
      </c>
    </row>
    <row r="198" spans="1:52" s="470" customFormat="1">
      <c r="A198" s="486">
        <f>'[4]Allocation Methodology'!A30</f>
        <v>26</v>
      </c>
      <c r="B198" s="487" t="str">
        <f>'[4]Allocation Methodology'!B30</f>
        <v>Toronto Comprehensive</v>
      </c>
      <c r="C198" s="487" t="str">
        <f>'[4]Allocation Methodology'!C30</f>
        <v>Consumer, Consumer Low-Income, Business</v>
      </c>
      <c r="D198" s="487"/>
      <c r="E198" s="487">
        <f>'[4]Allocation Methodology'!D30</f>
        <v>2008</v>
      </c>
      <c r="F198" s="488" t="str">
        <f>'[4]Allocation Methodology'!E30</f>
        <v>Final</v>
      </c>
      <c r="G198" s="472" t="b">
        <v>0</v>
      </c>
      <c r="H198" s="569">
        <v>0</v>
      </c>
      <c r="I198" s="491">
        <v>0</v>
      </c>
      <c r="J198" s="491">
        <v>0</v>
      </c>
      <c r="K198" s="491">
        <v>0</v>
      </c>
      <c r="L198" s="491">
        <v>0</v>
      </c>
      <c r="M198" s="491">
        <v>0</v>
      </c>
      <c r="N198" s="491">
        <v>0</v>
      </c>
      <c r="O198" s="491">
        <v>0</v>
      </c>
      <c r="P198" s="491">
        <v>0</v>
      </c>
      <c r="Q198" s="491">
        <v>0</v>
      </c>
      <c r="R198" s="491">
        <v>0</v>
      </c>
      <c r="S198" s="491">
        <v>0</v>
      </c>
      <c r="T198" s="491">
        <v>0</v>
      </c>
      <c r="U198" s="491">
        <v>0</v>
      </c>
      <c r="V198" s="491">
        <v>0</v>
      </c>
      <c r="W198" s="491">
        <v>0</v>
      </c>
      <c r="X198" s="491">
        <v>0</v>
      </c>
      <c r="Y198" s="491">
        <v>0</v>
      </c>
      <c r="Z198" s="491">
        <v>0</v>
      </c>
      <c r="AA198" s="491">
        <v>0</v>
      </c>
      <c r="AB198" s="491">
        <v>0</v>
      </c>
      <c r="AC198" s="491">
        <v>0</v>
      </c>
      <c r="AD198" s="491">
        <v>0</v>
      </c>
      <c r="AE198" s="491">
        <v>0</v>
      </c>
      <c r="AF198" s="491">
        <v>0</v>
      </c>
      <c r="AG198" s="491">
        <v>0</v>
      </c>
      <c r="AH198" s="491">
        <v>0</v>
      </c>
      <c r="AI198" s="491">
        <v>0</v>
      </c>
      <c r="AJ198" s="491">
        <v>0</v>
      </c>
      <c r="AK198" s="491">
        <v>0</v>
      </c>
      <c r="AL198" s="491">
        <v>0</v>
      </c>
      <c r="AM198" s="491">
        <v>0</v>
      </c>
      <c r="AN198" s="491">
        <v>0</v>
      </c>
      <c r="AO198" s="491">
        <v>0</v>
      </c>
      <c r="AP198" s="491">
        <v>0</v>
      </c>
      <c r="AQ198" s="491">
        <v>0</v>
      </c>
      <c r="AR198" s="491">
        <v>0</v>
      </c>
      <c r="AS198" s="491">
        <v>0</v>
      </c>
      <c r="AT198" s="491">
        <v>0</v>
      </c>
      <c r="AU198" s="491">
        <v>0</v>
      </c>
      <c r="AV198" s="491">
        <v>0</v>
      </c>
      <c r="AW198" s="491">
        <v>0</v>
      </c>
      <c r="AX198" s="491">
        <v>0</v>
      </c>
      <c r="AY198" s="491">
        <v>0</v>
      </c>
      <c r="AZ198" s="492">
        <v>0</v>
      </c>
    </row>
    <row r="199" spans="1:52" s="470" customFormat="1">
      <c r="A199" s="493">
        <f>'[4]Allocation Methodology'!A31</f>
        <v>27</v>
      </c>
      <c r="B199" s="494" t="str">
        <f>'[4]Allocation Methodology'!B31</f>
        <v>High Performance New Construction</v>
      </c>
      <c r="C199" s="494" t="str">
        <f>'[4]Allocation Methodology'!C31</f>
        <v>Business</v>
      </c>
      <c r="D199" s="494"/>
      <c r="E199" s="494">
        <f>'[4]Allocation Methodology'!D31</f>
        <v>2008</v>
      </c>
      <c r="F199" s="495" t="str">
        <f>'[4]Allocation Methodology'!E31</f>
        <v>Final</v>
      </c>
      <c r="G199" s="472" t="b">
        <v>0</v>
      </c>
      <c r="H199" s="570">
        <v>0</v>
      </c>
      <c r="I199" s="498">
        <v>0</v>
      </c>
      <c r="J199" s="498">
        <v>3.212507068712441E-3</v>
      </c>
      <c r="K199" s="498">
        <v>3.212507068712441E-3</v>
      </c>
      <c r="L199" s="498">
        <v>3.212507068712441E-3</v>
      </c>
      <c r="M199" s="498">
        <v>3.212507068712441E-3</v>
      </c>
      <c r="N199" s="498">
        <v>3.212507068712441E-3</v>
      </c>
      <c r="O199" s="498">
        <v>3.212507068712441E-3</v>
      </c>
      <c r="P199" s="498">
        <v>3.212507068712441E-3</v>
      </c>
      <c r="Q199" s="498">
        <v>3.212507068712441E-3</v>
      </c>
      <c r="R199" s="498">
        <v>3.212507068712441E-3</v>
      </c>
      <c r="S199" s="498">
        <v>3.212507068712441E-3</v>
      </c>
      <c r="T199" s="498">
        <v>3.212507068712441E-3</v>
      </c>
      <c r="U199" s="498">
        <v>3.212507068712441E-3</v>
      </c>
      <c r="V199" s="498">
        <v>3.212507068712441E-3</v>
      </c>
      <c r="W199" s="498">
        <v>3.212507068712441E-3</v>
      </c>
      <c r="X199" s="498">
        <v>0</v>
      </c>
      <c r="Y199" s="498">
        <v>0</v>
      </c>
      <c r="Z199" s="498">
        <v>0</v>
      </c>
      <c r="AA199" s="498">
        <v>0</v>
      </c>
      <c r="AB199" s="498">
        <v>0</v>
      </c>
      <c r="AC199" s="498">
        <v>0</v>
      </c>
      <c r="AD199" s="498">
        <v>0</v>
      </c>
      <c r="AE199" s="498">
        <v>0</v>
      </c>
      <c r="AF199" s="498">
        <v>0</v>
      </c>
      <c r="AG199" s="498">
        <v>0</v>
      </c>
      <c r="AH199" s="498">
        <v>0</v>
      </c>
      <c r="AI199" s="498">
        <v>0</v>
      </c>
      <c r="AJ199" s="498">
        <v>0</v>
      </c>
      <c r="AK199" s="498">
        <v>0</v>
      </c>
      <c r="AL199" s="498">
        <v>0</v>
      </c>
      <c r="AM199" s="498">
        <v>0</v>
      </c>
      <c r="AN199" s="498">
        <v>0</v>
      </c>
      <c r="AO199" s="498">
        <v>0</v>
      </c>
      <c r="AP199" s="498">
        <v>0</v>
      </c>
      <c r="AQ199" s="498">
        <v>0</v>
      </c>
      <c r="AR199" s="498">
        <v>0</v>
      </c>
      <c r="AS199" s="498">
        <v>0</v>
      </c>
      <c r="AT199" s="498">
        <v>0</v>
      </c>
      <c r="AU199" s="498">
        <v>0</v>
      </c>
      <c r="AV199" s="498">
        <v>0</v>
      </c>
      <c r="AW199" s="498">
        <v>0</v>
      </c>
      <c r="AX199" s="498">
        <v>0</v>
      </c>
      <c r="AY199" s="498">
        <v>0</v>
      </c>
      <c r="AZ199" s="499">
        <v>0</v>
      </c>
    </row>
    <row r="200" spans="1:52" s="470" customFormat="1">
      <c r="A200" s="486">
        <f>'[4]Allocation Methodology'!A32</f>
        <v>28</v>
      </c>
      <c r="B200" s="487" t="str">
        <f>'[4]Allocation Methodology'!B32</f>
        <v>Power Savings Blitz</v>
      </c>
      <c r="C200" s="487" t="str">
        <f>'[4]Allocation Methodology'!C32</f>
        <v>Business</v>
      </c>
      <c r="D200" s="487"/>
      <c r="E200" s="487">
        <f>'[4]Allocation Methodology'!D32</f>
        <v>2008</v>
      </c>
      <c r="F200" s="488" t="str">
        <f>'[4]Allocation Methodology'!E32</f>
        <v>Final</v>
      </c>
      <c r="G200" s="472" t="b">
        <v>0</v>
      </c>
      <c r="H200" s="569">
        <v>0</v>
      </c>
      <c r="I200" s="491">
        <v>0</v>
      </c>
      <c r="J200" s="491">
        <v>0</v>
      </c>
      <c r="K200" s="491">
        <v>0</v>
      </c>
      <c r="L200" s="491">
        <v>0</v>
      </c>
      <c r="M200" s="491">
        <v>0</v>
      </c>
      <c r="N200" s="491">
        <v>0</v>
      </c>
      <c r="O200" s="491">
        <v>0</v>
      </c>
      <c r="P200" s="491">
        <v>0</v>
      </c>
      <c r="Q200" s="491">
        <v>0</v>
      </c>
      <c r="R200" s="491">
        <v>0</v>
      </c>
      <c r="S200" s="491">
        <v>0</v>
      </c>
      <c r="T200" s="491">
        <v>0</v>
      </c>
      <c r="U200" s="491">
        <v>0</v>
      </c>
      <c r="V200" s="491">
        <v>0</v>
      </c>
      <c r="W200" s="491">
        <v>0</v>
      </c>
      <c r="X200" s="491">
        <v>0</v>
      </c>
      <c r="Y200" s="491">
        <v>0</v>
      </c>
      <c r="Z200" s="491">
        <v>0</v>
      </c>
      <c r="AA200" s="491">
        <v>0</v>
      </c>
      <c r="AB200" s="491">
        <v>0</v>
      </c>
      <c r="AC200" s="491">
        <v>0</v>
      </c>
      <c r="AD200" s="491">
        <v>0</v>
      </c>
      <c r="AE200" s="491">
        <v>0</v>
      </c>
      <c r="AF200" s="491">
        <v>0</v>
      </c>
      <c r="AG200" s="491">
        <v>0</v>
      </c>
      <c r="AH200" s="491">
        <v>0</v>
      </c>
      <c r="AI200" s="491">
        <v>0</v>
      </c>
      <c r="AJ200" s="491">
        <v>0</v>
      </c>
      <c r="AK200" s="491">
        <v>0</v>
      </c>
      <c r="AL200" s="491">
        <v>0</v>
      </c>
      <c r="AM200" s="491">
        <v>0</v>
      </c>
      <c r="AN200" s="491">
        <v>0</v>
      </c>
      <c r="AO200" s="491">
        <v>0</v>
      </c>
      <c r="AP200" s="491">
        <v>0</v>
      </c>
      <c r="AQ200" s="491">
        <v>0</v>
      </c>
      <c r="AR200" s="491">
        <v>0</v>
      </c>
      <c r="AS200" s="491">
        <v>0</v>
      </c>
      <c r="AT200" s="491">
        <v>0</v>
      </c>
      <c r="AU200" s="491">
        <v>0</v>
      </c>
      <c r="AV200" s="491">
        <v>0</v>
      </c>
      <c r="AW200" s="491">
        <v>0</v>
      </c>
      <c r="AX200" s="491">
        <v>0</v>
      </c>
      <c r="AY200" s="491">
        <v>0</v>
      </c>
      <c r="AZ200" s="492">
        <v>0</v>
      </c>
    </row>
    <row r="201" spans="1:52" s="470" customFormat="1">
      <c r="A201" s="493">
        <f>'[4]Allocation Methodology'!A33</f>
        <v>29</v>
      </c>
      <c r="B201" s="494" t="str">
        <f>'[4]Allocation Methodology'!B33</f>
        <v>Demand Response 1</v>
      </c>
      <c r="C201" s="494" t="str">
        <f>'[4]Allocation Methodology'!C33</f>
        <v>Business, Industrial</v>
      </c>
      <c r="D201" s="494"/>
      <c r="E201" s="494">
        <f>'[4]Allocation Methodology'!D33</f>
        <v>2008</v>
      </c>
      <c r="F201" s="495" t="str">
        <f>'[4]Allocation Methodology'!E33</f>
        <v>Final</v>
      </c>
      <c r="G201" s="472" t="b">
        <v>0</v>
      </c>
      <c r="H201" s="570">
        <v>0</v>
      </c>
      <c r="I201" s="498">
        <v>0</v>
      </c>
      <c r="J201" s="498">
        <v>2.9071771689317281</v>
      </c>
      <c r="K201" s="498">
        <v>0</v>
      </c>
      <c r="L201" s="498">
        <v>0</v>
      </c>
      <c r="M201" s="498">
        <v>0</v>
      </c>
      <c r="N201" s="498">
        <v>0</v>
      </c>
      <c r="O201" s="498">
        <v>0</v>
      </c>
      <c r="P201" s="498">
        <v>0</v>
      </c>
      <c r="Q201" s="498">
        <v>0</v>
      </c>
      <c r="R201" s="498">
        <v>0</v>
      </c>
      <c r="S201" s="498">
        <v>0</v>
      </c>
      <c r="T201" s="498">
        <v>0</v>
      </c>
      <c r="U201" s="498">
        <v>0</v>
      </c>
      <c r="V201" s="498">
        <v>0</v>
      </c>
      <c r="W201" s="498">
        <v>0</v>
      </c>
      <c r="X201" s="498">
        <v>0</v>
      </c>
      <c r="Y201" s="498">
        <v>0</v>
      </c>
      <c r="Z201" s="498">
        <v>0</v>
      </c>
      <c r="AA201" s="498">
        <v>0</v>
      </c>
      <c r="AB201" s="498">
        <v>0</v>
      </c>
      <c r="AC201" s="498">
        <v>0</v>
      </c>
      <c r="AD201" s="498">
        <v>0</v>
      </c>
      <c r="AE201" s="498">
        <v>0</v>
      </c>
      <c r="AF201" s="498">
        <v>0</v>
      </c>
      <c r="AG201" s="498">
        <v>0</v>
      </c>
      <c r="AH201" s="498">
        <v>0</v>
      </c>
      <c r="AI201" s="498">
        <v>0</v>
      </c>
      <c r="AJ201" s="498">
        <v>0</v>
      </c>
      <c r="AK201" s="498">
        <v>0</v>
      </c>
      <c r="AL201" s="498">
        <v>0</v>
      </c>
      <c r="AM201" s="498">
        <v>0</v>
      </c>
      <c r="AN201" s="498">
        <v>0</v>
      </c>
      <c r="AO201" s="498">
        <v>0</v>
      </c>
      <c r="AP201" s="498">
        <v>0</v>
      </c>
      <c r="AQ201" s="498">
        <v>0</v>
      </c>
      <c r="AR201" s="498">
        <v>0</v>
      </c>
      <c r="AS201" s="498">
        <v>0</v>
      </c>
      <c r="AT201" s="498">
        <v>0</v>
      </c>
      <c r="AU201" s="498">
        <v>0</v>
      </c>
      <c r="AV201" s="498">
        <v>0</v>
      </c>
      <c r="AW201" s="498">
        <v>0</v>
      </c>
      <c r="AX201" s="498">
        <v>0</v>
      </c>
      <c r="AY201" s="498">
        <v>0</v>
      </c>
      <c r="AZ201" s="499">
        <v>0</v>
      </c>
    </row>
    <row r="202" spans="1:52" s="470" customFormat="1">
      <c r="A202" s="486">
        <f>'[4]Allocation Methodology'!A34</f>
        <v>30</v>
      </c>
      <c r="B202" s="487" t="str">
        <f>'[4]Allocation Methodology'!B34</f>
        <v>Demand Response 3</v>
      </c>
      <c r="C202" s="487" t="str">
        <f>'[4]Allocation Methodology'!C34</f>
        <v>Business, Industrial</v>
      </c>
      <c r="D202" s="487"/>
      <c r="E202" s="487">
        <f>'[4]Allocation Methodology'!D34</f>
        <v>2008</v>
      </c>
      <c r="F202" s="488" t="str">
        <f>'[4]Allocation Methodology'!E34</f>
        <v>Final</v>
      </c>
      <c r="G202" s="472" t="b">
        <v>0</v>
      </c>
      <c r="H202" s="569">
        <v>0</v>
      </c>
      <c r="I202" s="491">
        <v>0</v>
      </c>
      <c r="J202" s="491">
        <v>0.56218873702467731</v>
      </c>
      <c r="K202" s="491">
        <v>0</v>
      </c>
      <c r="L202" s="491">
        <v>0</v>
      </c>
      <c r="M202" s="491">
        <v>0</v>
      </c>
      <c r="N202" s="491">
        <v>0</v>
      </c>
      <c r="O202" s="491">
        <v>0</v>
      </c>
      <c r="P202" s="491">
        <v>0</v>
      </c>
      <c r="Q202" s="491">
        <v>0</v>
      </c>
      <c r="R202" s="491">
        <v>0</v>
      </c>
      <c r="S202" s="491">
        <v>0</v>
      </c>
      <c r="T202" s="491">
        <v>0</v>
      </c>
      <c r="U202" s="491">
        <v>0</v>
      </c>
      <c r="V202" s="491">
        <v>0</v>
      </c>
      <c r="W202" s="491">
        <v>0</v>
      </c>
      <c r="X202" s="491">
        <v>0</v>
      </c>
      <c r="Y202" s="491">
        <v>0</v>
      </c>
      <c r="Z202" s="491">
        <v>0</v>
      </c>
      <c r="AA202" s="491">
        <v>0</v>
      </c>
      <c r="AB202" s="491">
        <v>0</v>
      </c>
      <c r="AC202" s="491">
        <v>0</v>
      </c>
      <c r="AD202" s="491">
        <v>0</v>
      </c>
      <c r="AE202" s="491">
        <v>0</v>
      </c>
      <c r="AF202" s="491">
        <v>0</v>
      </c>
      <c r="AG202" s="491">
        <v>0</v>
      </c>
      <c r="AH202" s="491">
        <v>0</v>
      </c>
      <c r="AI202" s="491">
        <v>0</v>
      </c>
      <c r="AJ202" s="491">
        <v>0</v>
      </c>
      <c r="AK202" s="491">
        <v>0</v>
      </c>
      <c r="AL202" s="491">
        <v>0</v>
      </c>
      <c r="AM202" s="491">
        <v>0</v>
      </c>
      <c r="AN202" s="491">
        <v>0</v>
      </c>
      <c r="AO202" s="491">
        <v>0</v>
      </c>
      <c r="AP202" s="491">
        <v>0</v>
      </c>
      <c r="AQ202" s="491">
        <v>0</v>
      </c>
      <c r="AR202" s="491">
        <v>0</v>
      </c>
      <c r="AS202" s="491">
        <v>0</v>
      </c>
      <c r="AT202" s="491">
        <v>0</v>
      </c>
      <c r="AU202" s="491">
        <v>0</v>
      </c>
      <c r="AV202" s="491">
        <v>0</v>
      </c>
      <c r="AW202" s="491">
        <v>0</v>
      </c>
      <c r="AX202" s="491">
        <v>0</v>
      </c>
      <c r="AY202" s="491">
        <v>0</v>
      </c>
      <c r="AZ202" s="492">
        <v>0</v>
      </c>
    </row>
    <row r="203" spans="1:52" s="470" customFormat="1">
      <c r="A203" s="493">
        <f>'[4]Allocation Methodology'!A35</f>
        <v>31</v>
      </c>
      <c r="B203" s="494" t="str">
        <f>'[4]Allocation Methodology'!B35</f>
        <v>Loblaw &amp; York Region Demand Response</v>
      </c>
      <c r="C203" s="494" t="str">
        <f>'[4]Allocation Methodology'!C35</f>
        <v>Business, Industrial</v>
      </c>
      <c r="D203" s="494"/>
      <c r="E203" s="494">
        <f>'[4]Allocation Methodology'!D35</f>
        <v>2008</v>
      </c>
      <c r="F203" s="495" t="str">
        <f>'[4]Allocation Methodology'!E35</f>
        <v>Final</v>
      </c>
      <c r="G203" s="472" t="b">
        <v>0</v>
      </c>
      <c r="H203" s="570">
        <v>0</v>
      </c>
      <c r="I203" s="498">
        <v>0</v>
      </c>
      <c r="J203" s="498">
        <v>0.19319450598224494</v>
      </c>
      <c r="K203" s="498">
        <v>0</v>
      </c>
      <c r="L203" s="498">
        <v>0</v>
      </c>
      <c r="M203" s="498">
        <v>0</v>
      </c>
      <c r="N203" s="498">
        <v>0</v>
      </c>
      <c r="O203" s="498">
        <v>0</v>
      </c>
      <c r="P203" s="498">
        <v>0</v>
      </c>
      <c r="Q203" s="498">
        <v>0</v>
      </c>
      <c r="R203" s="498">
        <v>0</v>
      </c>
      <c r="S203" s="498">
        <v>0</v>
      </c>
      <c r="T203" s="498">
        <v>0</v>
      </c>
      <c r="U203" s="498">
        <v>0</v>
      </c>
      <c r="V203" s="498">
        <v>0</v>
      </c>
      <c r="W203" s="498">
        <v>0</v>
      </c>
      <c r="X203" s="498">
        <v>0</v>
      </c>
      <c r="Y203" s="498">
        <v>0</v>
      </c>
      <c r="Z203" s="498">
        <v>0</v>
      </c>
      <c r="AA203" s="498">
        <v>0</v>
      </c>
      <c r="AB203" s="498">
        <v>0</v>
      </c>
      <c r="AC203" s="498">
        <v>0</v>
      </c>
      <c r="AD203" s="498">
        <v>0</v>
      </c>
      <c r="AE203" s="498">
        <v>0</v>
      </c>
      <c r="AF203" s="498">
        <v>0</v>
      </c>
      <c r="AG203" s="498">
        <v>0</v>
      </c>
      <c r="AH203" s="498">
        <v>0</v>
      </c>
      <c r="AI203" s="498">
        <v>0</v>
      </c>
      <c r="AJ203" s="498">
        <v>0</v>
      </c>
      <c r="AK203" s="498">
        <v>0</v>
      </c>
      <c r="AL203" s="498">
        <v>0</v>
      </c>
      <c r="AM203" s="498">
        <v>0</v>
      </c>
      <c r="AN203" s="498">
        <v>0</v>
      </c>
      <c r="AO203" s="498">
        <v>0</v>
      </c>
      <c r="AP203" s="498">
        <v>0</v>
      </c>
      <c r="AQ203" s="498">
        <v>0</v>
      </c>
      <c r="AR203" s="498">
        <v>0</v>
      </c>
      <c r="AS203" s="498">
        <v>0</v>
      </c>
      <c r="AT203" s="498">
        <v>0</v>
      </c>
      <c r="AU203" s="498">
        <v>0</v>
      </c>
      <c r="AV203" s="498">
        <v>0</v>
      </c>
      <c r="AW203" s="498">
        <v>0</v>
      </c>
      <c r="AX203" s="498">
        <v>0</v>
      </c>
      <c r="AY203" s="498">
        <v>0</v>
      </c>
      <c r="AZ203" s="499">
        <v>0</v>
      </c>
    </row>
    <row r="204" spans="1:52" s="470" customFormat="1">
      <c r="A204" s="486">
        <f>'[4]Allocation Methodology'!A36</f>
        <v>32</v>
      </c>
      <c r="B204" s="487" t="str">
        <f>'[4]Allocation Methodology'!B36</f>
        <v>Renewable Energy Standard Offer</v>
      </c>
      <c r="C204" s="487" t="str">
        <f>'[4]Allocation Methodology'!C36</f>
        <v>Consumer, Business</v>
      </c>
      <c r="D204" s="487"/>
      <c r="E204" s="487">
        <f>'[4]Allocation Methodology'!D36</f>
        <v>2008</v>
      </c>
      <c r="F204" s="488" t="str">
        <f>'[4]Allocation Methodology'!E36</f>
        <v>Final</v>
      </c>
      <c r="G204" s="472" t="b">
        <v>0</v>
      </c>
      <c r="H204" s="569">
        <v>0</v>
      </c>
      <c r="I204" s="491">
        <v>0</v>
      </c>
      <c r="J204" s="491">
        <v>1.2230000000000001E-2</v>
      </c>
      <c r="K204" s="491">
        <v>1.2230000000000001E-2</v>
      </c>
      <c r="L204" s="491">
        <v>1.2230000000000001E-2</v>
      </c>
      <c r="M204" s="491">
        <v>1.2230000000000001E-2</v>
      </c>
      <c r="N204" s="491">
        <v>1.2230000000000001E-2</v>
      </c>
      <c r="O204" s="491">
        <v>1.2230000000000001E-2</v>
      </c>
      <c r="P204" s="491">
        <v>1.2230000000000001E-2</v>
      </c>
      <c r="Q204" s="491">
        <v>1.2230000000000001E-2</v>
      </c>
      <c r="R204" s="491">
        <v>1.2230000000000001E-2</v>
      </c>
      <c r="S204" s="491">
        <v>1.2230000000000001E-2</v>
      </c>
      <c r="T204" s="491">
        <v>1.2230000000000001E-2</v>
      </c>
      <c r="U204" s="491">
        <v>1.2230000000000001E-2</v>
      </c>
      <c r="V204" s="491">
        <v>1.2230000000000001E-2</v>
      </c>
      <c r="W204" s="491">
        <v>1.2230000000000001E-2</v>
      </c>
      <c r="X204" s="491">
        <v>1.2230000000000001E-2</v>
      </c>
      <c r="Y204" s="491">
        <v>1.2230000000000001E-2</v>
      </c>
      <c r="Z204" s="491">
        <v>1.2230000000000001E-2</v>
      </c>
      <c r="AA204" s="491">
        <v>1.2230000000000001E-2</v>
      </c>
      <c r="AB204" s="491">
        <v>1.2230000000000001E-2</v>
      </c>
      <c r="AC204" s="491">
        <v>1.2230000000000001E-2</v>
      </c>
      <c r="AD204" s="491">
        <v>0</v>
      </c>
      <c r="AE204" s="491">
        <v>0</v>
      </c>
      <c r="AF204" s="491">
        <v>0</v>
      </c>
      <c r="AG204" s="491">
        <v>0</v>
      </c>
      <c r="AH204" s="491">
        <v>0</v>
      </c>
      <c r="AI204" s="491">
        <v>0</v>
      </c>
      <c r="AJ204" s="491">
        <v>0</v>
      </c>
      <c r="AK204" s="491">
        <v>0</v>
      </c>
      <c r="AL204" s="491">
        <v>0</v>
      </c>
      <c r="AM204" s="491">
        <v>0</v>
      </c>
      <c r="AN204" s="491">
        <v>0</v>
      </c>
      <c r="AO204" s="491">
        <v>0</v>
      </c>
      <c r="AP204" s="491">
        <v>0</v>
      </c>
      <c r="AQ204" s="491">
        <v>0</v>
      </c>
      <c r="AR204" s="491">
        <v>0</v>
      </c>
      <c r="AS204" s="491">
        <v>0</v>
      </c>
      <c r="AT204" s="491">
        <v>0</v>
      </c>
      <c r="AU204" s="491">
        <v>0</v>
      </c>
      <c r="AV204" s="491">
        <v>0</v>
      </c>
      <c r="AW204" s="491">
        <v>0</v>
      </c>
      <c r="AX204" s="491">
        <v>0</v>
      </c>
      <c r="AY204" s="491">
        <v>0</v>
      </c>
      <c r="AZ204" s="492">
        <v>0</v>
      </c>
    </row>
    <row r="205" spans="1:52" s="470" customFormat="1">
      <c r="A205" s="493">
        <f>'[4]Allocation Methodology'!A37</f>
        <v>33</v>
      </c>
      <c r="B205" s="494" t="str">
        <f>'[4]Allocation Methodology'!B37</f>
        <v>Other Customer Based Generation</v>
      </c>
      <c r="C205" s="494" t="str">
        <f>'[4]Allocation Methodology'!C37</f>
        <v>Business</v>
      </c>
      <c r="D205" s="494"/>
      <c r="E205" s="494">
        <f>'[4]Allocation Methodology'!D37</f>
        <v>2008</v>
      </c>
      <c r="F205" s="495" t="str">
        <f>'[4]Allocation Methodology'!E37</f>
        <v>Final</v>
      </c>
      <c r="G205" s="472" t="b">
        <v>0</v>
      </c>
      <c r="H205" s="570">
        <v>0</v>
      </c>
      <c r="I205" s="498">
        <v>0</v>
      </c>
      <c r="J205" s="498">
        <v>0</v>
      </c>
      <c r="K205" s="498">
        <v>0</v>
      </c>
      <c r="L205" s="498">
        <v>0</v>
      </c>
      <c r="M205" s="498">
        <v>0</v>
      </c>
      <c r="N205" s="498">
        <v>0</v>
      </c>
      <c r="O205" s="498">
        <v>0</v>
      </c>
      <c r="P205" s="498">
        <v>0</v>
      </c>
      <c r="Q205" s="498">
        <v>0</v>
      </c>
      <c r="R205" s="498">
        <v>0</v>
      </c>
      <c r="S205" s="498">
        <v>0</v>
      </c>
      <c r="T205" s="498">
        <v>0</v>
      </c>
      <c r="U205" s="498">
        <v>0</v>
      </c>
      <c r="V205" s="498">
        <v>0</v>
      </c>
      <c r="W205" s="498">
        <v>0</v>
      </c>
      <c r="X205" s="498">
        <v>0</v>
      </c>
      <c r="Y205" s="498">
        <v>0</v>
      </c>
      <c r="Z205" s="498">
        <v>0</v>
      </c>
      <c r="AA205" s="498">
        <v>0</v>
      </c>
      <c r="AB205" s="498">
        <v>0</v>
      </c>
      <c r="AC205" s="498">
        <v>0</v>
      </c>
      <c r="AD205" s="498">
        <v>0</v>
      </c>
      <c r="AE205" s="498">
        <v>0</v>
      </c>
      <c r="AF205" s="498">
        <v>0</v>
      </c>
      <c r="AG205" s="498">
        <v>0</v>
      </c>
      <c r="AH205" s="498">
        <v>0</v>
      </c>
      <c r="AI205" s="498">
        <v>0</v>
      </c>
      <c r="AJ205" s="498">
        <v>0</v>
      </c>
      <c r="AK205" s="498">
        <v>0</v>
      </c>
      <c r="AL205" s="498">
        <v>0</v>
      </c>
      <c r="AM205" s="498">
        <v>0</v>
      </c>
      <c r="AN205" s="498">
        <v>0</v>
      </c>
      <c r="AO205" s="498">
        <v>0</v>
      </c>
      <c r="AP205" s="498">
        <v>0</v>
      </c>
      <c r="AQ205" s="498">
        <v>0</v>
      </c>
      <c r="AR205" s="498">
        <v>0</v>
      </c>
      <c r="AS205" s="498">
        <v>0</v>
      </c>
      <c r="AT205" s="498">
        <v>0</v>
      </c>
      <c r="AU205" s="498">
        <v>0</v>
      </c>
      <c r="AV205" s="498">
        <v>0</v>
      </c>
      <c r="AW205" s="498">
        <v>0</v>
      </c>
      <c r="AX205" s="498">
        <v>0</v>
      </c>
      <c r="AY205" s="498">
        <v>0</v>
      </c>
      <c r="AZ205" s="499">
        <v>0</v>
      </c>
    </row>
    <row r="206" spans="1:52" s="470" customFormat="1">
      <c r="A206" s="515">
        <f>'[4]Allocation Methodology'!A38</f>
        <v>34</v>
      </c>
      <c r="B206" s="516" t="str">
        <f>'[4]Allocation Methodology'!B38</f>
        <v>LDC Custom - Hydro One Networks Inc. - Double Return</v>
      </c>
      <c r="C206" s="516" t="str">
        <f>'[4]Allocation Methodology'!C38</f>
        <v>Business, Industrial</v>
      </c>
      <c r="D206" s="516"/>
      <c r="E206" s="516">
        <f>'[4]Allocation Methodology'!D38</f>
        <v>2008</v>
      </c>
      <c r="F206" s="517" t="str">
        <f>'[4]Allocation Methodology'!E38</f>
        <v>Final</v>
      </c>
      <c r="G206" s="472" t="b">
        <v>0</v>
      </c>
      <c r="H206" s="573">
        <v>0</v>
      </c>
      <c r="I206" s="520">
        <v>0</v>
      </c>
      <c r="J206" s="520">
        <v>0</v>
      </c>
      <c r="K206" s="520">
        <v>0</v>
      </c>
      <c r="L206" s="520">
        <v>0</v>
      </c>
      <c r="M206" s="520">
        <v>0</v>
      </c>
      <c r="N206" s="520">
        <v>0</v>
      </c>
      <c r="O206" s="520">
        <v>0</v>
      </c>
      <c r="P206" s="520">
        <v>0</v>
      </c>
      <c r="Q206" s="520">
        <v>0</v>
      </c>
      <c r="R206" s="520">
        <v>0</v>
      </c>
      <c r="S206" s="520">
        <v>0</v>
      </c>
      <c r="T206" s="520">
        <v>0</v>
      </c>
      <c r="U206" s="520">
        <v>0</v>
      </c>
      <c r="V206" s="520">
        <v>0</v>
      </c>
      <c r="W206" s="520">
        <v>0</v>
      </c>
      <c r="X206" s="520">
        <v>0</v>
      </c>
      <c r="Y206" s="520">
        <v>0</v>
      </c>
      <c r="Z206" s="520">
        <v>0</v>
      </c>
      <c r="AA206" s="520">
        <v>0</v>
      </c>
      <c r="AB206" s="520">
        <v>0</v>
      </c>
      <c r="AC206" s="520">
        <v>0</v>
      </c>
      <c r="AD206" s="520">
        <v>0</v>
      </c>
      <c r="AE206" s="520">
        <v>0</v>
      </c>
      <c r="AF206" s="520">
        <v>0</v>
      </c>
      <c r="AG206" s="520">
        <v>0</v>
      </c>
      <c r="AH206" s="520">
        <v>0</v>
      </c>
      <c r="AI206" s="520">
        <v>0</v>
      </c>
      <c r="AJ206" s="520">
        <v>0</v>
      </c>
      <c r="AK206" s="520">
        <v>0</v>
      </c>
      <c r="AL206" s="520">
        <v>0</v>
      </c>
      <c r="AM206" s="520">
        <v>0</v>
      </c>
      <c r="AN206" s="520">
        <v>0</v>
      </c>
      <c r="AO206" s="520">
        <v>0</v>
      </c>
      <c r="AP206" s="520">
        <v>0</v>
      </c>
      <c r="AQ206" s="520">
        <v>0</v>
      </c>
      <c r="AR206" s="520">
        <v>0</v>
      </c>
      <c r="AS206" s="520">
        <v>0</v>
      </c>
      <c r="AT206" s="520">
        <v>0</v>
      </c>
      <c r="AU206" s="520">
        <v>0</v>
      </c>
      <c r="AV206" s="520">
        <v>0</v>
      </c>
      <c r="AW206" s="520">
        <v>0</v>
      </c>
      <c r="AX206" s="520">
        <v>0</v>
      </c>
      <c r="AY206" s="520">
        <v>0</v>
      </c>
      <c r="AZ206" s="521">
        <v>0</v>
      </c>
    </row>
    <row r="207" spans="1:52" s="470" customFormat="1">
      <c r="A207" s="479">
        <f>'[4]Allocation Methodology'!A39</f>
        <v>35</v>
      </c>
      <c r="B207" s="480" t="str">
        <f>'[4]Allocation Methodology'!B39</f>
        <v>Great Refrigerator Roundup</v>
      </c>
      <c r="C207" s="480" t="str">
        <f>'[4]Allocation Methodology'!C39</f>
        <v>Consumer</v>
      </c>
      <c r="D207" s="480"/>
      <c r="E207" s="480">
        <f>'[4]Allocation Methodology'!D39</f>
        <v>2009</v>
      </c>
      <c r="F207" s="481" t="str">
        <f>'[4]Allocation Methodology'!E39</f>
        <v>Final</v>
      </c>
      <c r="G207" s="472" t="b">
        <v>0</v>
      </c>
      <c r="H207" s="567">
        <v>0</v>
      </c>
      <c r="I207" s="484">
        <v>0</v>
      </c>
      <c r="J207" s="484">
        <v>0</v>
      </c>
      <c r="K207" s="484">
        <v>3.4509906709812209E-2</v>
      </c>
      <c r="L207" s="484">
        <v>3.4509906709812209E-2</v>
      </c>
      <c r="M207" s="484">
        <v>3.4509906709812209E-2</v>
      </c>
      <c r="N207" s="484">
        <v>3.2778253027783942E-2</v>
      </c>
      <c r="O207" s="484">
        <v>2.2258050190989871E-2</v>
      </c>
      <c r="P207" s="484">
        <v>0</v>
      </c>
      <c r="Q207" s="484">
        <v>0</v>
      </c>
      <c r="R207" s="484">
        <v>0</v>
      </c>
      <c r="S207" s="484">
        <v>0</v>
      </c>
      <c r="T207" s="484">
        <v>0</v>
      </c>
      <c r="U207" s="484">
        <v>0</v>
      </c>
      <c r="V207" s="484">
        <v>0</v>
      </c>
      <c r="W207" s="484">
        <v>0</v>
      </c>
      <c r="X207" s="484">
        <v>0</v>
      </c>
      <c r="Y207" s="484">
        <v>0</v>
      </c>
      <c r="Z207" s="484">
        <v>0</v>
      </c>
      <c r="AA207" s="484">
        <v>0</v>
      </c>
      <c r="AB207" s="484">
        <v>0</v>
      </c>
      <c r="AC207" s="484">
        <v>0</v>
      </c>
      <c r="AD207" s="484">
        <v>0</v>
      </c>
      <c r="AE207" s="484">
        <v>0</v>
      </c>
      <c r="AF207" s="484">
        <v>0</v>
      </c>
      <c r="AG207" s="484">
        <v>0</v>
      </c>
      <c r="AH207" s="484">
        <v>0</v>
      </c>
      <c r="AI207" s="484">
        <v>0</v>
      </c>
      <c r="AJ207" s="484">
        <v>0</v>
      </c>
      <c r="AK207" s="484">
        <v>0</v>
      </c>
      <c r="AL207" s="484">
        <v>0</v>
      </c>
      <c r="AM207" s="484">
        <v>0</v>
      </c>
      <c r="AN207" s="484">
        <v>0</v>
      </c>
      <c r="AO207" s="484">
        <v>0</v>
      </c>
      <c r="AP207" s="484">
        <v>0</v>
      </c>
      <c r="AQ207" s="484">
        <v>0</v>
      </c>
      <c r="AR207" s="484">
        <v>0</v>
      </c>
      <c r="AS207" s="484">
        <v>0</v>
      </c>
      <c r="AT207" s="484">
        <v>0</v>
      </c>
      <c r="AU207" s="484">
        <v>0</v>
      </c>
      <c r="AV207" s="484">
        <v>0</v>
      </c>
      <c r="AW207" s="484">
        <v>0</v>
      </c>
      <c r="AX207" s="484">
        <v>0</v>
      </c>
      <c r="AY207" s="484">
        <v>0</v>
      </c>
      <c r="AZ207" s="485">
        <v>0</v>
      </c>
    </row>
    <row r="208" spans="1:52" s="470" customFormat="1">
      <c r="A208" s="486">
        <f>'[4]Allocation Methodology'!A40</f>
        <v>36</v>
      </c>
      <c r="B208" s="487" t="str">
        <f>'[4]Allocation Methodology'!B40</f>
        <v>Cool Savings Rebate</v>
      </c>
      <c r="C208" s="487" t="str">
        <f>'[4]Allocation Methodology'!C40</f>
        <v>Consumer</v>
      </c>
      <c r="D208" s="487"/>
      <c r="E208" s="487">
        <f>'[4]Allocation Methodology'!D40</f>
        <v>2009</v>
      </c>
      <c r="F208" s="488" t="str">
        <f>'[4]Allocation Methodology'!E40</f>
        <v>Final</v>
      </c>
      <c r="G208" s="472" t="b">
        <v>0</v>
      </c>
      <c r="H208" s="569">
        <v>0</v>
      </c>
      <c r="I208" s="491">
        <v>0</v>
      </c>
      <c r="J208" s="491">
        <v>0</v>
      </c>
      <c r="K208" s="491">
        <v>0.22039598007801184</v>
      </c>
      <c r="L208" s="491">
        <v>0.22039598007801184</v>
      </c>
      <c r="M208" s="491">
        <v>0.22039598007801184</v>
      </c>
      <c r="N208" s="491">
        <v>0.21994553688035648</v>
      </c>
      <c r="O208" s="491">
        <v>0.21987119034592867</v>
      </c>
      <c r="P208" s="491">
        <v>0.21982693960569466</v>
      </c>
      <c r="Q208" s="491">
        <v>0.21982693960569466</v>
      </c>
      <c r="R208" s="491">
        <v>0.21982693960569466</v>
      </c>
      <c r="S208" s="491">
        <v>0.21982693960569466</v>
      </c>
      <c r="T208" s="491">
        <v>0.21982693960569466</v>
      </c>
      <c r="U208" s="491">
        <v>0.21836686444571282</v>
      </c>
      <c r="V208" s="491">
        <v>0.21836686444571282</v>
      </c>
      <c r="W208" s="491">
        <v>0.21836686444571282</v>
      </c>
      <c r="X208" s="491">
        <v>0.21836686444571282</v>
      </c>
      <c r="Y208" s="491">
        <v>0.21836686444571282</v>
      </c>
      <c r="Z208" s="491">
        <v>0.21255343834319271</v>
      </c>
      <c r="AA208" s="491">
        <v>0.21255343834319271</v>
      </c>
      <c r="AB208" s="491">
        <v>0.21255343834319271</v>
      </c>
      <c r="AC208" s="491">
        <v>0.17037280263856908</v>
      </c>
      <c r="AD208" s="491">
        <v>0</v>
      </c>
      <c r="AE208" s="491">
        <v>0</v>
      </c>
      <c r="AF208" s="491">
        <v>0</v>
      </c>
      <c r="AG208" s="491">
        <v>0</v>
      </c>
      <c r="AH208" s="491">
        <v>0</v>
      </c>
      <c r="AI208" s="491">
        <v>0</v>
      </c>
      <c r="AJ208" s="491">
        <v>0</v>
      </c>
      <c r="AK208" s="491">
        <v>0</v>
      </c>
      <c r="AL208" s="491">
        <v>0</v>
      </c>
      <c r="AM208" s="491">
        <v>0</v>
      </c>
      <c r="AN208" s="491">
        <v>0</v>
      </c>
      <c r="AO208" s="491">
        <v>0</v>
      </c>
      <c r="AP208" s="491">
        <v>0</v>
      </c>
      <c r="AQ208" s="491">
        <v>0</v>
      </c>
      <c r="AR208" s="491">
        <v>0</v>
      </c>
      <c r="AS208" s="491">
        <v>0</v>
      </c>
      <c r="AT208" s="491">
        <v>0</v>
      </c>
      <c r="AU208" s="491">
        <v>0</v>
      </c>
      <c r="AV208" s="491">
        <v>0</v>
      </c>
      <c r="AW208" s="491">
        <v>0</v>
      </c>
      <c r="AX208" s="491">
        <v>0</v>
      </c>
      <c r="AY208" s="491">
        <v>0</v>
      </c>
      <c r="AZ208" s="492">
        <v>0</v>
      </c>
    </row>
    <row r="209" spans="1:52" s="470" customFormat="1">
      <c r="A209" s="493">
        <f>'[4]Allocation Methodology'!A41</f>
        <v>37</v>
      </c>
      <c r="B209" s="494" t="str">
        <f>'[4]Allocation Methodology'!B41</f>
        <v>Every Kilowatt Counts Power Savings Event</v>
      </c>
      <c r="C209" s="494" t="str">
        <f>'[4]Allocation Methodology'!C41</f>
        <v>Consumer</v>
      </c>
      <c r="D209" s="494"/>
      <c r="E209" s="494">
        <f>'[4]Allocation Methodology'!D41</f>
        <v>2009</v>
      </c>
      <c r="F209" s="495" t="str">
        <f>'[4]Allocation Methodology'!E41</f>
        <v>Final</v>
      </c>
      <c r="G209" s="472" t="b">
        <v>0</v>
      </c>
      <c r="H209" s="570">
        <v>0</v>
      </c>
      <c r="I209" s="498">
        <v>0</v>
      </c>
      <c r="J209" s="498">
        <v>0</v>
      </c>
      <c r="K209" s="498">
        <v>7.0339817065780047E-2</v>
      </c>
      <c r="L209" s="498">
        <v>6.7482789295094103E-2</v>
      </c>
      <c r="M209" s="498">
        <v>6.7482789295094103E-2</v>
      </c>
      <c r="N209" s="498">
        <v>6.7482789295094103E-2</v>
      </c>
      <c r="O209" s="498">
        <v>6.7233839783171184E-2</v>
      </c>
      <c r="P209" s="498">
        <v>6.7233839783171184E-2</v>
      </c>
      <c r="Q209" s="498">
        <v>6.3332186099153254E-2</v>
      </c>
      <c r="R209" s="498">
        <v>6.3332186099153254E-2</v>
      </c>
      <c r="S209" s="498">
        <v>5.1015449439710557E-2</v>
      </c>
      <c r="T209" s="498">
        <v>5.1015449439710557E-2</v>
      </c>
      <c r="U209" s="498">
        <v>4.4661408595651014E-2</v>
      </c>
      <c r="V209" s="498">
        <v>4.4648399897599819E-2</v>
      </c>
      <c r="W209" s="498">
        <v>2.9682354513436756E-2</v>
      </c>
      <c r="X209" s="498">
        <v>2.9682354513436756E-2</v>
      </c>
      <c r="Y209" s="498">
        <v>2.8189163644661626E-2</v>
      </c>
      <c r="Z209" s="498">
        <v>5.3478937234241446E-3</v>
      </c>
      <c r="AA209" s="498">
        <v>3.8908568648230979E-3</v>
      </c>
      <c r="AB209" s="498">
        <v>3.8908568648230979E-3</v>
      </c>
      <c r="AC209" s="498">
        <v>2.8384324993198733E-3</v>
      </c>
      <c r="AD209" s="498">
        <v>2.8384324993198733E-3</v>
      </c>
      <c r="AE209" s="498">
        <v>0</v>
      </c>
      <c r="AF209" s="498">
        <v>0</v>
      </c>
      <c r="AG209" s="498">
        <v>0</v>
      </c>
      <c r="AH209" s="498">
        <v>0</v>
      </c>
      <c r="AI209" s="498">
        <v>0</v>
      </c>
      <c r="AJ209" s="498">
        <v>0</v>
      </c>
      <c r="AK209" s="498">
        <v>0</v>
      </c>
      <c r="AL209" s="498">
        <v>0</v>
      </c>
      <c r="AM209" s="498">
        <v>0</v>
      </c>
      <c r="AN209" s="498">
        <v>0</v>
      </c>
      <c r="AO209" s="498">
        <v>0</v>
      </c>
      <c r="AP209" s="498">
        <v>0</v>
      </c>
      <c r="AQ209" s="498">
        <v>0</v>
      </c>
      <c r="AR209" s="498">
        <v>0</v>
      </c>
      <c r="AS209" s="498">
        <v>0</v>
      </c>
      <c r="AT209" s="498">
        <v>0</v>
      </c>
      <c r="AU209" s="498">
        <v>0</v>
      </c>
      <c r="AV209" s="498">
        <v>0</v>
      </c>
      <c r="AW209" s="498">
        <v>0</v>
      </c>
      <c r="AX209" s="498">
        <v>0</v>
      </c>
      <c r="AY209" s="498">
        <v>0</v>
      </c>
      <c r="AZ209" s="499">
        <v>0</v>
      </c>
    </row>
    <row r="210" spans="1:52" s="470" customFormat="1">
      <c r="A210" s="486">
        <f>'[4]Allocation Methodology'!A42</f>
        <v>38</v>
      </c>
      <c r="B210" s="522" t="str">
        <f>'[4]Allocation Methodology'!B42</f>
        <v>peaksaver®</v>
      </c>
      <c r="C210" s="487" t="str">
        <f>'[4]Allocation Methodology'!C42</f>
        <v>Consumer, Business</v>
      </c>
      <c r="D210" s="487"/>
      <c r="E210" s="487">
        <f>'[4]Allocation Methodology'!D42</f>
        <v>2009</v>
      </c>
      <c r="F210" s="488" t="str">
        <f>'[4]Allocation Methodology'!E42</f>
        <v>Final</v>
      </c>
      <c r="G210" s="472" t="b">
        <v>0</v>
      </c>
      <c r="H210" s="569">
        <v>0</v>
      </c>
      <c r="I210" s="491">
        <v>0</v>
      </c>
      <c r="J210" s="491">
        <v>0</v>
      </c>
      <c r="K210" s="491">
        <v>0</v>
      </c>
      <c r="L210" s="491">
        <v>0</v>
      </c>
      <c r="M210" s="491">
        <v>0</v>
      </c>
      <c r="N210" s="491">
        <v>0</v>
      </c>
      <c r="O210" s="491">
        <v>0</v>
      </c>
      <c r="P210" s="491">
        <v>0</v>
      </c>
      <c r="Q210" s="491">
        <v>0</v>
      </c>
      <c r="R210" s="491">
        <v>0</v>
      </c>
      <c r="S210" s="491">
        <v>0</v>
      </c>
      <c r="T210" s="491">
        <v>0</v>
      </c>
      <c r="U210" s="491">
        <v>0</v>
      </c>
      <c r="V210" s="491">
        <v>0</v>
      </c>
      <c r="W210" s="491">
        <v>0</v>
      </c>
      <c r="X210" s="491">
        <v>0</v>
      </c>
      <c r="Y210" s="491">
        <v>0</v>
      </c>
      <c r="Z210" s="491">
        <v>0</v>
      </c>
      <c r="AA210" s="491">
        <v>0</v>
      </c>
      <c r="AB210" s="491">
        <v>0</v>
      </c>
      <c r="AC210" s="491">
        <v>0</v>
      </c>
      <c r="AD210" s="491">
        <v>0</v>
      </c>
      <c r="AE210" s="491">
        <v>0</v>
      </c>
      <c r="AF210" s="491">
        <v>0</v>
      </c>
      <c r="AG210" s="491">
        <v>0</v>
      </c>
      <c r="AH210" s="491">
        <v>0</v>
      </c>
      <c r="AI210" s="491">
        <v>0</v>
      </c>
      <c r="AJ210" s="491">
        <v>0</v>
      </c>
      <c r="AK210" s="491">
        <v>0</v>
      </c>
      <c r="AL210" s="491">
        <v>0</v>
      </c>
      <c r="AM210" s="491">
        <v>0</v>
      </c>
      <c r="AN210" s="491">
        <v>0</v>
      </c>
      <c r="AO210" s="491">
        <v>0</v>
      </c>
      <c r="AP210" s="491">
        <v>0</v>
      </c>
      <c r="AQ210" s="491">
        <v>0</v>
      </c>
      <c r="AR210" s="491">
        <v>0</v>
      </c>
      <c r="AS210" s="491">
        <v>0</v>
      </c>
      <c r="AT210" s="491">
        <v>0</v>
      </c>
      <c r="AU210" s="491">
        <v>0</v>
      </c>
      <c r="AV210" s="491">
        <v>0</v>
      </c>
      <c r="AW210" s="491">
        <v>0</v>
      </c>
      <c r="AX210" s="491">
        <v>0</v>
      </c>
      <c r="AY210" s="491">
        <v>0</v>
      </c>
      <c r="AZ210" s="492">
        <v>0</v>
      </c>
    </row>
    <row r="211" spans="1:52" s="470" customFormat="1">
      <c r="A211" s="493">
        <f>'[4]Allocation Methodology'!A43</f>
        <v>39</v>
      </c>
      <c r="B211" s="494" t="str">
        <f>'[4]Allocation Methodology'!B43</f>
        <v>Electricity Retrofit Incentive</v>
      </c>
      <c r="C211" s="494" t="str">
        <f>'[4]Allocation Methodology'!C43</f>
        <v>Consumer, Business</v>
      </c>
      <c r="D211" s="494"/>
      <c r="E211" s="494">
        <f>'[4]Allocation Methodology'!D43</f>
        <v>2009</v>
      </c>
      <c r="F211" s="495" t="str">
        <f>'[4]Allocation Methodology'!E43</f>
        <v>Final</v>
      </c>
      <c r="G211" s="472" t="b">
        <v>0</v>
      </c>
      <c r="H211" s="570">
        <v>0</v>
      </c>
      <c r="I211" s="498">
        <v>0</v>
      </c>
      <c r="J211" s="498">
        <v>0</v>
      </c>
      <c r="K211" s="498">
        <v>0.1238755980861244</v>
      </c>
      <c r="L211" s="498">
        <v>0.1238755980861244</v>
      </c>
      <c r="M211" s="498">
        <v>0.1238755980861244</v>
      </c>
      <c r="N211" s="498">
        <v>0.1238755980861244</v>
      </c>
      <c r="O211" s="498">
        <v>0.1238755980861244</v>
      </c>
      <c r="P211" s="498">
        <v>0.1238755980861244</v>
      </c>
      <c r="Q211" s="498">
        <v>0.1238755980861244</v>
      </c>
      <c r="R211" s="498">
        <v>9.5454545454545459E-2</v>
      </c>
      <c r="S211" s="498">
        <v>9.5454545454545459E-2</v>
      </c>
      <c r="T211" s="498">
        <v>9.5454545454545459E-2</v>
      </c>
      <c r="U211" s="498">
        <v>9.5454545454545459E-2</v>
      </c>
      <c r="V211" s="498">
        <v>0</v>
      </c>
      <c r="W211" s="498">
        <v>0</v>
      </c>
      <c r="X211" s="498">
        <v>0</v>
      </c>
      <c r="Y211" s="498">
        <v>0</v>
      </c>
      <c r="Z211" s="498">
        <v>0</v>
      </c>
      <c r="AA211" s="498">
        <v>0</v>
      </c>
      <c r="AB211" s="498">
        <v>0</v>
      </c>
      <c r="AC211" s="498">
        <v>0</v>
      </c>
      <c r="AD211" s="498">
        <v>0</v>
      </c>
      <c r="AE211" s="498">
        <v>0</v>
      </c>
      <c r="AF211" s="498">
        <v>0</v>
      </c>
      <c r="AG211" s="498">
        <v>0</v>
      </c>
      <c r="AH211" s="498">
        <v>0</v>
      </c>
      <c r="AI211" s="498">
        <v>0</v>
      </c>
      <c r="AJ211" s="498">
        <v>0</v>
      </c>
      <c r="AK211" s="498">
        <v>0</v>
      </c>
      <c r="AL211" s="498">
        <v>0</v>
      </c>
      <c r="AM211" s="498">
        <v>0</v>
      </c>
      <c r="AN211" s="498">
        <v>0</v>
      </c>
      <c r="AO211" s="498">
        <v>0</v>
      </c>
      <c r="AP211" s="498">
        <v>0</v>
      </c>
      <c r="AQ211" s="498">
        <v>0</v>
      </c>
      <c r="AR211" s="498">
        <v>0</v>
      </c>
      <c r="AS211" s="498">
        <v>0</v>
      </c>
      <c r="AT211" s="498">
        <v>0</v>
      </c>
      <c r="AU211" s="498">
        <v>0</v>
      </c>
      <c r="AV211" s="498">
        <v>0</v>
      </c>
      <c r="AW211" s="498">
        <v>0</v>
      </c>
      <c r="AX211" s="498">
        <v>0</v>
      </c>
      <c r="AY211" s="498">
        <v>0</v>
      </c>
      <c r="AZ211" s="499">
        <v>0</v>
      </c>
    </row>
    <row r="212" spans="1:52" s="470" customFormat="1">
      <c r="A212" s="486">
        <f>'[4]Allocation Methodology'!A44</f>
        <v>40</v>
      </c>
      <c r="B212" s="487" t="str">
        <f>'[4]Allocation Methodology'!B44</f>
        <v>Toronto Comprehensive</v>
      </c>
      <c r="C212" s="487" t="str">
        <f>'[4]Allocation Methodology'!C44</f>
        <v>Consumer, Consumer Low-Income, Business, Industrial</v>
      </c>
      <c r="D212" s="487"/>
      <c r="E212" s="487">
        <f>'[4]Allocation Methodology'!D44</f>
        <v>2009</v>
      </c>
      <c r="F212" s="488" t="str">
        <f>'[4]Allocation Methodology'!E44</f>
        <v>Final</v>
      </c>
      <c r="G212" s="472" t="b">
        <v>0</v>
      </c>
      <c r="H212" s="569">
        <v>0</v>
      </c>
      <c r="I212" s="491">
        <v>0</v>
      </c>
      <c r="J212" s="491">
        <v>0</v>
      </c>
      <c r="K212" s="491">
        <v>0</v>
      </c>
      <c r="L212" s="491">
        <v>0</v>
      </c>
      <c r="M212" s="491">
        <v>0</v>
      </c>
      <c r="N212" s="491">
        <v>0</v>
      </c>
      <c r="O212" s="491">
        <v>0</v>
      </c>
      <c r="P212" s="491">
        <v>0</v>
      </c>
      <c r="Q212" s="491">
        <v>0</v>
      </c>
      <c r="R212" s="491">
        <v>0</v>
      </c>
      <c r="S212" s="491">
        <v>0</v>
      </c>
      <c r="T212" s="491">
        <v>0</v>
      </c>
      <c r="U212" s="491">
        <v>0</v>
      </c>
      <c r="V212" s="491">
        <v>0</v>
      </c>
      <c r="W212" s="491">
        <v>0</v>
      </c>
      <c r="X212" s="491">
        <v>0</v>
      </c>
      <c r="Y212" s="491">
        <v>0</v>
      </c>
      <c r="Z212" s="491">
        <v>0</v>
      </c>
      <c r="AA212" s="491">
        <v>0</v>
      </c>
      <c r="AB212" s="491">
        <v>0</v>
      </c>
      <c r="AC212" s="491">
        <v>0</v>
      </c>
      <c r="AD212" s="491">
        <v>0</v>
      </c>
      <c r="AE212" s="491">
        <v>0</v>
      </c>
      <c r="AF212" s="491">
        <v>0</v>
      </c>
      <c r="AG212" s="491">
        <v>0</v>
      </c>
      <c r="AH212" s="491">
        <v>0</v>
      </c>
      <c r="AI212" s="491">
        <v>0</v>
      </c>
      <c r="AJ212" s="491">
        <v>0</v>
      </c>
      <c r="AK212" s="491">
        <v>0</v>
      </c>
      <c r="AL212" s="491">
        <v>0</v>
      </c>
      <c r="AM212" s="491">
        <v>0</v>
      </c>
      <c r="AN212" s="491">
        <v>0</v>
      </c>
      <c r="AO212" s="491">
        <v>0</v>
      </c>
      <c r="AP212" s="491">
        <v>0</v>
      </c>
      <c r="AQ212" s="491">
        <v>0</v>
      </c>
      <c r="AR212" s="491">
        <v>0</v>
      </c>
      <c r="AS212" s="491">
        <v>0</v>
      </c>
      <c r="AT212" s="491">
        <v>0</v>
      </c>
      <c r="AU212" s="491">
        <v>0</v>
      </c>
      <c r="AV212" s="491">
        <v>0</v>
      </c>
      <c r="AW212" s="491">
        <v>0</v>
      </c>
      <c r="AX212" s="491">
        <v>0</v>
      </c>
      <c r="AY212" s="491">
        <v>0</v>
      </c>
      <c r="AZ212" s="492">
        <v>0</v>
      </c>
    </row>
    <row r="213" spans="1:52" s="470" customFormat="1">
      <c r="A213" s="493">
        <f>'[4]Allocation Methodology'!A45</f>
        <v>41</v>
      </c>
      <c r="B213" s="494" t="str">
        <f>'[4]Allocation Methodology'!B45</f>
        <v>High Performance New Construction</v>
      </c>
      <c r="C213" s="494" t="str">
        <f>'[4]Allocation Methodology'!C45</f>
        <v>Business</v>
      </c>
      <c r="D213" s="494"/>
      <c r="E213" s="494">
        <f>'[4]Allocation Methodology'!D45</f>
        <v>2009</v>
      </c>
      <c r="F213" s="495" t="str">
        <f>'[4]Allocation Methodology'!E45</f>
        <v>Final</v>
      </c>
      <c r="G213" s="472" t="b">
        <v>0</v>
      </c>
      <c r="H213" s="570">
        <v>0</v>
      </c>
      <c r="I213" s="498">
        <v>0</v>
      </c>
      <c r="J213" s="498">
        <v>0</v>
      </c>
      <c r="K213" s="498">
        <v>3.7834740373556663E-2</v>
      </c>
      <c r="L213" s="498">
        <v>3.7834740373556663E-2</v>
      </c>
      <c r="M213" s="498">
        <v>3.7834740373556663E-2</v>
      </c>
      <c r="N213" s="498">
        <v>3.7834740373556663E-2</v>
      </c>
      <c r="O213" s="498">
        <v>3.7834740373556663E-2</v>
      </c>
      <c r="P213" s="498">
        <v>3.7834740373556663E-2</v>
      </c>
      <c r="Q213" s="498">
        <v>3.7834740373556663E-2</v>
      </c>
      <c r="R213" s="498">
        <v>3.7834740373556663E-2</v>
      </c>
      <c r="S213" s="498">
        <v>3.7834740373556663E-2</v>
      </c>
      <c r="T213" s="498">
        <v>3.7834740373556663E-2</v>
      </c>
      <c r="U213" s="498">
        <v>3.7834740373556663E-2</v>
      </c>
      <c r="V213" s="498">
        <v>3.7834740373556663E-2</v>
      </c>
      <c r="W213" s="498">
        <v>3.7834740373556663E-2</v>
      </c>
      <c r="X213" s="498">
        <v>3.7834740373556663E-2</v>
      </c>
      <c r="Y213" s="498">
        <v>3.7834740373556663E-2</v>
      </c>
      <c r="Z213" s="498">
        <v>3.7834740373556663E-2</v>
      </c>
      <c r="AA213" s="498">
        <v>3.7834740373556663E-2</v>
      </c>
      <c r="AB213" s="498">
        <v>3.7834740373556663E-2</v>
      </c>
      <c r="AC213" s="498">
        <v>3.7834740373556663E-2</v>
      </c>
      <c r="AD213" s="498">
        <v>3.7834740373556663E-2</v>
      </c>
      <c r="AE213" s="498">
        <v>0</v>
      </c>
      <c r="AF213" s="498">
        <v>0</v>
      </c>
      <c r="AG213" s="498">
        <v>0</v>
      </c>
      <c r="AH213" s="498">
        <v>0</v>
      </c>
      <c r="AI213" s="498">
        <v>0</v>
      </c>
      <c r="AJ213" s="498">
        <v>0</v>
      </c>
      <c r="AK213" s="498">
        <v>0</v>
      </c>
      <c r="AL213" s="498">
        <v>0</v>
      </c>
      <c r="AM213" s="498">
        <v>0</v>
      </c>
      <c r="AN213" s="498">
        <v>0</v>
      </c>
      <c r="AO213" s="498">
        <v>0</v>
      </c>
      <c r="AP213" s="498">
        <v>0</v>
      </c>
      <c r="AQ213" s="498">
        <v>0</v>
      </c>
      <c r="AR213" s="498">
        <v>0</v>
      </c>
      <c r="AS213" s="498">
        <v>0</v>
      </c>
      <c r="AT213" s="498">
        <v>0</v>
      </c>
      <c r="AU213" s="498">
        <v>0</v>
      </c>
      <c r="AV213" s="498">
        <v>0</v>
      </c>
      <c r="AW213" s="498">
        <v>0</v>
      </c>
      <c r="AX213" s="498">
        <v>0</v>
      </c>
      <c r="AY213" s="498">
        <v>0</v>
      </c>
      <c r="AZ213" s="499">
        <v>0</v>
      </c>
    </row>
    <row r="214" spans="1:52" s="470" customFormat="1">
      <c r="A214" s="486">
        <f>'[4]Allocation Methodology'!A46</f>
        <v>42</v>
      </c>
      <c r="B214" s="487" t="str">
        <f>'[4]Allocation Methodology'!B46</f>
        <v>Power Savings Blitz</v>
      </c>
      <c r="C214" s="487" t="str">
        <f>'[4]Allocation Methodology'!C46</f>
        <v>Business</v>
      </c>
      <c r="D214" s="487"/>
      <c r="E214" s="487">
        <f>'[4]Allocation Methodology'!D46</f>
        <v>2009</v>
      </c>
      <c r="F214" s="488" t="str">
        <f>'[4]Allocation Methodology'!E46</f>
        <v>Final</v>
      </c>
      <c r="G214" s="472" t="b">
        <v>0</v>
      </c>
      <c r="H214" s="569">
        <v>0</v>
      </c>
      <c r="I214" s="491">
        <v>0</v>
      </c>
      <c r="J214" s="491">
        <v>0</v>
      </c>
      <c r="K214" s="491">
        <v>0.18429365344541779</v>
      </c>
      <c r="L214" s="491">
        <v>0.18429365344541779</v>
      </c>
      <c r="M214" s="491">
        <v>0.18429365344541779</v>
      </c>
      <c r="N214" s="491">
        <v>0.18429365344541779</v>
      </c>
      <c r="O214" s="491">
        <v>0.18429365344541779</v>
      </c>
      <c r="P214" s="491">
        <v>0.18429365344541779</v>
      </c>
      <c r="Q214" s="491">
        <v>0.18429365344541779</v>
      </c>
      <c r="R214" s="491">
        <v>0.18429365344541779</v>
      </c>
      <c r="S214" s="491">
        <v>0.18429365344541779</v>
      </c>
      <c r="T214" s="491">
        <v>0</v>
      </c>
      <c r="U214" s="491">
        <v>0</v>
      </c>
      <c r="V214" s="491">
        <v>0</v>
      </c>
      <c r="W214" s="491">
        <v>0</v>
      </c>
      <c r="X214" s="491">
        <v>0</v>
      </c>
      <c r="Y214" s="491">
        <v>0</v>
      </c>
      <c r="Z214" s="491">
        <v>0</v>
      </c>
      <c r="AA214" s="491">
        <v>0</v>
      </c>
      <c r="AB214" s="491">
        <v>0</v>
      </c>
      <c r="AC214" s="491">
        <v>0</v>
      </c>
      <c r="AD214" s="491">
        <v>0</v>
      </c>
      <c r="AE214" s="491">
        <v>0</v>
      </c>
      <c r="AF214" s="491">
        <v>0</v>
      </c>
      <c r="AG214" s="491">
        <v>0</v>
      </c>
      <c r="AH214" s="491">
        <v>0</v>
      </c>
      <c r="AI214" s="491">
        <v>0</v>
      </c>
      <c r="AJ214" s="491">
        <v>0</v>
      </c>
      <c r="AK214" s="491">
        <v>0</v>
      </c>
      <c r="AL214" s="491">
        <v>0</v>
      </c>
      <c r="AM214" s="491">
        <v>0</v>
      </c>
      <c r="AN214" s="491">
        <v>0</v>
      </c>
      <c r="AO214" s="491">
        <v>0</v>
      </c>
      <c r="AP214" s="491">
        <v>0</v>
      </c>
      <c r="AQ214" s="491">
        <v>0</v>
      </c>
      <c r="AR214" s="491">
        <v>0</v>
      </c>
      <c r="AS214" s="491">
        <v>0</v>
      </c>
      <c r="AT214" s="491">
        <v>0</v>
      </c>
      <c r="AU214" s="491">
        <v>0</v>
      </c>
      <c r="AV214" s="491">
        <v>0</v>
      </c>
      <c r="AW214" s="491">
        <v>0</v>
      </c>
      <c r="AX214" s="491">
        <v>0</v>
      </c>
      <c r="AY214" s="491">
        <v>0</v>
      </c>
      <c r="AZ214" s="492">
        <v>0</v>
      </c>
    </row>
    <row r="215" spans="1:52" s="470" customFormat="1">
      <c r="A215" s="493">
        <f>'[4]Allocation Methodology'!A47</f>
        <v>43</v>
      </c>
      <c r="B215" s="494" t="str">
        <f>'[4]Allocation Methodology'!B47</f>
        <v>Multi-Family Energy Efficiency Rebates</v>
      </c>
      <c r="C215" s="494" t="str">
        <f>'[4]Allocation Methodology'!C47</f>
        <v>Consumer, Consumer Low-Income</v>
      </c>
      <c r="D215" s="494"/>
      <c r="E215" s="494">
        <f>'[4]Allocation Methodology'!D47</f>
        <v>2009</v>
      </c>
      <c r="F215" s="495" t="str">
        <f>'[4]Allocation Methodology'!E47</f>
        <v>Final</v>
      </c>
      <c r="G215" s="472" t="b">
        <v>0</v>
      </c>
      <c r="H215" s="570">
        <v>0</v>
      </c>
      <c r="I215" s="498">
        <v>0</v>
      </c>
      <c r="J215" s="498">
        <v>0</v>
      </c>
      <c r="K215" s="498">
        <v>0</v>
      </c>
      <c r="L215" s="498">
        <v>0</v>
      </c>
      <c r="M215" s="498">
        <v>0</v>
      </c>
      <c r="N215" s="498">
        <v>0</v>
      </c>
      <c r="O215" s="498">
        <v>0</v>
      </c>
      <c r="P215" s="498">
        <v>0</v>
      </c>
      <c r="Q215" s="498">
        <v>0</v>
      </c>
      <c r="R215" s="498">
        <v>0</v>
      </c>
      <c r="S215" s="498">
        <v>0</v>
      </c>
      <c r="T215" s="498">
        <v>0</v>
      </c>
      <c r="U215" s="498">
        <v>0</v>
      </c>
      <c r="V215" s="498">
        <v>0</v>
      </c>
      <c r="W215" s="498">
        <v>0</v>
      </c>
      <c r="X215" s="498">
        <v>0</v>
      </c>
      <c r="Y215" s="498">
        <v>0</v>
      </c>
      <c r="Z215" s="498">
        <v>0</v>
      </c>
      <c r="AA215" s="498">
        <v>0</v>
      </c>
      <c r="AB215" s="498">
        <v>0</v>
      </c>
      <c r="AC215" s="498">
        <v>0</v>
      </c>
      <c r="AD215" s="498">
        <v>0</v>
      </c>
      <c r="AE215" s="498">
        <v>0</v>
      </c>
      <c r="AF215" s="498">
        <v>0</v>
      </c>
      <c r="AG215" s="498">
        <v>0</v>
      </c>
      <c r="AH215" s="498">
        <v>0</v>
      </c>
      <c r="AI215" s="498">
        <v>0</v>
      </c>
      <c r="AJ215" s="498">
        <v>0</v>
      </c>
      <c r="AK215" s="498">
        <v>0</v>
      </c>
      <c r="AL215" s="498">
        <v>0</v>
      </c>
      <c r="AM215" s="498">
        <v>0</v>
      </c>
      <c r="AN215" s="498">
        <v>0</v>
      </c>
      <c r="AO215" s="498">
        <v>0</v>
      </c>
      <c r="AP215" s="498">
        <v>0</v>
      </c>
      <c r="AQ215" s="498">
        <v>0</v>
      </c>
      <c r="AR215" s="498">
        <v>0</v>
      </c>
      <c r="AS215" s="498">
        <v>0</v>
      </c>
      <c r="AT215" s="498">
        <v>0</v>
      </c>
      <c r="AU215" s="498">
        <v>0</v>
      </c>
      <c r="AV215" s="498">
        <v>0</v>
      </c>
      <c r="AW215" s="498">
        <v>0</v>
      </c>
      <c r="AX215" s="498">
        <v>0</v>
      </c>
      <c r="AY215" s="498">
        <v>0</v>
      </c>
      <c r="AZ215" s="499">
        <v>0</v>
      </c>
    </row>
    <row r="216" spans="1:52" s="470" customFormat="1">
      <c r="A216" s="486">
        <f>'[4]Allocation Methodology'!A48</f>
        <v>44</v>
      </c>
      <c r="B216" s="487" t="str">
        <f>'[4]Allocation Methodology'!B48</f>
        <v>Demand Response 1</v>
      </c>
      <c r="C216" s="487" t="str">
        <f>'[4]Allocation Methodology'!C48</f>
        <v>Business, Industrial</v>
      </c>
      <c r="D216" s="487"/>
      <c r="E216" s="487">
        <f>'[4]Allocation Methodology'!D48</f>
        <v>2009</v>
      </c>
      <c r="F216" s="488" t="str">
        <f>'[4]Allocation Methodology'!E48</f>
        <v>Final</v>
      </c>
      <c r="G216" s="472" t="b">
        <v>0</v>
      </c>
      <c r="H216" s="569">
        <v>0</v>
      </c>
      <c r="I216" s="491">
        <v>0</v>
      </c>
      <c r="J216" s="491">
        <v>0</v>
      </c>
      <c r="K216" s="491">
        <v>1.1957688458910378</v>
      </c>
      <c r="L216" s="491">
        <v>0</v>
      </c>
      <c r="M216" s="491">
        <v>0</v>
      </c>
      <c r="N216" s="491">
        <v>0</v>
      </c>
      <c r="O216" s="491">
        <v>0</v>
      </c>
      <c r="P216" s="491">
        <v>0</v>
      </c>
      <c r="Q216" s="491">
        <v>0</v>
      </c>
      <c r="R216" s="491">
        <v>0</v>
      </c>
      <c r="S216" s="491">
        <v>0</v>
      </c>
      <c r="T216" s="491">
        <v>0</v>
      </c>
      <c r="U216" s="491">
        <v>0</v>
      </c>
      <c r="V216" s="491">
        <v>0</v>
      </c>
      <c r="W216" s="491">
        <v>0</v>
      </c>
      <c r="X216" s="491">
        <v>0</v>
      </c>
      <c r="Y216" s="491">
        <v>0</v>
      </c>
      <c r="Z216" s="491">
        <v>0</v>
      </c>
      <c r="AA216" s="491">
        <v>0</v>
      </c>
      <c r="AB216" s="491">
        <v>0</v>
      </c>
      <c r="AC216" s="491">
        <v>0</v>
      </c>
      <c r="AD216" s="491">
        <v>0</v>
      </c>
      <c r="AE216" s="491">
        <v>0</v>
      </c>
      <c r="AF216" s="491">
        <v>0</v>
      </c>
      <c r="AG216" s="491">
        <v>0</v>
      </c>
      <c r="AH216" s="491">
        <v>0</v>
      </c>
      <c r="AI216" s="491">
        <v>0</v>
      </c>
      <c r="AJ216" s="491">
        <v>0</v>
      </c>
      <c r="AK216" s="491">
        <v>0</v>
      </c>
      <c r="AL216" s="491">
        <v>0</v>
      </c>
      <c r="AM216" s="491">
        <v>0</v>
      </c>
      <c r="AN216" s="491">
        <v>0</v>
      </c>
      <c r="AO216" s="491">
        <v>0</v>
      </c>
      <c r="AP216" s="491">
        <v>0</v>
      </c>
      <c r="AQ216" s="491">
        <v>0</v>
      </c>
      <c r="AR216" s="491">
        <v>0</v>
      </c>
      <c r="AS216" s="491">
        <v>0</v>
      </c>
      <c r="AT216" s="491">
        <v>0</v>
      </c>
      <c r="AU216" s="491">
        <v>0</v>
      </c>
      <c r="AV216" s="491">
        <v>0</v>
      </c>
      <c r="AW216" s="491">
        <v>0</v>
      </c>
      <c r="AX216" s="491">
        <v>0</v>
      </c>
      <c r="AY216" s="491">
        <v>0</v>
      </c>
      <c r="AZ216" s="492">
        <v>0</v>
      </c>
    </row>
    <row r="217" spans="1:52" s="470" customFormat="1">
      <c r="A217" s="493">
        <f>'[4]Allocation Methodology'!A49</f>
        <v>45</v>
      </c>
      <c r="B217" s="494" t="str">
        <f>'[4]Allocation Methodology'!B49</f>
        <v>Demand Response 2</v>
      </c>
      <c r="C217" s="494" t="str">
        <f>'[4]Allocation Methodology'!C49</f>
        <v>Business, Industrial</v>
      </c>
      <c r="D217" s="494"/>
      <c r="E217" s="494">
        <f>'[4]Allocation Methodology'!D49</f>
        <v>2009</v>
      </c>
      <c r="F217" s="495" t="str">
        <f>'[4]Allocation Methodology'!E49</f>
        <v>Final</v>
      </c>
      <c r="G217" s="472" t="b">
        <v>0</v>
      </c>
      <c r="H217" s="570">
        <v>0</v>
      </c>
      <c r="I217" s="498">
        <v>0</v>
      </c>
      <c r="J217" s="498">
        <v>0</v>
      </c>
      <c r="K217" s="498">
        <v>0.81196286825126107</v>
      </c>
      <c r="L217" s="498">
        <v>0</v>
      </c>
      <c r="M217" s="498">
        <v>0</v>
      </c>
      <c r="N217" s="498">
        <v>0</v>
      </c>
      <c r="O217" s="498">
        <v>0</v>
      </c>
      <c r="P217" s="498">
        <v>0</v>
      </c>
      <c r="Q217" s="498">
        <v>0</v>
      </c>
      <c r="R217" s="498">
        <v>0</v>
      </c>
      <c r="S217" s="498">
        <v>0</v>
      </c>
      <c r="T217" s="498">
        <v>0</v>
      </c>
      <c r="U217" s="498">
        <v>0</v>
      </c>
      <c r="V217" s="498">
        <v>0</v>
      </c>
      <c r="W217" s="498">
        <v>0</v>
      </c>
      <c r="X217" s="498">
        <v>0</v>
      </c>
      <c r="Y217" s="498">
        <v>0</v>
      </c>
      <c r="Z217" s="498">
        <v>0</v>
      </c>
      <c r="AA217" s="498">
        <v>0</v>
      </c>
      <c r="AB217" s="498">
        <v>0</v>
      </c>
      <c r="AC217" s="498">
        <v>0</v>
      </c>
      <c r="AD217" s="498">
        <v>0</v>
      </c>
      <c r="AE217" s="498">
        <v>0</v>
      </c>
      <c r="AF217" s="498">
        <v>0</v>
      </c>
      <c r="AG217" s="498">
        <v>0</v>
      </c>
      <c r="AH217" s="498">
        <v>0</v>
      </c>
      <c r="AI217" s="498">
        <v>0</v>
      </c>
      <c r="AJ217" s="498">
        <v>0</v>
      </c>
      <c r="AK217" s="498">
        <v>0</v>
      </c>
      <c r="AL217" s="498">
        <v>0</v>
      </c>
      <c r="AM217" s="498">
        <v>0</v>
      </c>
      <c r="AN217" s="498">
        <v>0</v>
      </c>
      <c r="AO217" s="498">
        <v>0</v>
      </c>
      <c r="AP217" s="498">
        <v>0</v>
      </c>
      <c r="AQ217" s="498">
        <v>0</v>
      </c>
      <c r="AR217" s="498">
        <v>0</v>
      </c>
      <c r="AS217" s="498">
        <v>0</v>
      </c>
      <c r="AT217" s="498">
        <v>0</v>
      </c>
      <c r="AU217" s="498">
        <v>0</v>
      </c>
      <c r="AV217" s="498">
        <v>0</v>
      </c>
      <c r="AW217" s="498">
        <v>0</v>
      </c>
      <c r="AX217" s="498">
        <v>0</v>
      </c>
      <c r="AY217" s="498">
        <v>0</v>
      </c>
      <c r="AZ217" s="499">
        <v>0</v>
      </c>
    </row>
    <row r="218" spans="1:52" s="470" customFormat="1">
      <c r="A218" s="486">
        <f>'[4]Allocation Methodology'!A50</f>
        <v>46</v>
      </c>
      <c r="B218" s="487" t="str">
        <f>'[4]Allocation Methodology'!B50</f>
        <v>Demand Response 3</v>
      </c>
      <c r="C218" s="487" t="str">
        <f>'[4]Allocation Methodology'!C50</f>
        <v>Business, Industrial</v>
      </c>
      <c r="D218" s="487"/>
      <c r="E218" s="487">
        <f>'[4]Allocation Methodology'!D50</f>
        <v>2009</v>
      </c>
      <c r="F218" s="488" t="str">
        <f>'[4]Allocation Methodology'!E50</f>
        <v>Final</v>
      </c>
      <c r="G218" s="472" t="b">
        <v>0</v>
      </c>
      <c r="H218" s="569">
        <v>0</v>
      </c>
      <c r="I218" s="491">
        <v>0</v>
      </c>
      <c r="J218" s="491">
        <v>0</v>
      </c>
      <c r="K218" s="491">
        <v>1.1599469546446588</v>
      </c>
      <c r="L218" s="491">
        <v>0</v>
      </c>
      <c r="M218" s="491">
        <v>0</v>
      </c>
      <c r="N218" s="491">
        <v>0</v>
      </c>
      <c r="O218" s="491">
        <v>0</v>
      </c>
      <c r="P218" s="491">
        <v>0</v>
      </c>
      <c r="Q218" s="491">
        <v>0</v>
      </c>
      <c r="R218" s="491">
        <v>0</v>
      </c>
      <c r="S218" s="491">
        <v>0</v>
      </c>
      <c r="T218" s="491">
        <v>0</v>
      </c>
      <c r="U218" s="491">
        <v>0</v>
      </c>
      <c r="V218" s="491">
        <v>0</v>
      </c>
      <c r="W218" s="491">
        <v>0</v>
      </c>
      <c r="X218" s="491">
        <v>0</v>
      </c>
      <c r="Y218" s="491">
        <v>0</v>
      </c>
      <c r="Z218" s="491">
        <v>0</v>
      </c>
      <c r="AA218" s="491">
        <v>0</v>
      </c>
      <c r="AB218" s="491">
        <v>0</v>
      </c>
      <c r="AC218" s="491">
        <v>0</v>
      </c>
      <c r="AD218" s="491">
        <v>0</v>
      </c>
      <c r="AE218" s="491">
        <v>0</v>
      </c>
      <c r="AF218" s="491">
        <v>0</v>
      </c>
      <c r="AG218" s="491">
        <v>0</v>
      </c>
      <c r="AH218" s="491">
        <v>0</v>
      </c>
      <c r="AI218" s="491">
        <v>0</v>
      </c>
      <c r="AJ218" s="491">
        <v>0</v>
      </c>
      <c r="AK218" s="491">
        <v>0</v>
      </c>
      <c r="AL218" s="491">
        <v>0</v>
      </c>
      <c r="AM218" s="491">
        <v>0</v>
      </c>
      <c r="AN218" s="491">
        <v>0</v>
      </c>
      <c r="AO218" s="491">
        <v>0</v>
      </c>
      <c r="AP218" s="491">
        <v>0</v>
      </c>
      <c r="AQ218" s="491">
        <v>0</v>
      </c>
      <c r="AR218" s="491">
        <v>0</v>
      </c>
      <c r="AS218" s="491">
        <v>0</v>
      </c>
      <c r="AT218" s="491">
        <v>0</v>
      </c>
      <c r="AU218" s="491">
        <v>0</v>
      </c>
      <c r="AV218" s="491">
        <v>0</v>
      </c>
      <c r="AW218" s="491">
        <v>0</v>
      </c>
      <c r="AX218" s="491">
        <v>0</v>
      </c>
      <c r="AY218" s="491">
        <v>0</v>
      </c>
      <c r="AZ218" s="492">
        <v>0</v>
      </c>
    </row>
    <row r="219" spans="1:52" s="470" customFormat="1">
      <c r="A219" s="493">
        <f>'[4]Allocation Methodology'!A51</f>
        <v>47</v>
      </c>
      <c r="B219" s="494" t="str">
        <f>'[4]Allocation Methodology'!B51</f>
        <v>Loblaw &amp; York Region Demand Response</v>
      </c>
      <c r="C219" s="494" t="str">
        <f>'[4]Allocation Methodology'!C51</f>
        <v>Business, Industrial</v>
      </c>
      <c r="D219" s="494"/>
      <c r="E219" s="494">
        <f>'[4]Allocation Methodology'!D51</f>
        <v>2009</v>
      </c>
      <c r="F219" s="495" t="str">
        <f>'[4]Allocation Methodology'!E51</f>
        <v>Final</v>
      </c>
      <c r="G219" s="472" t="b">
        <v>0</v>
      </c>
      <c r="H219" s="570">
        <v>0</v>
      </c>
      <c r="I219" s="498">
        <v>0</v>
      </c>
      <c r="J219" s="498">
        <v>0</v>
      </c>
      <c r="K219" s="498">
        <v>0.19930617967747344</v>
      </c>
      <c r="L219" s="498">
        <v>0</v>
      </c>
      <c r="M219" s="498">
        <v>0</v>
      </c>
      <c r="N219" s="498">
        <v>0</v>
      </c>
      <c r="O219" s="498">
        <v>0</v>
      </c>
      <c r="P219" s="498">
        <v>0</v>
      </c>
      <c r="Q219" s="498">
        <v>0</v>
      </c>
      <c r="R219" s="498">
        <v>0</v>
      </c>
      <c r="S219" s="498">
        <v>0</v>
      </c>
      <c r="T219" s="498">
        <v>0</v>
      </c>
      <c r="U219" s="498">
        <v>0</v>
      </c>
      <c r="V219" s="498">
        <v>0</v>
      </c>
      <c r="W219" s="498">
        <v>0</v>
      </c>
      <c r="X219" s="498">
        <v>0</v>
      </c>
      <c r="Y219" s="498">
        <v>0</v>
      </c>
      <c r="Z219" s="498">
        <v>0</v>
      </c>
      <c r="AA219" s="498">
        <v>0</v>
      </c>
      <c r="AB219" s="498">
        <v>0</v>
      </c>
      <c r="AC219" s="498">
        <v>0</v>
      </c>
      <c r="AD219" s="498">
        <v>0</v>
      </c>
      <c r="AE219" s="498">
        <v>0</v>
      </c>
      <c r="AF219" s="498">
        <v>0</v>
      </c>
      <c r="AG219" s="498">
        <v>0</v>
      </c>
      <c r="AH219" s="498">
        <v>0</v>
      </c>
      <c r="AI219" s="498">
        <v>0</v>
      </c>
      <c r="AJ219" s="498">
        <v>0</v>
      </c>
      <c r="AK219" s="498">
        <v>0</v>
      </c>
      <c r="AL219" s="498">
        <v>0</v>
      </c>
      <c r="AM219" s="498">
        <v>0</v>
      </c>
      <c r="AN219" s="498">
        <v>0</v>
      </c>
      <c r="AO219" s="498">
        <v>0</v>
      </c>
      <c r="AP219" s="498">
        <v>0</v>
      </c>
      <c r="AQ219" s="498">
        <v>0</v>
      </c>
      <c r="AR219" s="498">
        <v>0</v>
      </c>
      <c r="AS219" s="498">
        <v>0</v>
      </c>
      <c r="AT219" s="498">
        <v>0</v>
      </c>
      <c r="AU219" s="498">
        <v>0</v>
      </c>
      <c r="AV219" s="498">
        <v>0</v>
      </c>
      <c r="AW219" s="498">
        <v>0</v>
      </c>
      <c r="AX219" s="498">
        <v>0</v>
      </c>
      <c r="AY219" s="498">
        <v>0</v>
      </c>
      <c r="AZ219" s="499">
        <v>0</v>
      </c>
    </row>
    <row r="220" spans="1:52" s="470" customFormat="1">
      <c r="A220" s="486">
        <f>'[4]Allocation Methodology'!A52</f>
        <v>48</v>
      </c>
      <c r="B220" s="487" t="str">
        <f>'[4]Allocation Methodology'!B52</f>
        <v>LDC Custom - Thunder Bay Hydro - Phantom Load</v>
      </c>
      <c r="C220" s="487" t="str">
        <f>'[4]Allocation Methodology'!C52</f>
        <v>Consumer</v>
      </c>
      <c r="D220" s="487"/>
      <c r="E220" s="487">
        <f>'[4]Allocation Methodology'!D52</f>
        <v>2009</v>
      </c>
      <c r="F220" s="488" t="str">
        <f>'[4]Allocation Methodology'!E52</f>
        <v>Final</v>
      </c>
      <c r="G220" s="472" t="b">
        <v>0</v>
      </c>
      <c r="H220" s="569">
        <v>0</v>
      </c>
      <c r="I220" s="491">
        <v>0</v>
      </c>
      <c r="J220" s="491">
        <v>0</v>
      </c>
      <c r="K220" s="491">
        <v>0</v>
      </c>
      <c r="L220" s="491">
        <v>0</v>
      </c>
      <c r="M220" s="491">
        <v>0</v>
      </c>
      <c r="N220" s="491">
        <v>0</v>
      </c>
      <c r="O220" s="491">
        <v>0</v>
      </c>
      <c r="P220" s="491">
        <v>0</v>
      </c>
      <c r="Q220" s="491">
        <v>0</v>
      </c>
      <c r="R220" s="491">
        <v>0</v>
      </c>
      <c r="S220" s="491">
        <v>0</v>
      </c>
      <c r="T220" s="491">
        <v>0</v>
      </c>
      <c r="U220" s="491">
        <v>0</v>
      </c>
      <c r="V220" s="491">
        <v>0</v>
      </c>
      <c r="W220" s="491">
        <v>0</v>
      </c>
      <c r="X220" s="491">
        <v>0</v>
      </c>
      <c r="Y220" s="491">
        <v>0</v>
      </c>
      <c r="Z220" s="491">
        <v>0</v>
      </c>
      <c r="AA220" s="491">
        <v>0</v>
      </c>
      <c r="AB220" s="491">
        <v>0</v>
      </c>
      <c r="AC220" s="491">
        <v>0</v>
      </c>
      <c r="AD220" s="491">
        <v>0</v>
      </c>
      <c r="AE220" s="491">
        <v>0</v>
      </c>
      <c r="AF220" s="491">
        <v>0</v>
      </c>
      <c r="AG220" s="491">
        <v>0</v>
      </c>
      <c r="AH220" s="491">
        <v>0</v>
      </c>
      <c r="AI220" s="491">
        <v>0</v>
      </c>
      <c r="AJ220" s="491">
        <v>0</v>
      </c>
      <c r="AK220" s="491">
        <v>0</v>
      </c>
      <c r="AL220" s="491">
        <v>0</v>
      </c>
      <c r="AM220" s="491">
        <v>0</v>
      </c>
      <c r="AN220" s="491">
        <v>0</v>
      </c>
      <c r="AO220" s="491">
        <v>0</v>
      </c>
      <c r="AP220" s="491">
        <v>0</v>
      </c>
      <c r="AQ220" s="491">
        <v>0</v>
      </c>
      <c r="AR220" s="491">
        <v>0</v>
      </c>
      <c r="AS220" s="491">
        <v>0</v>
      </c>
      <c r="AT220" s="491">
        <v>0</v>
      </c>
      <c r="AU220" s="491">
        <v>0</v>
      </c>
      <c r="AV220" s="491">
        <v>0</v>
      </c>
      <c r="AW220" s="491">
        <v>0</v>
      </c>
      <c r="AX220" s="491">
        <v>0</v>
      </c>
      <c r="AY220" s="491">
        <v>0</v>
      </c>
      <c r="AZ220" s="492">
        <v>0</v>
      </c>
    </row>
    <row r="221" spans="1:52" s="470" customFormat="1">
      <c r="A221" s="523">
        <f>'[4]Allocation Methodology'!A53</f>
        <v>49</v>
      </c>
      <c r="B221" s="524" t="str">
        <f>'[4]Allocation Methodology'!B53</f>
        <v>LDC Custom - Toronto Hydro - Summer Challenge</v>
      </c>
      <c r="C221" s="524" t="str">
        <f>'[4]Allocation Methodology'!C53</f>
        <v>Consumer</v>
      </c>
      <c r="D221" s="524"/>
      <c r="E221" s="524">
        <f>'[4]Allocation Methodology'!D53</f>
        <v>2009</v>
      </c>
      <c r="F221" s="525" t="str">
        <f>'[4]Allocation Methodology'!E53</f>
        <v>Final</v>
      </c>
      <c r="G221" s="472" t="b">
        <v>0</v>
      </c>
      <c r="H221" s="574">
        <v>0</v>
      </c>
      <c r="I221" s="575">
        <v>0</v>
      </c>
      <c r="J221" s="575">
        <v>0</v>
      </c>
      <c r="K221" s="575">
        <v>0</v>
      </c>
      <c r="L221" s="575">
        <v>0</v>
      </c>
      <c r="M221" s="575">
        <v>0</v>
      </c>
      <c r="N221" s="575">
        <v>0</v>
      </c>
      <c r="O221" s="575">
        <v>0</v>
      </c>
      <c r="P221" s="575">
        <v>0</v>
      </c>
      <c r="Q221" s="575">
        <v>0</v>
      </c>
      <c r="R221" s="575">
        <v>0</v>
      </c>
      <c r="S221" s="575">
        <v>0</v>
      </c>
      <c r="T221" s="575">
        <v>0</v>
      </c>
      <c r="U221" s="575">
        <v>0</v>
      </c>
      <c r="V221" s="575">
        <v>0</v>
      </c>
      <c r="W221" s="575">
        <v>0</v>
      </c>
      <c r="X221" s="575">
        <v>0</v>
      </c>
      <c r="Y221" s="575">
        <v>0</v>
      </c>
      <c r="Z221" s="575">
        <v>0</v>
      </c>
      <c r="AA221" s="575">
        <v>0</v>
      </c>
      <c r="AB221" s="575">
        <v>0</v>
      </c>
      <c r="AC221" s="575">
        <v>0</v>
      </c>
      <c r="AD221" s="575">
        <v>0</v>
      </c>
      <c r="AE221" s="575">
        <v>0</v>
      </c>
      <c r="AF221" s="575">
        <v>0</v>
      </c>
      <c r="AG221" s="575">
        <v>0</v>
      </c>
      <c r="AH221" s="575">
        <v>0</v>
      </c>
      <c r="AI221" s="575">
        <v>0</v>
      </c>
      <c r="AJ221" s="575">
        <v>0</v>
      </c>
      <c r="AK221" s="575">
        <v>0</v>
      </c>
      <c r="AL221" s="575">
        <v>0</v>
      </c>
      <c r="AM221" s="575">
        <v>0</v>
      </c>
      <c r="AN221" s="575">
        <v>0</v>
      </c>
      <c r="AO221" s="575">
        <v>0</v>
      </c>
      <c r="AP221" s="575">
        <v>0</v>
      </c>
      <c r="AQ221" s="575">
        <v>0</v>
      </c>
      <c r="AR221" s="575">
        <v>0</v>
      </c>
      <c r="AS221" s="575">
        <v>0</v>
      </c>
      <c r="AT221" s="575">
        <v>0</v>
      </c>
      <c r="AU221" s="575">
        <v>0</v>
      </c>
      <c r="AV221" s="575">
        <v>0</v>
      </c>
      <c r="AW221" s="575">
        <v>0</v>
      </c>
      <c r="AX221" s="575">
        <v>0</v>
      </c>
      <c r="AY221" s="575">
        <v>0</v>
      </c>
      <c r="AZ221" s="576">
        <v>0</v>
      </c>
    </row>
    <row r="222" spans="1:52" s="470" customFormat="1">
      <c r="A222" s="515">
        <f>'[4]Allocation Methodology'!A54</f>
        <v>50</v>
      </c>
      <c r="B222" s="516" t="str">
        <f>'[4]Allocation Methodology'!B54</f>
        <v>LDC Custom - PowerStream - Data Centers</v>
      </c>
      <c r="C222" s="516" t="str">
        <f>'[4]Allocation Methodology'!C54</f>
        <v>Business</v>
      </c>
      <c r="D222" s="516"/>
      <c r="E222" s="516">
        <f>'[4]Allocation Methodology'!D54</f>
        <v>2009</v>
      </c>
      <c r="F222" s="517" t="str">
        <f>'[4]Allocation Methodology'!E54</f>
        <v>Final</v>
      </c>
      <c r="G222" s="472"/>
      <c r="H222" s="573">
        <v>0</v>
      </c>
      <c r="I222" s="520">
        <v>0</v>
      </c>
      <c r="J222" s="520">
        <v>0</v>
      </c>
      <c r="K222" s="520">
        <v>0</v>
      </c>
      <c r="L222" s="520">
        <v>0</v>
      </c>
      <c r="M222" s="520">
        <v>0</v>
      </c>
      <c r="N222" s="520">
        <v>0</v>
      </c>
      <c r="O222" s="520">
        <v>0</v>
      </c>
      <c r="P222" s="520">
        <v>0</v>
      </c>
      <c r="Q222" s="520">
        <v>0</v>
      </c>
      <c r="R222" s="520">
        <v>0</v>
      </c>
      <c r="S222" s="520">
        <v>0</v>
      </c>
      <c r="T222" s="520">
        <v>0</v>
      </c>
      <c r="U222" s="520">
        <v>0</v>
      </c>
      <c r="V222" s="520">
        <v>0</v>
      </c>
      <c r="W222" s="520">
        <v>0</v>
      </c>
      <c r="X222" s="520">
        <v>0</v>
      </c>
      <c r="Y222" s="520">
        <v>0</v>
      </c>
      <c r="Z222" s="520">
        <v>0</v>
      </c>
      <c r="AA222" s="520">
        <v>0</v>
      </c>
      <c r="AB222" s="520">
        <v>0</v>
      </c>
      <c r="AC222" s="520">
        <v>0</v>
      </c>
      <c r="AD222" s="520">
        <v>0</v>
      </c>
      <c r="AE222" s="520">
        <v>0</v>
      </c>
      <c r="AF222" s="520">
        <v>0</v>
      </c>
      <c r="AG222" s="520">
        <v>0</v>
      </c>
      <c r="AH222" s="520">
        <v>0</v>
      </c>
      <c r="AI222" s="520">
        <v>0</v>
      </c>
      <c r="AJ222" s="520">
        <v>0</v>
      </c>
      <c r="AK222" s="520">
        <v>0</v>
      </c>
      <c r="AL222" s="520">
        <v>0</v>
      </c>
      <c r="AM222" s="520">
        <v>0</v>
      </c>
      <c r="AN222" s="520">
        <v>0</v>
      </c>
      <c r="AO222" s="520">
        <v>0</v>
      </c>
      <c r="AP222" s="520">
        <v>0</v>
      </c>
      <c r="AQ222" s="520">
        <v>0</v>
      </c>
      <c r="AR222" s="520">
        <v>0</v>
      </c>
      <c r="AS222" s="520">
        <v>0</v>
      </c>
      <c r="AT222" s="520">
        <v>0</v>
      </c>
      <c r="AU222" s="520">
        <v>0</v>
      </c>
      <c r="AV222" s="520">
        <v>0</v>
      </c>
      <c r="AW222" s="520">
        <v>0</v>
      </c>
      <c r="AX222" s="520">
        <v>0</v>
      </c>
      <c r="AY222" s="520">
        <v>0</v>
      </c>
      <c r="AZ222" s="521">
        <v>0</v>
      </c>
    </row>
    <row r="223" spans="1:52" s="470" customFormat="1">
      <c r="A223" s="479">
        <f>'[4]Allocation Methodology'!A55</f>
        <v>51</v>
      </c>
      <c r="B223" s="480" t="str">
        <f>'[4]Allocation Methodology'!B55</f>
        <v>Toronto Comprehensive Adjustment</v>
      </c>
      <c r="C223" s="480" t="str">
        <f>'[4]Allocation Methodology'!C55</f>
        <v>Consumer, Business</v>
      </c>
      <c r="D223" s="480"/>
      <c r="E223" s="480">
        <f>'[4]Allocation Methodology'!D55</f>
        <v>2008</v>
      </c>
      <c r="F223" s="481" t="str">
        <f>'[4]Allocation Methodology'!E55</f>
        <v>Final</v>
      </c>
      <c r="G223" s="472"/>
      <c r="H223" s="567">
        <v>0</v>
      </c>
      <c r="I223" s="484">
        <v>0</v>
      </c>
      <c r="J223" s="484">
        <v>0</v>
      </c>
      <c r="K223" s="484">
        <v>0</v>
      </c>
      <c r="L223" s="484">
        <v>0</v>
      </c>
      <c r="M223" s="484">
        <v>0</v>
      </c>
      <c r="N223" s="484">
        <v>0</v>
      </c>
      <c r="O223" s="484">
        <v>0</v>
      </c>
      <c r="P223" s="484">
        <v>0</v>
      </c>
      <c r="Q223" s="484">
        <v>0</v>
      </c>
      <c r="R223" s="484">
        <v>0</v>
      </c>
      <c r="S223" s="484">
        <v>0</v>
      </c>
      <c r="T223" s="484">
        <v>0</v>
      </c>
      <c r="U223" s="484">
        <v>0</v>
      </c>
      <c r="V223" s="484">
        <v>0</v>
      </c>
      <c r="W223" s="484">
        <v>0</v>
      </c>
      <c r="X223" s="484">
        <v>0</v>
      </c>
      <c r="Y223" s="484">
        <v>0</v>
      </c>
      <c r="Z223" s="484">
        <v>0</v>
      </c>
      <c r="AA223" s="484">
        <v>0</v>
      </c>
      <c r="AB223" s="484">
        <v>0</v>
      </c>
      <c r="AC223" s="484">
        <v>0</v>
      </c>
      <c r="AD223" s="484">
        <v>0</v>
      </c>
      <c r="AE223" s="484">
        <v>0</v>
      </c>
      <c r="AF223" s="484">
        <v>0</v>
      </c>
      <c r="AG223" s="484">
        <v>0</v>
      </c>
      <c r="AH223" s="484">
        <v>0</v>
      </c>
      <c r="AI223" s="484">
        <v>0</v>
      </c>
      <c r="AJ223" s="484">
        <v>0</v>
      </c>
      <c r="AK223" s="484">
        <v>0</v>
      </c>
      <c r="AL223" s="484">
        <v>0</v>
      </c>
      <c r="AM223" s="484">
        <v>0</v>
      </c>
      <c r="AN223" s="484">
        <v>0</v>
      </c>
      <c r="AO223" s="484">
        <v>0</v>
      </c>
      <c r="AP223" s="484">
        <v>0</v>
      </c>
      <c r="AQ223" s="484">
        <v>0</v>
      </c>
      <c r="AR223" s="484">
        <v>0</v>
      </c>
      <c r="AS223" s="484">
        <v>0</v>
      </c>
      <c r="AT223" s="484">
        <v>0</v>
      </c>
      <c r="AU223" s="484">
        <v>0</v>
      </c>
      <c r="AV223" s="484">
        <v>0</v>
      </c>
      <c r="AW223" s="484">
        <v>0</v>
      </c>
      <c r="AX223" s="484">
        <v>0</v>
      </c>
      <c r="AY223" s="484">
        <v>0</v>
      </c>
      <c r="AZ223" s="485">
        <v>0</v>
      </c>
    </row>
    <row r="224" spans="1:52" s="470" customFormat="1">
      <c r="A224" s="515">
        <f>'[4]Allocation Methodology'!A56</f>
        <v>52</v>
      </c>
      <c r="B224" s="516" t="str">
        <f>'[4]Allocation Methodology'!B56</f>
        <v>LDC Custom - Hydro One Networks Inc. - Double Return Adjustment</v>
      </c>
      <c r="C224" s="516" t="str">
        <f>'[4]Allocation Methodology'!C56</f>
        <v>Business, Industrial</v>
      </c>
      <c r="D224" s="516"/>
      <c r="E224" s="516">
        <f>'[4]Allocation Methodology'!D56</f>
        <v>2008</v>
      </c>
      <c r="F224" s="517" t="str">
        <f>'[4]Allocation Methodology'!E56</f>
        <v>Final</v>
      </c>
      <c r="G224" s="472"/>
      <c r="H224" s="573">
        <v>0</v>
      </c>
      <c r="I224" s="520">
        <v>0</v>
      </c>
      <c r="J224" s="520">
        <v>0</v>
      </c>
      <c r="K224" s="520">
        <v>0</v>
      </c>
      <c r="L224" s="520">
        <v>0</v>
      </c>
      <c r="M224" s="520">
        <v>0</v>
      </c>
      <c r="N224" s="520">
        <v>0</v>
      </c>
      <c r="O224" s="520">
        <v>0</v>
      </c>
      <c r="P224" s="520">
        <v>0</v>
      </c>
      <c r="Q224" s="520">
        <v>0</v>
      </c>
      <c r="R224" s="520">
        <v>0</v>
      </c>
      <c r="S224" s="520">
        <v>0</v>
      </c>
      <c r="T224" s="520">
        <v>0</v>
      </c>
      <c r="U224" s="520">
        <v>0</v>
      </c>
      <c r="V224" s="520">
        <v>0</v>
      </c>
      <c r="W224" s="520">
        <v>0</v>
      </c>
      <c r="X224" s="520">
        <v>0</v>
      </c>
      <c r="Y224" s="520">
        <v>0</v>
      </c>
      <c r="Z224" s="520">
        <v>0</v>
      </c>
      <c r="AA224" s="520">
        <v>0</v>
      </c>
      <c r="AB224" s="520">
        <v>0</v>
      </c>
      <c r="AC224" s="520">
        <v>0</v>
      </c>
      <c r="AD224" s="520">
        <v>0</v>
      </c>
      <c r="AE224" s="520">
        <v>0</v>
      </c>
      <c r="AF224" s="520">
        <v>0</v>
      </c>
      <c r="AG224" s="520">
        <v>0</v>
      </c>
      <c r="AH224" s="520">
        <v>0</v>
      </c>
      <c r="AI224" s="520">
        <v>0</v>
      </c>
      <c r="AJ224" s="520">
        <v>0</v>
      </c>
      <c r="AK224" s="520">
        <v>0</v>
      </c>
      <c r="AL224" s="520">
        <v>0</v>
      </c>
      <c r="AM224" s="520">
        <v>0</v>
      </c>
      <c r="AN224" s="520">
        <v>0</v>
      </c>
      <c r="AO224" s="520">
        <v>0</v>
      </c>
      <c r="AP224" s="520">
        <v>0</v>
      </c>
      <c r="AQ224" s="520">
        <v>0</v>
      </c>
      <c r="AR224" s="520">
        <v>0</v>
      </c>
      <c r="AS224" s="520">
        <v>0</v>
      </c>
      <c r="AT224" s="520">
        <v>0</v>
      </c>
      <c r="AU224" s="520">
        <v>0</v>
      </c>
      <c r="AV224" s="520">
        <v>0</v>
      </c>
      <c r="AW224" s="520">
        <v>0</v>
      </c>
      <c r="AX224" s="520">
        <v>0</v>
      </c>
      <c r="AY224" s="520">
        <v>0</v>
      </c>
      <c r="AZ224" s="521">
        <v>0</v>
      </c>
    </row>
    <row r="225" spans="1:52" s="470" customFormat="1">
      <c r="A225" s="479">
        <f>'[4]Allocation Methodology'!A57</f>
        <v>53</v>
      </c>
      <c r="B225" s="480" t="str">
        <f>'[4]Allocation Methodology'!B57</f>
        <v>Great Refrigerator Roundup</v>
      </c>
      <c r="C225" s="480" t="str">
        <f>'[4]Allocation Methodology'!C57</f>
        <v>Consumer</v>
      </c>
      <c r="D225" s="480"/>
      <c r="E225" s="480">
        <f>'[4]Allocation Methodology'!D57</f>
        <v>2010</v>
      </c>
      <c r="F225" s="481" t="str">
        <f>'[4]Allocation Methodology'!E57</f>
        <v>Final</v>
      </c>
      <c r="G225" s="472"/>
      <c r="H225" s="567">
        <v>0</v>
      </c>
      <c r="I225" s="484">
        <v>0</v>
      </c>
      <c r="J225" s="484">
        <v>0</v>
      </c>
      <c r="K225" s="484">
        <v>0</v>
      </c>
      <c r="L225" s="484">
        <v>2.6374157460676759E-2</v>
      </c>
      <c r="M225" s="484">
        <v>2.6374157460676759E-2</v>
      </c>
      <c r="N225" s="484">
        <v>2.6374157460676759E-2</v>
      </c>
      <c r="O225" s="484">
        <v>2.3724356789965886E-2</v>
      </c>
      <c r="P225" s="484">
        <v>1.6720020043831631E-2</v>
      </c>
      <c r="Q225" s="484">
        <v>0</v>
      </c>
      <c r="R225" s="484">
        <v>0</v>
      </c>
      <c r="S225" s="484">
        <v>0</v>
      </c>
      <c r="T225" s="484">
        <v>0</v>
      </c>
      <c r="U225" s="484">
        <v>0</v>
      </c>
      <c r="V225" s="484">
        <v>0</v>
      </c>
      <c r="W225" s="484">
        <v>0</v>
      </c>
      <c r="X225" s="484">
        <v>0</v>
      </c>
      <c r="Y225" s="484">
        <v>0</v>
      </c>
      <c r="Z225" s="484">
        <v>0</v>
      </c>
      <c r="AA225" s="484">
        <v>0</v>
      </c>
      <c r="AB225" s="484">
        <v>0</v>
      </c>
      <c r="AC225" s="484">
        <v>0</v>
      </c>
      <c r="AD225" s="484">
        <v>0</v>
      </c>
      <c r="AE225" s="484">
        <v>0</v>
      </c>
      <c r="AF225" s="484">
        <v>0</v>
      </c>
      <c r="AG225" s="484">
        <v>0</v>
      </c>
      <c r="AH225" s="484">
        <v>0</v>
      </c>
      <c r="AI225" s="484">
        <v>0</v>
      </c>
      <c r="AJ225" s="484">
        <v>0</v>
      </c>
      <c r="AK225" s="484">
        <v>0</v>
      </c>
      <c r="AL225" s="484">
        <v>0</v>
      </c>
      <c r="AM225" s="484">
        <v>0</v>
      </c>
      <c r="AN225" s="484">
        <v>0</v>
      </c>
      <c r="AO225" s="484">
        <v>0</v>
      </c>
      <c r="AP225" s="484">
        <v>0</v>
      </c>
      <c r="AQ225" s="484">
        <v>0</v>
      </c>
      <c r="AR225" s="484">
        <v>0</v>
      </c>
      <c r="AS225" s="484">
        <v>0</v>
      </c>
      <c r="AT225" s="484">
        <v>0</v>
      </c>
      <c r="AU225" s="484">
        <v>0</v>
      </c>
      <c r="AV225" s="484">
        <v>0</v>
      </c>
      <c r="AW225" s="484">
        <v>0</v>
      </c>
      <c r="AX225" s="484">
        <v>0</v>
      </c>
      <c r="AY225" s="484">
        <v>0</v>
      </c>
      <c r="AZ225" s="485">
        <v>0</v>
      </c>
    </row>
    <row r="226" spans="1:52" s="470" customFormat="1">
      <c r="A226" s="486">
        <f>'[4]Allocation Methodology'!A58</f>
        <v>54</v>
      </c>
      <c r="B226" s="487" t="str">
        <f>'[4]Allocation Methodology'!B58</f>
        <v>Cool Savings Rebate</v>
      </c>
      <c r="C226" s="487" t="str">
        <f>'[4]Allocation Methodology'!C58</f>
        <v>Consumer</v>
      </c>
      <c r="D226" s="487"/>
      <c r="E226" s="487">
        <f>'[4]Allocation Methodology'!D58</f>
        <v>2010</v>
      </c>
      <c r="F226" s="488" t="str">
        <f>'[4]Allocation Methodology'!E58</f>
        <v>Final</v>
      </c>
      <c r="G226" s="472"/>
      <c r="H226" s="569">
        <v>0</v>
      </c>
      <c r="I226" s="491">
        <v>0</v>
      </c>
      <c r="J226" s="491">
        <v>0</v>
      </c>
      <c r="K226" s="491">
        <v>0</v>
      </c>
      <c r="L226" s="491">
        <v>0.10707829526869482</v>
      </c>
      <c r="M226" s="491">
        <v>0.10707829526869482</v>
      </c>
      <c r="N226" s="491">
        <v>0.10707829526869482</v>
      </c>
      <c r="O226" s="491">
        <v>0.10707829526869482</v>
      </c>
      <c r="P226" s="491">
        <v>0.10707829526869482</v>
      </c>
      <c r="Q226" s="491">
        <v>0.10707829526869482</v>
      </c>
      <c r="R226" s="491">
        <v>0.10707829526869482</v>
      </c>
      <c r="S226" s="491">
        <v>0.10707829526869482</v>
      </c>
      <c r="T226" s="491">
        <v>0.10707829526869482</v>
      </c>
      <c r="U226" s="491">
        <v>0.10707829526869482</v>
      </c>
      <c r="V226" s="491">
        <v>0.10707829526869482</v>
      </c>
      <c r="W226" s="491">
        <v>0.10707829526869482</v>
      </c>
      <c r="X226" s="491">
        <v>0.10707829526869482</v>
      </c>
      <c r="Y226" s="491">
        <v>0.10707829526869482</v>
      </c>
      <c r="Z226" s="491">
        <v>0.10707829526869482</v>
      </c>
      <c r="AA226" s="491">
        <v>0.10467354444235347</v>
      </c>
      <c r="AB226" s="491">
        <v>0.10467354444235347</v>
      </c>
      <c r="AC226" s="491">
        <v>0.10467354444235347</v>
      </c>
      <c r="AD226" s="491">
        <v>9.7136810285352107E-2</v>
      </c>
      <c r="AE226" s="491">
        <v>0</v>
      </c>
      <c r="AF226" s="491">
        <v>0</v>
      </c>
      <c r="AG226" s="491">
        <v>0</v>
      </c>
      <c r="AH226" s="491">
        <v>0</v>
      </c>
      <c r="AI226" s="491">
        <v>0</v>
      </c>
      <c r="AJ226" s="491">
        <v>0</v>
      </c>
      <c r="AK226" s="491">
        <v>0</v>
      </c>
      <c r="AL226" s="491">
        <v>0</v>
      </c>
      <c r="AM226" s="491">
        <v>0</v>
      </c>
      <c r="AN226" s="491">
        <v>0</v>
      </c>
      <c r="AO226" s="491">
        <v>0</v>
      </c>
      <c r="AP226" s="491">
        <v>0</v>
      </c>
      <c r="AQ226" s="491">
        <v>0</v>
      </c>
      <c r="AR226" s="491">
        <v>0</v>
      </c>
      <c r="AS226" s="491">
        <v>0</v>
      </c>
      <c r="AT226" s="491">
        <v>0</v>
      </c>
      <c r="AU226" s="491">
        <v>0</v>
      </c>
      <c r="AV226" s="491">
        <v>0</v>
      </c>
      <c r="AW226" s="491">
        <v>0</v>
      </c>
      <c r="AX226" s="491">
        <v>0</v>
      </c>
      <c r="AY226" s="491">
        <v>0</v>
      </c>
      <c r="AZ226" s="492">
        <v>0</v>
      </c>
    </row>
    <row r="227" spans="1:52" s="470" customFormat="1">
      <c r="A227" s="493">
        <f>'[4]Allocation Methodology'!A59</f>
        <v>55</v>
      </c>
      <c r="B227" s="494" t="str">
        <f>'[4]Allocation Methodology'!B59</f>
        <v>Every Kilowatt Counts Power Savings Event</v>
      </c>
      <c r="C227" s="494" t="str">
        <f>'[4]Allocation Methodology'!C59</f>
        <v>Consumer</v>
      </c>
      <c r="D227" s="494"/>
      <c r="E227" s="494">
        <f>'[4]Allocation Methodology'!D59</f>
        <v>2010</v>
      </c>
      <c r="F227" s="495" t="str">
        <f>'[4]Allocation Methodology'!E59</f>
        <v>Final</v>
      </c>
      <c r="G227" s="472"/>
      <c r="H227" s="570">
        <v>0</v>
      </c>
      <c r="I227" s="498">
        <v>0</v>
      </c>
      <c r="J227" s="498">
        <v>0</v>
      </c>
      <c r="K227" s="498">
        <v>0</v>
      </c>
      <c r="L227" s="498">
        <v>1.8537252132629214E-2</v>
      </c>
      <c r="M227" s="498">
        <v>1.8537252132629214E-2</v>
      </c>
      <c r="N227" s="498">
        <v>1.8528124453682859E-2</v>
      </c>
      <c r="O227" s="498">
        <v>1.8528124453682859E-2</v>
      </c>
      <c r="P227" s="498">
        <v>1.8528124453682859E-2</v>
      </c>
      <c r="Q227" s="498">
        <v>1.7815776475515105E-2</v>
      </c>
      <c r="R227" s="498">
        <v>1.7311193492508533E-2</v>
      </c>
      <c r="S227" s="498">
        <v>1.7311193492508533E-2</v>
      </c>
      <c r="T227" s="498">
        <v>1.7311193492508533E-2</v>
      </c>
      <c r="U227" s="498">
        <v>1.3881196260077985E-2</v>
      </c>
      <c r="V227" s="498">
        <v>6.8455948166015494E-3</v>
      </c>
      <c r="W227" s="498">
        <v>6.8455948166015494E-3</v>
      </c>
      <c r="X227" s="498">
        <v>6.3112476421770241E-3</v>
      </c>
      <c r="Y227" s="498">
        <v>6.3112476421770241E-3</v>
      </c>
      <c r="Z227" s="498">
        <v>6.3112476421770241E-3</v>
      </c>
      <c r="AA227" s="498">
        <v>8.1653683001938697E-4</v>
      </c>
      <c r="AB227" s="498">
        <v>6.483978433000178E-6</v>
      </c>
      <c r="AC227" s="498">
        <v>6.483978433000178E-6</v>
      </c>
      <c r="AD227" s="498">
        <v>6.483978433000178E-6</v>
      </c>
      <c r="AE227" s="498">
        <v>6.483978433000178E-6</v>
      </c>
      <c r="AF227" s="498">
        <v>0</v>
      </c>
      <c r="AG227" s="498">
        <v>0</v>
      </c>
      <c r="AH227" s="498">
        <v>0</v>
      </c>
      <c r="AI227" s="498">
        <v>0</v>
      </c>
      <c r="AJ227" s="498">
        <v>0</v>
      </c>
      <c r="AK227" s="498">
        <v>0</v>
      </c>
      <c r="AL227" s="498">
        <v>0</v>
      </c>
      <c r="AM227" s="498">
        <v>0</v>
      </c>
      <c r="AN227" s="498">
        <v>0</v>
      </c>
      <c r="AO227" s="498">
        <v>0</v>
      </c>
      <c r="AP227" s="498">
        <v>0</v>
      </c>
      <c r="AQ227" s="498">
        <v>0</v>
      </c>
      <c r="AR227" s="498">
        <v>0</v>
      </c>
      <c r="AS227" s="498">
        <v>0</v>
      </c>
      <c r="AT227" s="498">
        <v>0</v>
      </c>
      <c r="AU227" s="498">
        <v>0</v>
      </c>
      <c r="AV227" s="498">
        <v>0</v>
      </c>
      <c r="AW227" s="498">
        <v>0</v>
      </c>
      <c r="AX227" s="498">
        <v>0</v>
      </c>
      <c r="AY227" s="498">
        <v>0</v>
      </c>
      <c r="AZ227" s="499">
        <v>0</v>
      </c>
    </row>
    <row r="228" spans="1:52" s="470" customFormat="1">
      <c r="A228" s="486">
        <f>'[4]Allocation Methodology'!A60</f>
        <v>56</v>
      </c>
      <c r="B228" s="522" t="str">
        <f>'[4]Allocation Methodology'!B60</f>
        <v>peaksaver®</v>
      </c>
      <c r="C228" s="487" t="str">
        <f>'[4]Allocation Methodology'!C60</f>
        <v>Consumer, Business</v>
      </c>
      <c r="D228" s="487"/>
      <c r="E228" s="487">
        <f>'[4]Allocation Methodology'!D60</f>
        <v>2010</v>
      </c>
      <c r="F228" s="488" t="str">
        <f>'[4]Allocation Methodology'!E60</f>
        <v>Final</v>
      </c>
      <c r="G228" s="472"/>
      <c r="H228" s="569">
        <v>0</v>
      </c>
      <c r="I228" s="491">
        <v>0</v>
      </c>
      <c r="J228" s="491">
        <v>0</v>
      </c>
      <c r="K228" s="491">
        <v>0</v>
      </c>
      <c r="L228" s="491">
        <v>0</v>
      </c>
      <c r="M228" s="491">
        <v>0</v>
      </c>
      <c r="N228" s="491">
        <v>0</v>
      </c>
      <c r="O228" s="491">
        <v>0</v>
      </c>
      <c r="P228" s="491">
        <v>0</v>
      </c>
      <c r="Q228" s="491">
        <v>0</v>
      </c>
      <c r="R228" s="491">
        <v>0</v>
      </c>
      <c r="S228" s="491">
        <v>0</v>
      </c>
      <c r="T228" s="491">
        <v>0</v>
      </c>
      <c r="U228" s="491">
        <v>0</v>
      </c>
      <c r="V228" s="491">
        <v>0</v>
      </c>
      <c r="W228" s="491">
        <v>0</v>
      </c>
      <c r="X228" s="491">
        <v>0</v>
      </c>
      <c r="Y228" s="491">
        <v>0</v>
      </c>
      <c r="Z228" s="491">
        <v>0</v>
      </c>
      <c r="AA228" s="491">
        <v>0</v>
      </c>
      <c r="AB228" s="491">
        <v>0</v>
      </c>
      <c r="AC228" s="491">
        <v>0</v>
      </c>
      <c r="AD228" s="491">
        <v>0</v>
      </c>
      <c r="AE228" s="491">
        <v>0</v>
      </c>
      <c r="AF228" s="491">
        <v>0</v>
      </c>
      <c r="AG228" s="491">
        <v>0</v>
      </c>
      <c r="AH228" s="491">
        <v>0</v>
      </c>
      <c r="AI228" s="491">
        <v>0</v>
      </c>
      <c r="AJ228" s="491">
        <v>0</v>
      </c>
      <c r="AK228" s="491">
        <v>0</v>
      </c>
      <c r="AL228" s="491">
        <v>0</v>
      </c>
      <c r="AM228" s="491">
        <v>0</v>
      </c>
      <c r="AN228" s="491">
        <v>0</v>
      </c>
      <c r="AO228" s="491">
        <v>0</v>
      </c>
      <c r="AP228" s="491">
        <v>0</v>
      </c>
      <c r="AQ228" s="491">
        <v>0</v>
      </c>
      <c r="AR228" s="491">
        <v>0</v>
      </c>
      <c r="AS228" s="491">
        <v>0</v>
      </c>
      <c r="AT228" s="491">
        <v>0</v>
      </c>
      <c r="AU228" s="491">
        <v>0</v>
      </c>
      <c r="AV228" s="491">
        <v>0</v>
      </c>
      <c r="AW228" s="491">
        <v>0</v>
      </c>
      <c r="AX228" s="491">
        <v>0</v>
      </c>
      <c r="AY228" s="491">
        <v>0</v>
      </c>
      <c r="AZ228" s="492">
        <v>0</v>
      </c>
    </row>
    <row r="229" spans="1:52" s="470" customFormat="1">
      <c r="A229" s="493">
        <f>'[4]Allocation Methodology'!A61</f>
        <v>57</v>
      </c>
      <c r="B229" s="494" t="str">
        <f>'[4]Allocation Methodology'!B61</f>
        <v>Electricity Retrofit Incentive</v>
      </c>
      <c r="C229" s="494" t="str">
        <f>'[4]Allocation Methodology'!C61</f>
        <v>Consumer, Business</v>
      </c>
      <c r="D229" s="494"/>
      <c r="E229" s="494">
        <f>'[4]Allocation Methodology'!D61</f>
        <v>2010</v>
      </c>
      <c r="F229" s="495" t="str">
        <f>'[4]Allocation Methodology'!E61</f>
        <v>Final</v>
      </c>
      <c r="G229" s="472"/>
      <c r="H229" s="570">
        <v>0</v>
      </c>
      <c r="I229" s="498">
        <v>0</v>
      </c>
      <c r="J229" s="498">
        <v>0</v>
      </c>
      <c r="K229" s="498">
        <v>0</v>
      </c>
      <c r="L229" s="498">
        <v>8.1486340900530335E-2</v>
      </c>
      <c r="M229" s="498">
        <v>8.1486340900530335E-2</v>
      </c>
      <c r="N229" s="498">
        <v>8.1486340900530335E-2</v>
      </c>
      <c r="O229" s="498">
        <v>8.1486340900530335E-2</v>
      </c>
      <c r="P229" s="498">
        <v>8.1486340900530335E-2</v>
      </c>
      <c r="Q229" s="498">
        <v>8.1486340900530335E-2</v>
      </c>
      <c r="R229" s="498">
        <v>8.1486340900530335E-2</v>
      </c>
      <c r="S229" s="498">
        <v>8.1486340900530335E-2</v>
      </c>
      <c r="T229" s="498">
        <v>8.1486340900530335E-2</v>
      </c>
      <c r="U229" s="498">
        <v>8.0839623909256295E-2</v>
      </c>
      <c r="V229" s="498">
        <v>0</v>
      </c>
      <c r="W229" s="498">
        <v>0</v>
      </c>
      <c r="X229" s="498">
        <v>0</v>
      </c>
      <c r="Y229" s="498">
        <v>0</v>
      </c>
      <c r="Z229" s="498">
        <v>0</v>
      </c>
      <c r="AA229" s="498">
        <v>0</v>
      </c>
      <c r="AB229" s="498">
        <v>0</v>
      </c>
      <c r="AC229" s="498">
        <v>0</v>
      </c>
      <c r="AD229" s="498">
        <v>0</v>
      </c>
      <c r="AE229" s="498">
        <v>0</v>
      </c>
      <c r="AF229" s="498">
        <v>0</v>
      </c>
      <c r="AG229" s="498">
        <v>0</v>
      </c>
      <c r="AH229" s="498">
        <v>0</v>
      </c>
      <c r="AI229" s="498">
        <v>0</v>
      </c>
      <c r="AJ229" s="498">
        <v>0</v>
      </c>
      <c r="AK229" s="498">
        <v>0</v>
      </c>
      <c r="AL229" s="498">
        <v>0</v>
      </c>
      <c r="AM229" s="498">
        <v>0</v>
      </c>
      <c r="AN229" s="498">
        <v>0</v>
      </c>
      <c r="AO229" s="498">
        <v>0</v>
      </c>
      <c r="AP229" s="498">
        <v>0</v>
      </c>
      <c r="AQ229" s="498">
        <v>0</v>
      </c>
      <c r="AR229" s="498">
        <v>0</v>
      </c>
      <c r="AS229" s="498">
        <v>0</v>
      </c>
      <c r="AT229" s="498">
        <v>0</v>
      </c>
      <c r="AU229" s="498">
        <v>0</v>
      </c>
      <c r="AV229" s="498">
        <v>0</v>
      </c>
      <c r="AW229" s="498">
        <v>0</v>
      </c>
      <c r="AX229" s="498">
        <v>0</v>
      </c>
      <c r="AY229" s="498">
        <v>0</v>
      </c>
      <c r="AZ229" s="499">
        <v>0</v>
      </c>
    </row>
    <row r="230" spans="1:52" s="470" customFormat="1">
      <c r="A230" s="486">
        <f>'[4]Allocation Methodology'!A62</f>
        <v>58</v>
      </c>
      <c r="B230" s="487" t="str">
        <f>'[4]Allocation Methodology'!B62</f>
        <v>Toronto Comprehensive</v>
      </c>
      <c r="C230" s="487" t="str">
        <f>'[4]Allocation Methodology'!C62</f>
        <v>Consumer, Consumer Low-Income, Business, Industrial</v>
      </c>
      <c r="D230" s="487"/>
      <c r="E230" s="487">
        <f>'[4]Allocation Methodology'!D62</f>
        <v>2010</v>
      </c>
      <c r="F230" s="488" t="str">
        <f>'[4]Allocation Methodology'!E62</f>
        <v>Final</v>
      </c>
      <c r="G230" s="472"/>
      <c r="H230" s="569">
        <v>0</v>
      </c>
      <c r="I230" s="491">
        <v>0</v>
      </c>
      <c r="J230" s="491">
        <v>0</v>
      </c>
      <c r="K230" s="491">
        <v>0</v>
      </c>
      <c r="L230" s="491">
        <v>0</v>
      </c>
      <c r="M230" s="491">
        <v>0</v>
      </c>
      <c r="N230" s="491">
        <v>0</v>
      </c>
      <c r="O230" s="491">
        <v>0</v>
      </c>
      <c r="P230" s="491">
        <v>0</v>
      </c>
      <c r="Q230" s="491">
        <v>0</v>
      </c>
      <c r="R230" s="491">
        <v>0</v>
      </c>
      <c r="S230" s="491">
        <v>0</v>
      </c>
      <c r="T230" s="491">
        <v>0</v>
      </c>
      <c r="U230" s="491">
        <v>0</v>
      </c>
      <c r="V230" s="491">
        <v>0</v>
      </c>
      <c r="W230" s="491">
        <v>0</v>
      </c>
      <c r="X230" s="491">
        <v>0</v>
      </c>
      <c r="Y230" s="491">
        <v>0</v>
      </c>
      <c r="Z230" s="491">
        <v>0</v>
      </c>
      <c r="AA230" s="491">
        <v>0</v>
      </c>
      <c r="AB230" s="491">
        <v>0</v>
      </c>
      <c r="AC230" s="491">
        <v>0</v>
      </c>
      <c r="AD230" s="491">
        <v>0</v>
      </c>
      <c r="AE230" s="491">
        <v>0</v>
      </c>
      <c r="AF230" s="491">
        <v>0</v>
      </c>
      <c r="AG230" s="491">
        <v>0</v>
      </c>
      <c r="AH230" s="491">
        <v>0</v>
      </c>
      <c r="AI230" s="491">
        <v>0</v>
      </c>
      <c r="AJ230" s="491">
        <v>0</v>
      </c>
      <c r="AK230" s="491">
        <v>0</v>
      </c>
      <c r="AL230" s="491">
        <v>0</v>
      </c>
      <c r="AM230" s="491">
        <v>0</v>
      </c>
      <c r="AN230" s="491">
        <v>0</v>
      </c>
      <c r="AO230" s="491">
        <v>0</v>
      </c>
      <c r="AP230" s="491">
        <v>0</v>
      </c>
      <c r="AQ230" s="491">
        <v>0</v>
      </c>
      <c r="AR230" s="491">
        <v>0</v>
      </c>
      <c r="AS230" s="491">
        <v>0</v>
      </c>
      <c r="AT230" s="491">
        <v>0</v>
      </c>
      <c r="AU230" s="491">
        <v>0</v>
      </c>
      <c r="AV230" s="491">
        <v>0</v>
      </c>
      <c r="AW230" s="491">
        <v>0</v>
      </c>
      <c r="AX230" s="491">
        <v>0</v>
      </c>
      <c r="AY230" s="491">
        <v>0</v>
      </c>
      <c r="AZ230" s="492">
        <v>0</v>
      </c>
    </row>
    <row r="231" spans="1:52" s="470" customFormat="1">
      <c r="A231" s="493">
        <f>'[4]Allocation Methodology'!A63</f>
        <v>59</v>
      </c>
      <c r="B231" s="494" t="str">
        <f>'[4]Allocation Methodology'!B63</f>
        <v>High Performance New Construction</v>
      </c>
      <c r="C231" s="494" t="str">
        <f>'[4]Allocation Methodology'!C63</f>
        <v>Business</v>
      </c>
      <c r="D231" s="494"/>
      <c r="E231" s="494">
        <f>'[4]Allocation Methodology'!D63</f>
        <v>2010</v>
      </c>
      <c r="F231" s="495" t="str">
        <f>'[4]Allocation Methodology'!E63</f>
        <v>Final</v>
      </c>
      <c r="G231" s="472"/>
      <c r="H231" s="570">
        <v>0</v>
      </c>
      <c r="I231" s="498">
        <v>0</v>
      </c>
      <c r="J231" s="498">
        <v>0</v>
      </c>
      <c r="K231" s="498">
        <v>0</v>
      </c>
      <c r="L231" s="498">
        <v>0.12290737602473549</v>
      </c>
      <c r="M231" s="498">
        <v>0.12290737602473549</v>
      </c>
      <c r="N231" s="498">
        <v>0.12290737602473549</v>
      </c>
      <c r="O231" s="498">
        <v>0.12290737602473549</v>
      </c>
      <c r="P231" s="498">
        <v>0.12290737602473549</v>
      </c>
      <c r="Q231" s="498">
        <v>0.12290737602473549</v>
      </c>
      <c r="R231" s="498">
        <v>0.12290737602473549</v>
      </c>
      <c r="S231" s="498">
        <v>0.12290737602473549</v>
      </c>
      <c r="T231" s="498">
        <v>0.12290737602473549</v>
      </c>
      <c r="U231" s="498">
        <v>0.12290737602473549</v>
      </c>
      <c r="V231" s="498">
        <v>0.12290737602473549</v>
      </c>
      <c r="W231" s="498">
        <v>0.12290737602473549</v>
      </c>
      <c r="X231" s="498">
        <v>0.12290737602473549</v>
      </c>
      <c r="Y231" s="498">
        <v>0.12290737602473549</v>
      </c>
      <c r="Z231" s="498">
        <v>0.12290737602473549</v>
      </c>
      <c r="AA231" s="498">
        <v>0.12290737602473549</v>
      </c>
      <c r="AB231" s="498">
        <v>0.12290737602473549</v>
      </c>
      <c r="AC231" s="498">
        <v>0.12290737602473549</v>
      </c>
      <c r="AD231" s="498">
        <v>0.12290737602473549</v>
      </c>
      <c r="AE231" s="498">
        <v>0.12290737602473549</v>
      </c>
      <c r="AF231" s="498">
        <v>0</v>
      </c>
      <c r="AG231" s="498">
        <v>0</v>
      </c>
      <c r="AH231" s="498">
        <v>0</v>
      </c>
      <c r="AI231" s="498">
        <v>0</v>
      </c>
      <c r="AJ231" s="498">
        <v>0</v>
      </c>
      <c r="AK231" s="498">
        <v>0</v>
      </c>
      <c r="AL231" s="498">
        <v>0</v>
      </c>
      <c r="AM231" s="498">
        <v>0</v>
      </c>
      <c r="AN231" s="498">
        <v>0</v>
      </c>
      <c r="AO231" s="498">
        <v>0</v>
      </c>
      <c r="AP231" s="498">
        <v>0</v>
      </c>
      <c r="AQ231" s="498">
        <v>0</v>
      </c>
      <c r="AR231" s="498">
        <v>0</v>
      </c>
      <c r="AS231" s="498">
        <v>0</v>
      </c>
      <c r="AT231" s="498">
        <v>0</v>
      </c>
      <c r="AU231" s="498">
        <v>0</v>
      </c>
      <c r="AV231" s="498">
        <v>0</v>
      </c>
      <c r="AW231" s="498">
        <v>0</v>
      </c>
      <c r="AX231" s="498">
        <v>0</v>
      </c>
      <c r="AY231" s="498">
        <v>0</v>
      </c>
      <c r="AZ231" s="499">
        <v>0</v>
      </c>
    </row>
    <row r="232" spans="1:52" s="470" customFormat="1">
      <c r="A232" s="486">
        <f>'[4]Allocation Methodology'!A64</f>
        <v>60</v>
      </c>
      <c r="B232" s="487" t="str">
        <f>'[4]Allocation Methodology'!B64</f>
        <v>Power Savings Blitz</v>
      </c>
      <c r="C232" s="487" t="str">
        <f>'[4]Allocation Methodology'!C64</f>
        <v>Business</v>
      </c>
      <c r="D232" s="487"/>
      <c r="E232" s="487">
        <f>'[4]Allocation Methodology'!D64</f>
        <v>2010</v>
      </c>
      <c r="F232" s="488" t="str">
        <f>'[4]Allocation Methodology'!E64</f>
        <v>Final</v>
      </c>
      <c r="G232" s="472"/>
      <c r="H232" s="569">
        <v>0</v>
      </c>
      <c r="I232" s="491">
        <v>0</v>
      </c>
      <c r="J232" s="491">
        <v>0</v>
      </c>
      <c r="K232" s="491">
        <v>0</v>
      </c>
      <c r="L232" s="491">
        <v>0.17755315291679419</v>
      </c>
      <c r="M232" s="491">
        <v>0.17755315291679419</v>
      </c>
      <c r="N232" s="491">
        <v>0.17755315291679419</v>
      </c>
      <c r="O232" s="491">
        <v>0.17755315291679419</v>
      </c>
      <c r="P232" s="491">
        <v>0.17755315291679419</v>
      </c>
      <c r="Q232" s="491">
        <v>0.17755315291679419</v>
      </c>
      <c r="R232" s="491">
        <v>0.17755315291679419</v>
      </c>
      <c r="S232" s="491">
        <v>0.17755315291679419</v>
      </c>
      <c r="T232" s="491">
        <v>0</v>
      </c>
      <c r="U232" s="491">
        <v>0</v>
      </c>
      <c r="V232" s="491">
        <v>0</v>
      </c>
      <c r="W232" s="491">
        <v>0</v>
      </c>
      <c r="X232" s="491">
        <v>0</v>
      </c>
      <c r="Y232" s="491">
        <v>0</v>
      </c>
      <c r="Z232" s="491">
        <v>0</v>
      </c>
      <c r="AA232" s="491">
        <v>0</v>
      </c>
      <c r="AB232" s="491">
        <v>0</v>
      </c>
      <c r="AC232" s="491">
        <v>0</v>
      </c>
      <c r="AD232" s="491">
        <v>0</v>
      </c>
      <c r="AE232" s="491">
        <v>0</v>
      </c>
      <c r="AF232" s="491">
        <v>0</v>
      </c>
      <c r="AG232" s="491">
        <v>0</v>
      </c>
      <c r="AH232" s="491">
        <v>0</v>
      </c>
      <c r="AI232" s="491">
        <v>0</v>
      </c>
      <c r="AJ232" s="491">
        <v>0</v>
      </c>
      <c r="AK232" s="491">
        <v>0</v>
      </c>
      <c r="AL232" s="491">
        <v>0</v>
      </c>
      <c r="AM232" s="491">
        <v>0</v>
      </c>
      <c r="AN232" s="491">
        <v>0</v>
      </c>
      <c r="AO232" s="491">
        <v>0</v>
      </c>
      <c r="AP232" s="491">
        <v>0</v>
      </c>
      <c r="AQ232" s="491">
        <v>0</v>
      </c>
      <c r="AR232" s="491">
        <v>0</v>
      </c>
      <c r="AS232" s="491">
        <v>0</v>
      </c>
      <c r="AT232" s="491">
        <v>0</v>
      </c>
      <c r="AU232" s="491">
        <v>0</v>
      </c>
      <c r="AV232" s="491">
        <v>0</v>
      </c>
      <c r="AW232" s="491">
        <v>0</v>
      </c>
      <c r="AX232" s="491">
        <v>0</v>
      </c>
      <c r="AY232" s="491">
        <v>0</v>
      </c>
      <c r="AZ232" s="492">
        <v>0</v>
      </c>
    </row>
    <row r="233" spans="1:52" s="470" customFormat="1">
      <c r="A233" s="493">
        <f>'[4]Allocation Methodology'!A65</f>
        <v>61</v>
      </c>
      <c r="B233" s="494" t="str">
        <f>'[4]Allocation Methodology'!B65</f>
        <v>Multi-Family Energy Efficiency Rebates</v>
      </c>
      <c r="C233" s="494" t="str">
        <f>'[4]Allocation Methodology'!C65</f>
        <v>Consumer, Consumer Low-Income</v>
      </c>
      <c r="D233" s="494"/>
      <c r="E233" s="494">
        <f>'[4]Allocation Methodology'!D65</f>
        <v>2010</v>
      </c>
      <c r="F233" s="495" t="str">
        <f>'[4]Allocation Methodology'!E65</f>
        <v>Final</v>
      </c>
      <c r="G233" s="472"/>
      <c r="H233" s="570">
        <v>0</v>
      </c>
      <c r="I233" s="498">
        <v>0</v>
      </c>
      <c r="J233" s="498">
        <v>0</v>
      </c>
      <c r="K233" s="498">
        <v>0</v>
      </c>
      <c r="L233" s="498">
        <v>1.102028128475937E-2</v>
      </c>
      <c r="M233" s="498">
        <v>1.102028128475937E-2</v>
      </c>
      <c r="N233" s="498">
        <v>1.102028128475937E-2</v>
      </c>
      <c r="O233" s="498">
        <v>1.102028128475937E-2</v>
      </c>
      <c r="P233" s="498">
        <v>1.102028128475937E-2</v>
      </c>
      <c r="Q233" s="498">
        <v>1.102028128475937E-2</v>
      </c>
      <c r="R233" s="498">
        <v>1.102028128475937E-2</v>
      </c>
      <c r="S233" s="498">
        <v>1.102028128475937E-2</v>
      </c>
      <c r="T233" s="498">
        <v>1.102028128475937E-2</v>
      </c>
      <c r="U233" s="498">
        <v>1.102028128475937E-2</v>
      </c>
      <c r="V233" s="498">
        <v>0</v>
      </c>
      <c r="W233" s="498">
        <v>0</v>
      </c>
      <c r="X233" s="498">
        <v>0</v>
      </c>
      <c r="Y233" s="498">
        <v>0</v>
      </c>
      <c r="Z233" s="498">
        <v>0</v>
      </c>
      <c r="AA233" s="498">
        <v>0</v>
      </c>
      <c r="AB233" s="498">
        <v>0</v>
      </c>
      <c r="AC233" s="498">
        <v>0</v>
      </c>
      <c r="AD233" s="498">
        <v>0</v>
      </c>
      <c r="AE233" s="498">
        <v>0</v>
      </c>
      <c r="AF233" s="498">
        <v>0</v>
      </c>
      <c r="AG233" s="498">
        <v>0</v>
      </c>
      <c r="AH233" s="498">
        <v>0</v>
      </c>
      <c r="AI233" s="498">
        <v>0</v>
      </c>
      <c r="AJ233" s="498">
        <v>0</v>
      </c>
      <c r="AK233" s="498">
        <v>0</v>
      </c>
      <c r="AL233" s="498">
        <v>0</v>
      </c>
      <c r="AM233" s="498">
        <v>0</v>
      </c>
      <c r="AN233" s="498">
        <v>0</v>
      </c>
      <c r="AO233" s="498">
        <v>0</v>
      </c>
      <c r="AP233" s="498">
        <v>0</v>
      </c>
      <c r="AQ233" s="498">
        <v>0</v>
      </c>
      <c r="AR233" s="498">
        <v>0</v>
      </c>
      <c r="AS233" s="498">
        <v>0</v>
      </c>
      <c r="AT233" s="498">
        <v>0</v>
      </c>
      <c r="AU233" s="498">
        <v>0</v>
      </c>
      <c r="AV233" s="498">
        <v>0</v>
      </c>
      <c r="AW233" s="498">
        <v>0</v>
      </c>
      <c r="AX233" s="498">
        <v>0</v>
      </c>
      <c r="AY233" s="498">
        <v>0</v>
      </c>
      <c r="AZ233" s="499">
        <v>0</v>
      </c>
    </row>
    <row r="234" spans="1:52" s="470" customFormat="1">
      <c r="A234" s="486">
        <f>'[4]Allocation Methodology'!A66</f>
        <v>62</v>
      </c>
      <c r="B234" s="487" t="str">
        <f>'[4]Allocation Methodology'!B66</f>
        <v>Demand Response 2</v>
      </c>
      <c r="C234" s="487" t="str">
        <f>'[4]Allocation Methodology'!C66</f>
        <v>Business, Industrial</v>
      </c>
      <c r="D234" s="487"/>
      <c r="E234" s="487">
        <f>'[4]Allocation Methodology'!D66</f>
        <v>2010</v>
      </c>
      <c r="F234" s="488" t="str">
        <f>'[4]Allocation Methodology'!E66</f>
        <v>Final</v>
      </c>
      <c r="G234" s="472"/>
      <c r="H234" s="569">
        <v>0</v>
      </c>
      <c r="I234" s="491">
        <v>0</v>
      </c>
      <c r="J234" s="491">
        <v>0</v>
      </c>
      <c r="K234" s="491">
        <v>0</v>
      </c>
      <c r="L234" s="491">
        <v>0.79308195429135875</v>
      </c>
      <c r="M234" s="491">
        <v>0</v>
      </c>
      <c r="N234" s="491">
        <v>0</v>
      </c>
      <c r="O234" s="491">
        <v>0</v>
      </c>
      <c r="P234" s="491">
        <v>0</v>
      </c>
      <c r="Q234" s="491">
        <v>0</v>
      </c>
      <c r="R234" s="491">
        <v>0</v>
      </c>
      <c r="S234" s="491">
        <v>0</v>
      </c>
      <c r="T234" s="491">
        <v>0</v>
      </c>
      <c r="U234" s="491">
        <v>0</v>
      </c>
      <c r="V234" s="491">
        <v>0</v>
      </c>
      <c r="W234" s="491">
        <v>0</v>
      </c>
      <c r="X234" s="491">
        <v>0</v>
      </c>
      <c r="Y234" s="491">
        <v>0</v>
      </c>
      <c r="Z234" s="491">
        <v>0</v>
      </c>
      <c r="AA234" s="491">
        <v>0</v>
      </c>
      <c r="AB234" s="491">
        <v>0</v>
      </c>
      <c r="AC234" s="491">
        <v>0</v>
      </c>
      <c r="AD234" s="491">
        <v>0</v>
      </c>
      <c r="AE234" s="491">
        <v>0</v>
      </c>
      <c r="AF234" s="491">
        <v>0</v>
      </c>
      <c r="AG234" s="491">
        <v>0</v>
      </c>
      <c r="AH234" s="491">
        <v>0</v>
      </c>
      <c r="AI234" s="491">
        <v>0</v>
      </c>
      <c r="AJ234" s="491">
        <v>0</v>
      </c>
      <c r="AK234" s="491">
        <v>0</v>
      </c>
      <c r="AL234" s="491">
        <v>0</v>
      </c>
      <c r="AM234" s="491">
        <v>0</v>
      </c>
      <c r="AN234" s="491">
        <v>0</v>
      </c>
      <c r="AO234" s="491">
        <v>0</v>
      </c>
      <c r="AP234" s="491">
        <v>0</v>
      </c>
      <c r="AQ234" s="491">
        <v>0</v>
      </c>
      <c r="AR234" s="491">
        <v>0</v>
      </c>
      <c r="AS234" s="491">
        <v>0</v>
      </c>
      <c r="AT234" s="491">
        <v>0</v>
      </c>
      <c r="AU234" s="491">
        <v>0</v>
      </c>
      <c r="AV234" s="491">
        <v>0</v>
      </c>
      <c r="AW234" s="491">
        <v>0</v>
      </c>
      <c r="AX234" s="491">
        <v>0</v>
      </c>
      <c r="AY234" s="491">
        <v>0</v>
      </c>
      <c r="AZ234" s="492">
        <v>0</v>
      </c>
    </row>
    <row r="235" spans="1:52" s="470" customFormat="1">
      <c r="A235" s="493">
        <f>'[4]Allocation Methodology'!A67</f>
        <v>63</v>
      </c>
      <c r="B235" s="494" t="str">
        <f>'[4]Allocation Methodology'!B67</f>
        <v>Demand Response 3</v>
      </c>
      <c r="C235" s="494" t="str">
        <f>'[4]Allocation Methodology'!C67</f>
        <v>Business, Industrial</v>
      </c>
      <c r="D235" s="494"/>
      <c r="E235" s="494">
        <f>'[4]Allocation Methodology'!D67</f>
        <v>2010</v>
      </c>
      <c r="F235" s="495" t="str">
        <f>'[4]Allocation Methodology'!E67</f>
        <v>Final</v>
      </c>
      <c r="G235" s="472"/>
      <c r="H235" s="570">
        <v>0</v>
      </c>
      <c r="I235" s="498">
        <v>0</v>
      </c>
      <c r="J235" s="498">
        <v>0</v>
      </c>
      <c r="K235" s="498">
        <v>0</v>
      </c>
      <c r="L235" s="498">
        <v>1.67746830163979</v>
      </c>
      <c r="M235" s="498">
        <v>0</v>
      </c>
      <c r="N235" s="498">
        <v>0</v>
      </c>
      <c r="O235" s="498">
        <v>0</v>
      </c>
      <c r="P235" s="498">
        <v>0</v>
      </c>
      <c r="Q235" s="498">
        <v>0</v>
      </c>
      <c r="R235" s="498">
        <v>0</v>
      </c>
      <c r="S235" s="498">
        <v>0</v>
      </c>
      <c r="T235" s="498">
        <v>0</v>
      </c>
      <c r="U235" s="498">
        <v>0</v>
      </c>
      <c r="V235" s="498">
        <v>0</v>
      </c>
      <c r="W235" s="498">
        <v>0</v>
      </c>
      <c r="X235" s="498">
        <v>0</v>
      </c>
      <c r="Y235" s="498">
        <v>0</v>
      </c>
      <c r="Z235" s="498">
        <v>0</v>
      </c>
      <c r="AA235" s="498">
        <v>0</v>
      </c>
      <c r="AB235" s="498">
        <v>0</v>
      </c>
      <c r="AC235" s="498">
        <v>0</v>
      </c>
      <c r="AD235" s="498">
        <v>0</v>
      </c>
      <c r="AE235" s="498">
        <v>0</v>
      </c>
      <c r="AF235" s="498">
        <v>0</v>
      </c>
      <c r="AG235" s="498">
        <v>0</v>
      </c>
      <c r="AH235" s="498">
        <v>0</v>
      </c>
      <c r="AI235" s="498">
        <v>0</v>
      </c>
      <c r="AJ235" s="498">
        <v>0</v>
      </c>
      <c r="AK235" s="498">
        <v>0</v>
      </c>
      <c r="AL235" s="498">
        <v>0</v>
      </c>
      <c r="AM235" s="498">
        <v>0</v>
      </c>
      <c r="AN235" s="498">
        <v>0</v>
      </c>
      <c r="AO235" s="498">
        <v>0</v>
      </c>
      <c r="AP235" s="498">
        <v>0</v>
      </c>
      <c r="AQ235" s="498">
        <v>0</v>
      </c>
      <c r="AR235" s="498">
        <v>0</v>
      </c>
      <c r="AS235" s="498">
        <v>0</v>
      </c>
      <c r="AT235" s="498">
        <v>0</v>
      </c>
      <c r="AU235" s="498">
        <v>0</v>
      </c>
      <c r="AV235" s="498">
        <v>0</v>
      </c>
      <c r="AW235" s="498">
        <v>0</v>
      </c>
      <c r="AX235" s="498">
        <v>0</v>
      </c>
      <c r="AY235" s="498">
        <v>0</v>
      </c>
      <c r="AZ235" s="499">
        <v>0</v>
      </c>
    </row>
    <row r="236" spans="1:52" s="470" customFormat="1">
      <c r="A236" s="486">
        <f>'[4]Allocation Methodology'!A68</f>
        <v>64</v>
      </c>
      <c r="B236" s="487" t="str">
        <f>'[4]Allocation Methodology'!B68</f>
        <v>Loblaw &amp; York Region Demand Response</v>
      </c>
      <c r="C236" s="487" t="str">
        <f>'[4]Allocation Methodology'!C68</f>
        <v>Business, Industrial</v>
      </c>
      <c r="D236" s="487"/>
      <c r="E236" s="487">
        <f>'[4]Allocation Methodology'!D68</f>
        <v>2010</v>
      </c>
      <c r="F236" s="488" t="str">
        <f>'[4]Allocation Methodology'!E68</f>
        <v>Final</v>
      </c>
      <c r="G236" s="472"/>
      <c r="H236" s="569">
        <v>0</v>
      </c>
      <c r="I236" s="491">
        <v>0</v>
      </c>
      <c r="J236" s="491">
        <v>0</v>
      </c>
      <c r="K236" s="491">
        <v>0</v>
      </c>
      <c r="L236" s="491">
        <v>0.19467162928445872</v>
      </c>
      <c r="M236" s="491">
        <v>0</v>
      </c>
      <c r="N236" s="491">
        <v>0</v>
      </c>
      <c r="O236" s="491">
        <v>0</v>
      </c>
      <c r="P236" s="491">
        <v>0</v>
      </c>
      <c r="Q236" s="491">
        <v>0</v>
      </c>
      <c r="R236" s="491">
        <v>0</v>
      </c>
      <c r="S236" s="491">
        <v>0</v>
      </c>
      <c r="T236" s="491">
        <v>0</v>
      </c>
      <c r="U236" s="491">
        <v>0</v>
      </c>
      <c r="V236" s="491">
        <v>0</v>
      </c>
      <c r="W236" s="491">
        <v>0</v>
      </c>
      <c r="X236" s="491">
        <v>0</v>
      </c>
      <c r="Y236" s="491">
        <v>0</v>
      </c>
      <c r="Z236" s="491">
        <v>0</v>
      </c>
      <c r="AA236" s="491">
        <v>0</v>
      </c>
      <c r="AB236" s="491">
        <v>0</v>
      </c>
      <c r="AC236" s="491">
        <v>0</v>
      </c>
      <c r="AD236" s="491">
        <v>0</v>
      </c>
      <c r="AE236" s="491">
        <v>0</v>
      </c>
      <c r="AF236" s="491">
        <v>0</v>
      </c>
      <c r="AG236" s="491">
        <v>0</v>
      </c>
      <c r="AH236" s="491">
        <v>0</v>
      </c>
      <c r="AI236" s="491">
        <v>0</v>
      </c>
      <c r="AJ236" s="491">
        <v>0</v>
      </c>
      <c r="AK236" s="491">
        <v>0</v>
      </c>
      <c r="AL236" s="491">
        <v>0</v>
      </c>
      <c r="AM236" s="491">
        <v>0</v>
      </c>
      <c r="AN236" s="491">
        <v>0</v>
      </c>
      <c r="AO236" s="491">
        <v>0</v>
      </c>
      <c r="AP236" s="491">
        <v>0</v>
      </c>
      <c r="AQ236" s="491">
        <v>0</v>
      </c>
      <c r="AR236" s="491">
        <v>0</v>
      </c>
      <c r="AS236" s="491">
        <v>0</v>
      </c>
      <c r="AT236" s="491">
        <v>0</v>
      </c>
      <c r="AU236" s="491">
        <v>0</v>
      </c>
      <c r="AV236" s="491">
        <v>0</v>
      </c>
      <c r="AW236" s="491">
        <v>0</v>
      </c>
      <c r="AX236" s="491">
        <v>0</v>
      </c>
      <c r="AY236" s="491">
        <v>0</v>
      </c>
      <c r="AZ236" s="492">
        <v>0</v>
      </c>
    </row>
    <row r="237" spans="1:52" s="470" customFormat="1">
      <c r="A237" s="500">
        <f>'[4]Allocation Methodology'!A69</f>
        <v>65</v>
      </c>
      <c r="B237" s="501" t="str">
        <f>'[4]Allocation Methodology'!B69</f>
        <v>LDC Custom - Hydro Ottawa - Small Commercial Demand Response</v>
      </c>
      <c r="C237" s="501" t="str">
        <f>'[4]Allocation Methodology'!C69</f>
        <v>Consumer</v>
      </c>
      <c r="D237" s="501"/>
      <c r="E237" s="501">
        <f>'[4]Allocation Methodology'!D69</f>
        <v>2010</v>
      </c>
      <c r="F237" s="502" t="str">
        <f>'[4]Allocation Methodology'!E69</f>
        <v>Final</v>
      </c>
      <c r="G237" s="472"/>
      <c r="H237" s="571">
        <v>0</v>
      </c>
      <c r="I237" s="505">
        <v>0</v>
      </c>
      <c r="J237" s="505">
        <v>0</v>
      </c>
      <c r="K237" s="505">
        <v>0</v>
      </c>
      <c r="L237" s="505">
        <v>0</v>
      </c>
      <c r="M237" s="505">
        <v>0</v>
      </c>
      <c r="N237" s="505">
        <v>0</v>
      </c>
      <c r="O237" s="505">
        <v>0</v>
      </c>
      <c r="P237" s="505">
        <v>0</v>
      </c>
      <c r="Q237" s="505">
        <v>0</v>
      </c>
      <c r="R237" s="505">
        <v>0</v>
      </c>
      <c r="S237" s="505">
        <v>0</v>
      </c>
      <c r="T237" s="505">
        <v>0</v>
      </c>
      <c r="U237" s="505">
        <v>0</v>
      </c>
      <c r="V237" s="505">
        <v>0</v>
      </c>
      <c r="W237" s="505">
        <v>0</v>
      </c>
      <c r="X237" s="505">
        <v>0</v>
      </c>
      <c r="Y237" s="505">
        <v>0</v>
      </c>
      <c r="Z237" s="505">
        <v>0</v>
      </c>
      <c r="AA237" s="505">
        <v>0</v>
      </c>
      <c r="AB237" s="505">
        <v>0</v>
      </c>
      <c r="AC237" s="505">
        <v>0</v>
      </c>
      <c r="AD237" s="505">
        <v>0</v>
      </c>
      <c r="AE237" s="505">
        <v>0</v>
      </c>
      <c r="AF237" s="505">
        <v>0</v>
      </c>
      <c r="AG237" s="505">
        <v>0</v>
      </c>
      <c r="AH237" s="505">
        <v>0</v>
      </c>
      <c r="AI237" s="505">
        <v>0</v>
      </c>
      <c r="AJ237" s="505">
        <v>0</v>
      </c>
      <c r="AK237" s="505">
        <v>0</v>
      </c>
      <c r="AL237" s="505">
        <v>0</v>
      </c>
      <c r="AM237" s="505">
        <v>0</v>
      </c>
      <c r="AN237" s="505">
        <v>0</v>
      </c>
      <c r="AO237" s="505">
        <v>0</v>
      </c>
      <c r="AP237" s="505">
        <v>0</v>
      </c>
      <c r="AQ237" s="505">
        <v>0</v>
      </c>
      <c r="AR237" s="505">
        <v>0</v>
      </c>
      <c r="AS237" s="505">
        <v>0</v>
      </c>
      <c r="AT237" s="505">
        <v>0</v>
      </c>
      <c r="AU237" s="505">
        <v>0</v>
      </c>
      <c r="AV237" s="505">
        <v>0</v>
      </c>
      <c r="AW237" s="505">
        <v>0</v>
      </c>
      <c r="AX237" s="505">
        <v>0</v>
      </c>
      <c r="AY237" s="505">
        <v>0</v>
      </c>
      <c r="AZ237" s="506">
        <v>0</v>
      </c>
    </row>
    <row r="238" spans="1:52" s="470" customFormat="1" ht="4.5" customHeight="1">
      <c r="A238" s="577"/>
      <c r="B238" s="577"/>
      <c r="C238" s="577"/>
      <c r="D238" s="577"/>
      <c r="E238" s="577"/>
      <c r="F238" s="577"/>
      <c r="G238" s="468"/>
      <c r="H238" s="469"/>
      <c r="I238" s="469"/>
      <c r="J238" s="469"/>
      <c r="K238" s="469"/>
      <c r="L238" s="469"/>
      <c r="M238" s="469"/>
      <c r="N238" s="469"/>
      <c r="O238" s="469"/>
      <c r="P238" s="469"/>
      <c r="Q238" s="469"/>
      <c r="R238" s="469"/>
      <c r="S238" s="469"/>
      <c r="T238" s="469"/>
      <c r="U238" s="469"/>
      <c r="V238" s="469"/>
      <c r="W238" s="469"/>
      <c r="X238" s="469"/>
      <c r="Y238" s="469"/>
      <c r="Z238" s="469"/>
      <c r="AA238" s="469"/>
      <c r="AB238" s="469"/>
      <c r="AC238" s="469"/>
      <c r="AD238" s="469"/>
      <c r="AE238" s="469"/>
      <c r="AF238" s="469"/>
      <c r="AG238" s="469"/>
      <c r="AH238" s="469"/>
      <c r="AI238" s="469"/>
      <c r="AJ238" s="469"/>
      <c r="AK238" s="469"/>
      <c r="AL238" s="469"/>
      <c r="AM238" s="469"/>
      <c r="AN238" s="469"/>
      <c r="AO238" s="469"/>
      <c r="AP238" s="469"/>
      <c r="AQ238" s="469"/>
      <c r="AR238" s="469"/>
      <c r="AS238" s="469"/>
      <c r="AT238" s="469"/>
      <c r="AU238" s="469"/>
      <c r="AV238" s="469"/>
      <c r="AW238" s="469"/>
      <c r="AX238" s="469"/>
      <c r="AY238" s="469"/>
      <c r="AZ238" s="469"/>
    </row>
    <row r="239" spans="1:52" s="470" customFormat="1">
      <c r="A239" s="530" t="s">
        <v>510</v>
      </c>
      <c r="B239" s="531"/>
      <c r="C239" s="531"/>
      <c r="D239" s="531"/>
      <c r="E239" s="531"/>
      <c r="F239" s="532"/>
      <c r="G239" s="468"/>
      <c r="H239" s="533">
        <f>SUM(H173:H177)</f>
        <v>2.0016279352246333</v>
      </c>
      <c r="I239" s="533">
        <f t="shared" ref="I239:AZ239" si="17">SUM(I173:I177)</f>
        <v>0.10761918945004251</v>
      </c>
      <c r="J239" s="533">
        <f t="shared" si="17"/>
        <v>0.10761918945004251</v>
      </c>
      <c r="K239" s="533">
        <f t="shared" si="17"/>
        <v>0.10761918945004251</v>
      </c>
      <c r="L239" s="533">
        <f t="shared" si="17"/>
        <v>0.10761918945004251</v>
      </c>
      <c r="M239" s="533">
        <f t="shared" si="17"/>
        <v>0.10761918945004251</v>
      </c>
      <c r="N239" s="533">
        <f t="shared" si="17"/>
        <v>0.10062100467705935</v>
      </c>
      <c r="O239" s="533">
        <f t="shared" si="17"/>
        <v>0.10062100467705935</v>
      </c>
      <c r="P239" s="533">
        <f t="shared" si="17"/>
        <v>8.0149240718848408E-2</v>
      </c>
      <c r="Q239" s="533">
        <f t="shared" si="17"/>
        <v>8.0149240718848408E-2</v>
      </c>
      <c r="R239" s="533">
        <f t="shared" si="17"/>
        <v>8.0149240718848408E-2</v>
      </c>
      <c r="S239" s="533">
        <f t="shared" si="17"/>
        <v>8.0149240718848408E-2</v>
      </c>
      <c r="T239" s="533">
        <f t="shared" si="17"/>
        <v>8.0149240718848408E-2</v>
      </c>
      <c r="U239" s="533">
        <f t="shared" si="17"/>
        <v>8.0149240718848408E-2</v>
      </c>
      <c r="V239" s="533">
        <f t="shared" si="17"/>
        <v>5.1637757060606929E-2</v>
      </c>
      <c r="W239" s="533">
        <f t="shared" si="17"/>
        <v>3.1598802295710215E-2</v>
      </c>
      <c r="X239" s="533">
        <f t="shared" si="17"/>
        <v>3.1598802295710215E-2</v>
      </c>
      <c r="Y239" s="533">
        <f t="shared" si="17"/>
        <v>3.1598802295710215E-2</v>
      </c>
      <c r="Z239" s="533">
        <f t="shared" si="17"/>
        <v>8.6317454561158431E-4</v>
      </c>
      <c r="AA239" s="533">
        <f t="shared" si="17"/>
        <v>8.6317454561158431E-4</v>
      </c>
      <c r="AB239" s="533">
        <f t="shared" si="17"/>
        <v>0</v>
      </c>
      <c r="AC239" s="533">
        <f t="shared" si="17"/>
        <v>0</v>
      </c>
      <c r="AD239" s="533">
        <f t="shared" si="17"/>
        <v>0</v>
      </c>
      <c r="AE239" s="533">
        <f t="shared" si="17"/>
        <v>0</v>
      </c>
      <c r="AF239" s="533">
        <f t="shared" si="17"/>
        <v>0</v>
      </c>
      <c r="AG239" s="533">
        <f t="shared" si="17"/>
        <v>0</v>
      </c>
      <c r="AH239" s="533">
        <f t="shared" si="17"/>
        <v>0</v>
      </c>
      <c r="AI239" s="533">
        <f t="shared" si="17"/>
        <v>0</v>
      </c>
      <c r="AJ239" s="533">
        <f t="shared" si="17"/>
        <v>0</v>
      </c>
      <c r="AK239" s="533">
        <f t="shared" si="17"/>
        <v>0</v>
      </c>
      <c r="AL239" s="533">
        <f t="shared" si="17"/>
        <v>0</v>
      </c>
      <c r="AM239" s="533">
        <f t="shared" si="17"/>
        <v>0</v>
      </c>
      <c r="AN239" s="533">
        <f t="shared" si="17"/>
        <v>0</v>
      </c>
      <c r="AO239" s="533">
        <f t="shared" si="17"/>
        <v>0</v>
      </c>
      <c r="AP239" s="533">
        <f t="shared" si="17"/>
        <v>0</v>
      </c>
      <c r="AQ239" s="533">
        <f t="shared" si="17"/>
        <v>0</v>
      </c>
      <c r="AR239" s="533">
        <f t="shared" si="17"/>
        <v>0</v>
      </c>
      <c r="AS239" s="533">
        <f t="shared" si="17"/>
        <v>0</v>
      </c>
      <c r="AT239" s="533">
        <f t="shared" si="17"/>
        <v>0</v>
      </c>
      <c r="AU239" s="533">
        <f t="shared" si="17"/>
        <v>0</v>
      </c>
      <c r="AV239" s="533">
        <f t="shared" si="17"/>
        <v>0</v>
      </c>
      <c r="AW239" s="533">
        <f t="shared" si="17"/>
        <v>0</v>
      </c>
      <c r="AX239" s="533">
        <f t="shared" si="17"/>
        <v>0</v>
      </c>
      <c r="AY239" s="533">
        <f t="shared" si="17"/>
        <v>0</v>
      </c>
      <c r="AZ239" s="533">
        <f t="shared" si="17"/>
        <v>0</v>
      </c>
    </row>
    <row r="240" spans="1:52" s="470" customFormat="1" ht="4.5" customHeight="1">
      <c r="A240" s="478"/>
      <c r="B240" s="478"/>
      <c r="C240" s="478"/>
      <c r="D240" s="478"/>
      <c r="E240" s="478"/>
      <c r="F240" s="478"/>
      <c r="G240" s="468"/>
      <c r="H240" s="469"/>
      <c r="I240" s="469"/>
      <c r="J240" s="469"/>
      <c r="K240" s="469"/>
      <c r="L240" s="469"/>
      <c r="M240" s="469"/>
      <c r="N240" s="469"/>
      <c r="O240" s="469"/>
      <c r="P240" s="469"/>
      <c r="Q240" s="469"/>
      <c r="R240" s="469"/>
      <c r="S240" s="469"/>
      <c r="T240" s="469"/>
      <c r="U240" s="469"/>
      <c r="V240" s="469"/>
      <c r="W240" s="469"/>
      <c r="X240" s="469"/>
      <c r="Y240" s="469"/>
      <c r="Z240" s="469"/>
      <c r="AA240" s="469"/>
      <c r="AB240" s="469"/>
      <c r="AC240" s="469"/>
      <c r="AD240" s="469"/>
      <c r="AE240" s="469"/>
      <c r="AF240" s="469"/>
      <c r="AG240" s="469"/>
      <c r="AH240" s="469"/>
      <c r="AI240" s="469"/>
      <c r="AJ240" s="469"/>
      <c r="AK240" s="469"/>
      <c r="AL240" s="469"/>
      <c r="AM240" s="469"/>
      <c r="AN240" s="469"/>
      <c r="AO240" s="469"/>
      <c r="AP240" s="469"/>
      <c r="AQ240" s="469"/>
      <c r="AR240" s="469"/>
      <c r="AS240" s="469"/>
      <c r="AT240" s="469"/>
      <c r="AU240" s="469"/>
      <c r="AV240" s="469"/>
      <c r="AW240" s="469"/>
      <c r="AX240" s="469"/>
      <c r="AY240" s="469"/>
      <c r="AZ240" s="469"/>
    </row>
    <row r="241" spans="1:52" s="470" customFormat="1">
      <c r="A241" s="530" t="s">
        <v>511</v>
      </c>
      <c r="B241" s="531"/>
      <c r="C241" s="531"/>
      <c r="D241" s="531"/>
      <c r="E241" s="531"/>
      <c r="F241" s="532"/>
      <c r="G241" s="468"/>
      <c r="H241" s="533">
        <f>SUM(H178:H191)</f>
        <v>0</v>
      </c>
      <c r="I241" s="533">
        <f t="shared" ref="I241:AZ241" si="18">SUM(I178:I191)</f>
        <v>3.8906928644590466</v>
      </c>
      <c r="J241" s="533">
        <f t="shared" si="18"/>
        <v>0.73673565966887011</v>
      </c>
      <c r="K241" s="533">
        <f t="shared" si="18"/>
        <v>0.49867489293967415</v>
      </c>
      <c r="L241" s="533">
        <f t="shared" si="18"/>
        <v>0.49867489293967415</v>
      </c>
      <c r="M241" s="533">
        <f t="shared" si="18"/>
        <v>0.49699017653781202</v>
      </c>
      <c r="N241" s="533">
        <f t="shared" si="18"/>
        <v>0.45809782515526376</v>
      </c>
      <c r="O241" s="533">
        <f t="shared" si="18"/>
        <v>0.45809782515526376</v>
      </c>
      <c r="P241" s="533">
        <f t="shared" si="18"/>
        <v>0.45809782515526376</v>
      </c>
      <c r="Q241" s="533">
        <f t="shared" si="18"/>
        <v>0.42875378053347185</v>
      </c>
      <c r="R241" s="533">
        <f t="shared" si="18"/>
        <v>0.41493766750202565</v>
      </c>
      <c r="S241" s="533">
        <f t="shared" si="18"/>
        <v>0.39697393905070311</v>
      </c>
      <c r="T241" s="533">
        <f t="shared" si="18"/>
        <v>0.39697393905070311</v>
      </c>
      <c r="U241" s="533">
        <f t="shared" si="18"/>
        <v>0.39697393905070311</v>
      </c>
      <c r="V241" s="533">
        <f t="shared" si="18"/>
        <v>0.39697393905070311</v>
      </c>
      <c r="W241" s="533">
        <f t="shared" si="18"/>
        <v>0.17418277296712265</v>
      </c>
      <c r="X241" s="533">
        <f t="shared" si="18"/>
        <v>7.152217576800135E-2</v>
      </c>
      <c r="Y241" s="533">
        <f t="shared" si="18"/>
        <v>7.1243261263123608E-2</v>
      </c>
      <c r="Z241" s="533">
        <f t="shared" si="18"/>
        <v>7.1243261263123608E-2</v>
      </c>
      <c r="AA241" s="533">
        <f t="shared" si="18"/>
        <v>4.7586666666666666E-2</v>
      </c>
      <c r="AB241" s="533">
        <f t="shared" si="18"/>
        <v>2.146E-2</v>
      </c>
      <c r="AC241" s="533">
        <f t="shared" si="18"/>
        <v>0</v>
      </c>
      <c r="AD241" s="533">
        <f t="shared" si="18"/>
        <v>0</v>
      </c>
      <c r="AE241" s="533">
        <f t="shared" si="18"/>
        <v>0</v>
      </c>
      <c r="AF241" s="533">
        <f t="shared" si="18"/>
        <v>0</v>
      </c>
      <c r="AG241" s="533">
        <f t="shared" si="18"/>
        <v>0</v>
      </c>
      <c r="AH241" s="533">
        <f t="shared" si="18"/>
        <v>0</v>
      </c>
      <c r="AI241" s="533">
        <f t="shared" si="18"/>
        <v>0</v>
      </c>
      <c r="AJ241" s="533">
        <f t="shared" si="18"/>
        <v>0</v>
      </c>
      <c r="AK241" s="533">
        <f t="shared" si="18"/>
        <v>0</v>
      </c>
      <c r="AL241" s="533">
        <f t="shared" si="18"/>
        <v>0</v>
      </c>
      <c r="AM241" s="533">
        <f t="shared" si="18"/>
        <v>0</v>
      </c>
      <c r="AN241" s="533">
        <f t="shared" si="18"/>
        <v>0</v>
      </c>
      <c r="AO241" s="533">
        <f t="shared" si="18"/>
        <v>0</v>
      </c>
      <c r="AP241" s="533">
        <f t="shared" si="18"/>
        <v>0</v>
      </c>
      <c r="AQ241" s="533">
        <f t="shared" si="18"/>
        <v>0</v>
      </c>
      <c r="AR241" s="533">
        <f t="shared" si="18"/>
        <v>0</v>
      </c>
      <c r="AS241" s="533">
        <f t="shared" si="18"/>
        <v>0</v>
      </c>
      <c r="AT241" s="533">
        <f t="shared" si="18"/>
        <v>0</v>
      </c>
      <c r="AU241" s="533">
        <f t="shared" si="18"/>
        <v>0</v>
      </c>
      <c r="AV241" s="533">
        <f t="shared" si="18"/>
        <v>0</v>
      </c>
      <c r="AW241" s="533">
        <f t="shared" si="18"/>
        <v>0</v>
      </c>
      <c r="AX241" s="533">
        <f t="shared" si="18"/>
        <v>0</v>
      </c>
      <c r="AY241" s="533">
        <f t="shared" si="18"/>
        <v>0</v>
      </c>
      <c r="AZ241" s="533">
        <f t="shared" si="18"/>
        <v>0</v>
      </c>
    </row>
    <row r="242" spans="1:52" s="470" customFormat="1" ht="5.0999999999999996" customHeight="1">
      <c r="A242" s="478"/>
      <c r="B242" s="478"/>
      <c r="C242" s="478"/>
      <c r="D242" s="478"/>
      <c r="E242" s="478"/>
      <c r="F242" s="478"/>
      <c r="G242" s="468"/>
      <c r="H242" s="469"/>
      <c r="I242" s="469"/>
      <c r="J242" s="469"/>
      <c r="K242" s="469"/>
      <c r="L242" s="469"/>
      <c r="M242" s="469"/>
      <c r="N242" s="469"/>
      <c r="O242" s="469"/>
      <c r="P242" s="469"/>
      <c r="Q242" s="469"/>
      <c r="R242" s="469"/>
      <c r="S242" s="469"/>
      <c r="T242" s="469"/>
      <c r="U242" s="469"/>
      <c r="V242" s="469"/>
      <c r="W242" s="469"/>
      <c r="X242" s="469"/>
      <c r="Y242" s="469"/>
      <c r="Z242" s="469"/>
      <c r="AA242" s="469"/>
      <c r="AB242" s="469"/>
      <c r="AC242" s="469"/>
      <c r="AD242" s="469"/>
      <c r="AE242" s="469"/>
      <c r="AF242" s="469"/>
      <c r="AG242" s="469"/>
      <c r="AH242" s="469"/>
      <c r="AI242" s="469"/>
      <c r="AJ242" s="469"/>
      <c r="AK242" s="469"/>
      <c r="AL242" s="469"/>
      <c r="AM242" s="469"/>
      <c r="AN242" s="469"/>
      <c r="AO242" s="469"/>
      <c r="AP242" s="469"/>
      <c r="AQ242" s="469"/>
      <c r="AR242" s="469"/>
      <c r="AS242" s="469"/>
      <c r="AT242" s="469"/>
      <c r="AU242" s="469"/>
      <c r="AV242" s="469"/>
      <c r="AW242" s="469"/>
      <c r="AX242" s="469"/>
      <c r="AY242" s="469"/>
      <c r="AZ242" s="469"/>
    </row>
    <row r="243" spans="1:52" s="470" customFormat="1">
      <c r="A243" s="530" t="s">
        <v>512</v>
      </c>
      <c r="B243" s="531"/>
      <c r="C243" s="531"/>
      <c r="D243" s="531"/>
      <c r="E243" s="531"/>
      <c r="F243" s="532"/>
      <c r="G243" s="468"/>
      <c r="H243" s="533">
        <f>SUM(H192:H206,H223:H224)</f>
        <v>0</v>
      </c>
      <c r="I243" s="533">
        <f t="shared" ref="I243:AZ243" si="19">SUM(I192:I206,I223:I224)</f>
        <v>0</v>
      </c>
      <c r="J243" s="533">
        <f t="shared" si="19"/>
        <v>4.3100480915859061</v>
      </c>
      <c r="K243" s="533">
        <f t="shared" si="19"/>
        <v>0.60685934418946419</v>
      </c>
      <c r="L243" s="533">
        <f t="shared" si="19"/>
        <v>0.60685934418946419</v>
      </c>
      <c r="M243" s="533">
        <f t="shared" si="19"/>
        <v>0.60685934418946419</v>
      </c>
      <c r="N243" s="533">
        <f t="shared" si="19"/>
        <v>0.59804677921805238</v>
      </c>
      <c r="O243" s="533">
        <f t="shared" si="19"/>
        <v>0.59804677921805238</v>
      </c>
      <c r="P243" s="533">
        <f t="shared" si="19"/>
        <v>0.58405491465190607</v>
      </c>
      <c r="Q243" s="533">
        <f t="shared" si="19"/>
        <v>0.57827274193551215</v>
      </c>
      <c r="R243" s="533">
        <f t="shared" si="19"/>
        <v>0.55682727481399219</v>
      </c>
      <c r="S243" s="533">
        <f t="shared" si="19"/>
        <v>0.53380151028183431</v>
      </c>
      <c r="T243" s="533">
        <f t="shared" si="19"/>
        <v>0.52997658871918463</v>
      </c>
      <c r="U243" s="533">
        <f t="shared" si="19"/>
        <v>0.52997658871918463</v>
      </c>
      <c r="V243" s="533">
        <f t="shared" si="19"/>
        <v>0.51828343465801474</v>
      </c>
      <c r="W243" s="533">
        <f t="shared" si="19"/>
        <v>0.51768616479776119</v>
      </c>
      <c r="X243" s="533">
        <f t="shared" si="19"/>
        <v>0.51424935940940386</v>
      </c>
      <c r="Y243" s="533">
        <f t="shared" si="19"/>
        <v>0.47858693565505067</v>
      </c>
      <c r="Z243" s="533">
        <f t="shared" si="19"/>
        <v>0.15927370665924898</v>
      </c>
      <c r="AA243" s="533">
        <f t="shared" si="19"/>
        <v>0.15927370665924898</v>
      </c>
      <c r="AB243" s="533">
        <f t="shared" si="19"/>
        <v>5.6102711719928033E-2</v>
      </c>
      <c r="AC243" s="533">
        <f t="shared" si="19"/>
        <v>5.6102711719928033E-2</v>
      </c>
      <c r="AD243" s="533">
        <f t="shared" si="19"/>
        <v>0</v>
      </c>
      <c r="AE243" s="533">
        <f t="shared" si="19"/>
        <v>0</v>
      </c>
      <c r="AF243" s="533">
        <f t="shared" si="19"/>
        <v>0</v>
      </c>
      <c r="AG243" s="533">
        <f t="shared" si="19"/>
        <v>0</v>
      </c>
      <c r="AH243" s="533">
        <f t="shared" si="19"/>
        <v>0</v>
      </c>
      <c r="AI243" s="533">
        <f t="shared" si="19"/>
        <v>0</v>
      </c>
      <c r="AJ243" s="533">
        <f t="shared" si="19"/>
        <v>0</v>
      </c>
      <c r="AK243" s="533">
        <f t="shared" si="19"/>
        <v>0</v>
      </c>
      <c r="AL243" s="533">
        <f t="shared" si="19"/>
        <v>0</v>
      </c>
      <c r="AM243" s="533">
        <f t="shared" si="19"/>
        <v>0</v>
      </c>
      <c r="AN243" s="533">
        <f t="shared" si="19"/>
        <v>0</v>
      </c>
      <c r="AO243" s="533">
        <f t="shared" si="19"/>
        <v>0</v>
      </c>
      <c r="AP243" s="533">
        <f t="shared" si="19"/>
        <v>0</v>
      </c>
      <c r="AQ243" s="533">
        <f t="shared" si="19"/>
        <v>0</v>
      </c>
      <c r="AR243" s="533">
        <f t="shared" si="19"/>
        <v>0</v>
      </c>
      <c r="AS243" s="533">
        <f t="shared" si="19"/>
        <v>0</v>
      </c>
      <c r="AT243" s="533">
        <f t="shared" si="19"/>
        <v>0</v>
      </c>
      <c r="AU243" s="533">
        <f t="shared" si="19"/>
        <v>0</v>
      </c>
      <c r="AV243" s="533">
        <f t="shared" si="19"/>
        <v>0</v>
      </c>
      <c r="AW243" s="533">
        <f t="shared" si="19"/>
        <v>0</v>
      </c>
      <c r="AX243" s="533">
        <f t="shared" si="19"/>
        <v>0</v>
      </c>
      <c r="AY243" s="533">
        <f t="shared" si="19"/>
        <v>0</v>
      </c>
      <c r="AZ243" s="533">
        <f t="shared" si="19"/>
        <v>0</v>
      </c>
    </row>
    <row r="244" spans="1:52" s="470" customFormat="1" ht="5.0999999999999996" customHeight="1">
      <c r="A244" s="478"/>
      <c r="B244" s="478"/>
      <c r="C244" s="478"/>
      <c r="D244" s="478"/>
      <c r="E244" s="478"/>
      <c r="F244" s="478"/>
      <c r="G244" s="468"/>
      <c r="H244" s="469"/>
      <c r="I244" s="469"/>
      <c r="J244" s="469"/>
      <c r="K244" s="469"/>
      <c r="L244" s="469"/>
      <c r="M244" s="469"/>
      <c r="N244" s="469"/>
      <c r="O244" s="469"/>
      <c r="P244" s="469"/>
      <c r="Q244" s="469"/>
      <c r="R244" s="469"/>
      <c r="S244" s="469"/>
      <c r="T244" s="469"/>
      <c r="U244" s="469"/>
      <c r="V244" s="469"/>
      <c r="W244" s="469"/>
      <c r="X244" s="469"/>
      <c r="Y244" s="469"/>
      <c r="Z244" s="469"/>
      <c r="AA244" s="469"/>
      <c r="AB244" s="469"/>
      <c r="AC244" s="469"/>
      <c r="AD244" s="469"/>
      <c r="AE244" s="469"/>
      <c r="AF244" s="469"/>
      <c r="AG244" s="469"/>
      <c r="AH244" s="469"/>
      <c r="AI244" s="469"/>
      <c r="AJ244" s="469"/>
      <c r="AK244" s="469"/>
      <c r="AL244" s="469"/>
      <c r="AM244" s="469"/>
      <c r="AN244" s="469"/>
      <c r="AO244" s="469"/>
      <c r="AP244" s="469"/>
      <c r="AQ244" s="469"/>
      <c r="AR244" s="469"/>
      <c r="AS244" s="469"/>
      <c r="AT244" s="469"/>
      <c r="AU244" s="469"/>
      <c r="AV244" s="469"/>
      <c r="AW244" s="469"/>
      <c r="AX244" s="469"/>
      <c r="AY244" s="469"/>
      <c r="AZ244" s="469"/>
    </row>
    <row r="245" spans="1:52" s="470" customFormat="1">
      <c r="A245" s="530" t="s">
        <v>513</v>
      </c>
      <c r="B245" s="531"/>
      <c r="C245" s="531"/>
      <c r="D245" s="531"/>
      <c r="E245" s="531"/>
      <c r="F245" s="532"/>
      <c r="G245" s="468"/>
      <c r="H245" s="533">
        <f>SUM(H207:H222)</f>
        <v>0</v>
      </c>
      <c r="I245" s="533">
        <f t="shared" ref="I245:AZ245" si="20">SUM(I207:I222)</f>
        <v>0</v>
      </c>
      <c r="J245" s="533">
        <f t="shared" si="20"/>
        <v>0</v>
      </c>
      <c r="K245" s="533">
        <f t="shared" si="20"/>
        <v>4.0382345442231342</v>
      </c>
      <c r="L245" s="533">
        <f t="shared" si="20"/>
        <v>0.668392667988017</v>
      </c>
      <c r="M245" s="533">
        <f t="shared" si="20"/>
        <v>0.668392667988017</v>
      </c>
      <c r="N245" s="533">
        <f t="shared" si="20"/>
        <v>0.66621057110833337</v>
      </c>
      <c r="O245" s="533">
        <f t="shared" si="20"/>
        <v>0.65536707222518864</v>
      </c>
      <c r="P245" s="533">
        <f t="shared" si="20"/>
        <v>0.63306477129396477</v>
      </c>
      <c r="Q245" s="533">
        <f t="shared" si="20"/>
        <v>0.62916311760994681</v>
      </c>
      <c r="R245" s="533">
        <f t="shared" si="20"/>
        <v>0.6007420649783678</v>
      </c>
      <c r="S245" s="533">
        <f t="shared" si="20"/>
        <v>0.58842532831892513</v>
      </c>
      <c r="T245" s="533">
        <f t="shared" si="20"/>
        <v>0.40413167487350732</v>
      </c>
      <c r="U245" s="533">
        <f t="shared" si="20"/>
        <v>0.39631755886946596</v>
      </c>
      <c r="V245" s="533">
        <f t="shared" si="20"/>
        <v>0.30085000471686929</v>
      </c>
      <c r="W245" s="533">
        <f t="shared" si="20"/>
        <v>0.28588395933270627</v>
      </c>
      <c r="X245" s="533">
        <f t="shared" si="20"/>
        <v>0.28588395933270627</v>
      </c>
      <c r="Y245" s="533">
        <f t="shared" si="20"/>
        <v>0.28439076846393108</v>
      </c>
      <c r="Z245" s="533">
        <f t="shared" si="20"/>
        <v>0.25573607244017349</v>
      </c>
      <c r="AA245" s="533">
        <f t="shared" si="20"/>
        <v>0.2542790355815725</v>
      </c>
      <c r="AB245" s="533">
        <f t="shared" si="20"/>
        <v>0.2542790355815725</v>
      </c>
      <c r="AC245" s="533">
        <f t="shared" si="20"/>
        <v>0.2110459755114456</v>
      </c>
      <c r="AD245" s="533">
        <f t="shared" si="20"/>
        <v>4.0673172872876535E-2</v>
      </c>
      <c r="AE245" s="533">
        <f t="shared" si="20"/>
        <v>0</v>
      </c>
      <c r="AF245" s="533">
        <f t="shared" si="20"/>
        <v>0</v>
      </c>
      <c r="AG245" s="533">
        <f t="shared" si="20"/>
        <v>0</v>
      </c>
      <c r="AH245" s="533">
        <f t="shared" si="20"/>
        <v>0</v>
      </c>
      <c r="AI245" s="533">
        <f t="shared" si="20"/>
        <v>0</v>
      </c>
      <c r="AJ245" s="533">
        <f t="shared" si="20"/>
        <v>0</v>
      </c>
      <c r="AK245" s="533">
        <f t="shared" si="20"/>
        <v>0</v>
      </c>
      <c r="AL245" s="533">
        <f t="shared" si="20"/>
        <v>0</v>
      </c>
      <c r="AM245" s="533">
        <f t="shared" si="20"/>
        <v>0</v>
      </c>
      <c r="AN245" s="533">
        <f t="shared" si="20"/>
        <v>0</v>
      </c>
      <c r="AO245" s="533">
        <f t="shared" si="20"/>
        <v>0</v>
      </c>
      <c r="AP245" s="533">
        <f t="shared" si="20"/>
        <v>0</v>
      </c>
      <c r="AQ245" s="533">
        <f t="shared" si="20"/>
        <v>0</v>
      </c>
      <c r="AR245" s="533">
        <f t="shared" si="20"/>
        <v>0</v>
      </c>
      <c r="AS245" s="533">
        <f t="shared" si="20"/>
        <v>0</v>
      </c>
      <c r="AT245" s="533">
        <f t="shared" si="20"/>
        <v>0</v>
      </c>
      <c r="AU245" s="533">
        <f t="shared" si="20"/>
        <v>0</v>
      </c>
      <c r="AV245" s="533">
        <f t="shared" si="20"/>
        <v>0</v>
      </c>
      <c r="AW245" s="533">
        <f t="shared" si="20"/>
        <v>0</v>
      </c>
      <c r="AX245" s="533">
        <f t="shared" si="20"/>
        <v>0</v>
      </c>
      <c r="AY245" s="533">
        <f t="shared" si="20"/>
        <v>0</v>
      </c>
      <c r="AZ245" s="533">
        <f t="shared" si="20"/>
        <v>0</v>
      </c>
    </row>
    <row r="246" spans="1:52" s="470" customFormat="1" ht="4.5" customHeight="1">
      <c r="A246" s="534"/>
      <c r="B246" s="534"/>
      <c r="C246" s="534"/>
      <c r="D246" s="534"/>
      <c r="E246" s="534"/>
      <c r="F246" s="534"/>
      <c r="G246" s="468"/>
      <c r="H246" s="535"/>
      <c r="I246" s="535"/>
      <c r="J246" s="535"/>
      <c r="K246" s="535"/>
      <c r="L246" s="535"/>
      <c r="M246" s="535"/>
      <c r="N246" s="535"/>
      <c r="O246" s="535"/>
      <c r="P246" s="535"/>
      <c r="Q246" s="535"/>
      <c r="R246" s="535"/>
      <c r="S246" s="535"/>
      <c r="T246" s="535"/>
      <c r="U246" s="535"/>
      <c r="V246" s="535"/>
      <c r="W246" s="535"/>
      <c r="X246" s="535"/>
      <c r="Y246" s="535"/>
      <c r="Z246" s="535"/>
      <c r="AA246" s="535"/>
      <c r="AB246" s="535"/>
      <c r="AC246" s="535"/>
      <c r="AD246" s="535"/>
      <c r="AE246" s="535"/>
      <c r="AF246" s="535"/>
      <c r="AG246" s="535"/>
      <c r="AH246" s="535"/>
      <c r="AI246" s="535"/>
      <c r="AJ246" s="535"/>
      <c r="AK246" s="535"/>
      <c r="AL246" s="535"/>
      <c r="AM246" s="535"/>
      <c r="AN246" s="535"/>
      <c r="AO246" s="535"/>
      <c r="AP246" s="535"/>
      <c r="AQ246" s="535"/>
      <c r="AR246" s="535"/>
      <c r="AS246" s="535"/>
      <c r="AT246" s="535"/>
      <c r="AU246" s="535"/>
      <c r="AV246" s="535"/>
      <c r="AW246" s="535"/>
      <c r="AX246" s="535"/>
      <c r="AY246" s="535"/>
      <c r="AZ246" s="535"/>
    </row>
    <row r="247" spans="1:52" s="470" customFormat="1">
      <c r="A247" s="530" t="s">
        <v>514</v>
      </c>
      <c r="B247" s="531"/>
      <c r="C247" s="531"/>
      <c r="D247" s="531"/>
      <c r="E247" s="531"/>
      <c r="F247" s="532"/>
      <c r="G247" s="468"/>
      <c r="H247" s="533">
        <f>SUM(H225:H237)</f>
        <v>0</v>
      </c>
      <c r="I247" s="533">
        <f t="shared" ref="I247:AZ247" si="21">SUM(I225:I237)</f>
        <v>0</v>
      </c>
      <c r="J247" s="533">
        <f t="shared" si="21"/>
        <v>0</v>
      </c>
      <c r="K247" s="533">
        <f t="shared" si="21"/>
        <v>0</v>
      </c>
      <c r="L247" s="533">
        <f t="shared" si="21"/>
        <v>3.2101787412044276</v>
      </c>
      <c r="M247" s="533">
        <f t="shared" si="21"/>
        <v>0.54495685598882015</v>
      </c>
      <c r="N247" s="533">
        <f t="shared" si="21"/>
        <v>0.54494772830987392</v>
      </c>
      <c r="O247" s="533">
        <f t="shared" si="21"/>
        <v>0.54229792763916296</v>
      </c>
      <c r="P247" s="533">
        <f t="shared" si="21"/>
        <v>0.53529359089302875</v>
      </c>
      <c r="Q247" s="533">
        <f t="shared" si="21"/>
        <v>0.51786122287102943</v>
      </c>
      <c r="R247" s="533">
        <f t="shared" si="21"/>
        <v>0.51735663988802283</v>
      </c>
      <c r="S247" s="533">
        <f t="shared" si="21"/>
        <v>0.51735663988802283</v>
      </c>
      <c r="T247" s="533">
        <f t="shared" si="21"/>
        <v>0.33980348697122853</v>
      </c>
      <c r="U247" s="533">
        <f t="shared" si="21"/>
        <v>0.33572677274752394</v>
      </c>
      <c r="V247" s="533">
        <f t="shared" si="21"/>
        <v>0.23683126611003186</v>
      </c>
      <c r="W247" s="533">
        <f t="shared" si="21"/>
        <v>0.23683126611003186</v>
      </c>
      <c r="X247" s="533">
        <f t="shared" si="21"/>
        <v>0.23629691893560734</v>
      </c>
      <c r="Y247" s="533">
        <f t="shared" si="21"/>
        <v>0.23629691893560734</v>
      </c>
      <c r="Z247" s="533">
        <f t="shared" si="21"/>
        <v>0.23629691893560734</v>
      </c>
      <c r="AA247" s="533">
        <f t="shared" si="21"/>
        <v>0.22839745729710836</v>
      </c>
      <c r="AB247" s="533">
        <f t="shared" si="21"/>
        <v>0.22758740444552195</v>
      </c>
      <c r="AC247" s="533">
        <f t="shared" si="21"/>
        <v>0.22758740444552195</v>
      </c>
      <c r="AD247" s="533">
        <f t="shared" si="21"/>
        <v>0.2200506702885206</v>
      </c>
      <c r="AE247" s="533">
        <f t="shared" si="21"/>
        <v>0.12291386000316849</v>
      </c>
      <c r="AF247" s="533">
        <f t="shared" si="21"/>
        <v>0</v>
      </c>
      <c r="AG247" s="533">
        <f t="shared" si="21"/>
        <v>0</v>
      </c>
      <c r="AH247" s="533">
        <f t="shared" si="21"/>
        <v>0</v>
      </c>
      <c r="AI247" s="533">
        <f t="shared" si="21"/>
        <v>0</v>
      </c>
      <c r="AJ247" s="533">
        <f t="shared" si="21"/>
        <v>0</v>
      </c>
      <c r="AK247" s="533">
        <f t="shared" si="21"/>
        <v>0</v>
      </c>
      <c r="AL247" s="533">
        <f t="shared" si="21"/>
        <v>0</v>
      </c>
      <c r="AM247" s="533">
        <f t="shared" si="21"/>
        <v>0</v>
      </c>
      <c r="AN247" s="533">
        <f t="shared" si="21"/>
        <v>0</v>
      </c>
      <c r="AO247" s="533">
        <f t="shared" si="21"/>
        <v>0</v>
      </c>
      <c r="AP247" s="533">
        <f t="shared" si="21"/>
        <v>0</v>
      </c>
      <c r="AQ247" s="533">
        <f t="shared" si="21"/>
        <v>0</v>
      </c>
      <c r="AR247" s="533">
        <f t="shared" si="21"/>
        <v>0</v>
      </c>
      <c r="AS247" s="533">
        <f t="shared" si="21"/>
        <v>0</v>
      </c>
      <c r="AT247" s="533">
        <f t="shared" si="21"/>
        <v>0</v>
      </c>
      <c r="AU247" s="533">
        <f t="shared" si="21"/>
        <v>0</v>
      </c>
      <c r="AV247" s="533">
        <f t="shared" si="21"/>
        <v>0</v>
      </c>
      <c r="AW247" s="533">
        <f t="shared" si="21"/>
        <v>0</v>
      </c>
      <c r="AX247" s="533">
        <f t="shared" si="21"/>
        <v>0</v>
      </c>
      <c r="AY247" s="533">
        <f t="shared" si="21"/>
        <v>0</v>
      </c>
      <c r="AZ247" s="533">
        <f t="shared" si="21"/>
        <v>0</v>
      </c>
    </row>
    <row r="248" spans="1:52" s="470" customFormat="1" ht="5.0999999999999996" customHeight="1">
      <c r="A248" s="478"/>
      <c r="B248" s="478"/>
      <c r="C248" s="478"/>
      <c r="D248" s="478"/>
      <c r="E248" s="478"/>
      <c r="F248" s="478"/>
      <c r="G248" s="468"/>
      <c r="H248" s="469"/>
      <c r="I248" s="469"/>
      <c r="J248" s="469"/>
      <c r="K248" s="469"/>
      <c r="L248" s="469"/>
      <c r="M248" s="469"/>
      <c r="N248" s="469"/>
      <c r="O248" s="469"/>
      <c r="P248" s="469"/>
      <c r="Q248" s="469"/>
      <c r="R248" s="469"/>
      <c r="S248" s="469"/>
      <c r="T248" s="469"/>
      <c r="U248" s="469"/>
      <c r="V248" s="469"/>
      <c r="W248" s="469"/>
      <c r="X248" s="469"/>
      <c r="Y248" s="469"/>
      <c r="Z248" s="469"/>
      <c r="AA248" s="469"/>
      <c r="AB248" s="469"/>
      <c r="AC248" s="469"/>
      <c r="AD248" s="469"/>
      <c r="AE248" s="469"/>
      <c r="AF248" s="469"/>
      <c r="AG248" s="469"/>
      <c r="AH248" s="469"/>
      <c r="AI248" s="469"/>
      <c r="AJ248" s="469"/>
      <c r="AK248" s="469"/>
      <c r="AL248" s="469"/>
      <c r="AM248" s="469"/>
      <c r="AN248" s="469"/>
      <c r="AO248" s="469"/>
      <c r="AP248" s="469"/>
      <c r="AQ248" s="469"/>
      <c r="AR248" s="469"/>
      <c r="AS248" s="469"/>
      <c r="AT248" s="469"/>
      <c r="AU248" s="469"/>
      <c r="AV248" s="469"/>
      <c r="AW248" s="469"/>
      <c r="AX248" s="469"/>
      <c r="AY248" s="469"/>
      <c r="AZ248" s="469"/>
    </row>
    <row r="249" spans="1:52" s="470" customFormat="1">
      <c r="A249" s="530" t="s">
        <v>515</v>
      </c>
      <c r="B249" s="536"/>
      <c r="C249" s="536"/>
      <c r="D249" s="536"/>
      <c r="E249" s="536"/>
      <c r="F249" s="537"/>
      <c r="G249" s="468"/>
      <c r="H249" s="533">
        <f>SUM(H173:H237)</f>
        <v>2.0016279352246333</v>
      </c>
      <c r="I249" s="533">
        <f t="shared" ref="I249:AZ249" si="22">SUM(I173:I237)</f>
        <v>3.9983120539090891</v>
      </c>
      <c r="J249" s="533">
        <f t="shared" si="22"/>
        <v>5.1544029407048182</v>
      </c>
      <c r="K249" s="533">
        <f t="shared" si="22"/>
        <v>5.2513879708023152</v>
      </c>
      <c r="L249" s="533">
        <f t="shared" si="22"/>
        <v>5.0917248357716254</v>
      </c>
      <c r="M249" s="533">
        <f t="shared" si="22"/>
        <v>2.4248182341541558</v>
      </c>
      <c r="N249" s="533">
        <f t="shared" si="22"/>
        <v>2.3679239084685824</v>
      </c>
      <c r="O249" s="533">
        <f t="shared" si="22"/>
        <v>2.3544306089147264</v>
      </c>
      <c r="P249" s="533">
        <f t="shared" si="22"/>
        <v>2.2906603427130117</v>
      </c>
      <c r="Q249" s="533">
        <f t="shared" si="22"/>
        <v>2.2342001036688082</v>
      </c>
      <c r="R249" s="533">
        <f t="shared" si="22"/>
        <v>2.1700128879012568</v>
      </c>
      <c r="S249" s="533">
        <f t="shared" si="22"/>
        <v>2.1167066582583338</v>
      </c>
      <c r="T249" s="533">
        <f t="shared" si="22"/>
        <v>1.751034930333472</v>
      </c>
      <c r="U249" s="533">
        <f t="shared" si="22"/>
        <v>1.739144100105726</v>
      </c>
      <c r="V249" s="533">
        <f t="shared" si="22"/>
        <v>1.5045764015962257</v>
      </c>
      <c r="W249" s="533">
        <f t="shared" si="22"/>
        <v>1.2461829655033321</v>
      </c>
      <c r="X249" s="533">
        <f t="shared" si="22"/>
        <v>1.1395512157414289</v>
      </c>
      <c r="Y249" s="533">
        <f t="shared" si="22"/>
        <v>1.1021166866134229</v>
      </c>
      <c r="Z249" s="533">
        <f t="shared" si="22"/>
        <v>0.72341313384376493</v>
      </c>
      <c r="AA249" s="533">
        <f t="shared" si="22"/>
        <v>0.690400040750208</v>
      </c>
      <c r="AB249" s="533">
        <f t="shared" si="22"/>
        <v>0.55942915174702246</v>
      </c>
      <c r="AC249" s="533">
        <f t="shared" si="22"/>
        <v>0.49473609167689558</v>
      </c>
      <c r="AD249" s="533">
        <f t="shared" si="22"/>
        <v>0.26072384316139713</v>
      </c>
      <c r="AE249" s="533">
        <f t="shared" si="22"/>
        <v>0.12291386000316849</v>
      </c>
      <c r="AF249" s="533">
        <f t="shared" si="22"/>
        <v>0</v>
      </c>
      <c r="AG249" s="533">
        <f t="shared" si="22"/>
        <v>0</v>
      </c>
      <c r="AH249" s="533">
        <f t="shared" si="22"/>
        <v>0</v>
      </c>
      <c r="AI249" s="533">
        <f t="shared" si="22"/>
        <v>0</v>
      </c>
      <c r="AJ249" s="533">
        <f t="shared" si="22"/>
        <v>0</v>
      </c>
      <c r="AK249" s="533">
        <f t="shared" si="22"/>
        <v>0</v>
      </c>
      <c r="AL249" s="533">
        <f t="shared" si="22"/>
        <v>0</v>
      </c>
      <c r="AM249" s="533">
        <f t="shared" si="22"/>
        <v>0</v>
      </c>
      <c r="AN249" s="533">
        <f t="shared" si="22"/>
        <v>0</v>
      </c>
      <c r="AO249" s="533">
        <f t="shared" si="22"/>
        <v>0</v>
      </c>
      <c r="AP249" s="533">
        <f t="shared" si="22"/>
        <v>0</v>
      </c>
      <c r="AQ249" s="533">
        <f t="shared" si="22"/>
        <v>0</v>
      </c>
      <c r="AR249" s="533">
        <f t="shared" si="22"/>
        <v>0</v>
      </c>
      <c r="AS249" s="533">
        <f t="shared" si="22"/>
        <v>0</v>
      </c>
      <c r="AT249" s="533">
        <f t="shared" si="22"/>
        <v>0</v>
      </c>
      <c r="AU249" s="533">
        <f t="shared" si="22"/>
        <v>0</v>
      </c>
      <c r="AV249" s="533">
        <f t="shared" si="22"/>
        <v>0</v>
      </c>
      <c r="AW249" s="533">
        <f t="shared" si="22"/>
        <v>0</v>
      </c>
      <c r="AX249" s="533">
        <f t="shared" si="22"/>
        <v>0</v>
      </c>
      <c r="AY249" s="533">
        <f t="shared" si="22"/>
        <v>0</v>
      </c>
      <c r="AZ249" s="533">
        <f t="shared" si="22"/>
        <v>0</v>
      </c>
    </row>
    <row r="250" spans="1:52" s="541" customFormat="1">
      <c r="A250" s="538"/>
      <c r="B250" s="538"/>
      <c r="C250" s="538"/>
      <c r="D250" s="538"/>
      <c r="E250" s="538"/>
      <c r="F250" s="538"/>
      <c r="G250" s="539"/>
      <c r="H250" s="540">
        <v>3</v>
      </c>
      <c r="I250" s="540">
        <f>H250+1</f>
        <v>4</v>
      </c>
      <c r="J250" s="540">
        <f t="shared" ref="J250:AZ250" si="23">I250+1</f>
        <v>5</v>
      </c>
      <c r="K250" s="540">
        <f t="shared" si="23"/>
        <v>6</v>
      </c>
      <c r="L250" s="540">
        <f t="shared" si="23"/>
        <v>7</v>
      </c>
      <c r="M250" s="540">
        <f t="shared" si="23"/>
        <v>8</v>
      </c>
      <c r="N250" s="540">
        <f t="shared" si="23"/>
        <v>9</v>
      </c>
      <c r="O250" s="540">
        <f t="shared" si="23"/>
        <v>10</v>
      </c>
      <c r="P250" s="540">
        <f t="shared" si="23"/>
        <v>11</v>
      </c>
      <c r="Q250" s="540">
        <f t="shared" si="23"/>
        <v>12</v>
      </c>
      <c r="R250" s="540">
        <f t="shared" si="23"/>
        <v>13</v>
      </c>
      <c r="S250" s="540">
        <f t="shared" si="23"/>
        <v>14</v>
      </c>
      <c r="T250" s="540">
        <f t="shared" si="23"/>
        <v>15</v>
      </c>
      <c r="U250" s="540">
        <f t="shared" si="23"/>
        <v>16</v>
      </c>
      <c r="V250" s="540">
        <f t="shared" si="23"/>
        <v>17</v>
      </c>
      <c r="W250" s="540">
        <f t="shared" si="23"/>
        <v>18</v>
      </c>
      <c r="X250" s="540">
        <f t="shared" si="23"/>
        <v>19</v>
      </c>
      <c r="Y250" s="540">
        <f t="shared" si="23"/>
        <v>20</v>
      </c>
      <c r="Z250" s="540">
        <f t="shared" si="23"/>
        <v>21</v>
      </c>
      <c r="AA250" s="540">
        <f t="shared" si="23"/>
        <v>22</v>
      </c>
      <c r="AB250" s="540">
        <f t="shared" si="23"/>
        <v>23</v>
      </c>
      <c r="AC250" s="540">
        <f t="shared" si="23"/>
        <v>24</v>
      </c>
      <c r="AD250" s="540">
        <f t="shared" si="23"/>
        <v>25</v>
      </c>
      <c r="AE250" s="540">
        <f t="shared" si="23"/>
        <v>26</v>
      </c>
      <c r="AF250" s="540">
        <f t="shared" si="23"/>
        <v>27</v>
      </c>
      <c r="AG250" s="540">
        <f t="shared" si="23"/>
        <v>28</v>
      </c>
      <c r="AH250" s="540">
        <f t="shared" si="23"/>
        <v>29</v>
      </c>
      <c r="AI250" s="540">
        <f t="shared" si="23"/>
        <v>30</v>
      </c>
      <c r="AJ250" s="540">
        <f t="shared" si="23"/>
        <v>31</v>
      </c>
      <c r="AK250" s="540">
        <f t="shared" si="23"/>
        <v>32</v>
      </c>
      <c r="AL250" s="540">
        <f t="shared" si="23"/>
        <v>33</v>
      </c>
      <c r="AM250" s="540">
        <f t="shared" si="23"/>
        <v>34</v>
      </c>
      <c r="AN250" s="540">
        <f t="shared" si="23"/>
        <v>35</v>
      </c>
      <c r="AO250" s="540">
        <f t="shared" si="23"/>
        <v>36</v>
      </c>
      <c r="AP250" s="540">
        <f t="shared" si="23"/>
        <v>37</v>
      </c>
      <c r="AQ250" s="540">
        <f t="shared" si="23"/>
        <v>38</v>
      </c>
      <c r="AR250" s="540">
        <f t="shared" si="23"/>
        <v>39</v>
      </c>
      <c r="AS250" s="540">
        <f t="shared" si="23"/>
        <v>40</v>
      </c>
      <c r="AT250" s="540">
        <f t="shared" si="23"/>
        <v>41</v>
      </c>
      <c r="AU250" s="540">
        <f t="shared" si="23"/>
        <v>42</v>
      </c>
      <c r="AV250" s="540">
        <f t="shared" si="23"/>
        <v>43</v>
      </c>
      <c r="AW250" s="540">
        <f t="shared" si="23"/>
        <v>44</v>
      </c>
      <c r="AX250" s="540">
        <f t="shared" si="23"/>
        <v>45</v>
      </c>
      <c r="AY250" s="540">
        <f t="shared" si="23"/>
        <v>46</v>
      </c>
      <c r="AZ250" s="540">
        <f t="shared" si="23"/>
        <v>47</v>
      </c>
    </row>
    <row r="251" spans="1:52" s="470" customFormat="1">
      <c r="A251" s="467"/>
      <c r="B251" s="467"/>
      <c r="C251" s="467"/>
      <c r="D251" s="467"/>
      <c r="E251" s="467"/>
      <c r="F251" s="467"/>
      <c r="G251" s="468"/>
      <c r="H251" s="469"/>
      <c r="I251" s="469"/>
      <c r="J251" s="469"/>
      <c r="K251" s="469"/>
      <c r="L251" s="469"/>
      <c r="M251" s="469"/>
      <c r="N251" s="469"/>
      <c r="O251" s="469"/>
      <c r="P251" s="469"/>
      <c r="Q251" s="469"/>
      <c r="R251" s="469"/>
      <c r="S251" s="469"/>
      <c r="T251" s="469"/>
      <c r="U251" s="469"/>
      <c r="V251" s="469"/>
      <c r="W251" s="469"/>
      <c r="X251" s="469"/>
      <c r="Y251" s="469"/>
      <c r="Z251" s="469"/>
      <c r="AA251" s="469"/>
      <c r="AB251" s="469"/>
      <c r="AC251" s="469"/>
      <c r="AD251" s="469"/>
      <c r="AE251" s="469"/>
      <c r="AF251" s="469"/>
      <c r="AG251" s="469"/>
      <c r="AH251" s="469"/>
      <c r="AI251" s="469"/>
      <c r="AJ251" s="469"/>
      <c r="AK251" s="469"/>
      <c r="AL251" s="469"/>
      <c r="AM251" s="469"/>
      <c r="AN251" s="469"/>
      <c r="AO251" s="469"/>
      <c r="AP251" s="469"/>
      <c r="AQ251" s="469"/>
      <c r="AR251" s="469"/>
      <c r="AS251" s="469"/>
      <c r="AT251" s="469"/>
      <c r="AU251" s="469"/>
      <c r="AV251" s="469"/>
      <c r="AW251" s="469"/>
      <c r="AX251" s="469"/>
      <c r="AY251" s="469"/>
      <c r="AZ251" s="469"/>
    </row>
    <row r="252" spans="1:52" s="470" customFormat="1" ht="15.75">
      <c r="A252" s="475" t="s">
        <v>36</v>
      </c>
      <c r="B252" s="467"/>
      <c r="C252" s="467"/>
      <c r="D252" s="467"/>
      <c r="E252" s="467"/>
      <c r="F252" s="467"/>
      <c r="G252" s="468"/>
      <c r="H252" s="469"/>
      <c r="I252" s="469"/>
      <c r="J252" s="469"/>
      <c r="K252" s="469"/>
      <c r="L252" s="469"/>
      <c r="M252" s="469"/>
      <c r="N252" s="469"/>
      <c r="O252" s="469"/>
      <c r="P252" s="469"/>
      <c r="Q252" s="469"/>
      <c r="R252" s="469"/>
      <c r="S252" s="469"/>
      <c r="T252" s="469"/>
      <c r="U252" s="469"/>
      <c r="V252" s="469"/>
      <c r="W252" s="469"/>
      <c r="X252" s="469"/>
      <c r="Y252" s="469"/>
      <c r="Z252" s="469"/>
      <c r="AA252" s="469"/>
      <c r="AB252" s="469"/>
      <c r="AC252" s="469"/>
      <c r="AD252" s="469"/>
      <c r="AE252" s="469"/>
      <c r="AF252" s="469"/>
      <c r="AG252" s="469"/>
      <c r="AH252" s="469"/>
      <c r="AI252" s="469"/>
      <c r="AJ252" s="469"/>
      <c r="AK252" s="469"/>
      <c r="AL252" s="469"/>
      <c r="AM252" s="469"/>
      <c r="AN252" s="469"/>
      <c r="AO252" s="469"/>
      <c r="AP252" s="469"/>
      <c r="AQ252" s="469"/>
      <c r="AR252" s="469"/>
      <c r="AS252" s="469"/>
      <c r="AT252" s="469"/>
      <c r="AU252" s="469"/>
      <c r="AV252" s="469"/>
      <c r="AW252" s="469"/>
      <c r="AX252" s="469"/>
      <c r="AY252" s="469"/>
      <c r="AZ252" s="469"/>
    </row>
    <row r="253" spans="1:52" s="470" customFormat="1" ht="25.5">
      <c r="A253" s="476" t="s">
        <v>504</v>
      </c>
      <c r="B253" s="476" t="s">
        <v>505</v>
      </c>
      <c r="C253" s="476" t="s">
        <v>506</v>
      </c>
      <c r="D253" s="476"/>
      <c r="E253" s="477" t="s">
        <v>508</v>
      </c>
      <c r="F253" s="477" t="s">
        <v>509</v>
      </c>
      <c r="G253" s="468"/>
      <c r="H253" s="476">
        <v>2006</v>
      </c>
      <c r="I253" s="476">
        <f>H253+1</f>
        <v>2007</v>
      </c>
      <c r="J253" s="476">
        <f t="shared" ref="J253:AZ253" si="24">I253+1</f>
        <v>2008</v>
      </c>
      <c r="K253" s="476">
        <f t="shared" si="24"/>
        <v>2009</v>
      </c>
      <c r="L253" s="476">
        <f t="shared" si="24"/>
        <v>2010</v>
      </c>
      <c r="M253" s="476">
        <f t="shared" si="24"/>
        <v>2011</v>
      </c>
      <c r="N253" s="476">
        <f t="shared" si="24"/>
        <v>2012</v>
      </c>
      <c r="O253" s="476">
        <f t="shared" si="24"/>
        <v>2013</v>
      </c>
      <c r="P253" s="476">
        <f t="shared" si="24"/>
        <v>2014</v>
      </c>
      <c r="Q253" s="476">
        <f t="shared" si="24"/>
        <v>2015</v>
      </c>
      <c r="R253" s="476">
        <f t="shared" si="24"/>
        <v>2016</v>
      </c>
      <c r="S253" s="476">
        <f t="shared" si="24"/>
        <v>2017</v>
      </c>
      <c r="T253" s="476">
        <f t="shared" si="24"/>
        <v>2018</v>
      </c>
      <c r="U253" s="476">
        <f t="shared" si="24"/>
        <v>2019</v>
      </c>
      <c r="V253" s="476">
        <f t="shared" si="24"/>
        <v>2020</v>
      </c>
      <c r="W253" s="476">
        <f t="shared" si="24"/>
        <v>2021</v>
      </c>
      <c r="X253" s="476">
        <f t="shared" si="24"/>
        <v>2022</v>
      </c>
      <c r="Y253" s="476">
        <f t="shared" si="24"/>
        <v>2023</v>
      </c>
      <c r="Z253" s="476">
        <f t="shared" si="24"/>
        <v>2024</v>
      </c>
      <c r="AA253" s="476">
        <f t="shared" si="24"/>
        <v>2025</v>
      </c>
      <c r="AB253" s="476">
        <f t="shared" si="24"/>
        <v>2026</v>
      </c>
      <c r="AC253" s="476">
        <f t="shared" si="24"/>
        <v>2027</v>
      </c>
      <c r="AD253" s="476">
        <f t="shared" si="24"/>
        <v>2028</v>
      </c>
      <c r="AE253" s="476">
        <f t="shared" si="24"/>
        <v>2029</v>
      </c>
      <c r="AF253" s="476">
        <f t="shared" si="24"/>
        <v>2030</v>
      </c>
      <c r="AG253" s="476">
        <f t="shared" si="24"/>
        <v>2031</v>
      </c>
      <c r="AH253" s="476">
        <f t="shared" si="24"/>
        <v>2032</v>
      </c>
      <c r="AI253" s="476">
        <f t="shared" si="24"/>
        <v>2033</v>
      </c>
      <c r="AJ253" s="476">
        <f t="shared" si="24"/>
        <v>2034</v>
      </c>
      <c r="AK253" s="476">
        <f t="shared" si="24"/>
        <v>2035</v>
      </c>
      <c r="AL253" s="476">
        <f t="shared" si="24"/>
        <v>2036</v>
      </c>
      <c r="AM253" s="476">
        <f t="shared" si="24"/>
        <v>2037</v>
      </c>
      <c r="AN253" s="476">
        <f t="shared" si="24"/>
        <v>2038</v>
      </c>
      <c r="AO253" s="476">
        <f t="shared" si="24"/>
        <v>2039</v>
      </c>
      <c r="AP253" s="476">
        <f t="shared" si="24"/>
        <v>2040</v>
      </c>
      <c r="AQ253" s="476">
        <f t="shared" si="24"/>
        <v>2041</v>
      </c>
      <c r="AR253" s="476">
        <f t="shared" si="24"/>
        <v>2042</v>
      </c>
      <c r="AS253" s="476">
        <f t="shared" si="24"/>
        <v>2043</v>
      </c>
      <c r="AT253" s="476">
        <f t="shared" si="24"/>
        <v>2044</v>
      </c>
      <c r="AU253" s="476">
        <f t="shared" si="24"/>
        <v>2045</v>
      </c>
      <c r="AV253" s="476">
        <f t="shared" si="24"/>
        <v>2046</v>
      </c>
      <c r="AW253" s="476">
        <f t="shared" si="24"/>
        <v>2047</v>
      </c>
      <c r="AX253" s="476">
        <f t="shared" si="24"/>
        <v>2048</v>
      </c>
      <c r="AY253" s="476">
        <f t="shared" si="24"/>
        <v>2049</v>
      </c>
      <c r="AZ253" s="476">
        <f t="shared" si="24"/>
        <v>2050</v>
      </c>
    </row>
    <row r="254" spans="1:52" s="470" customFormat="1" ht="5.0999999999999996" customHeight="1">
      <c r="A254" s="478"/>
      <c r="B254" s="478"/>
      <c r="C254" s="478"/>
      <c r="D254" s="478"/>
      <c r="E254" s="478"/>
      <c r="F254" s="478"/>
      <c r="G254" s="468"/>
      <c r="H254" s="467"/>
      <c r="I254" s="467"/>
      <c r="J254" s="467"/>
      <c r="K254" s="467"/>
      <c r="L254" s="467"/>
      <c r="M254" s="467"/>
      <c r="N254" s="467"/>
      <c r="O254" s="467"/>
      <c r="P254" s="467"/>
      <c r="Q254" s="467"/>
      <c r="R254" s="467"/>
      <c r="S254" s="467"/>
      <c r="T254" s="467"/>
      <c r="U254" s="467"/>
      <c r="V254" s="467"/>
      <c r="W254" s="467"/>
      <c r="X254" s="467"/>
      <c r="Y254" s="467"/>
      <c r="Z254" s="467"/>
      <c r="AA254" s="467"/>
      <c r="AB254" s="467"/>
      <c r="AC254" s="467"/>
      <c r="AD254" s="467"/>
      <c r="AE254" s="467"/>
      <c r="AF254" s="467"/>
      <c r="AG254" s="467"/>
      <c r="AH254" s="467"/>
      <c r="AI254" s="467"/>
      <c r="AJ254" s="467"/>
      <c r="AK254" s="467"/>
      <c r="AL254" s="467"/>
      <c r="AM254" s="467"/>
      <c r="AN254" s="467"/>
      <c r="AO254" s="467"/>
      <c r="AP254" s="467"/>
      <c r="AQ254" s="467"/>
      <c r="AR254" s="467"/>
      <c r="AS254" s="467"/>
      <c r="AT254" s="467"/>
      <c r="AU254" s="467"/>
      <c r="AV254" s="467"/>
      <c r="AW254" s="467"/>
      <c r="AX254" s="467"/>
      <c r="AY254" s="467"/>
      <c r="AZ254" s="467"/>
    </row>
    <row r="255" spans="1:52" s="470" customFormat="1">
      <c r="A255" s="479">
        <f>'[4]Allocation Methodology'!A5</f>
        <v>1</v>
      </c>
      <c r="B255" s="480" t="str">
        <f>'[4]Allocation Methodology'!B5</f>
        <v>Secondary Refrigerator Retirement Pilot</v>
      </c>
      <c r="C255" s="480" t="str">
        <f>'[4]Allocation Methodology'!C5</f>
        <v>Consumer</v>
      </c>
      <c r="D255" s="480"/>
      <c r="E255" s="480">
        <f>'[4]Allocation Methodology'!D5</f>
        <v>2006</v>
      </c>
      <c r="F255" s="481" t="str">
        <f>'[4]Allocation Methodology'!E5</f>
        <v>Final</v>
      </c>
      <c r="G255" s="472" t="b">
        <v>0</v>
      </c>
      <c r="H255" s="542">
        <v>30.874344586690405</v>
      </c>
      <c r="I255" s="543">
        <v>30.874344586690405</v>
      </c>
      <c r="J255" s="544">
        <v>30.874344586690405</v>
      </c>
      <c r="K255" s="543">
        <v>30.874344586690405</v>
      </c>
      <c r="L255" s="544">
        <v>30.874344586690405</v>
      </c>
      <c r="M255" s="544">
        <v>30.874344586690405</v>
      </c>
      <c r="N255" s="544">
        <v>0</v>
      </c>
      <c r="O255" s="544">
        <v>0</v>
      </c>
      <c r="P255" s="544">
        <v>0</v>
      </c>
      <c r="Q255" s="544">
        <v>0</v>
      </c>
      <c r="R255" s="544">
        <v>0</v>
      </c>
      <c r="S255" s="544">
        <v>0</v>
      </c>
      <c r="T255" s="544">
        <v>0</v>
      </c>
      <c r="U255" s="544">
        <v>0</v>
      </c>
      <c r="V255" s="544">
        <v>0</v>
      </c>
      <c r="W255" s="544">
        <v>0</v>
      </c>
      <c r="X255" s="544">
        <v>0</v>
      </c>
      <c r="Y255" s="544">
        <v>0</v>
      </c>
      <c r="Z255" s="544">
        <v>0</v>
      </c>
      <c r="AA255" s="544">
        <v>0</v>
      </c>
      <c r="AB255" s="544">
        <v>0</v>
      </c>
      <c r="AC255" s="544">
        <v>0</v>
      </c>
      <c r="AD255" s="544">
        <v>0</v>
      </c>
      <c r="AE255" s="544">
        <v>0</v>
      </c>
      <c r="AF255" s="544">
        <v>0</v>
      </c>
      <c r="AG255" s="544">
        <v>0</v>
      </c>
      <c r="AH255" s="544">
        <v>0</v>
      </c>
      <c r="AI255" s="544">
        <v>0</v>
      </c>
      <c r="AJ255" s="544">
        <v>0</v>
      </c>
      <c r="AK255" s="544">
        <v>0</v>
      </c>
      <c r="AL255" s="544">
        <v>0</v>
      </c>
      <c r="AM255" s="544">
        <v>0</v>
      </c>
      <c r="AN255" s="544">
        <v>0</v>
      </c>
      <c r="AO255" s="544">
        <v>0</v>
      </c>
      <c r="AP255" s="544">
        <v>0</v>
      </c>
      <c r="AQ255" s="544">
        <v>0</v>
      </c>
      <c r="AR255" s="544">
        <v>0</v>
      </c>
      <c r="AS255" s="544">
        <v>0</v>
      </c>
      <c r="AT255" s="544">
        <v>0</v>
      </c>
      <c r="AU255" s="544">
        <v>0</v>
      </c>
      <c r="AV255" s="544">
        <v>0</v>
      </c>
      <c r="AW255" s="544">
        <v>0</v>
      </c>
      <c r="AX255" s="544">
        <v>0</v>
      </c>
      <c r="AY255" s="544">
        <v>0</v>
      </c>
      <c r="AZ255" s="545">
        <v>0</v>
      </c>
    </row>
    <row r="256" spans="1:52" s="470" customFormat="1">
      <c r="A256" s="486">
        <f>'[4]Allocation Methodology'!A6</f>
        <v>2</v>
      </c>
      <c r="B256" s="487" t="str">
        <f>'[4]Allocation Methodology'!B6</f>
        <v>Cool &amp; Hot Savings Rebate</v>
      </c>
      <c r="C256" s="487" t="str">
        <f>'[4]Allocation Methodology'!C6</f>
        <v>Consumer</v>
      </c>
      <c r="D256" s="487"/>
      <c r="E256" s="487">
        <f>'[4]Allocation Methodology'!D6</f>
        <v>2006</v>
      </c>
      <c r="F256" s="488" t="str">
        <f>'[4]Allocation Methodology'!E6</f>
        <v>Final</v>
      </c>
      <c r="G256" s="472" t="b">
        <v>0</v>
      </c>
      <c r="H256" s="546">
        <v>86.896399496737601</v>
      </c>
      <c r="I256" s="547">
        <v>86.896399496737601</v>
      </c>
      <c r="J256" s="547">
        <v>86.896399496737601</v>
      </c>
      <c r="K256" s="547">
        <v>86.896399496737601</v>
      </c>
      <c r="L256" s="547">
        <v>86.896399496737601</v>
      </c>
      <c r="M256" s="547">
        <v>86.896399496737601</v>
      </c>
      <c r="N256" s="547">
        <v>86.896399496737601</v>
      </c>
      <c r="O256" s="547">
        <v>86.896399496737601</v>
      </c>
      <c r="P256" s="547">
        <v>66.91021915802061</v>
      </c>
      <c r="Q256" s="547">
        <v>66.91021915802061</v>
      </c>
      <c r="R256" s="547">
        <v>66.91021915802061</v>
      </c>
      <c r="S256" s="547">
        <v>66.91021915802061</v>
      </c>
      <c r="T256" s="547">
        <v>66.91021915802061</v>
      </c>
      <c r="U256" s="547">
        <v>66.91021915802061</v>
      </c>
      <c r="V256" s="547">
        <v>39.033305002526909</v>
      </c>
      <c r="W256" s="547">
        <v>11.873374804211316</v>
      </c>
      <c r="X256" s="547">
        <v>11.873374804211316</v>
      </c>
      <c r="Y256" s="547">
        <v>11.873374804211316</v>
      </c>
      <c r="Z256" s="547">
        <v>0</v>
      </c>
      <c r="AA256" s="547">
        <v>0</v>
      </c>
      <c r="AB256" s="547">
        <v>0</v>
      </c>
      <c r="AC256" s="547">
        <v>0</v>
      </c>
      <c r="AD256" s="547">
        <v>0</v>
      </c>
      <c r="AE256" s="547">
        <v>0</v>
      </c>
      <c r="AF256" s="547">
        <v>0</v>
      </c>
      <c r="AG256" s="547">
        <v>0</v>
      </c>
      <c r="AH256" s="547">
        <v>0</v>
      </c>
      <c r="AI256" s="547">
        <v>0</v>
      </c>
      <c r="AJ256" s="547">
        <v>0</v>
      </c>
      <c r="AK256" s="547">
        <v>0</v>
      </c>
      <c r="AL256" s="547">
        <v>0</v>
      </c>
      <c r="AM256" s="547">
        <v>0</v>
      </c>
      <c r="AN256" s="547">
        <v>0</v>
      </c>
      <c r="AO256" s="547">
        <v>0</v>
      </c>
      <c r="AP256" s="547">
        <v>0</v>
      </c>
      <c r="AQ256" s="547">
        <v>0</v>
      </c>
      <c r="AR256" s="547">
        <v>0</v>
      </c>
      <c r="AS256" s="547">
        <v>0</v>
      </c>
      <c r="AT256" s="547">
        <v>0</v>
      </c>
      <c r="AU256" s="547">
        <v>0</v>
      </c>
      <c r="AV256" s="547">
        <v>0</v>
      </c>
      <c r="AW256" s="547">
        <v>0</v>
      </c>
      <c r="AX256" s="547">
        <v>0</v>
      </c>
      <c r="AY256" s="547">
        <v>0</v>
      </c>
      <c r="AZ256" s="548">
        <v>0</v>
      </c>
    </row>
    <row r="257" spans="1:52" s="470" customFormat="1">
      <c r="A257" s="493">
        <f>'[4]Allocation Methodology'!A7</f>
        <v>3</v>
      </c>
      <c r="B257" s="494" t="str">
        <f>'[4]Allocation Methodology'!B7</f>
        <v>Every Kilowatt Counts</v>
      </c>
      <c r="C257" s="494" t="str">
        <f>'[4]Allocation Methodology'!C7</f>
        <v>Consumer</v>
      </c>
      <c r="D257" s="494"/>
      <c r="E257" s="494">
        <f>'[4]Allocation Methodology'!D7</f>
        <v>2006</v>
      </c>
      <c r="F257" s="495" t="str">
        <f>'[4]Allocation Methodology'!E7</f>
        <v>Final</v>
      </c>
      <c r="G257" s="472" t="b">
        <v>0</v>
      </c>
      <c r="H257" s="549">
        <v>1977.6193546747359</v>
      </c>
      <c r="I257" s="550">
        <v>1977.6193546747359</v>
      </c>
      <c r="J257" s="550">
        <v>1977.6193546747359</v>
      </c>
      <c r="K257" s="550">
        <v>1977.6193546747359</v>
      </c>
      <c r="L257" s="550">
        <v>254.97774839213079</v>
      </c>
      <c r="M257" s="550">
        <v>254.97774839213079</v>
      </c>
      <c r="N257" s="550">
        <v>254.97774839213079</v>
      </c>
      <c r="O257" s="550">
        <v>254.97774839213079</v>
      </c>
      <c r="P257" s="550">
        <v>254.97774839213079</v>
      </c>
      <c r="Q257" s="550">
        <v>254.97774839213079</v>
      </c>
      <c r="R257" s="550">
        <v>237.79269854743225</v>
      </c>
      <c r="S257" s="550">
        <v>237.79269854743225</v>
      </c>
      <c r="T257" s="550">
        <v>237.79269854743225</v>
      </c>
      <c r="U257" s="550">
        <v>237.79269854743225</v>
      </c>
      <c r="V257" s="550">
        <v>237.79269854743225</v>
      </c>
      <c r="W257" s="550">
        <v>220.28626132157467</v>
      </c>
      <c r="X257" s="550">
        <v>220.28626132157467</v>
      </c>
      <c r="Y257" s="550">
        <v>220.28626132157467</v>
      </c>
      <c r="Z257" s="550">
        <v>124.99853527544661</v>
      </c>
      <c r="AA257" s="550">
        <v>124.99853527544661</v>
      </c>
      <c r="AB257" s="550">
        <v>72.9363818144421</v>
      </c>
      <c r="AC257" s="550">
        <v>72.9363818144421</v>
      </c>
      <c r="AD257" s="550">
        <v>72.9363818144421</v>
      </c>
      <c r="AE257" s="550">
        <v>72.9363818144421</v>
      </c>
      <c r="AF257" s="550">
        <v>72.9363818144421</v>
      </c>
      <c r="AG257" s="550">
        <v>11.834705580732592</v>
      </c>
      <c r="AH257" s="550">
        <v>11.834705580732592</v>
      </c>
      <c r="AI257" s="550">
        <v>11.834705580732592</v>
      </c>
      <c r="AJ257" s="550">
        <v>11.834705580732592</v>
      </c>
      <c r="AK257" s="550">
        <v>11.834705580732592</v>
      </c>
      <c r="AL257" s="550">
        <v>0</v>
      </c>
      <c r="AM257" s="550">
        <v>0</v>
      </c>
      <c r="AN257" s="550">
        <v>0</v>
      </c>
      <c r="AO257" s="550">
        <v>0</v>
      </c>
      <c r="AP257" s="550">
        <v>0</v>
      </c>
      <c r="AQ257" s="550">
        <v>0</v>
      </c>
      <c r="AR257" s="550">
        <v>0</v>
      </c>
      <c r="AS257" s="550">
        <v>0</v>
      </c>
      <c r="AT257" s="550">
        <v>0</v>
      </c>
      <c r="AU257" s="550">
        <v>0</v>
      </c>
      <c r="AV257" s="550">
        <v>0</v>
      </c>
      <c r="AW257" s="550">
        <v>0</v>
      </c>
      <c r="AX257" s="550">
        <v>0</v>
      </c>
      <c r="AY257" s="550">
        <v>0</v>
      </c>
      <c r="AZ257" s="551">
        <v>0</v>
      </c>
    </row>
    <row r="258" spans="1:52" s="470" customFormat="1">
      <c r="A258" s="486">
        <f>'[4]Allocation Methodology'!A8</f>
        <v>4</v>
      </c>
      <c r="B258" s="487" t="str">
        <f>'[4]Allocation Methodology'!B8</f>
        <v>Demand Response 1</v>
      </c>
      <c r="C258" s="487" t="str">
        <f>'[4]Allocation Methodology'!C8</f>
        <v>Business, Industrial</v>
      </c>
      <c r="D258" s="487"/>
      <c r="E258" s="487">
        <f>'[4]Allocation Methodology'!D8</f>
        <v>2006</v>
      </c>
      <c r="F258" s="488" t="str">
        <f>'[4]Allocation Methodology'!E8</f>
        <v>Final</v>
      </c>
      <c r="G258" s="472" t="b">
        <v>0</v>
      </c>
      <c r="H258" s="546">
        <v>0</v>
      </c>
      <c r="I258" s="547">
        <v>0</v>
      </c>
      <c r="J258" s="547">
        <v>0</v>
      </c>
      <c r="K258" s="547">
        <v>0</v>
      </c>
      <c r="L258" s="547">
        <v>0</v>
      </c>
      <c r="M258" s="547">
        <v>0</v>
      </c>
      <c r="N258" s="547">
        <v>0</v>
      </c>
      <c r="O258" s="547">
        <v>0</v>
      </c>
      <c r="P258" s="547">
        <v>0</v>
      </c>
      <c r="Q258" s="547">
        <v>0</v>
      </c>
      <c r="R258" s="547">
        <v>0</v>
      </c>
      <c r="S258" s="547">
        <v>0</v>
      </c>
      <c r="T258" s="547">
        <v>0</v>
      </c>
      <c r="U258" s="547">
        <v>0</v>
      </c>
      <c r="V258" s="547">
        <v>0</v>
      </c>
      <c r="W258" s="547">
        <v>0</v>
      </c>
      <c r="X258" s="547">
        <v>0</v>
      </c>
      <c r="Y258" s="547">
        <v>0</v>
      </c>
      <c r="Z258" s="547">
        <v>0</v>
      </c>
      <c r="AA258" s="547">
        <v>0</v>
      </c>
      <c r="AB258" s="547">
        <v>0</v>
      </c>
      <c r="AC258" s="547">
        <v>0</v>
      </c>
      <c r="AD258" s="547">
        <v>0</v>
      </c>
      <c r="AE258" s="547">
        <v>0</v>
      </c>
      <c r="AF258" s="547">
        <v>0</v>
      </c>
      <c r="AG258" s="547">
        <v>0</v>
      </c>
      <c r="AH258" s="547">
        <v>0</v>
      </c>
      <c r="AI258" s="547">
        <v>0</v>
      </c>
      <c r="AJ258" s="547">
        <v>0</v>
      </c>
      <c r="AK258" s="547">
        <v>0</v>
      </c>
      <c r="AL258" s="547">
        <v>0</v>
      </c>
      <c r="AM258" s="547">
        <v>0</v>
      </c>
      <c r="AN258" s="547">
        <v>0</v>
      </c>
      <c r="AO258" s="547">
        <v>0</v>
      </c>
      <c r="AP258" s="547">
        <v>0</v>
      </c>
      <c r="AQ258" s="547">
        <v>0</v>
      </c>
      <c r="AR258" s="547">
        <v>0</v>
      </c>
      <c r="AS258" s="547">
        <v>0</v>
      </c>
      <c r="AT258" s="547">
        <v>0</v>
      </c>
      <c r="AU258" s="547">
        <v>0</v>
      </c>
      <c r="AV258" s="547">
        <v>0</v>
      </c>
      <c r="AW258" s="547">
        <v>0</v>
      </c>
      <c r="AX258" s="547">
        <v>0</v>
      </c>
      <c r="AY258" s="547">
        <v>0</v>
      </c>
      <c r="AZ258" s="548">
        <v>0</v>
      </c>
    </row>
    <row r="259" spans="1:52" s="470" customFormat="1">
      <c r="A259" s="500">
        <f>'[4]Allocation Methodology'!A9</f>
        <v>5</v>
      </c>
      <c r="B259" s="501" t="str">
        <f>'[4]Allocation Methodology'!B9</f>
        <v>Loblaw &amp; York Region Demand Response</v>
      </c>
      <c r="C259" s="501" t="str">
        <f>'[4]Allocation Methodology'!C9</f>
        <v>Business, Industrial</v>
      </c>
      <c r="D259" s="501"/>
      <c r="E259" s="501">
        <f>'[4]Allocation Methodology'!D9</f>
        <v>2006</v>
      </c>
      <c r="F259" s="502" t="str">
        <f>'[4]Allocation Methodology'!E9</f>
        <v>Final</v>
      </c>
      <c r="G259" s="472" t="b">
        <v>0</v>
      </c>
      <c r="H259" s="552">
        <v>0</v>
      </c>
      <c r="I259" s="553">
        <v>0</v>
      </c>
      <c r="J259" s="553">
        <v>0</v>
      </c>
      <c r="K259" s="553">
        <v>0</v>
      </c>
      <c r="L259" s="553">
        <v>0</v>
      </c>
      <c r="M259" s="553">
        <v>0</v>
      </c>
      <c r="N259" s="553">
        <v>0</v>
      </c>
      <c r="O259" s="553">
        <v>0</v>
      </c>
      <c r="P259" s="553">
        <v>0</v>
      </c>
      <c r="Q259" s="553">
        <v>0</v>
      </c>
      <c r="R259" s="553">
        <v>0</v>
      </c>
      <c r="S259" s="553">
        <v>0</v>
      </c>
      <c r="T259" s="553">
        <v>0</v>
      </c>
      <c r="U259" s="553">
        <v>0</v>
      </c>
      <c r="V259" s="553">
        <v>0</v>
      </c>
      <c r="W259" s="553">
        <v>0</v>
      </c>
      <c r="X259" s="553">
        <v>0</v>
      </c>
      <c r="Y259" s="553">
        <v>0</v>
      </c>
      <c r="Z259" s="553">
        <v>0</v>
      </c>
      <c r="AA259" s="553">
        <v>0</v>
      </c>
      <c r="AB259" s="553">
        <v>0</v>
      </c>
      <c r="AC259" s="553">
        <v>0</v>
      </c>
      <c r="AD259" s="553">
        <v>0</v>
      </c>
      <c r="AE259" s="553">
        <v>0</v>
      </c>
      <c r="AF259" s="553">
        <v>0</v>
      </c>
      <c r="AG259" s="553">
        <v>0</v>
      </c>
      <c r="AH259" s="553">
        <v>0</v>
      </c>
      <c r="AI259" s="553">
        <v>0</v>
      </c>
      <c r="AJ259" s="553">
        <v>0</v>
      </c>
      <c r="AK259" s="553">
        <v>0</v>
      </c>
      <c r="AL259" s="553">
        <v>0</v>
      </c>
      <c r="AM259" s="553">
        <v>0</v>
      </c>
      <c r="AN259" s="553">
        <v>0</v>
      </c>
      <c r="AO259" s="553">
        <v>0</v>
      </c>
      <c r="AP259" s="553">
        <v>0</v>
      </c>
      <c r="AQ259" s="553">
        <v>0</v>
      </c>
      <c r="AR259" s="553">
        <v>0</v>
      </c>
      <c r="AS259" s="553">
        <v>0</v>
      </c>
      <c r="AT259" s="553">
        <v>0</v>
      </c>
      <c r="AU259" s="553">
        <v>0</v>
      </c>
      <c r="AV259" s="553">
        <v>0</v>
      </c>
      <c r="AW259" s="553">
        <v>0</v>
      </c>
      <c r="AX259" s="553">
        <v>0</v>
      </c>
      <c r="AY259" s="553">
        <v>0</v>
      </c>
      <c r="AZ259" s="554">
        <v>0</v>
      </c>
    </row>
    <row r="260" spans="1:52" s="470" customFormat="1">
      <c r="A260" s="507">
        <f>'[4]Allocation Methodology'!A10</f>
        <v>6</v>
      </c>
      <c r="B260" s="508" t="str">
        <f>'[4]Allocation Methodology'!B10</f>
        <v>Great Refrigerator Roundup</v>
      </c>
      <c r="C260" s="508" t="str">
        <f>'[4]Allocation Methodology'!C10</f>
        <v>Consumer</v>
      </c>
      <c r="D260" s="508"/>
      <c r="E260" s="508">
        <f>'[4]Allocation Methodology'!D10</f>
        <v>2007</v>
      </c>
      <c r="F260" s="509" t="str">
        <f>'[4]Allocation Methodology'!E10</f>
        <v>Final</v>
      </c>
      <c r="G260" s="472" t="b">
        <v>0</v>
      </c>
      <c r="H260" s="555">
        <v>0</v>
      </c>
      <c r="I260" s="556">
        <v>151.31990266557551</v>
      </c>
      <c r="J260" s="556">
        <v>151.31990266557551</v>
      </c>
      <c r="K260" s="556">
        <v>151.31990266557551</v>
      </c>
      <c r="L260" s="556">
        <v>151.31990266557551</v>
      </c>
      <c r="M260" s="556">
        <v>150.95964441107961</v>
      </c>
      <c r="N260" s="556">
        <v>150.59938615658371</v>
      </c>
      <c r="O260" s="556">
        <v>150.59938615658371</v>
      </c>
      <c r="P260" s="556">
        <v>150.59938615658371</v>
      </c>
      <c r="Q260" s="556">
        <v>128.15142886607126</v>
      </c>
      <c r="R260" s="556">
        <v>0</v>
      </c>
      <c r="S260" s="556">
        <v>0</v>
      </c>
      <c r="T260" s="556">
        <v>0</v>
      </c>
      <c r="U260" s="556">
        <v>0</v>
      </c>
      <c r="V260" s="556">
        <v>0</v>
      </c>
      <c r="W260" s="556">
        <v>0</v>
      </c>
      <c r="X260" s="556">
        <v>0</v>
      </c>
      <c r="Y260" s="556">
        <v>0</v>
      </c>
      <c r="Z260" s="556">
        <v>0</v>
      </c>
      <c r="AA260" s="556">
        <v>0</v>
      </c>
      <c r="AB260" s="556">
        <v>0</v>
      </c>
      <c r="AC260" s="556">
        <v>0</v>
      </c>
      <c r="AD260" s="556">
        <v>0</v>
      </c>
      <c r="AE260" s="556">
        <v>0</v>
      </c>
      <c r="AF260" s="556">
        <v>0</v>
      </c>
      <c r="AG260" s="556">
        <v>0</v>
      </c>
      <c r="AH260" s="556">
        <v>0</v>
      </c>
      <c r="AI260" s="556">
        <v>0</v>
      </c>
      <c r="AJ260" s="556">
        <v>0</v>
      </c>
      <c r="AK260" s="556">
        <v>0</v>
      </c>
      <c r="AL260" s="556">
        <v>0</v>
      </c>
      <c r="AM260" s="556">
        <v>0</v>
      </c>
      <c r="AN260" s="556">
        <v>0</v>
      </c>
      <c r="AO260" s="556">
        <v>0</v>
      </c>
      <c r="AP260" s="556">
        <v>0</v>
      </c>
      <c r="AQ260" s="556">
        <v>0</v>
      </c>
      <c r="AR260" s="556">
        <v>0</v>
      </c>
      <c r="AS260" s="556">
        <v>0</v>
      </c>
      <c r="AT260" s="556">
        <v>0</v>
      </c>
      <c r="AU260" s="556">
        <v>0</v>
      </c>
      <c r="AV260" s="556">
        <v>0</v>
      </c>
      <c r="AW260" s="556">
        <v>0</v>
      </c>
      <c r="AX260" s="556">
        <v>0</v>
      </c>
      <c r="AY260" s="556">
        <v>0</v>
      </c>
      <c r="AZ260" s="557">
        <v>0</v>
      </c>
    </row>
    <row r="261" spans="1:52" s="470" customFormat="1">
      <c r="A261" s="493">
        <f>'[4]Allocation Methodology'!A11</f>
        <v>7</v>
      </c>
      <c r="B261" s="494" t="str">
        <f>'[4]Allocation Methodology'!B11</f>
        <v>Cool &amp; Hot Savings Rebate</v>
      </c>
      <c r="C261" s="494" t="str">
        <f>'[4]Allocation Methodology'!C11</f>
        <v>Consumer</v>
      </c>
      <c r="D261" s="494"/>
      <c r="E261" s="494">
        <f>'[4]Allocation Methodology'!D11</f>
        <v>2007</v>
      </c>
      <c r="F261" s="495" t="str">
        <f>'[4]Allocation Methodology'!E11</f>
        <v>Final</v>
      </c>
      <c r="G261" s="472" t="b">
        <v>0</v>
      </c>
      <c r="H261" s="549">
        <v>0</v>
      </c>
      <c r="I261" s="550">
        <v>231.51898622698926</v>
      </c>
      <c r="J261" s="550">
        <v>231.51898622698926</v>
      </c>
      <c r="K261" s="550">
        <v>231.51898622698926</v>
      </c>
      <c r="L261" s="550">
        <v>231.51898622698926</v>
      </c>
      <c r="M261" s="550">
        <v>231.51898622698926</v>
      </c>
      <c r="N261" s="550">
        <v>195.95216272360048</v>
      </c>
      <c r="O261" s="550">
        <v>195.95216272360048</v>
      </c>
      <c r="P261" s="550">
        <v>195.95216272360048</v>
      </c>
      <c r="Q261" s="550">
        <v>195.95216272360048</v>
      </c>
      <c r="R261" s="550">
        <v>195.95216272360048</v>
      </c>
      <c r="S261" s="550">
        <v>195.95216272360048</v>
      </c>
      <c r="T261" s="550">
        <v>195.95216272360048</v>
      </c>
      <c r="U261" s="550">
        <v>195.95216272360048</v>
      </c>
      <c r="V261" s="550">
        <v>195.95216272360048</v>
      </c>
      <c r="W261" s="550">
        <v>195.95216272360048</v>
      </c>
      <c r="X261" s="550">
        <v>21.526692143170731</v>
      </c>
      <c r="Y261" s="550">
        <v>21.526692143170731</v>
      </c>
      <c r="Z261" s="550">
        <v>21.526692143170731</v>
      </c>
      <c r="AA261" s="550">
        <v>0</v>
      </c>
      <c r="AB261" s="550">
        <v>0</v>
      </c>
      <c r="AC261" s="550">
        <v>0</v>
      </c>
      <c r="AD261" s="550">
        <v>0</v>
      </c>
      <c r="AE261" s="550">
        <v>0</v>
      </c>
      <c r="AF261" s="550">
        <v>0</v>
      </c>
      <c r="AG261" s="550">
        <v>0</v>
      </c>
      <c r="AH261" s="550">
        <v>0</v>
      </c>
      <c r="AI261" s="550">
        <v>0</v>
      </c>
      <c r="AJ261" s="550">
        <v>0</v>
      </c>
      <c r="AK261" s="550">
        <v>0</v>
      </c>
      <c r="AL261" s="550">
        <v>0</v>
      </c>
      <c r="AM261" s="550">
        <v>0</v>
      </c>
      <c r="AN261" s="550">
        <v>0</v>
      </c>
      <c r="AO261" s="550">
        <v>0</v>
      </c>
      <c r="AP261" s="550">
        <v>0</v>
      </c>
      <c r="AQ261" s="550">
        <v>0</v>
      </c>
      <c r="AR261" s="550">
        <v>0</v>
      </c>
      <c r="AS261" s="550">
        <v>0</v>
      </c>
      <c r="AT261" s="550">
        <v>0</v>
      </c>
      <c r="AU261" s="550">
        <v>0</v>
      </c>
      <c r="AV261" s="550">
        <v>0</v>
      </c>
      <c r="AW261" s="550">
        <v>0</v>
      </c>
      <c r="AX261" s="550">
        <v>0</v>
      </c>
      <c r="AY261" s="550">
        <v>0</v>
      </c>
      <c r="AZ261" s="551">
        <v>0</v>
      </c>
    </row>
    <row r="262" spans="1:52" s="470" customFormat="1">
      <c r="A262" s="486">
        <f>'[4]Allocation Methodology'!A12</f>
        <v>8</v>
      </c>
      <c r="B262" s="487" t="str">
        <f>'[4]Allocation Methodology'!B12</f>
        <v>Every Kilowatt Counts</v>
      </c>
      <c r="C262" s="487" t="str">
        <f>'[4]Allocation Methodology'!C12</f>
        <v>Consumer</v>
      </c>
      <c r="D262" s="487"/>
      <c r="E262" s="487">
        <f>'[4]Allocation Methodology'!D12</f>
        <v>2007</v>
      </c>
      <c r="F262" s="488" t="str">
        <f>'[4]Allocation Methodology'!E12</f>
        <v>Final</v>
      </c>
      <c r="G262" s="472" t="b">
        <v>0</v>
      </c>
      <c r="H262" s="546">
        <v>0</v>
      </c>
      <c r="I262" s="547">
        <v>963.98617631899037</v>
      </c>
      <c r="J262" s="547">
        <v>948.27410947275075</v>
      </c>
      <c r="K262" s="547">
        <v>948.27410947275075</v>
      </c>
      <c r="L262" s="547">
        <v>948.27410947275075</v>
      </c>
      <c r="M262" s="547">
        <v>948.27410947275075</v>
      </c>
      <c r="N262" s="547">
        <v>893.81381341169651</v>
      </c>
      <c r="O262" s="547">
        <v>893.81381341169651</v>
      </c>
      <c r="P262" s="547">
        <v>893.81381341169651</v>
      </c>
      <c r="Q262" s="547">
        <v>96.772232176828012</v>
      </c>
      <c r="R262" s="547">
        <v>96.772232176828012</v>
      </c>
      <c r="S262" s="547">
        <v>17.304287100682313</v>
      </c>
      <c r="T262" s="547">
        <v>17.304287100682313</v>
      </c>
      <c r="U262" s="547">
        <v>17.304287100682313</v>
      </c>
      <c r="V262" s="547">
        <v>17.304287100682313</v>
      </c>
      <c r="W262" s="547">
        <v>17.304287100682313</v>
      </c>
      <c r="X262" s="547">
        <v>9.7524754762032249</v>
      </c>
      <c r="Y262" s="547">
        <v>3.6312982173682316</v>
      </c>
      <c r="Z262" s="547">
        <v>3.6312982173682316</v>
      </c>
      <c r="AA262" s="547">
        <v>0</v>
      </c>
      <c r="AB262" s="547">
        <v>0</v>
      </c>
      <c r="AC262" s="547">
        <v>0</v>
      </c>
      <c r="AD262" s="547">
        <v>0</v>
      </c>
      <c r="AE262" s="547">
        <v>0</v>
      </c>
      <c r="AF262" s="547">
        <v>0</v>
      </c>
      <c r="AG262" s="547">
        <v>0</v>
      </c>
      <c r="AH262" s="547">
        <v>0</v>
      </c>
      <c r="AI262" s="547">
        <v>0</v>
      </c>
      <c r="AJ262" s="547">
        <v>0</v>
      </c>
      <c r="AK262" s="547">
        <v>0</v>
      </c>
      <c r="AL262" s="547">
        <v>0</v>
      </c>
      <c r="AM262" s="547">
        <v>0</v>
      </c>
      <c r="AN262" s="547">
        <v>0</v>
      </c>
      <c r="AO262" s="547">
        <v>0</v>
      </c>
      <c r="AP262" s="547">
        <v>0</v>
      </c>
      <c r="AQ262" s="547">
        <v>0</v>
      </c>
      <c r="AR262" s="547">
        <v>0</v>
      </c>
      <c r="AS262" s="547">
        <v>0</v>
      </c>
      <c r="AT262" s="547">
        <v>0</v>
      </c>
      <c r="AU262" s="547">
        <v>0</v>
      </c>
      <c r="AV262" s="547">
        <v>0</v>
      </c>
      <c r="AW262" s="547">
        <v>0</v>
      </c>
      <c r="AX262" s="547">
        <v>0</v>
      </c>
      <c r="AY262" s="547">
        <v>0</v>
      </c>
      <c r="AZ262" s="548">
        <v>0</v>
      </c>
    </row>
    <row r="263" spans="1:52" s="470" customFormat="1">
      <c r="A263" s="493">
        <f>'[4]Allocation Methodology'!A13</f>
        <v>9</v>
      </c>
      <c r="B263" s="514" t="str">
        <f>'[4]Allocation Methodology'!B13</f>
        <v>peaksaver®</v>
      </c>
      <c r="C263" s="494" t="str">
        <f>'[4]Allocation Methodology'!C13</f>
        <v>Consumer, Business</v>
      </c>
      <c r="D263" s="494"/>
      <c r="E263" s="494">
        <f>'[4]Allocation Methodology'!D13</f>
        <v>2007</v>
      </c>
      <c r="F263" s="495" t="str">
        <f>'[4]Allocation Methodology'!E13</f>
        <v>Final</v>
      </c>
      <c r="G263" s="472" t="b">
        <v>0</v>
      </c>
      <c r="H263" s="549">
        <v>0</v>
      </c>
      <c r="I263" s="550">
        <v>0</v>
      </c>
      <c r="J263" s="550">
        <v>0</v>
      </c>
      <c r="K263" s="550">
        <v>0</v>
      </c>
      <c r="L263" s="550">
        <v>0</v>
      </c>
      <c r="M263" s="550">
        <v>0</v>
      </c>
      <c r="N263" s="550">
        <v>0</v>
      </c>
      <c r="O263" s="550">
        <v>0</v>
      </c>
      <c r="P263" s="550">
        <v>0</v>
      </c>
      <c r="Q263" s="550">
        <v>0</v>
      </c>
      <c r="R263" s="550">
        <v>0</v>
      </c>
      <c r="S263" s="550">
        <v>0</v>
      </c>
      <c r="T263" s="550">
        <v>0</v>
      </c>
      <c r="U263" s="550">
        <v>0</v>
      </c>
      <c r="V263" s="550">
        <v>0</v>
      </c>
      <c r="W263" s="550">
        <v>0</v>
      </c>
      <c r="X263" s="550">
        <v>0</v>
      </c>
      <c r="Y263" s="550">
        <v>0</v>
      </c>
      <c r="Z263" s="550">
        <v>0</v>
      </c>
      <c r="AA263" s="550">
        <v>0</v>
      </c>
      <c r="AB263" s="550">
        <v>0</v>
      </c>
      <c r="AC263" s="550">
        <v>0</v>
      </c>
      <c r="AD263" s="550">
        <v>0</v>
      </c>
      <c r="AE263" s="550">
        <v>0</v>
      </c>
      <c r="AF263" s="550">
        <v>0</v>
      </c>
      <c r="AG263" s="550">
        <v>0</v>
      </c>
      <c r="AH263" s="550">
        <v>0</v>
      </c>
      <c r="AI263" s="550">
        <v>0</v>
      </c>
      <c r="AJ263" s="550">
        <v>0</v>
      </c>
      <c r="AK263" s="550">
        <v>0</v>
      </c>
      <c r="AL263" s="550">
        <v>0</v>
      </c>
      <c r="AM263" s="550">
        <v>0</v>
      </c>
      <c r="AN263" s="550">
        <v>0</v>
      </c>
      <c r="AO263" s="550">
        <v>0</v>
      </c>
      <c r="AP263" s="550">
        <v>0</v>
      </c>
      <c r="AQ263" s="550">
        <v>0</v>
      </c>
      <c r="AR263" s="550">
        <v>0</v>
      </c>
      <c r="AS263" s="550">
        <v>0</v>
      </c>
      <c r="AT263" s="550">
        <v>0</v>
      </c>
      <c r="AU263" s="550">
        <v>0</v>
      </c>
      <c r="AV263" s="550">
        <v>0</v>
      </c>
      <c r="AW263" s="550">
        <v>0</v>
      </c>
      <c r="AX263" s="550">
        <v>0</v>
      </c>
      <c r="AY263" s="550">
        <v>0</v>
      </c>
      <c r="AZ263" s="551">
        <v>0</v>
      </c>
    </row>
    <row r="264" spans="1:52" s="470" customFormat="1">
      <c r="A264" s="486">
        <f>'[4]Allocation Methodology'!A14</f>
        <v>10</v>
      </c>
      <c r="B264" s="487" t="str">
        <f>'[4]Allocation Methodology'!B14</f>
        <v>Summer Savings</v>
      </c>
      <c r="C264" s="487" t="str">
        <f>'[4]Allocation Methodology'!C14</f>
        <v>Consumer</v>
      </c>
      <c r="D264" s="487"/>
      <c r="E264" s="487">
        <f>'[4]Allocation Methodology'!D14</f>
        <v>2007</v>
      </c>
      <c r="F264" s="488" t="str">
        <f>'[4]Allocation Methodology'!E14</f>
        <v>Final</v>
      </c>
      <c r="G264" s="472" t="b">
        <v>0</v>
      </c>
      <c r="H264" s="546">
        <v>0</v>
      </c>
      <c r="I264" s="547">
        <v>2749.8896526498397</v>
      </c>
      <c r="J264" s="547">
        <v>463.50058762386629</v>
      </c>
      <c r="K264" s="547">
        <v>175.44243901458955</v>
      </c>
      <c r="L264" s="547">
        <v>175.44243901458955</v>
      </c>
      <c r="M264" s="547">
        <v>175.44243901458955</v>
      </c>
      <c r="N264" s="547">
        <v>175.44243901458955</v>
      </c>
      <c r="O264" s="547">
        <v>175.44243901458955</v>
      </c>
      <c r="P264" s="547">
        <v>175.44243901458955</v>
      </c>
      <c r="Q264" s="547">
        <v>111.42429867092343</v>
      </c>
      <c r="R264" s="547">
        <v>111.42429867092343</v>
      </c>
      <c r="S264" s="547">
        <v>111.42429867092343</v>
      </c>
      <c r="T264" s="547">
        <v>111.42429867092343</v>
      </c>
      <c r="U264" s="547">
        <v>111.42429867092343</v>
      </c>
      <c r="V264" s="547">
        <v>111.42429867092343</v>
      </c>
      <c r="W264" s="547">
        <v>0</v>
      </c>
      <c r="X264" s="547">
        <v>0</v>
      </c>
      <c r="Y264" s="547">
        <v>0</v>
      </c>
      <c r="Z264" s="547">
        <v>0</v>
      </c>
      <c r="AA264" s="547">
        <v>0</v>
      </c>
      <c r="AB264" s="547">
        <v>0</v>
      </c>
      <c r="AC264" s="547">
        <v>0</v>
      </c>
      <c r="AD264" s="547">
        <v>0</v>
      </c>
      <c r="AE264" s="547">
        <v>0</v>
      </c>
      <c r="AF264" s="547">
        <v>0</v>
      </c>
      <c r="AG264" s="547">
        <v>0</v>
      </c>
      <c r="AH264" s="547">
        <v>0</v>
      </c>
      <c r="AI264" s="547">
        <v>0</v>
      </c>
      <c r="AJ264" s="547">
        <v>0</v>
      </c>
      <c r="AK264" s="547">
        <v>0</v>
      </c>
      <c r="AL264" s="547">
        <v>0</v>
      </c>
      <c r="AM264" s="547">
        <v>0</v>
      </c>
      <c r="AN264" s="547">
        <v>0</v>
      </c>
      <c r="AO264" s="547">
        <v>0</v>
      </c>
      <c r="AP264" s="547">
        <v>0</v>
      </c>
      <c r="AQ264" s="547">
        <v>0</v>
      </c>
      <c r="AR264" s="547">
        <v>0</v>
      </c>
      <c r="AS264" s="547">
        <v>0</v>
      </c>
      <c r="AT264" s="547">
        <v>0</v>
      </c>
      <c r="AU264" s="547">
        <v>0</v>
      </c>
      <c r="AV264" s="547">
        <v>0</v>
      </c>
      <c r="AW264" s="547">
        <v>0</v>
      </c>
      <c r="AX264" s="547">
        <v>0</v>
      </c>
      <c r="AY264" s="547">
        <v>0</v>
      </c>
      <c r="AZ264" s="548">
        <v>0</v>
      </c>
    </row>
    <row r="265" spans="1:52" s="470" customFormat="1">
      <c r="A265" s="493">
        <f>'[4]Allocation Methodology'!A15</f>
        <v>11</v>
      </c>
      <c r="B265" s="494" t="str">
        <f>'[4]Allocation Methodology'!B15</f>
        <v>Aboriginal</v>
      </c>
      <c r="C265" s="494" t="str">
        <f>'[4]Allocation Methodology'!C15</f>
        <v>Consumer</v>
      </c>
      <c r="D265" s="494"/>
      <c r="E265" s="494">
        <f>'[4]Allocation Methodology'!D15</f>
        <v>2007</v>
      </c>
      <c r="F265" s="495" t="str">
        <f>'[4]Allocation Methodology'!E15</f>
        <v>Final</v>
      </c>
      <c r="G265" s="472" t="b">
        <v>0</v>
      </c>
      <c r="H265" s="549">
        <v>0</v>
      </c>
      <c r="I265" s="550">
        <v>0</v>
      </c>
      <c r="J265" s="550">
        <v>0</v>
      </c>
      <c r="K265" s="550">
        <v>0</v>
      </c>
      <c r="L265" s="550">
        <v>0</v>
      </c>
      <c r="M265" s="550">
        <v>0</v>
      </c>
      <c r="N265" s="550">
        <v>0</v>
      </c>
      <c r="O265" s="550">
        <v>0</v>
      </c>
      <c r="P265" s="550">
        <v>0</v>
      </c>
      <c r="Q265" s="550">
        <v>0</v>
      </c>
      <c r="R265" s="550">
        <v>0</v>
      </c>
      <c r="S265" s="550">
        <v>0</v>
      </c>
      <c r="T265" s="550">
        <v>0</v>
      </c>
      <c r="U265" s="550">
        <v>0</v>
      </c>
      <c r="V265" s="550">
        <v>0</v>
      </c>
      <c r="W265" s="550">
        <v>0</v>
      </c>
      <c r="X265" s="550">
        <v>0</v>
      </c>
      <c r="Y265" s="550">
        <v>0</v>
      </c>
      <c r="Z265" s="550">
        <v>0</v>
      </c>
      <c r="AA265" s="550">
        <v>0</v>
      </c>
      <c r="AB265" s="550">
        <v>0</v>
      </c>
      <c r="AC265" s="550">
        <v>0</v>
      </c>
      <c r="AD265" s="550">
        <v>0</v>
      </c>
      <c r="AE265" s="550">
        <v>0</v>
      </c>
      <c r="AF265" s="550">
        <v>0</v>
      </c>
      <c r="AG265" s="550">
        <v>0</v>
      </c>
      <c r="AH265" s="550">
        <v>0</v>
      </c>
      <c r="AI265" s="550">
        <v>0</v>
      </c>
      <c r="AJ265" s="550">
        <v>0</v>
      </c>
      <c r="AK265" s="550">
        <v>0</v>
      </c>
      <c r="AL265" s="550">
        <v>0</v>
      </c>
      <c r="AM265" s="550">
        <v>0</v>
      </c>
      <c r="AN265" s="550">
        <v>0</v>
      </c>
      <c r="AO265" s="550">
        <v>0</v>
      </c>
      <c r="AP265" s="550">
        <v>0</v>
      </c>
      <c r="AQ265" s="550">
        <v>0</v>
      </c>
      <c r="AR265" s="550">
        <v>0</v>
      </c>
      <c r="AS265" s="550">
        <v>0</v>
      </c>
      <c r="AT265" s="550">
        <v>0</v>
      </c>
      <c r="AU265" s="550">
        <v>0</v>
      </c>
      <c r="AV265" s="550">
        <v>0</v>
      </c>
      <c r="AW265" s="550">
        <v>0</v>
      </c>
      <c r="AX265" s="550">
        <v>0</v>
      </c>
      <c r="AY265" s="550">
        <v>0</v>
      </c>
      <c r="AZ265" s="551">
        <v>0</v>
      </c>
    </row>
    <row r="266" spans="1:52" s="470" customFormat="1">
      <c r="A266" s="486">
        <f>'[4]Allocation Methodology'!A16</f>
        <v>12</v>
      </c>
      <c r="B266" s="487" t="str">
        <f>'[4]Allocation Methodology'!B16</f>
        <v>Affordable Housing Pilot</v>
      </c>
      <c r="C266" s="487" t="str">
        <f>'[4]Allocation Methodology'!C16</f>
        <v>Consumer Low-Income</v>
      </c>
      <c r="D266" s="487"/>
      <c r="E266" s="487">
        <f>'[4]Allocation Methodology'!D16</f>
        <v>2007</v>
      </c>
      <c r="F266" s="488" t="str">
        <f>'[4]Allocation Methodology'!E16</f>
        <v>Final</v>
      </c>
      <c r="G266" s="472" t="b">
        <v>0</v>
      </c>
      <c r="H266" s="546">
        <v>0</v>
      </c>
      <c r="I266" s="547">
        <v>120.72139</v>
      </c>
      <c r="J266" s="547">
        <v>120.72139</v>
      </c>
      <c r="K266" s="547">
        <v>120.72139</v>
      </c>
      <c r="L266" s="547">
        <v>120.72139</v>
      </c>
      <c r="M266" s="547">
        <v>120.72139</v>
      </c>
      <c r="N266" s="547">
        <v>120.72139</v>
      </c>
      <c r="O266" s="547">
        <v>120.72139</v>
      </c>
      <c r="P266" s="547">
        <v>120.72139</v>
      </c>
      <c r="Q266" s="547">
        <v>120.72139</v>
      </c>
      <c r="R266" s="547">
        <v>120.72139</v>
      </c>
      <c r="S266" s="547">
        <v>120.72139</v>
      </c>
      <c r="T266" s="547">
        <v>120.72139</v>
      </c>
      <c r="U266" s="547">
        <v>120.72139</v>
      </c>
      <c r="V266" s="547">
        <v>120.72139</v>
      </c>
      <c r="W266" s="547">
        <v>0</v>
      </c>
      <c r="X266" s="547">
        <v>0</v>
      </c>
      <c r="Y266" s="547">
        <v>0</v>
      </c>
      <c r="Z266" s="547">
        <v>0</v>
      </c>
      <c r="AA266" s="547">
        <v>0</v>
      </c>
      <c r="AB266" s="547">
        <v>0</v>
      </c>
      <c r="AC266" s="547">
        <v>0</v>
      </c>
      <c r="AD266" s="547">
        <v>0</v>
      </c>
      <c r="AE266" s="547">
        <v>0</v>
      </c>
      <c r="AF266" s="547">
        <v>0</v>
      </c>
      <c r="AG266" s="547">
        <v>0</v>
      </c>
      <c r="AH266" s="547">
        <v>0</v>
      </c>
      <c r="AI266" s="547">
        <v>0</v>
      </c>
      <c r="AJ266" s="547">
        <v>0</v>
      </c>
      <c r="AK266" s="547">
        <v>0</v>
      </c>
      <c r="AL266" s="547">
        <v>0</v>
      </c>
      <c r="AM266" s="547">
        <v>0</v>
      </c>
      <c r="AN266" s="547">
        <v>0</v>
      </c>
      <c r="AO266" s="547">
        <v>0</v>
      </c>
      <c r="AP266" s="547">
        <v>0</v>
      </c>
      <c r="AQ266" s="547">
        <v>0</v>
      </c>
      <c r="AR266" s="547">
        <v>0</v>
      </c>
      <c r="AS266" s="547">
        <v>0</v>
      </c>
      <c r="AT266" s="547">
        <v>0</v>
      </c>
      <c r="AU266" s="547">
        <v>0</v>
      </c>
      <c r="AV266" s="547">
        <v>0</v>
      </c>
      <c r="AW266" s="547">
        <v>0</v>
      </c>
      <c r="AX266" s="547">
        <v>0</v>
      </c>
      <c r="AY266" s="547">
        <v>0</v>
      </c>
      <c r="AZ266" s="548">
        <v>0</v>
      </c>
    </row>
    <row r="267" spans="1:52" s="470" customFormat="1">
      <c r="A267" s="493">
        <f>'[4]Allocation Methodology'!A17</f>
        <v>13</v>
      </c>
      <c r="B267" s="494" t="str">
        <f>'[4]Allocation Methodology'!B17</f>
        <v>Social Housing Pilot</v>
      </c>
      <c r="C267" s="494" t="str">
        <f>'[4]Allocation Methodology'!C17</f>
        <v>Consumer Low-Income</v>
      </c>
      <c r="D267" s="494"/>
      <c r="E267" s="494">
        <f>'[4]Allocation Methodology'!D17</f>
        <v>2007</v>
      </c>
      <c r="F267" s="495" t="str">
        <f>'[4]Allocation Methodology'!E17</f>
        <v>Final</v>
      </c>
      <c r="G267" s="472" t="b">
        <v>0</v>
      </c>
      <c r="H267" s="549">
        <v>0</v>
      </c>
      <c r="I267" s="550">
        <v>64.220752287921457</v>
      </c>
      <c r="J267" s="550">
        <v>64.220752287921457</v>
      </c>
      <c r="K267" s="550">
        <v>64.220752287921457</v>
      </c>
      <c r="L267" s="550">
        <v>64.220752287921457</v>
      </c>
      <c r="M267" s="550">
        <v>64.220752287921457</v>
      </c>
      <c r="N267" s="550">
        <v>64.220752287921457</v>
      </c>
      <c r="O267" s="550">
        <v>64.220752287921457</v>
      </c>
      <c r="P267" s="550">
        <v>64.220752287921457</v>
      </c>
      <c r="Q267" s="550">
        <v>64.220752287921457</v>
      </c>
      <c r="R267" s="550">
        <v>64.220752287921457</v>
      </c>
      <c r="S267" s="550">
        <v>0</v>
      </c>
      <c r="T267" s="550">
        <v>0</v>
      </c>
      <c r="U267" s="550">
        <v>0</v>
      </c>
      <c r="V267" s="550">
        <v>0</v>
      </c>
      <c r="W267" s="550">
        <v>0</v>
      </c>
      <c r="X267" s="550">
        <v>0</v>
      </c>
      <c r="Y267" s="550">
        <v>0</v>
      </c>
      <c r="Z267" s="550">
        <v>0</v>
      </c>
      <c r="AA267" s="550">
        <v>0</v>
      </c>
      <c r="AB267" s="550">
        <v>0</v>
      </c>
      <c r="AC267" s="550">
        <v>0</v>
      </c>
      <c r="AD267" s="550">
        <v>0</v>
      </c>
      <c r="AE267" s="550">
        <v>0</v>
      </c>
      <c r="AF267" s="550">
        <v>0</v>
      </c>
      <c r="AG267" s="550">
        <v>0</v>
      </c>
      <c r="AH267" s="550">
        <v>0</v>
      </c>
      <c r="AI267" s="550">
        <v>0</v>
      </c>
      <c r="AJ267" s="550">
        <v>0</v>
      </c>
      <c r="AK267" s="550">
        <v>0</v>
      </c>
      <c r="AL267" s="550">
        <v>0</v>
      </c>
      <c r="AM267" s="550">
        <v>0</v>
      </c>
      <c r="AN267" s="550">
        <v>0</v>
      </c>
      <c r="AO267" s="550">
        <v>0</v>
      </c>
      <c r="AP267" s="550">
        <v>0</v>
      </c>
      <c r="AQ267" s="550">
        <v>0</v>
      </c>
      <c r="AR267" s="550">
        <v>0</v>
      </c>
      <c r="AS267" s="550">
        <v>0</v>
      </c>
      <c r="AT267" s="550">
        <v>0</v>
      </c>
      <c r="AU267" s="550">
        <v>0</v>
      </c>
      <c r="AV267" s="550">
        <v>0</v>
      </c>
      <c r="AW267" s="550">
        <v>0</v>
      </c>
      <c r="AX267" s="550">
        <v>0</v>
      </c>
      <c r="AY267" s="550">
        <v>0</v>
      </c>
      <c r="AZ267" s="551">
        <v>0</v>
      </c>
    </row>
    <row r="268" spans="1:52" s="470" customFormat="1">
      <c r="A268" s="486">
        <f>'[4]Allocation Methodology'!A18</f>
        <v>14</v>
      </c>
      <c r="B268" s="487" t="str">
        <f>'[4]Allocation Methodology'!B18</f>
        <v>Energy Efficiency Assistance for Houses Pilot</v>
      </c>
      <c r="C268" s="487" t="str">
        <f>'[4]Allocation Methodology'!C18</f>
        <v>Consumer Low-Income</v>
      </c>
      <c r="D268" s="487"/>
      <c r="E268" s="487">
        <f>'[4]Allocation Methodology'!D18</f>
        <v>2007</v>
      </c>
      <c r="F268" s="488" t="str">
        <f>'[4]Allocation Methodology'!E18</f>
        <v>Final</v>
      </c>
      <c r="G268" s="472" t="b">
        <v>0</v>
      </c>
      <c r="H268" s="546">
        <v>0</v>
      </c>
      <c r="I268" s="547">
        <v>131.6722004675193</v>
      </c>
      <c r="J268" s="547">
        <v>131.6722004675193</v>
      </c>
      <c r="K268" s="547">
        <v>131.6722004675193</v>
      </c>
      <c r="L268" s="547">
        <v>131.6722004675193</v>
      </c>
      <c r="M268" s="547">
        <v>131.6722004675193</v>
      </c>
      <c r="N268" s="547">
        <v>131.6722004675193</v>
      </c>
      <c r="O268" s="547">
        <v>131.6722004675193</v>
      </c>
      <c r="P268" s="547">
        <v>131.6722004675193</v>
      </c>
      <c r="Q268" s="547">
        <v>131.6722004675193</v>
      </c>
      <c r="R268" s="547">
        <v>131.6722004675193</v>
      </c>
      <c r="S268" s="547">
        <v>131.6722004675193</v>
      </c>
      <c r="T268" s="547">
        <v>131.6722004675193</v>
      </c>
      <c r="U268" s="547">
        <v>131.6722004675193</v>
      </c>
      <c r="V268" s="547">
        <v>131.6722004675193</v>
      </c>
      <c r="W268" s="547">
        <v>131.6722004675193</v>
      </c>
      <c r="X268" s="547">
        <v>131.6722004675193</v>
      </c>
      <c r="Y268" s="547">
        <v>131.6722004675193</v>
      </c>
      <c r="Z268" s="547">
        <v>131.6722004675193</v>
      </c>
      <c r="AA268" s="547">
        <v>131.6722004675193</v>
      </c>
      <c r="AB268" s="547">
        <v>0</v>
      </c>
      <c r="AC268" s="547">
        <v>0</v>
      </c>
      <c r="AD268" s="547">
        <v>0</v>
      </c>
      <c r="AE268" s="547">
        <v>0</v>
      </c>
      <c r="AF268" s="547">
        <v>0</v>
      </c>
      <c r="AG268" s="547">
        <v>0</v>
      </c>
      <c r="AH268" s="547">
        <v>0</v>
      </c>
      <c r="AI268" s="547">
        <v>0</v>
      </c>
      <c r="AJ268" s="547">
        <v>0</v>
      </c>
      <c r="AK268" s="547">
        <v>0</v>
      </c>
      <c r="AL268" s="547">
        <v>0</v>
      </c>
      <c r="AM268" s="547">
        <v>0</v>
      </c>
      <c r="AN268" s="547">
        <v>0</v>
      </c>
      <c r="AO268" s="547">
        <v>0</v>
      </c>
      <c r="AP268" s="547">
        <v>0</v>
      </c>
      <c r="AQ268" s="547">
        <v>0</v>
      </c>
      <c r="AR268" s="547">
        <v>0</v>
      </c>
      <c r="AS268" s="547">
        <v>0</v>
      </c>
      <c r="AT268" s="547">
        <v>0</v>
      </c>
      <c r="AU268" s="547">
        <v>0</v>
      </c>
      <c r="AV268" s="547">
        <v>0</v>
      </c>
      <c r="AW268" s="547">
        <v>0</v>
      </c>
      <c r="AX268" s="547">
        <v>0</v>
      </c>
      <c r="AY268" s="547">
        <v>0</v>
      </c>
      <c r="AZ268" s="548">
        <v>0</v>
      </c>
    </row>
    <row r="269" spans="1:52" s="470" customFormat="1">
      <c r="A269" s="493">
        <f>'[4]Allocation Methodology'!A19</f>
        <v>15</v>
      </c>
      <c r="B269" s="494" t="str">
        <f>'[4]Allocation Methodology'!B19</f>
        <v>Electricity Retrofit Incentive</v>
      </c>
      <c r="C269" s="494" t="str">
        <f>'[4]Allocation Methodology'!C19</f>
        <v>Business</v>
      </c>
      <c r="D269" s="494"/>
      <c r="E269" s="494">
        <f>'[4]Allocation Methodology'!D19</f>
        <v>2007</v>
      </c>
      <c r="F269" s="495" t="str">
        <f>'[4]Allocation Methodology'!E19</f>
        <v>Final</v>
      </c>
      <c r="G269" s="472" t="b">
        <v>0</v>
      </c>
      <c r="H269" s="549">
        <v>0</v>
      </c>
      <c r="I269" s="550">
        <v>0</v>
      </c>
      <c r="J269" s="550">
        <v>0</v>
      </c>
      <c r="K269" s="550">
        <v>0</v>
      </c>
      <c r="L269" s="550">
        <v>0</v>
      </c>
      <c r="M269" s="550">
        <v>0</v>
      </c>
      <c r="N269" s="550">
        <v>0</v>
      </c>
      <c r="O269" s="550">
        <v>0</v>
      </c>
      <c r="P269" s="550">
        <v>0</v>
      </c>
      <c r="Q269" s="550">
        <v>0</v>
      </c>
      <c r="R269" s="550">
        <v>0</v>
      </c>
      <c r="S269" s="550">
        <v>0</v>
      </c>
      <c r="T269" s="550">
        <v>0</v>
      </c>
      <c r="U269" s="550">
        <v>0</v>
      </c>
      <c r="V269" s="550">
        <v>0</v>
      </c>
      <c r="W269" s="550">
        <v>0</v>
      </c>
      <c r="X269" s="550">
        <v>0</v>
      </c>
      <c r="Y269" s="550">
        <v>0</v>
      </c>
      <c r="Z269" s="550">
        <v>0</v>
      </c>
      <c r="AA269" s="550">
        <v>0</v>
      </c>
      <c r="AB269" s="550">
        <v>0</v>
      </c>
      <c r="AC269" s="550">
        <v>0</v>
      </c>
      <c r="AD269" s="550">
        <v>0</v>
      </c>
      <c r="AE269" s="550">
        <v>0</v>
      </c>
      <c r="AF269" s="550">
        <v>0</v>
      </c>
      <c r="AG269" s="550">
        <v>0</v>
      </c>
      <c r="AH269" s="550">
        <v>0</v>
      </c>
      <c r="AI269" s="550">
        <v>0</v>
      </c>
      <c r="AJ269" s="550">
        <v>0</v>
      </c>
      <c r="AK269" s="550">
        <v>0</v>
      </c>
      <c r="AL269" s="550">
        <v>0</v>
      </c>
      <c r="AM269" s="550">
        <v>0</v>
      </c>
      <c r="AN269" s="550">
        <v>0</v>
      </c>
      <c r="AO269" s="550">
        <v>0</v>
      </c>
      <c r="AP269" s="550">
        <v>0</v>
      </c>
      <c r="AQ269" s="550">
        <v>0</v>
      </c>
      <c r="AR269" s="550">
        <v>0</v>
      </c>
      <c r="AS269" s="550">
        <v>0</v>
      </c>
      <c r="AT269" s="550">
        <v>0</v>
      </c>
      <c r="AU269" s="550">
        <v>0</v>
      </c>
      <c r="AV269" s="550">
        <v>0</v>
      </c>
      <c r="AW269" s="550">
        <v>0</v>
      </c>
      <c r="AX269" s="550">
        <v>0</v>
      </c>
      <c r="AY269" s="550">
        <v>0</v>
      </c>
      <c r="AZ269" s="551">
        <v>0</v>
      </c>
    </row>
    <row r="270" spans="1:52" s="470" customFormat="1">
      <c r="A270" s="486">
        <f>'[4]Allocation Methodology'!A20</f>
        <v>16</v>
      </c>
      <c r="B270" s="487" t="str">
        <f>'[4]Allocation Methodology'!B20</f>
        <v>Toronto Comprehensive</v>
      </c>
      <c r="C270" s="487" t="str">
        <f>'[4]Allocation Methodology'!C20</f>
        <v>Business</v>
      </c>
      <c r="D270" s="487"/>
      <c r="E270" s="487">
        <f>'[4]Allocation Methodology'!D20</f>
        <v>2007</v>
      </c>
      <c r="F270" s="488" t="str">
        <f>'[4]Allocation Methodology'!E20</f>
        <v>Final</v>
      </c>
      <c r="G270" s="472" t="b">
        <v>0</v>
      </c>
      <c r="H270" s="546">
        <v>0</v>
      </c>
      <c r="I270" s="547">
        <v>0</v>
      </c>
      <c r="J270" s="547">
        <v>0</v>
      </c>
      <c r="K270" s="547">
        <v>0</v>
      </c>
      <c r="L270" s="547">
        <v>0</v>
      </c>
      <c r="M270" s="547">
        <v>0</v>
      </c>
      <c r="N270" s="547">
        <v>0</v>
      </c>
      <c r="O270" s="547">
        <v>0</v>
      </c>
      <c r="P270" s="547">
        <v>0</v>
      </c>
      <c r="Q270" s="547">
        <v>0</v>
      </c>
      <c r="R270" s="547">
        <v>0</v>
      </c>
      <c r="S270" s="547">
        <v>0</v>
      </c>
      <c r="T270" s="547">
        <v>0</v>
      </c>
      <c r="U270" s="547">
        <v>0</v>
      </c>
      <c r="V270" s="547">
        <v>0</v>
      </c>
      <c r="W270" s="547">
        <v>0</v>
      </c>
      <c r="X270" s="547">
        <v>0</v>
      </c>
      <c r="Y270" s="547">
        <v>0</v>
      </c>
      <c r="Z270" s="547">
        <v>0</v>
      </c>
      <c r="AA270" s="547">
        <v>0</v>
      </c>
      <c r="AB270" s="547">
        <v>0</v>
      </c>
      <c r="AC270" s="547">
        <v>0</v>
      </c>
      <c r="AD270" s="547">
        <v>0</v>
      </c>
      <c r="AE270" s="547">
        <v>0</v>
      </c>
      <c r="AF270" s="547">
        <v>0</v>
      </c>
      <c r="AG270" s="547">
        <v>0</v>
      </c>
      <c r="AH270" s="547">
        <v>0</v>
      </c>
      <c r="AI270" s="547">
        <v>0</v>
      </c>
      <c r="AJ270" s="547">
        <v>0</v>
      </c>
      <c r="AK270" s="547">
        <v>0</v>
      </c>
      <c r="AL270" s="547">
        <v>0</v>
      </c>
      <c r="AM270" s="547">
        <v>0</v>
      </c>
      <c r="AN270" s="547">
        <v>0</v>
      </c>
      <c r="AO270" s="547">
        <v>0</v>
      </c>
      <c r="AP270" s="547">
        <v>0</v>
      </c>
      <c r="AQ270" s="547">
        <v>0</v>
      </c>
      <c r="AR270" s="547">
        <v>0</v>
      </c>
      <c r="AS270" s="547">
        <v>0</v>
      </c>
      <c r="AT270" s="547">
        <v>0</v>
      </c>
      <c r="AU270" s="547">
        <v>0</v>
      </c>
      <c r="AV270" s="547">
        <v>0</v>
      </c>
      <c r="AW270" s="547">
        <v>0</v>
      </c>
      <c r="AX270" s="547">
        <v>0</v>
      </c>
      <c r="AY270" s="547">
        <v>0</v>
      </c>
      <c r="AZ270" s="548">
        <v>0</v>
      </c>
    </row>
    <row r="271" spans="1:52" s="470" customFormat="1">
      <c r="A271" s="493">
        <f>'[4]Allocation Methodology'!A21</f>
        <v>17</v>
      </c>
      <c r="B271" s="494" t="str">
        <f>'[4]Allocation Methodology'!B21</f>
        <v>Demand Response 1</v>
      </c>
      <c r="C271" s="494" t="str">
        <f>'[4]Allocation Methodology'!C21</f>
        <v>Business, Industrial</v>
      </c>
      <c r="D271" s="494"/>
      <c r="E271" s="494">
        <f>'[4]Allocation Methodology'!D21</f>
        <v>2007</v>
      </c>
      <c r="F271" s="495" t="str">
        <f>'[4]Allocation Methodology'!E21</f>
        <v>Final</v>
      </c>
      <c r="G271" s="472" t="b">
        <v>0</v>
      </c>
      <c r="H271" s="549">
        <v>0</v>
      </c>
      <c r="I271" s="550">
        <v>0</v>
      </c>
      <c r="J271" s="550">
        <v>0</v>
      </c>
      <c r="K271" s="550">
        <v>0</v>
      </c>
      <c r="L271" s="550">
        <v>0</v>
      </c>
      <c r="M271" s="550">
        <v>0</v>
      </c>
      <c r="N271" s="550">
        <v>0</v>
      </c>
      <c r="O271" s="550">
        <v>0</v>
      </c>
      <c r="P271" s="550">
        <v>0</v>
      </c>
      <c r="Q271" s="550">
        <v>0</v>
      </c>
      <c r="R271" s="550">
        <v>0</v>
      </c>
      <c r="S271" s="550">
        <v>0</v>
      </c>
      <c r="T271" s="550">
        <v>0</v>
      </c>
      <c r="U271" s="550">
        <v>0</v>
      </c>
      <c r="V271" s="550">
        <v>0</v>
      </c>
      <c r="W271" s="550">
        <v>0</v>
      </c>
      <c r="X271" s="550">
        <v>0</v>
      </c>
      <c r="Y271" s="550">
        <v>0</v>
      </c>
      <c r="Z271" s="550">
        <v>0</v>
      </c>
      <c r="AA271" s="550">
        <v>0</v>
      </c>
      <c r="AB271" s="550">
        <v>0</v>
      </c>
      <c r="AC271" s="550">
        <v>0</v>
      </c>
      <c r="AD271" s="550">
        <v>0</v>
      </c>
      <c r="AE271" s="550">
        <v>0</v>
      </c>
      <c r="AF271" s="550">
        <v>0</v>
      </c>
      <c r="AG271" s="550">
        <v>0</v>
      </c>
      <c r="AH271" s="550">
        <v>0</v>
      </c>
      <c r="AI271" s="550">
        <v>0</v>
      </c>
      <c r="AJ271" s="550">
        <v>0</v>
      </c>
      <c r="AK271" s="550">
        <v>0</v>
      </c>
      <c r="AL271" s="550">
        <v>0</v>
      </c>
      <c r="AM271" s="550">
        <v>0</v>
      </c>
      <c r="AN271" s="550">
        <v>0</v>
      </c>
      <c r="AO271" s="550">
        <v>0</v>
      </c>
      <c r="AP271" s="550">
        <v>0</v>
      </c>
      <c r="AQ271" s="550">
        <v>0</v>
      </c>
      <c r="AR271" s="550">
        <v>0</v>
      </c>
      <c r="AS271" s="550">
        <v>0</v>
      </c>
      <c r="AT271" s="550">
        <v>0</v>
      </c>
      <c r="AU271" s="550">
        <v>0</v>
      </c>
      <c r="AV271" s="550">
        <v>0</v>
      </c>
      <c r="AW271" s="550">
        <v>0</v>
      </c>
      <c r="AX271" s="550">
        <v>0</v>
      </c>
      <c r="AY271" s="550">
        <v>0</v>
      </c>
      <c r="AZ271" s="551">
        <v>0</v>
      </c>
    </row>
    <row r="272" spans="1:52" s="470" customFormat="1">
      <c r="A272" s="486">
        <f>'[4]Allocation Methodology'!A22</f>
        <v>18</v>
      </c>
      <c r="B272" s="487" t="str">
        <f>'[4]Allocation Methodology'!B22</f>
        <v>Loblaw &amp; York Region Demand Response</v>
      </c>
      <c r="C272" s="487" t="str">
        <f>'[4]Allocation Methodology'!C22</f>
        <v>Business, Industrial</v>
      </c>
      <c r="D272" s="487"/>
      <c r="E272" s="487">
        <f>'[4]Allocation Methodology'!D22</f>
        <v>2007</v>
      </c>
      <c r="F272" s="488" t="str">
        <f>'[4]Allocation Methodology'!E22</f>
        <v>Final</v>
      </c>
      <c r="G272" s="472" t="b">
        <v>0</v>
      </c>
      <c r="H272" s="546">
        <v>0</v>
      </c>
      <c r="I272" s="547">
        <v>0</v>
      </c>
      <c r="J272" s="547">
        <v>0</v>
      </c>
      <c r="K272" s="547">
        <v>0</v>
      </c>
      <c r="L272" s="547">
        <v>0</v>
      </c>
      <c r="M272" s="547">
        <v>0</v>
      </c>
      <c r="N272" s="547">
        <v>0</v>
      </c>
      <c r="O272" s="547">
        <v>0</v>
      </c>
      <c r="P272" s="547">
        <v>0</v>
      </c>
      <c r="Q272" s="547">
        <v>0</v>
      </c>
      <c r="R272" s="547">
        <v>0</v>
      </c>
      <c r="S272" s="547">
        <v>0</v>
      </c>
      <c r="T272" s="547">
        <v>0</v>
      </c>
      <c r="U272" s="547">
        <v>0</v>
      </c>
      <c r="V272" s="547">
        <v>0</v>
      </c>
      <c r="W272" s="547">
        <v>0</v>
      </c>
      <c r="X272" s="547">
        <v>0</v>
      </c>
      <c r="Y272" s="547">
        <v>0</v>
      </c>
      <c r="Z272" s="547">
        <v>0</v>
      </c>
      <c r="AA272" s="547">
        <v>0</v>
      </c>
      <c r="AB272" s="547">
        <v>0</v>
      </c>
      <c r="AC272" s="547">
        <v>0</v>
      </c>
      <c r="AD272" s="547">
        <v>0</v>
      </c>
      <c r="AE272" s="547">
        <v>0</v>
      </c>
      <c r="AF272" s="547">
        <v>0</v>
      </c>
      <c r="AG272" s="547">
        <v>0</v>
      </c>
      <c r="AH272" s="547">
        <v>0</v>
      </c>
      <c r="AI272" s="547">
        <v>0</v>
      </c>
      <c r="AJ272" s="547">
        <v>0</v>
      </c>
      <c r="AK272" s="547">
        <v>0</v>
      </c>
      <c r="AL272" s="547">
        <v>0</v>
      </c>
      <c r="AM272" s="547">
        <v>0</v>
      </c>
      <c r="AN272" s="547">
        <v>0</v>
      </c>
      <c r="AO272" s="547">
        <v>0</v>
      </c>
      <c r="AP272" s="547">
        <v>0</v>
      </c>
      <c r="AQ272" s="547">
        <v>0</v>
      </c>
      <c r="AR272" s="547">
        <v>0</v>
      </c>
      <c r="AS272" s="547">
        <v>0</v>
      </c>
      <c r="AT272" s="547">
        <v>0</v>
      </c>
      <c r="AU272" s="547">
        <v>0</v>
      </c>
      <c r="AV272" s="547">
        <v>0</v>
      </c>
      <c r="AW272" s="547">
        <v>0</v>
      </c>
      <c r="AX272" s="547">
        <v>0</v>
      </c>
      <c r="AY272" s="547">
        <v>0</v>
      </c>
      <c r="AZ272" s="548">
        <v>0</v>
      </c>
    </row>
    <row r="273" spans="1:52" s="470" customFormat="1">
      <c r="A273" s="500">
        <f>'[4]Allocation Methodology'!A23</f>
        <v>19</v>
      </c>
      <c r="B273" s="501" t="str">
        <f>'[4]Allocation Methodology'!B23</f>
        <v>Renewable Energy Standard Offer</v>
      </c>
      <c r="C273" s="501" t="str">
        <f>'[4]Allocation Methodology'!C23</f>
        <v>Consumer, Business, Industrial</v>
      </c>
      <c r="D273" s="501"/>
      <c r="E273" s="501">
        <f>'[4]Allocation Methodology'!D23</f>
        <v>2007</v>
      </c>
      <c r="F273" s="502" t="str">
        <f>'[4]Allocation Methodology'!E23</f>
        <v>Final</v>
      </c>
      <c r="G273" s="472" t="b">
        <v>0</v>
      </c>
      <c r="H273" s="552">
        <v>0</v>
      </c>
      <c r="I273" s="553">
        <v>24.438648000000001</v>
      </c>
      <c r="J273" s="553">
        <v>24.438648000000001</v>
      </c>
      <c r="K273" s="553">
        <v>24.438648000000001</v>
      </c>
      <c r="L273" s="553">
        <v>24.438648000000001</v>
      </c>
      <c r="M273" s="553">
        <v>24.438648000000001</v>
      </c>
      <c r="N273" s="553">
        <v>24.438648000000001</v>
      </c>
      <c r="O273" s="553">
        <v>24.438648000000001</v>
      </c>
      <c r="P273" s="553">
        <v>24.438648000000001</v>
      </c>
      <c r="Q273" s="553">
        <v>24.438648000000001</v>
      </c>
      <c r="R273" s="553">
        <v>24.438648000000001</v>
      </c>
      <c r="S273" s="553">
        <v>24.438648000000001</v>
      </c>
      <c r="T273" s="553">
        <v>24.438648000000001</v>
      </c>
      <c r="U273" s="553">
        <v>24.438648000000001</v>
      </c>
      <c r="V273" s="553">
        <v>24.438648000000001</v>
      </c>
      <c r="W273" s="553">
        <v>24.438648000000001</v>
      </c>
      <c r="X273" s="553">
        <v>24.438648000000001</v>
      </c>
      <c r="Y273" s="553">
        <v>24.438648000000001</v>
      </c>
      <c r="Z273" s="553">
        <v>24.438648000000001</v>
      </c>
      <c r="AA273" s="553">
        <v>24.438648000000001</v>
      </c>
      <c r="AB273" s="553">
        <v>24.438648000000001</v>
      </c>
      <c r="AC273" s="553">
        <v>0</v>
      </c>
      <c r="AD273" s="553">
        <v>0</v>
      </c>
      <c r="AE273" s="553">
        <v>0</v>
      </c>
      <c r="AF273" s="553">
        <v>0</v>
      </c>
      <c r="AG273" s="553">
        <v>0</v>
      </c>
      <c r="AH273" s="553">
        <v>0</v>
      </c>
      <c r="AI273" s="553">
        <v>0</v>
      </c>
      <c r="AJ273" s="553">
        <v>0</v>
      </c>
      <c r="AK273" s="553">
        <v>0</v>
      </c>
      <c r="AL273" s="553">
        <v>0</v>
      </c>
      <c r="AM273" s="553">
        <v>0</v>
      </c>
      <c r="AN273" s="553">
        <v>0</v>
      </c>
      <c r="AO273" s="553">
        <v>0</v>
      </c>
      <c r="AP273" s="553">
        <v>0</v>
      </c>
      <c r="AQ273" s="553">
        <v>0</v>
      </c>
      <c r="AR273" s="553">
        <v>0</v>
      </c>
      <c r="AS273" s="553">
        <v>0</v>
      </c>
      <c r="AT273" s="553">
        <v>0</v>
      </c>
      <c r="AU273" s="553">
        <v>0</v>
      </c>
      <c r="AV273" s="553">
        <v>0</v>
      </c>
      <c r="AW273" s="553">
        <v>0</v>
      </c>
      <c r="AX273" s="553">
        <v>0</v>
      </c>
      <c r="AY273" s="553">
        <v>0</v>
      </c>
      <c r="AZ273" s="554">
        <v>0</v>
      </c>
    </row>
    <row r="274" spans="1:52" s="470" customFormat="1">
      <c r="A274" s="507">
        <f>'[4]Allocation Methodology'!A24</f>
        <v>20</v>
      </c>
      <c r="B274" s="508" t="str">
        <f>'[4]Allocation Methodology'!B24</f>
        <v>Great Refrigerator Roundup</v>
      </c>
      <c r="C274" s="508" t="str">
        <f>'[4]Allocation Methodology'!C24</f>
        <v>Consumer</v>
      </c>
      <c r="D274" s="508"/>
      <c r="E274" s="508">
        <f>'[4]Allocation Methodology'!D24</f>
        <v>2008</v>
      </c>
      <c r="F274" s="509" t="str">
        <f>'[4]Allocation Methodology'!E24</f>
        <v>Final</v>
      </c>
      <c r="G274" s="472" t="b">
        <v>0</v>
      </c>
      <c r="H274" s="555">
        <v>0</v>
      </c>
      <c r="I274" s="556">
        <v>0</v>
      </c>
      <c r="J274" s="556">
        <v>211.01599999999999</v>
      </c>
      <c r="K274" s="556">
        <v>211.01599999999999</v>
      </c>
      <c r="L274" s="556">
        <v>211.01599999999999</v>
      </c>
      <c r="M274" s="556">
        <v>211.01599999999999</v>
      </c>
      <c r="N274" s="556">
        <v>210.22800000000001</v>
      </c>
      <c r="O274" s="556">
        <v>209.44</v>
      </c>
      <c r="P274" s="556">
        <v>209.44</v>
      </c>
      <c r="Q274" s="556">
        <v>209.44</v>
      </c>
      <c r="R274" s="556">
        <v>164.3</v>
      </c>
      <c r="S274" s="556">
        <v>0</v>
      </c>
      <c r="T274" s="556">
        <v>0</v>
      </c>
      <c r="U274" s="556">
        <v>0</v>
      </c>
      <c r="V274" s="556">
        <v>0</v>
      </c>
      <c r="W274" s="556">
        <v>0</v>
      </c>
      <c r="X274" s="556">
        <v>0</v>
      </c>
      <c r="Y274" s="556">
        <v>0</v>
      </c>
      <c r="Z274" s="556">
        <v>0</v>
      </c>
      <c r="AA274" s="556">
        <v>0</v>
      </c>
      <c r="AB274" s="556">
        <v>0</v>
      </c>
      <c r="AC274" s="556">
        <v>0</v>
      </c>
      <c r="AD274" s="556">
        <v>0</v>
      </c>
      <c r="AE274" s="556">
        <v>0</v>
      </c>
      <c r="AF274" s="556">
        <v>0</v>
      </c>
      <c r="AG274" s="556">
        <v>0</v>
      </c>
      <c r="AH274" s="556">
        <v>0</v>
      </c>
      <c r="AI274" s="556">
        <v>0</v>
      </c>
      <c r="AJ274" s="556">
        <v>0</v>
      </c>
      <c r="AK274" s="556">
        <v>0</v>
      </c>
      <c r="AL274" s="556">
        <v>0</v>
      </c>
      <c r="AM274" s="556">
        <v>0</v>
      </c>
      <c r="AN274" s="556">
        <v>0</v>
      </c>
      <c r="AO274" s="556">
        <v>0</v>
      </c>
      <c r="AP274" s="556">
        <v>0</v>
      </c>
      <c r="AQ274" s="556">
        <v>0</v>
      </c>
      <c r="AR274" s="556">
        <v>0</v>
      </c>
      <c r="AS274" s="556">
        <v>0</v>
      </c>
      <c r="AT274" s="556">
        <v>0</v>
      </c>
      <c r="AU274" s="556">
        <v>0</v>
      </c>
      <c r="AV274" s="556">
        <v>0</v>
      </c>
      <c r="AW274" s="556">
        <v>0</v>
      </c>
      <c r="AX274" s="556">
        <v>0</v>
      </c>
      <c r="AY274" s="556">
        <v>0</v>
      </c>
      <c r="AZ274" s="557">
        <v>0</v>
      </c>
    </row>
    <row r="275" spans="1:52" s="470" customFormat="1">
      <c r="A275" s="493">
        <f>'[4]Allocation Methodology'!A25</f>
        <v>21</v>
      </c>
      <c r="B275" s="494" t="str">
        <f>'[4]Allocation Methodology'!B25</f>
        <v>Cool Savings Rebate</v>
      </c>
      <c r="C275" s="494" t="str">
        <f>'[4]Allocation Methodology'!C25</f>
        <v>Consumer</v>
      </c>
      <c r="D275" s="494"/>
      <c r="E275" s="494">
        <f>'[4]Allocation Methodology'!D25</f>
        <v>2008</v>
      </c>
      <c r="F275" s="495" t="str">
        <f>'[4]Allocation Methodology'!E25</f>
        <v>Final</v>
      </c>
      <c r="G275" s="472" t="b">
        <v>0</v>
      </c>
      <c r="H275" s="549">
        <v>0</v>
      </c>
      <c r="I275" s="550">
        <v>0</v>
      </c>
      <c r="J275" s="550">
        <v>201.2351404637152</v>
      </c>
      <c r="K275" s="550">
        <v>201.2351404637152</v>
      </c>
      <c r="L275" s="550">
        <v>201.2351404637152</v>
      </c>
      <c r="M275" s="550">
        <v>201.2351404637152</v>
      </c>
      <c r="N275" s="550">
        <v>201.2351404637152</v>
      </c>
      <c r="O275" s="550">
        <v>201.2351404637152</v>
      </c>
      <c r="P275" s="550">
        <v>201.2351404637152</v>
      </c>
      <c r="Q275" s="550">
        <v>201.2351404637152</v>
      </c>
      <c r="R275" s="550">
        <v>201.2351404637152</v>
      </c>
      <c r="S275" s="550">
        <v>201.2351404637152</v>
      </c>
      <c r="T275" s="550">
        <v>201.2351404637152</v>
      </c>
      <c r="U275" s="550">
        <v>201.2351404637152</v>
      </c>
      <c r="V275" s="550">
        <v>201.2351404637152</v>
      </c>
      <c r="W275" s="550">
        <v>201.2351404637152</v>
      </c>
      <c r="X275" s="550">
        <v>201.2351404637152</v>
      </c>
      <c r="Y275" s="550">
        <v>160.57753453048724</v>
      </c>
      <c r="Z275" s="550">
        <v>160.57753453048724</v>
      </c>
      <c r="AA275" s="550">
        <v>160.57753453048724</v>
      </c>
      <c r="AB275" s="550">
        <v>0</v>
      </c>
      <c r="AC275" s="550">
        <v>0</v>
      </c>
      <c r="AD275" s="550">
        <v>0</v>
      </c>
      <c r="AE275" s="550">
        <v>0</v>
      </c>
      <c r="AF275" s="550">
        <v>0</v>
      </c>
      <c r="AG275" s="550">
        <v>0</v>
      </c>
      <c r="AH275" s="550">
        <v>0</v>
      </c>
      <c r="AI275" s="550">
        <v>0</v>
      </c>
      <c r="AJ275" s="550">
        <v>0</v>
      </c>
      <c r="AK275" s="550">
        <v>0</v>
      </c>
      <c r="AL275" s="550">
        <v>0</v>
      </c>
      <c r="AM275" s="550">
        <v>0</v>
      </c>
      <c r="AN275" s="550">
        <v>0</v>
      </c>
      <c r="AO275" s="550">
        <v>0</v>
      </c>
      <c r="AP275" s="550">
        <v>0</v>
      </c>
      <c r="AQ275" s="550">
        <v>0</v>
      </c>
      <c r="AR275" s="550">
        <v>0</v>
      </c>
      <c r="AS275" s="550">
        <v>0</v>
      </c>
      <c r="AT275" s="550">
        <v>0</v>
      </c>
      <c r="AU275" s="550">
        <v>0</v>
      </c>
      <c r="AV275" s="550">
        <v>0</v>
      </c>
      <c r="AW275" s="550">
        <v>0</v>
      </c>
      <c r="AX275" s="550">
        <v>0</v>
      </c>
      <c r="AY275" s="550">
        <v>0</v>
      </c>
      <c r="AZ275" s="551">
        <v>0</v>
      </c>
    </row>
    <row r="276" spans="1:52" s="470" customFormat="1">
      <c r="A276" s="486">
        <f>'[4]Allocation Methodology'!A26</f>
        <v>22</v>
      </c>
      <c r="B276" s="487" t="str">
        <f>'[4]Allocation Methodology'!B26</f>
        <v>Every Kilowatt Counts Power Savings Event</v>
      </c>
      <c r="C276" s="487" t="str">
        <f>'[4]Allocation Methodology'!C26</f>
        <v>Consumer</v>
      </c>
      <c r="D276" s="487"/>
      <c r="E276" s="487">
        <f>'[4]Allocation Methodology'!D26</f>
        <v>2008</v>
      </c>
      <c r="F276" s="488" t="str">
        <f>'[4]Allocation Methodology'!E26</f>
        <v>Final</v>
      </c>
      <c r="G276" s="472" t="b">
        <v>0</v>
      </c>
      <c r="H276" s="546">
        <v>0</v>
      </c>
      <c r="I276" s="547">
        <v>0</v>
      </c>
      <c r="J276" s="547">
        <v>1455.3580236163975</v>
      </c>
      <c r="K276" s="547">
        <v>1448.0829186014942</v>
      </c>
      <c r="L276" s="547">
        <v>1448.0829186014942</v>
      </c>
      <c r="M276" s="547">
        <v>1448.0829186014942</v>
      </c>
      <c r="N276" s="547">
        <v>1218.9840300118412</v>
      </c>
      <c r="O276" s="547">
        <v>1218.9840300118412</v>
      </c>
      <c r="P276" s="547">
        <v>1013.186960916724</v>
      </c>
      <c r="Q276" s="547">
        <v>829.7263386241375</v>
      </c>
      <c r="R276" s="547">
        <v>593.30288201323503</v>
      </c>
      <c r="S276" s="547">
        <v>587.16387236327296</v>
      </c>
      <c r="T276" s="547">
        <v>498.18357952082363</v>
      </c>
      <c r="U276" s="547">
        <v>498.18357952082363</v>
      </c>
      <c r="V276" s="547">
        <v>478.03103331471095</v>
      </c>
      <c r="W276" s="547">
        <v>478.03103331471095</v>
      </c>
      <c r="X276" s="547">
        <v>478.03103331471095</v>
      </c>
      <c r="Y276" s="547">
        <v>464.97861151140063</v>
      </c>
      <c r="Z276" s="547">
        <v>0</v>
      </c>
      <c r="AA276" s="547">
        <v>0</v>
      </c>
      <c r="AB276" s="547">
        <v>0</v>
      </c>
      <c r="AC276" s="547">
        <v>0</v>
      </c>
      <c r="AD276" s="547">
        <v>0</v>
      </c>
      <c r="AE276" s="547">
        <v>0</v>
      </c>
      <c r="AF276" s="547">
        <v>0</v>
      </c>
      <c r="AG276" s="547">
        <v>0</v>
      </c>
      <c r="AH276" s="547">
        <v>0</v>
      </c>
      <c r="AI276" s="547">
        <v>0</v>
      </c>
      <c r="AJ276" s="547">
        <v>0</v>
      </c>
      <c r="AK276" s="547">
        <v>0</v>
      </c>
      <c r="AL276" s="547">
        <v>0</v>
      </c>
      <c r="AM276" s="547">
        <v>0</v>
      </c>
      <c r="AN276" s="547">
        <v>0</v>
      </c>
      <c r="AO276" s="547">
        <v>0</v>
      </c>
      <c r="AP276" s="547">
        <v>0</v>
      </c>
      <c r="AQ276" s="547">
        <v>0</v>
      </c>
      <c r="AR276" s="547">
        <v>0</v>
      </c>
      <c r="AS276" s="547">
        <v>0</v>
      </c>
      <c r="AT276" s="547">
        <v>0</v>
      </c>
      <c r="AU276" s="547">
        <v>0</v>
      </c>
      <c r="AV276" s="547">
        <v>0</v>
      </c>
      <c r="AW276" s="547">
        <v>0</v>
      </c>
      <c r="AX276" s="547">
        <v>0</v>
      </c>
      <c r="AY276" s="547">
        <v>0</v>
      </c>
      <c r="AZ276" s="548">
        <v>0</v>
      </c>
    </row>
    <row r="277" spans="1:52" s="470" customFormat="1">
      <c r="A277" s="493">
        <f>'[4]Allocation Methodology'!A27</f>
        <v>23</v>
      </c>
      <c r="B277" s="514" t="str">
        <f>'[4]Allocation Methodology'!B27</f>
        <v>peaksaver®</v>
      </c>
      <c r="C277" s="494" t="str">
        <f>'[4]Allocation Methodology'!C27</f>
        <v>Consumer, Business</v>
      </c>
      <c r="D277" s="494"/>
      <c r="E277" s="494">
        <f>'[4]Allocation Methodology'!D27</f>
        <v>2008</v>
      </c>
      <c r="F277" s="495" t="str">
        <f>'[4]Allocation Methodology'!E27</f>
        <v>Final</v>
      </c>
      <c r="G277" s="472" t="b">
        <v>0</v>
      </c>
      <c r="H277" s="549">
        <v>0</v>
      </c>
      <c r="I277" s="550">
        <v>0</v>
      </c>
      <c r="J277" s="550">
        <v>0</v>
      </c>
      <c r="K277" s="550">
        <v>0</v>
      </c>
      <c r="L277" s="550">
        <v>0</v>
      </c>
      <c r="M277" s="550">
        <v>0</v>
      </c>
      <c r="N277" s="550">
        <v>0</v>
      </c>
      <c r="O277" s="550">
        <v>0</v>
      </c>
      <c r="P277" s="550">
        <v>0</v>
      </c>
      <c r="Q277" s="550">
        <v>0</v>
      </c>
      <c r="R277" s="550">
        <v>0</v>
      </c>
      <c r="S277" s="550">
        <v>0</v>
      </c>
      <c r="T277" s="550">
        <v>0</v>
      </c>
      <c r="U277" s="550">
        <v>0</v>
      </c>
      <c r="V277" s="550">
        <v>0</v>
      </c>
      <c r="W277" s="550">
        <v>0</v>
      </c>
      <c r="X277" s="550">
        <v>0</v>
      </c>
      <c r="Y277" s="550">
        <v>0</v>
      </c>
      <c r="Z277" s="550">
        <v>0</v>
      </c>
      <c r="AA277" s="550">
        <v>0</v>
      </c>
      <c r="AB277" s="550">
        <v>0</v>
      </c>
      <c r="AC277" s="550">
        <v>0</v>
      </c>
      <c r="AD277" s="550">
        <v>0</v>
      </c>
      <c r="AE277" s="550">
        <v>0</v>
      </c>
      <c r="AF277" s="550">
        <v>0</v>
      </c>
      <c r="AG277" s="550">
        <v>0</v>
      </c>
      <c r="AH277" s="550">
        <v>0</v>
      </c>
      <c r="AI277" s="550">
        <v>0</v>
      </c>
      <c r="AJ277" s="550">
        <v>0</v>
      </c>
      <c r="AK277" s="550">
        <v>0</v>
      </c>
      <c r="AL277" s="550">
        <v>0</v>
      </c>
      <c r="AM277" s="550">
        <v>0</v>
      </c>
      <c r="AN277" s="550">
        <v>0</v>
      </c>
      <c r="AO277" s="550">
        <v>0</v>
      </c>
      <c r="AP277" s="550">
        <v>0</v>
      </c>
      <c r="AQ277" s="550">
        <v>0</v>
      </c>
      <c r="AR277" s="550">
        <v>0</v>
      </c>
      <c r="AS277" s="550">
        <v>0</v>
      </c>
      <c r="AT277" s="550">
        <v>0</v>
      </c>
      <c r="AU277" s="550">
        <v>0</v>
      </c>
      <c r="AV277" s="550">
        <v>0</v>
      </c>
      <c r="AW277" s="550">
        <v>0</v>
      </c>
      <c r="AX277" s="550">
        <v>0</v>
      </c>
      <c r="AY277" s="550">
        <v>0</v>
      </c>
      <c r="AZ277" s="551">
        <v>0</v>
      </c>
    </row>
    <row r="278" spans="1:52" s="470" customFormat="1">
      <c r="A278" s="486">
        <f>'[4]Allocation Methodology'!A28</f>
        <v>24</v>
      </c>
      <c r="B278" s="487" t="str">
        <f>'[4]Allocation Methodology'!B28</f>
        <v>Summer Sweepstakes</v>
      </c>
      <c r="C278" s="487" t="str">
        <f>'[4]Allocation Methodology'!C28</f>
        <v>Consumer</v>
      </c>
      <c r="D278" s="487"/>
      <c r="E278" s="487">
        <f>'[4]Allocation Methodology'!D28</f>
        <v>2008</v>
      </c>
      <c r="F278" s="488" t="str">
        <f>'[4]Allocation Methodology'!E28</f>
        <v>Final</v>
      </c>
      <c r="G278" s="472" t="b">
        <v>0</v>
      </c>
      <c r="H278" s="546">
        <v>0</v>
      </c>
      <c r="I278" s="547">
        <v>0</v>
      </c>
      <c r="J278" s="547">
        <v>339.03093026542922</v>
      </c>
      <c r="K278" s="547">
        <v>122.34045007262586</v>
      </c>
      <c r="L278" s="547">
        <v>122.34045007262586</v>
      </c>
      <c r="M278" s="547">
        <v>122.34045007262586</v>
      </c>
      <c r="N278" s="547">
        <v>122.34045007262586</v>
      </c>
      <c r="O278" s="547">
        <v>122.34045007262586</v>
      </c>
      <c r="P278" s="547">
        <v>122.34045007262586</v>
      </c>
      <c r="Q278" s="547">
        <v>122.34045007262586</v>
      </c>
      <c r="R278" s="547">
        <v>67.022461777153111</v>
      </c>
      <c r="S278" s="547">
        <v>67.022461777153111</v>
      </c>
      <c r="T278" s="547">
        <v>50.782865918852607</v>
      </c>
      <c r="U278" s="547">
        <v>50.782865918852607</v>
      </c>
      <c r="V278" s="547">
        <v>50.782865918852607</v>
      </c>
      <c r="W278" s="547">
        <v>44.929004174684991</v>
      </c>
      <c r="X278" s="547">
        <v>42.843244504094415</v>
      </c>
      <c r="Y278" s="547">
        <v>40.732965338671811</v>
      </c>
      <c r="Z278" s="547">
        <v>40.732965338671811</v>
      </c>
      <c r="AA278" s="547">
        <v>40.732965338671811</v>
      </c>
      <c r="AB278" s="547">
        <v>40.732965338671811</v>
      </c>
      <c r="AC278" s="547">
        <v>40.732965338671811</v>
      </c>
      <c r="AD278" s="547">
        <v>0</v>
      </c>
      <c r="AE278" s="547">
        <v>0</v>
      </c>
      <c r="AF278" s="547">
        <v>0</v>
      </c>
      <c r="AG278" s="547">
        <v>0</v>
      </c>
      <c r="AH278" s="547">
        <v>0</v>
      </c>
      <c r="AI278" s="547">
        <v>0</v>
      </c>
      <c r="AJ278" s="547">
        <v>0</v>
      </c>
      <c r="AK278" s="547">
        <v>0</v>
      </c>
      <c r="AL278" s="547">
        <v>0</v>
      </c>
      <c r="AM278" s="547">
        <v>0</v>
      </c>
      <c r="AN278" s="547">
        <v>0</v>
      </c>
      <c r="AO278" s="547">
        <v>0</v>
      </c>
      <c r="AP278" s="547">
        <v>0</v>
      </c>
      <c r="AQ278" s="547">
        <v>0</v>
      </c>
      <c r="AR278" s="547">
        <v>0</v>
      </c>
      <c r="AS278" s="547">
        <v>0</v>
      </c>
      <c r="AT278" s="547">
        <v>0</v>
      </c>
      <c r="AU278" s="547">
        <v>0</v>
      </c>
      <c r="AV278" s="547">
        <v>0</v>
      </c>
      <c r="AW278" s="547">
        <v>0</v>
      </c>
      <c r="AX278" s="547">
        <v>0</v>
      </c>
      <c r="AY278" s="547">
        <v>0</v>
      </c>
      <c r="AZ278" s="548">
        <v>0</v>
      </c>
    </row>
    <row r="279" spans="1:52" s="470" customFormat="1">
      <c r="A279" s="493">
        <f>'[4]Allocation Methodology'!A29</f>
        <v>25</v>
      </c>
      <c r="B279" s="494" t="str">
        <f>'[4]Allocation Methodology'!B29</f>
        <v>Electricity Retrofit Incentive</v>
      </c>
      <c r="C279" s="494" t="str">
        <f>'[4]Allocation Methodology'!C29</f>
        <v>Consumer, Business</v>
      </c>
      <c r="D279" s="494"/>
      <c r="E279" s="494">
        <f>'[4]Allocation Methodology'!D29</f>
        <v>2008</v>
      </c>
      <c r="F279" s="495" t="str">
        <f>'[4]Allocation Methodology'!E29</f>
        <v>Final</v>
      </c>
      <c r="G279" s="472" t="b">
        <v>0</v>
      </c>
      <c r="H279" s="549">
        <v>0</v>
      </c>
      <c r="I279" s="550">
        <v>0</v>
      </c>
      <c r="J279" s="550">
        <v>2759.8415682137829</v>
      </c>
      <c r="K279" s="550">
        <v>2759.822720617361</v>
      </c>
      <c r="L279" s="550">
        <v>2759.822720617361</v>
      </c>
      <c r="M279" s="550">
        <v>2759.822720617361</v>
      </c>
      <c r="N279" s="550">
        <v>2759.822720617361</v>
      </c>
      <c r="O279" s="550">
        <v>2759.822720617361</v>
      </c>
      <c r="P279" s="550">
        <v>2759.822720617361</v>
      </c>
      <c r="Q279" s="550">
        <v>2759.822720617361</v>
      </c>
      <c r="R279" s="550">
        <v>2534.6992655533058</v>
      </c>
      <c r="S279" s="550">
        <v>2534.6992655533058</v>
      </c>
      <c r="T279" s="550">
        <v>2534.6992655533058</v>
      </c>
      <c r="U279" s="550">
        <v>2534.6992655533058</v>
      </c>
      <c r="V279" s="550">
        <v>2534.6992655533058</v>
      </c>
      <c r="W279" s="550">
        <v>2534.6992655533058</v>
      </c>
      <c r="X279" s="550">
        <v>2534.6992655533058</v>
      </c>
      <c r="Y279" s="550">
        <v>2458.6582875867061</v>
      </c>
      <c r="Z279" s="550">
        <v>0</v>
      </c>
      <c r="AA279" s="550">
        <v>0</v>
      </c>
      <c r="AB279" s="550">
        <v>0</v>
      </c>
      <c r="AC279" s="550">
        <v>0</v>
      </c>
      <c r="AD279" s="550">
        <v>0</v>
      </c>
      <c r="AE279" s="550">
        <v>0</v>
      </c>
      <c r="AF279" s="550">
        <v>0</v>
      </c>
      <c r="AG279" s="550">
        <v>0</v>
      </c>
      <c r="AH279" s="550">
        <v>0</v>
      </c>
      <c r="AI279" s="550">
        <v>0</v>
      </c>
      <c r="AJ279" s="550">
        <v>0</v>
      </c>
      <c r="AK279" s="550">
        <v>0</v>
      </c>
      <c r="AL279" s="550">
        <v>0</v>
      </c>
      <c r="AM279" s="550">
        <v>0</v>
      </c>
      <c r="AN279" s="550">
        <v>0</v>
      </c>
      <c r="AO279" s="550">
        <v>0</v>
      </c>
      <c r="AP279" s="550">
        <v>0</v>
      </c>
      <c r="AQ279" s="550">
        <v>0</v>
      </c>
      <c r="AR279" s="550">
        <v>0</v>
      </c>
      <c r="AS279" s="550">
        <v>0</v>
      </c>
      <c r="AT279" s="550">
        <v>0</v>
      </c>
      <c r="AU279" s="550">
        <v>0</v>
      </c>
      <c r="AV279" s="550">
        <v>0</v>
      </c>
      <c r="AW279" s="550">
        <v>0</v>
      </c>
      <c r="AX279" s="550">
        <v>0</v>
      </c>
      <c r="AY279" s="550">
        <v>0</v>
      </c>
      <c r="AZ279" s="551">
        <v>0</v>
      </c>
    </row>
    <row r="280" spans="1:52" s="470" customFormat="1">
      <c r="A280" s="486">
        <f>'[4]Allocation Methodology'!A30</f>
        <v>26</v>
      </c>
      <c r="B280" s="487" t="str">
        <f>'[4]Allocation Methodology'!B30</f>
        <v>Toronto Comprehensive</v>
      </c>
      <c r="C280" s="487" t="str">
        <f>'[4]Allocation Methodology'!C30</f>
        <v>Consumer, Consumer Low-Income, Business</v>
      </c>
      <c r="D280" s="487"/>
      <c r="E280" s="487">
        <f>'[4]Allocation Methodology'!D30</f>
        <v>2008</v>
      </c>
      <c r="F280" s="488" t="str">
        <f>'[4]Allocation Methodology'!E30</f>
        <v>Final</v>
      </c>
      <c r="G280" s="472" t="b">
        <v>0</v>
      </c>
      <c r="H280" s="546">
        <v>0</v>
      </c>
      <c r="I280" s="547">
        <v>0</v>
      </c>
      <c r="J280" s="547">
        <v>0</v>
      </c>
      <c r="K280" s="547">
        <v>0</v>
      </c>
      <c r="L280" s="547">
        <v>0</v>
      </c>
      <c r="M280" s="547">
        <v>0</v>
      </c>
      <c r="N280" s="547">
        <v>0</v>
      </c>
      <c r="O280" s="547">
        <v>0</v>
      </c>
      <c r="P280" s="547">
        <v>0</v>
      </c>
      <c r="Q280" s="547">
        <v>0</v>
      </c>
      <c r="R280" s="547">
        <v>0</v>
      </c>
      <c r="S280" s="547">
        <v>0</v>
      </c>
      <c r="T280" s="547">
        <v>0</v>
      </c>
      <c r="U280" s="547">
        <v>0</v>
      </c>
      <c r="V280" s="547">
        <v>0</v>
      </c>
      <c r="W280" s="547">
        <v>0</v>
      </c>
      <c r="X280" s="547">
        <v>0</v>
      </c>
      <c r="Y280" s="547">
        <v>0</v>
      </c>
      <c r="Z280" s="547">
        <v>0</v>
      </c>
      <c r="AA280" s="547">
        <v>0</v>
      </c>
      <c r="AB280" s="547">
        <v>0</v>
      </c>
      <c r="AC280" s="547">
        <v>0</v>
      </c>
      <c r="AD280" s="547">
        <v>0</v>
      </c>
      <c r="AE280" s="547">
        <v>0</v>
      </c>
      <c r="AF280" s="547">
        <v>0</v>
      </c>
      <c r="AG280" s="547">
        <v>0</v>
      </c>
      <c r="AH280" s="547">
        <v>0</v>
      </c>
      <c r="AI280" s="547">
        <v>0</v>
      </c>
      <c r="AJ280" s="547">
        <v>0</v>
      </c>
      <c r="AK280" s="547">
        <v>0</v>
      </c>
      <c r="AL280" s="547">
        <v>0</v>
      </c>
      <c r="AM280" s="547">
        <v>0</v>
      </c>
      <c r="AN280" s="547">
        <v>0</v>
      </c>
      <c r="AO280" s="547">
        <v>0</v>
      </c>
      <c r="AP280" s="547">
        <v>0</v>
      </c>
      <c r="AQ280" s="547">
        <v>0</v>
      </c>
      <c r="AR280" s="547">
        <v>0</v>
      </c>
      <c r="AS280" s="547">
        <v>0</v>
      </c>
      <c r="AT280" s="547">
        <v>0</v>
      </c>
      <c r="AU280" s="547">
        <v>0</v>
      </c>
      <c r="AV280" s="547">
        <v>0</v>
      </c>
      <c r="AW280" s="547">
        <v>0</v>
      </c>
      <c r="AX280" s="547">
        <v>0</v>
      </c>
      <c r="AY280" s="547">
        <v>0</v>
      </c>
      <c r="AZ280" s="548">
        <v>0</v>
      </c>
    </row>
    <row r="281" spans="1:52" s="470" customFormat="1">
      <c r="A281" s="493">
        <f>'[4]Allocation Methodology'!A31</f>
        <v>27</v>
      </c>
      <c r="B281" s="494" t="str">
        <f>'[4]Allocation Methodology'!B31</f>
        <v>High Performance New Construction</v>
      </c>
      <c r="C281" s="494" t="str">
        <f>'[4]Allocation Methodology'!C31</f>
        <v>Business</v>
      </c>
      <c r="D281" s="494"/>
      <c r="E281" s="494">
        <f>'[4]Allocation Methodology'!D31</f>
        <v>2008</v>
      </c>
      <c r="F281" s="495" t="str">
        <f>'[4]Allocation Methodology'!E31</f>
        <v>Final</v>
      </c>
      <c r="G281" s="472" t="b">
        <v>0</v>
      </c>
      <c r="H281" s="549">
        <v>0</v>
      </c>
      <c r="I281" s="550">
        <v>0</v>
      </c>
      <c r="J281" s="550">
        <v>2.7117339080013845</v>
      </c>
      <c r="K281" s="550">
        <v>2.7117339080013845</v>
      </c>
      <c r="L281" s="550">
        <v>2.7117339080013845</v>
      </c>
      <c r="M281" s="550">
        <v>2.7117339080013845</v>
      </c>
      <c r="N281" s="550">
        <v>2.7117339080013845</v>
      </c>
      <c r="O281" s="550">
        <v>2.7117339080013845</v>
      </c>
      <c r="P281" s="550">
        <v>2.7117339080013845</v>
      </c>
      <c r="Q281" s="550">
        <v>2.7117339080013845</v>
      </c>
      <c r="R281" s="550">
        <v>2.7117339080013845</v>
      </c>
      <c r="S281" s="550">
        <v>2.7117339080013845</v>
      </c>
      <c r="T281" s="550">
        <v>2.7117339080013845</v>
      </c>
      <c r="U281" s="550">
        <v>2.7117339080013845</v>
      </c>
      <c r="V281" s="550">
        <v>2.7117339080013845</v>
      </c>
      <c r="W281" s="550">
        <v>2.7117339080013845</v>
      </c>
      <c r="X281" s="550">
        <v>0</v>
      </c>
      <c r="Y281" s="550">
        <v>0</v>
      </c>
      <c r="Z281" s="550">
        <v>0</v>
      </c>
      <c r="AA281" s="550">
        <v>0</v>
      </c>
      <c r="AB281" s="550">
        <v>0</v>
      </c>
      <c r="AC281" s="550">
        <v>0</v>
      </c>
      <c r="AD281" s="550">
        <v>0</v>
      </c>
      <c r="AE281" s="550">
        <v>0</v>
      </c>
      <c r="AF281" s="550">
        <v>0</v>
      </c>
      <c r="AG281" s="550">
        <v>0</v>
      </c>
      <c r="AH281" s="550">
        <v>0</v>
      </c>
      <c r="AI281" s="550">
        <v>0</v>
      </c>
      <c r="AJ281" s="550">
        <v>0</v>
      </c>
      <c r="AK281" s="550">
        <v>0</v>
      </c>
      <c r="AL281" s="550">
        <v>0</v>
      </c>
      <c r="AM281" s="550">
        <v>0</v>
      </c>
      <c r="AN281" s="550">
        <v>0</v>
      </c>
      <c r="AO281" s="550">
        <v>0</v>
      </c>
      <c r="AP281" s="550">
        <v>0</v>
      </c>
      <c r="AQ281" s="550">
        <v>0</v>
      </c>
      <c r="AR281" s="550">
        <v>0</v>
      </c>
      <c r="AS281" s="550">
        <v>0</v>
      </c>
      <c r="AT281" s="550">
        <v>0</v>
      </c>
      <c r="AU281" s="550">
        <v>0</v>
      </c>
      <c r="AV281" s="550">
        <v>0</v>
      </c>
      <c r="AW281" s="550">
        <v>0</v>
      </c>
      <c r="AX281" s="550">
        <v>0</v>
      </c>
      <c r="AY281" s="550">
        <v>0</v>
      </c>
      <c r="AZ281" s="551">
        <v>0</v>
      </c>
    </row>
    <row r="282" spans="1:52" s="470" customFormat="1">
      <c r="A282" s="486">
        <f>'[4]Allocation Methodology'!A32</f>
        <v>28</v>
      </c>
      <c r="B282" s="487" t="str">
        <f>'[4]Allocation Methodology'!B32</f>
        <v>Power Savings Blitz</v>
      </c>
      <c r="C282" s="487" t="str">
        <f>'[4]Allocation Methodology'!C32</f>
        <v>Business</v>
      </c>
      <c r="D282" s="487"/>
      <c r="E282" s="487">
        <f>'[4]Allocation Methodology'!D32</f>
        <v>2008</v>
      </c>
      <c r="F282" s="488" t="str">
        <f>'[4]Allocation Methodology'!E32</f>
        <v>Final</v>
      </c>
      <c r="G282" s="472" t="b">
        <v>0</v>
      </c>
      <c r="H282" s="546">
        <v>0</v>
      </c>
      <c r="I282" s="547">
        <v>0</v>
      </c>
      <c r="J282" s="547">
        <v>0</v>
      </c>
      <c r="K282" s="547">
        <v>0</v>
      </c>
      <c r="L282" s="547">
        <v>0</v>
      </c>
      <c r="M282" s="547">
        <v>0</v>
      </c>
      <c r="N282" s="547">
        <v>0</v>
      </c>
      <c r="O282" s="547">
        <v>0</v>
      </c>
      <c r="P282" s="547">
        <v>0</v>
      </c>
      <c r="Q282" s="547">
        <v>0</v>
      </c>
      <c r="R282" s="547">
        <v>0</v>
      </c>
      <c r="S282" s="547">
        <v>0</v>
      </c>
      <c r="T282" s="547">
        <v>0</v>
      </c>
      <c r="U282" s="547">
        <v>0</v>
      </c>
      <c r="V282" s="547">
        <v>0</v>
      </c>
      <c r="W282" s="547">
        <v>0</v>
      </c>
      <c r="X282" s="547">
        <v>0</v>
      </c>
      <c r="Y282" s="547">
        <v>0</v>
      </c>
      <c r="Z282" s="547">
        <v>0</v>
      </c>
      <c r="AA282" s="547">
        <v>0</v>
      </c>
      <c r="AB282" s="547">
        <v>0</v>
      </c>
      <c r="AC282" s="547">
        <v>0</v>
      </c>
      <c r="AD282" s="547">
        <v>0</v>
      </c>
      <c r="AE282" s="547">
        <v>0</v>
      </c>
      <c r="AF282" s="547">
        <v>0</v>
      </c>
      <c r="AG282" s="547">
        <v>0</v>
      </c>
      <c r="AH282" s="547">
        <v>0</v>
      </c>
      <c r="AI282" s="547">
        <v>0</v>
      </c>
      <c r="AJ282" s="547">
        <v>0</v>
      </c>
      <c r="AK282" s="547">
        <v>0</v>
      </c>
      <c r="AL282" s="547">
        <v>0</v>
      </c>
      <c r="AM282" s="547">
        <v>0</v>
      </c>
      <c r="AN282" s="547">
        <v>0</v>
      </c>
      <c r="AO282" s="547">
        <v>0</v>
      </c>
      <c r="AP282" s="547">
        <v>0</v>
      </c>
      <c r="AQ282" s="547">
        <v>0</v>
      </c>
      <c r="AR282" s="547">
        <v>0</v>
      </c>
      <c r="AS282" s="547">
        <v>0</v>
      </c>
      <c r="AT282" s="547">
        <v>0</v>
      </c>
      <c r="AU282" s="547">
        <v>0</v>
      </c>
      <c r="AV282" s="547">
        <v>0</v>
      </c>
      <c r="AW282" s="547">
        <v>0</v>
      </c>
      <c r="AX282" s="547">
        <v>0</v>
      </c>
      <c r="AY282" s="547">
        <v>0</v>
      </c>
      <c r="AZ282" s="548">
        <v>0</v>
      </c>
    </row>
    <row r="283" spans="1:52" s="470" customFormat="1">
      <c r="A283" s="493">
        <f>'[4]Allocation Methodology'!A33</f>
        <v>29</v>
      </c>
      <c r="B283" s="494" t="str">
        <f>'[4]Allocation Methodology'!B33</f>
        <v>Demand Response 1</v>
      </c>
      <c r="C283" s="494" t="str">
        <f>'[4]Allocation Methodology'!C33</f>
        <v>Business, Industrial</v>
      </c>
      <c r="D283" s="494"/>
      <c r="E283" s="494">
        <f>'[4]Allocation Methodology'!D33</f>
        <v>2008</v>
      </c>
      <c r="F283" s="495" t="str">
        <f>'[4]Allocation Methodology'!E33</f>
        <v>Final</v>
      </c>
      <c r="G283" s="472" t="b">
        <v>0</v>
      </c>
      <c r="H283" s="549">
        <v>0</v>
      </c>
      <c r="I283" s="550">
        <v>0</v>
      </c>
      <c r="J283" s="550">
        <v>0</v>
      </c>
      <c r="K283" s="550">
        <v>0</v>
      </c>
      <c r="L283" s="550">
        <v>0</v>
      </c>
      <c r="M283" s="550">
        <v>0</v>
      </c>
      <c r="N283" s="550">
        <v>0</v>
      </c>
      <c r="O283" s="550">
        <v>0</v>
      </c>
      <c r="P283" s="550">
        <v>0</v>
      </c>
      <c r="Q283" s="550">
        <v>0</v>
      </c>
      <c r="R283" s="550">
        <v>0</v>
      </c>
      <c r="S283" s="550">
        <v>0</v>
      </c>
      <c r="T283" s="550">
        <v>0</v>
      </c>
      <c r="U283" s="550">
        <v>0</v>
      </c>
      <c r="V283" s="550">
        <v>0</v>
      </c>
      <c r="W283" s="550">
        <v>0</v>
      </c>
      <c r="X283" s="550">
        <v>0</v>
      </c>
      <c r="Y283" s="550">
        <v>0</v>
      </c>
      <c r="Z283" s="550">
        <v>0</v>
      </c>
      <c r="AA283" s="550">
        <v>0</v>
      </c>
      <c r="AB283" s="550">
        <v>0</v>
      </c>
      <c r="AC283" s="550">
        <v>0</v>
      </c>
      <c r="AD283" s="550">
        <v>0</v>
      </c>
      <c r="AE283" s="550">
        <v>0</v>
      </c>
      <c r="AF283" s="550">
        <v>0</v>
      </c>
      <c r="AG283" s="550">
        <v>0</v>
      </c>
      <c r="AH283" s="550">
        <v>0</v>
      </c>
      <c r="AI283" s="550">
        <v>0</v>
      </c>
      <c r="AJ283" s="550">
        <v>0</v>
      </c>
      <c r="AK283" s="550">
        <v>0</v>
      </c>
      <c r="AL283" s="550">
        <v>0</v>
      </c>
      <c r="AM283" s="550">
        <v>0</v>
      </c>
      <c r="AN283" s="550">
        <v>0</v>
      </c>
      <c r="AO283" s="550">
        <v>0</v>
      </c>
      <c r="AP283" s="550">
        <v>0</v>
      </c>
      <c r="AQ283" s="550">
        <v>0</v>
      </c>
      <c r="AR283" s="550">
        <v>0</v>
      </c>
      <c r="AS283" s="550">
        <v>0</v>
      </c>
      <c r="AT283" s="550">
        <v>0</v>
      </c>
      <c r="AU283" s="550">
        <v>0</v>
      </c>
      <c r="AV283" s="550">
        <v>0</v>
      </c>
      <c r="AW283" s="550">
        <v>0</v>
      </c>
      <c r="AX283" s="550">
        <v>0</v>
      </c>
      <c r="AY283" s="550">
        <v>0</v>
      </c>
      <c r="AZ283" s="551">
        <v>0</v>
      </c>
    </row>
    <row r="284" spans="1:52" s="470" customFormat="1">
      <c r="A284" s="486">
        <f>'[4]Allocation Methodology'!A34</f>
        <v>30</v>
      </c>
      <c r="B284" s="487" t="str">
        <f>'[4]Allocation Methodology'!B34</f>
        <v>Demand Response 3</v>
      </c>
      <c r="C284" s="487" t="str">
        <f>'[4]Allocation Methodology'!C34</f>
        <v>Business, Industrial</v>
      </c>
      <c r="D284" s="487"/>
      <c r="E284" s="487">
        <f>'[4]Allocation Methodology'!D34</f>
        <v>2008</v>
      </c>
      <c r="F284" s="488" t="str">
        <f>'[4]Allocation Methodology'!E34</f>
        <v>Final</v>
      </c>
      <c r="G284" s="472" t="b">
        <v>0</v>
      </c>
      <c r="H284" s="546">
        <v>0</v>
      </c>
      <c r="I284" s="547">
        <v>0</v>
      </c>
      <c r="J284" s="547">
        <v>0</v>
      </c>
      <c r="K284" s="547">
        <v>0</v>
      </c>
      <c r="L284" s="547">
        <v>0</v>
      </c>
      <c r="M284" s="547">
        <v>0</v>
      </c>
      <c r="N284" s="547">
        <v>0</v>
      </c>
      <c r="O284" s="547">
        <v>0</v>
      </c>
      <c r="P284" s="547">
        <v>0</v>
      </c>
      <c r="Q284" s="547">
        <v>0</v>
      </c>
      <c r="R284" s="547">
        <v>0</v>
      </c>
      <c r="S284" s="547">
        <v>0</v>
      </c>
      <c r="T284" s="547">
        <v>0</v>
      </c>
      <c r="U284" s="547">
        <v>0</v>
      </c>
      <c r="V284" s="547">
        <v>0</v>
      </c>
      <c r="W284" s="547">
        <v>0</v>
      </c>
      <c r="X284" s="547">
        <v>0</v>
      </c>
      <c r="Y284" s="547">
        <v>0</v>
      </c>
      <c r="Z284" s="547">
        <v>0</v>
      </c>
      <c r="AA284" s="547">
        <v>0</v>
      </c>
      <c r="AB284" s="547">
        <v>0</v>
      </c>
      <c r="AC284" s="547">
        <v>0</v>
      </c>
      <c r="AD284" s="547">
        <v>0</v>
      </c>
      <c r="AE284" s="547">
        <v>0</v>
      </c>
      <c r="AF284" s="547">
        <v>0</v>
      </c>
      <c r="AG284" s="547">
        <v>0</v>
      </c>
      <c r="AH284" s="547">
        <v>0</v>
      </c>
      <c r="AI284" s="547">
        <v>0</v>
      </c>
      <c r="AJ284" s="547">
        <v>0</v>
      </c>
      <c r="AK284" s="547">
        <v>0</v>
      </c>
      <c r="AL284" s="547">
        <v>0</v>
      </c>
      <c r="AM284" s="547">
        <v>0</v>
      </c>
      <c r="AN284" s="547">
        <v>0</v>
      </c>
      <c r="AO284" s="547">
        <v>0</v>
      </c>
      <c r="AP284" s="547">
        <v>0</v>
      </c>
      <c r="AQ284" s="547">
        <v>0</v>
      </c>
      <c r="AR284" s="547">
        <v>0</v>
      </c>
      <c r="AS284" s="547">
        <v>0</v>
      </c>
      <c r="AT284" s="547">
        <v>0</v>
      </c>
      <c r="AU284" s="547">
        <v>0</v>
      </c>
      <c r="AV284" s="547">
        <v>0</v>
      </c>
      <c r="AW284" s="547">
        <v>0</v>
      </c>
      <c r="AX284" s="547">
        <v>0</v>
      </c>
      <c r="AY284" s="547">
        <v>0</v>
      </c>
      <c r="AZ284" s="548">
        <v>0</v>
      </c>
    </row>
    <row r="285" spans="1:52" s="470" customFormat="1">
      <c r="A285" s="493">
        <f>'[4]Allocation Methodology'!A35</f>
        <v>31</v>
      </c>
      <c r="B285" s="494" t="str">
        <f>'[4]Allocation Methodology'!B35</f>
        <v>Loblaw &amp; York Region Demand Response</v>
      </c>
      <c r="C285" s="494" t="str">
        <f>'[4]Allocation Methodology'!C35</f>
        <v>Business, Industrial</v>
      </c>
      <c r="D285" s="494"/>
      <c r="E285" s="494">
        <f>'[4]Allocation Methodology'!D35</f>
        <v>2008</v>
      </c>
      <c r="F285" s="495" t="str">
        <f>'[4]Allocation Methodology'!E35</f>
        <v>Final</v>
      </c>
      <c r="G285" s="472" t="b">
        <v>0</v>
      </c>
      <c r="H285" s="549">
        <v>0</v>
      </c>
      <c r="I285" s="550">
        <v>0</v>
      </c>
      <c r="J285" s="550">
        <v>0</v>
      </c>
      <c r="K285" s="550">
        <v>0</v>
      </c>
      <c r="L285" s="550">
        <v>0</v>
      </c>
      <c r="M285" s="550">
        <v>0</v>
      </c>
      <c r="N285" s="550">
        <v>0</v>
      </c>
      <c r="O285" s="550">
        <v>0</v>
      </c>
      <c r="P285" s="550">
        <v>0</v>
      </c>
      <c r="Q285" s="550">
        <v>0</v>
      </c>
      <c r="R285" s="550">
        <v>0</v>
      </c>
      <c r="S285" s="550">
        <v>0</v>
      </c>
      <c r="T285" s="550">
        <v>0</v>
      </c>
      <c r="U285" s="550">
        <v>0</v>
      </c>
      <c r="V285" s="550">
        <v>0</v>
      </c>
      <c r="W285" s="550">
        <v>0</v>
      </c>
      <c r="X285" s="550">
        <v>0</v>
      </c>
      <c r="Y285" s="550">
        <v>0</v>
      </c>
      <c r="Z285" s="550">
        <v>0</v>
      </c>
      <c r="AA285" s="550">
        <v>0</v>
      </c>
      <c r="AB285" s="550">
        <v>0</v>
      </c>
      <c r="AC285" s="550">
        <v>0</v>
      </c>
      <c r="AD285" s="550">
        <v>0</v>
      </c>
      <c r="AE285" s="550">
        <v>0</v>
      </c>
      <c r="AF285" s="550">
        <v>0</v>
      </c>
      <c r="AG285" s="550">
        <v>0</v>
      </c>
      <c r="AH285" s="550">
        <v>0</v>
      </c>
      <c r="AI285" s="550">
        <v>0</v>
      </c>
      <c r="AJ285" s="550">
        <v>0</v>
      </c>
      <c r="AK285" s="550">
        <v>0</v>
      </c>
      <c r="AL285" s="550">
        <v>0</v>
      </c>
      <c r="AM285" s="550">
        <v>0</v>
      </c>
      <c r="AN285" s="550">
        <v>0</v>
      </c>
      <c r="AO285" s="550">
        <v>0</v>
      </c>
      <c r="AP285" s="550">
        <v>0</v>
      </c>
      <c r="AQ285" s="550">
        <v>0</v>
      </c>
      <c r="AR285" s="550">
        <v>0</v>
      </c>
      <c r="AS285" s="550">
        <v>0</v>
      </c>
      <c r="AT285" s="550">
        <v>0</v>
      </c>
      <c r="AU285" s="550">
        <v>0</v>
      </c>
      <c r="AV285" s="550">
        <v>0</v>
      </c>
      <c r="AW285" s="550">
        <v>0</v>
      </c>
      <c r="AX285" s="550">
        <v>0</v>
      </c>
      <c r="AY285" s="550">
        <v>0</v>
      </c>
      <c r="AZ285" s="551">
        <v>0</v>
      </c>
    </row>
    <row r="286" spans="1:52" s="470" customFormat="1">
      <c r="A286" s="486">
        <f>'[4]Allocation Methodology'!A36</f>
        <v>32</v>
      </c>
      <c r="B286" s="487" t="str">
        <f>'[4]Allocation Methodology'!B36</f>
        <v>Renewable Energy Standard Offer</v>
      </c>
      <c r="C286" s="487" t="str">
        <f>'[4]Allocation Methodology'!C36</f>
        <v>Consumer, Business</v>
      </c>
      <c r="D286" s="487"/>
      <c r="E286" s="487">
        <f>'[4]Allocation Methodology'!D36</f>
        <v>2008</v>
      </c>
      <c r="F286" s="488" t="str">
        <f>'[4]Allocation Methodology'!E36</f>
        <v>Final</v>
      </c>
      <c r="G286" s="472" t="b">
        <v>0</v>
      </c>
      <c r="H286" s="546">
        <v>0</v>
      </c>
      <c r="I286" s="547">
        <v>0</v>
      </c>
      <c r="J286" s="547">
        <v>13.927524000000002</v>
      </c>
      <c r="K286" s="547">
        <v>13.927524000000002</v>
      </c>
      <c r="L286" s="547">
        <v>13.927524000000002</v>
      </c>
      <c r="M286" s="547">
        <v>13.927524000000002</v>
      </c>
      <c r="N286" s="547">
        <v>13.927524000000002</v>
      </c>
      <c r="O286" s="547">
        <v>13.927524000000002</v>
      </c>
      <c r="P286" s="547">
        <v>13.927524000000002</v>
      </c>
      <c r="Q286" s="547">
        <v>13.927524000000002</v>
      </c>
      <c r="R286" s="547">
        <v>13.927524000000002</v>
      </c>
      <c r="S286" s="547">
        <v>13.927524000000002</v>
      </c>
      <c r="T286" s="547">
        <v>13.927524000000002</v>
      </c>
      <c r="U286" s="547">
        <v>13.927524000000002</v>
      </c>
      <c r="V286" s="547">
        <v>13.927524000000002</v>
      </c>
      <c r="W286" s="547">
        <v>13.927524000000002</v>
      </c>
      <c r="X286" s="547">
        <v>13.927524000000002</v>
      </c>
      <c r="Y286" s="547">
        <v>13.927524000000002</v>
      </c>
      <c r="Z286" s="547">
        <v>13.927524000000002</v>
      </c>
      <c r="AA286" s="547">
        <v>13.927524000000002</v>
      </c>
      <c r="AB286" s="547">
        <v>13.927524000000002</v>
      </c>
      <c r="AC286" s="547">
        <v>13.927524000000002</v>
      </c>
      <c r="AD286" s="547">
        <v>0</v>
      </c>
      <c r="AE286" s="547">
        <v>0</v>
      </c>
      <c r="AF286" s="547">
        <v>0</v>
      </c>
      <c r="AG286" s="547">
        <v>0</v>
      </c>
      <c r="AH286" s="547">
        <v>0</v>
      </c>
      <c r="AI286" s="547">
        <v>0</v>
      </c>
      <c r="AJ286" s="547">
        <v>0</v>
      </c>
      <c r="AK286" s="547">
        <v>0</v>
      </c>
      <c r="AL286" s="547">
        <v>0</v>
      </c>
      <c r="AM286" s="547">
        <v>0</v>
      </c>
      <c r="AN286" s="547">
        <v>0</v>
      </c>
      <c r="AO286" s="547">
        <v>0</v>
      </c>
      <c r="AP286" s="547">
        <v>0</v>
      </c>
      <c r="AQ286" s="547">
        <v>0</v>
      </c>
      <c r="AR286" s="547">
        <v>0</v>
      </c>
      <c r="AS286" s="547">
        <v>0</v>
      </c>
      <c r="AT286" s="547">
        <v>0</v>
      </c>
      <c r="AU286" s="547">
        <v>0</v>
      </c>
      <c r="AV286" s="547">
        <v>0</v>
      </c>
      <c r="AW286" s="547">
        <v>0</v>
      </c>
      <c r="AX286" s="547">
        <v>0</v>
      </c>
      <c r="AY286" s="547">
        <v>0</v>
      </c>
      <c r="AZ286" s="548">
        <v>0</v>
      </c>
    </row>
    <row r="287" spans="1:52" s="470" customFormat="1">
      <c r="A287" s="493">
        <f>'[4]Allocation Methodology'!A37</f>
        <v>33</v>
      </c>
      <c r="B287" s="494" t="str">
        <f>'[4]Allocation Methodology'!B37</f>
        <v>Other Customer Based Generation</v>
      </c>
      <c r="C287" s="494" t="str">
        <f>'[4]Allocation Methodology'!C37</f>
        <v>Business</v>
      </c>
      <c r="D287" s="494"/>
      <c r="E287" s="494">
        <f>'[4]Allocation Methodology'!D37</f>
        <v>2008</v>
      </c>
      <c r="F287" s="495" t="str">
        <f>'[4]Allocation Methodology'!E37</f>
        <v>Final</v>
      </c>
      <c r="G287" s="472" t="b">
        <v>0</v>
      </c>
      <c r="H287" s="549">
        <v>0</v>
      </c>
      <c r="I287" s="550">
        <v>0</v>
      </c>
      <c r="J287" s="550">
        <v>0</v>
      </c>
      <c r="K287" s="550">
        <v>0</v>
      </c>
      <c r="L287" s="550">
        <v>0</v>
      </c>
      <c r="M287" s="550">
        <v>0</v>
      </c>
      <c r="N287" s="550">
        <v>0</v>
      </c>
      <c r="O287" s="550">
        <v>0</v>
      </c>
      <c r="P287" s="550">
        <v>0</v>
      </c>
      <c r="Q287" s="550">
        <v>0</v>
      </c>
      <c r="R287" s="550">
        <v>0</v>
      </c>
      <c r="S287" s="550">
        <v>0</v>
      </c>
      <c r="T287" s="550">
        <v>0</v>
      </c>
      <c r="U287" s="550">
        <v>0</v>
      </c>
      <c r="V287" s="550">
        <v>0</v>
      </c>
      <c r="W287" s="550">
        <v>0</v>
      </c>
      <c r="X287" s="550">
        <v>0</v>
      </c>
      <c r="Y287" s="550">
        <v>0</v>
      </c>
      <c r="Z287" s="550">
        <v>0</v>
      </c>
      <c r="AA287" s="550">
        <v>0</v>
      </c>
      <c r="AB287" s="550">
        <v>0</v>
      </c>
      <c r="AC287" s="550">
        <v>0</v>
      </c>
      <c r="AD287" s="550">
        <v>0</v>
      </c>
      <c r="AE287" s="550">
        <v>0</v>
      </c>
      <c r="AF287" s="550">
        <v>0</v>
      </c>
      <c r="AG287" s="550">
        <v>0</v>
      </c>
      <c r="AH287" s="550">
        <v>0</v>
      </c>
      <c r="AI287" s="550">
        <v>0</v>
      </c>
      <c r="AJ287" s="550">
        <v>0</v>
      </c>
      <c r="AK287" s="550">
        <v>0</v>
      </c>
      <c r="AL287" s="550">
        <v>0</v>
      </c>
      <c r="AM287" s="550">
        <v>0</v>
      </c>
      <c r="AN287" s="550">
        <v>0</v>
      </c>
      <c r="AO287" s="550">
        <v>0</v>
      </c>
      <c r="AP287" s="550">
        <v>0</v>
      </c>
      <c r="AQ287" s="550">
        <v>0</v>
      </c>
      <c r="AR287" s="550">
        <v>0</v>
      </c>
      <c r="AS287" s="550">
        <v>0</v>
      </c>
      <c r="AT287" s="550">
        <v>0</v>
      </c>
      <c r="AU287" s="550">
        <v>0</v>
      </c>
      <c r="AV287" s="550">
        <v>0</v>
      </c>
      <c r="AW287" s="550">
        <v>0</v>
      </c>
      <c r="AX287" s="550">
        <v>0</v>
      </c>
      <c r="AY287" s="550">
        <v>0</v>
      </c>
      <c r="AZ287" s="551">
        <v>0</v>
      </c>
    </row>
    <row r="288" spans="1:52" s="470" customFormat="1">
      <c r="A288" s="515">
        <f>'[4]Allocation Methodology'!A38</f>
        <v>34</v>
      </c>
      <c r="B288" s="516" t="str">
        <f>'[4]Allocation Methodology'!B38</f>
        <v>LDC Custom - Hydro One Networks Inc. - Double Return</v>
      </c>
      <c r="C288" s="516" t="str">
        <f>'[4]Allocation Methodology'!C38</f>
        <v>Business, Industrial</v>
      </c>
      <c r="D288" s="516"/>
      <c r="E288" s="516">
        <f>'[4]Allocation Methodology'!D38</f>
        <v>2008</v>
      </c>
      <c r="F288" s="517" t="str">
        <f>'[4]Allocation Methodology'!E38</f>
        <v>Final</v>
      </c>
      <c r="G288" s="472" t="b">
        <v>0</v>
      </c>
      <c r="H288" s="558">
        <v>0</v>
      </c>
      <c r="I288" s="559">
        <v>0</v>
      </c>
      <c r="J288" s="559">
        <v>0</v>
      </c>
      <c r="K288" s="559">
        <v>0</v>
      </c>
      <c r="L288" s="559">
        <v>0</v>
      </c>
      <c r="M288" s="559">
        <v>0</v>
      </c>
      <c r="N288" s="559">
        <v>0</v>
      </c>
      <c r="O288" s="559">
        <v>0</v>
      </c>
      <c r="P288" s="559">
        <v>0</v>
      </c>
      <c r="Q288" s="559">
        <v>0</v>
      </c>
      <c r="R288" s="559">
        <v>0</v>
      </c>
      <c r="S288" s="559">
        <v>0</v>
      </c>
      <c r="T288" s="559">
        <v>0</v>
      </c>
      <c r="U288" s="559">
        <v>0</v>
      </c>
      <c r="V288" s="559">
        <v>0</v>
      </c>
      <c r="W288" s="559">
        <v>0</v>
      </c>
      <c r="X288" s="559">
        <v>0</v>
      </c>
      <c r="Y288" s="559">
        <v>0</v>
      </c>
      <c r="Z288" s="559">
        <v>0</v>
      </c>
      <c r="AA288" s="559">
        <v>0</v>
      </c>
      <c r="AB288" s="559">
        <v>0</v>
      </c>
      <c r="AC288" s="559">
        <v>0</v>
      </c>
      <c r="AD288" s="559">
        <v>0</v>
      </c>
      <c r="AE288" s="559">
        <v>0</v>
      </c>
      <c r="AF288" s="559">
        <v>0</v>
      </c>
      <c r="AG288" s="559">
        <v>0</v>
      </c>
      <c r="AH288" s="559">
        <v>0</v>
      </c>
      <c r="AI288" s="559">
        <v>0</v>
      </c>
      <c r="AJ288" s="559">
        <v>0</v>
      </c>
      <c r="AK288" s="559">
        <v>0</v>
      </c>
      <c r="AL288" s="559">
        <v>0</v>
      </c>
      <c r="AM288" s="559">
        <v>0</v>
      </c>
      <c r="AN288" s="559">
        <v>0</v>
      </c>
      <c r="AO288" s="559">
        <v>0</v>
      </c>
      <c r="AP288" s="559">
        <v>0</v>
      </c>
      <c r="AQ288" s="559">
        <v>0</v>
      </c>
      <c r="AR288" s="559">
        <v>0</v>
      </c>
      <c r="AS288" s="559">
        <v>0</v>
      </c>
      <c r="AT288" s="559">
        <v>0</v>
      </c>
      <c r="AU288" s="559">
        <v>0</v>
      </c>
      <c r="AV288" s="559">
        <v>0</v>
      </c>
      <c r="AW288" s="559">
        <v>0</v>
      </c>
      <c r="AX288" s="559">
        <v>0</v>
      </c>
      <c r="AY288" s="559">
        <v>0</v>
      </c>
      <c r="AZ288" s="560">
        <v>0</v>
      </c>
    </row>
    <row r="289" spans="1:52" s="470" customFormat="1">
      <c r="A289" s="479">
        <f>'[4]Allocation Methodology'!A39</f>
        <v>35</v>
      </c>
      <c r="B289" s="480" t="str">
        <f>'[4]Allocation Methodology'!B39</f>
        <v>Great Refrigerator Roundup</v>
      </c>
      <c r="C289" s="480" t="str">
        <f>'[4]Allocation Methodology'!C39</f>
        <v>Consumer</v>
      </c>
      <c r="D289" s="480"/>
      <c r="E289" s="480">
        <f>'[4]Allocation Methodology'!D39</f>
        <v>2009</v>
      </c>
      <c r="F289" s="481" t="str">
        <f>'[4]Allocation Methodology'!E39</f>
        <v>Final</v>
      </c>
      <c r="G289" s="472" t="b">
        <v>0</v>
      </c>
      <c r="H289" s="542">
        <v>0</v>
      </c>
      <c r="I289" s="544">
        <v>0</v>
      </c>
      <c r="J289" s="544">
        <v>0</v>
      </c>
      <c r="K289" s="544">
        <v>217.13672497956065</v>
      </c>
      <c r="L289" s="544">
        <v>217.13672497956065</v>
      </c>
      <c r="M289" s="544">
        <v>217.13672497956065</v>
      </c>
      <c r="N289" s="544">
        <v>215.42600629931289</v>
      </c>
      <c r="O289" s="544">
        <v>159.69321225267387</v>
      </c>
      <c r="P289" s="544">
        <v>0</v>
      </c>
      <c r="Q289" s="544">
        <v>0</v>
      </c>
      <c r="R289" s="544">
        <v>0</v>
      </c>
      <c r="S289" s="544">
        <v>0</v>
      </c>
      <c r="T289" s="544">
        <v>0</v>
      </c>
      <c r="U289" s="544">
        <v>0</v>
      </c>
      <c r="V289" s="544">
        <v>0</v>
      </c>
      <c r="W289" s="544">
        <v>0</v>
      </c>
      <c r="X289" s="544">
        <v>0</v>
      </c>
      <c r="Y289" s="544">
        <v>0</v>
      </c>
      <c r="Z289" s="544">
        <v>0</v>
      </c>
      <c r="AA289" s="544">
        <v>0</v>
      </c>
      <c r="AB289" s="544">
        <v>0</v>
      </c>
      <c r="AC289" s="544">
        <v>0</v>
      </c>
      <c r="AD289" s="544">
        <v>0</v>
      </c>
      <c r="AE289" s="544">
        <v>0</v>
      </c>
      <c r="AF289" s="544">
        <v>0</v>
      </c>
      <c r="AG289" s="544">
        <v>0</v>
      </c>
      <c r="AH289" s="544">
        <v>0</v>
      </c>
      <c r="AI289" s="544">
        <v>0</v>
      </c>
      <c r="AJ289" s="544">
        <v>0</v>
      </c>
      <c r="AK289" s="544">
        <v>0</v>
      </c>
      <c r="AL289" s="544">
        <v>0</v>
      </c>
      <c r="AM289" s="544">
        <v>0</v>
      </c>
      <c r="AN289" s="544">
        <v>0</v>
      </c>
      <c r="AO289" s="544">
        <v>0</v>
      </c>
      <c r="AP289" s="544">
        <v>0</v>
      </c>
      <c r="AQ289" s="544">
        <v>0</v>
      </c>
      <c r="AR289" s="544">
        <v>0</v>
      </c>
      <c r="AS289" s="544">
        <v>0</v>
      </c>
      <c r="AT289" s="544">
        <v>0</v>
      </c>
      <c r="AU289" s="544">
        <v>0</v>
      </c>
      <c r="AV289" s="544">
        <v>0</v>
      </c>
      <c r="AW289" s="544">
        <v>0</v>
      </c>
      <c r="AX289" s="544">
        <v>0</v>
      </c>
      <c r="AY289" s="544">
        <v>0</v>
      </c>
      <c r="AZ289" s="545">
        <v>0</v>
      </c>
    </row>
    <row r="290" spans="1:52" s="470" customFormat="1">
      <c r="A290" s="486">
        <f>'[4]Allocation Methodology'!A40</f>
        <v>36</v>
      </c>
      <c r="B290" s="487" t="str">
        <f>'[4]Allocation Methodology'!B40</f>
        <v>Cool Savings Rebate</v>
      </c>
      <c r="C290" s="487" t="str">
        <f>'[4]Allocation Methodology'!C40</f>
        <v>Consumer</v>
      </c>
      <c r="D290" s="487"/>
      <c r="E290" s="487">
        <f>'[4]Allocation Methodology'!D40</f>
        <v>2009</v>
      </c>
      <c r="F290" s="488" t="str">
        <f>'[4]Allocation Methodology'!E40</f>
        <v>Final</v>
      </c>
      <c r="G290" s="472" t="b">
        <v>0</v>
      </c>
      <c r="H290" s="546">
        <v>0</v>
      </c>
      <c r="I290" s="547">
        <v>0</v>
      </c>
      <c r="J290" s="547">
        <v>0</v>
      </c>
      <c r="K290" s="547">
        <v>342.35606752864516</v>
      </c>
      <c r="L290" s="547">
        <v>342.35606752864516</v>
      </c>
      <c r="M290" s="547">
        <v>342.35606752864516</v>
      </c>
      <c r="N290" s="547">
        <v>341.83586634940809</v>
      </c>
      <c r="O290" s="547">
        <v>341.08779722724711</v>
      </c>
      <c r="P290" s="547">
        <v>340.20762293173215</v>
      </c>
      <c r="Q290" s="547">
        <v>340.20762293173215</v>
      </c>
      <c r="R290" s="547">
        <v>340.20762293173215</v>
      </c>
      <c r="S290" s="547">
        <v>340.20762293173215</v>
      </c>
      <c r="T290" s="547">
        <v>340.20762293173215</v>
      </c>
      <c r="U290" s="547">
        <v>336.98779210867349</v>
      </c>
      <c r="V290" s="547">
        <v>336.98779210867349</v>
      </c>
      <c r="W290" s="547">
        <v>336.98779210867349</v>
      </c>
      <c r="X290" s="547">
        <v>336.98779210867349</v>
      </c>
      <c r="Y290" s="547">
        <v>336.98779210867349</v>
      </c>
      <c r="Z290" s="547">
        <v>329.74962670045363</v>
      </c>
      <c r="AA290" s="547">
        <v>329.74962670045363</v>
      </c>
      <c r="AB290" s="547">
        <v>329.74962670045363</v>
      </c>
      <c r="AC290" s="547">
        <v>291.16985132888675</v>
      </c>
      <c r="AD290" s="547">
        <v>0</v>
      </c>
      <c r="AE290" s="547">
        <v>0</v>
      </c>
      <c r="AF290" s="547">
        <v>0</v>
      </c>
      <c r="AG290" s="547">
        <v>0</v>
      </c>
      <c r="AH290" s="547">
        <v>0</v>
      </c>
      <c r="AI290" s="547">
        <v>0</v>
      </c>
      <c r="AJ290" s="547">
        <v>0</v>
      </c>
      <c r="AK290" s="547">
        <v>0</v>
      </c>
      <c r="AL290" s="547">
        <v>0</v>
      </c>
      <c r="AM290" s="547">
        <v>0</v>
      </c>
      <c r="AN290" s="547">
        <v>0</v>
      </c>
      <c r="AO290" s="547">
        <v>0</v>
      </c>
      <c r="AP290" s="547">
        <v>0</v>
      </c>
      <c r="AQ290" s="547">
        <v>0</v>
      </c>
      <c r="AR290" s="547">
        <v>0</v>
      </c>
      <c r="AS290" s="547">
        <v>0</v>
      </c>
      <c r="AT290" s="547">
        <v>0</v>
      </c>
      <c r="AU290" s="547">
        <v>0</v>
      </c>
      <c r="AV290" s="547">
        <v>0</v>
      </c>
      <c r="AW290" s="547">
        <v>0</v>
      </c>
      <c r="AX290" s="547">
        <v>0</v>
      </c>
      <c r="AY290" s="547">
        <v>0</v>
      </c>
      <c r="AZ290" s="548">
        <v>0</v>
      </c>
    </row>
    <row r="291" spans="1:52" s="470" customFormat="1">
      <c r="A291" s="493">
        <f>'[4]Allocation Methodology'!A41</f>
        <v>37</v>
      </c>
      <c r="B291" s="494" t="str">
        <f>'[4]Allocation Methodology'!B41</f>
        <v>Every Kilowatt Counts Power Savings Event</v>
      </c>
      <c r="C291" s="494" t="str">
        <f>'[4]Allocation Methodology'!C41</f>
        <v>Consumer</v>
      </c>
      <c r="D291" s="494"/>
      <c r="E291" s="494">
        <f>'[4]Allocation Methodology'!D41</f>
        <v>2009</v>
      </c>
      <c r="F291" s="495" t="str">
        <f>'[4]Allocation Methodology'!E41</f>
        <v>Final</v>
      </c>
      <c r="G291" s="472" t="b">
        <v>0</v>
      </c>
      <c r="H291" s="549">
        <v>0</v>
      </c>
      <c r="I291" s="550">
        <v>0</v>
      </c>
      <c r="J291" s="550">
        <v>0</v>
      </c>
      <c r="K291" s="550">
        <v>693.20876107948482</v>
      </c>
      <c r="L291" s="550">
        <v>626.94649204192899</v>
      </c>
      <c r="M291" s="550">
        <v>626.94649204192899</v>
      </c>
      <c r="N291" s="550">
        <v>626.91384225107799</v>
      </c>
      <c r="O291" s="550">
        <v>623.36003809301167</v>
      </c>
      <c r="P291" s="550">
        <v>600.26531862790398</v>
      </c>
      <c r="Q291" s="550">
        <v>511.90988082124795</v>
      </c>
      <c r="R291" s="550">
        <v>509.61010565088918</v>
      </c>
      <c r="S291" s="550">
        <v>359.56240403669142</v>
      </c>
      <c r="T291" s="550">
        <v>359.56240403669142</v>
      </c>
      <c r="U291" s="550">
        <v>265.72804656684571</v>
      </c>
      <c r="V291" s="550">
        <v>265.60238638925347</v>
      </c>
      <c r="W291" s="550">
        <v>216.39905292036812</v>
      </c>
      <c r="X291" s="550">
        <v>216.39905292036812</v>
      </c>
      <c r="Y291" s="550">
        <v>202.05851409598768</v>
      </c>
      <c r="Z291" s="550">
        <v>99.679846041496788</v>
      </c>
      <c r="AA291" s="550">
        <v>61.696698219826899</v>
      </c>
      <c r="AB291" s="550">
        <v>35.583745549059834</v>
      </c>
      <c r="AC291" s="550">
        <v>34.671469029021189</v>
      </c>
      <c r="AD291" s="550">
        <v>34.671469029021189</v>
      </c>
      <c r="AE291" s="550">
        <v>0</v>
      </c>
      <c r="AF291" s="550">
        <v>0</v>
      </c>
      <c r="AG291" s="550">
        <v>0</v>
      </c>
      <c r="AH291" s="550">
        <v>0</v>
      </c>
      <c r="AI291" s="550">
        <v>0</v>
      </c>
      <c r="AJ291" s="550">
        <v>0</v>
      </c>
      <c r="AK291" s="550">
        <v>0</v>
      </c>
      <c r="AL291" s="550">
        <v>0</v>
      </c>
      <c r="AM291" s="550">
        <v>0</v>
      </c>
      <c r="AN291" s="550">
        <v>0</v>
      </c>
      <c r="AO291" s="550">
        <v>0</v>
      </c>
      <c r="AP291" s="550">
        <v>0</v>
      </c>
      <c r="AQ291" s="550">
        <v>0</v>
      </c>
      <c r="AR291" s="550">
        <v>0</v>
      </c>
      <c r="AS291" s="550">
        <v>0</v>
      </c>
      <c r="AT291" s="550">
        <v>0</v>
      </c>
      <c r="AU291" s="550">
        <v>0</v>
      </c>
      <c r="AV291" s="550">
        <v>0</v>
      </c>
      <c r="AW291" s="550">
        <v>0</v>
      </c>
      <c r="AX291" s="550">
        <v>0</v>
      </c>
      <c r="AY291" s="550">
        <v>0</v>
      </c>
      <c r="AZ291" s="551">
        <v>0</v>
      </c>
    </row>
    <row r="292" spans="1:52" s="470" customFormat="1">
      <c r="A292" s="486">
        <f>'[4]Allocation Methodology'!A42</f>
        <v>38</v>
      </c>
      <c r="B292" s="522" t="str">
        <f>'[4]Allocation Methodology'!B42</f>
        <v>peaksaver®</v>
      </c>
      <c r="C292" s="487" t="str">
        <f>'[4]Allocation Methodology'!C42</f>
        <v>Consumer, Business</v>
      </c>
      <c r="D292" s="487"/>
      <c r="E292" s="487">
        <f>'[4]Allocation Methodology'!D42</f>
        <v>2009</v>
      </c>
      <c r="F292" s="488" t="str">
        <f>'[4]Allocation Methodology'!E42</f>
        <v>Final</v>
      </c>
      <c r="G292" s="472" t="b">
        <v>0</v>
      </c>
      <c r="H292" s="546">
        <v>0</v>
      </c>
      <c r="I292" s="547">
        <v>0</v>
      </c>
      <c r="J292" s="547">
        <v>0</v>
      </c>
      <c r="K292" s="547">
        <v>0</v>
      </c>
      <c r="L292" s="547">
        <v>0</v>
      </c>
      <c r="M292" s="547">
        <v>0</v>
      </c>
      <c r="N292" s="547">
        <v>0</v>
      </c>
      <c r="O292" s="547">
        <v>0</v>
      </c>
      <c r="P292" s="547">
        <v>0</v>
      </c>
      <c r="Q292" s="547">
        <v>0</v>
      </c>
      <c r="R292" s="547">
        <v>0</v>
      </c>
      <c r="S292" s="547">
        <v>0</v>
      </c>
      <c r="T292" s="547">
        <v>0</v>
      </c>
      <c r="U292" s="547">
        <v>0</v>
      </c>
      <c r="V292" s="547">
        <v>0</v>
      </c>
      <c r="W292" s="547">
        <v>0</v>
      </c>
      <c r="X292" s="547">
        <v>0</v>
      </c>
      <c r="Y292" s="547">
        <v>0</v>
      </c>
      <c r="Z292" s="547">
        <v>0</v>
      </c>
      <c r="AA292" s="547">
        <v>0</v>
      </c>
      <c r="AB292" s="547">
        <v>0</v>
      </c>
      <c r="AC292" s="547">
        <v>0</v>
      </c>
      <c r="AD292" s="547">
        <v>0</v>
      </c>
      <c r="AE292" s="547">
        <v>0</v>
      </c>
      <c r="AF292" s="547">
        <v>0</v>
      </c>
      <c r="AG292" s="547">
        <v>0</v>
      </c>
      <c r="AH292" s="547">
        <v>0</v>
      </c>
      <c r="AI292" s="547">
        <v>0</v>
      </c>
      <c r="AJ292" s="547">
        <v>0</v>
      </c>
      <c r="AK292" s="547">
        <v>0</v>
      </c>
      <c r="AL292" s="547">
        <v>0</v>
      </c>
      <c r="AM292" s="547">
        <v>0</v>
      </c>
      <c r="AN292" s="547">
        <v>0</v>
      </c>
      <c r="AO292" s="547">
        <v>0</v>
      </c>
      <c r="AP292" s="547">
        <v>0</v>
      </c>
      <c r="AQ292" s="547">
        <v>0</v>
      </c>
      <c r="AR292" s="547">
        <v>0</v>
      </c>
      <c r="AS292" s="547">
        <v>0</v>
      </c>
      <c r="AT292" s="547">
        <v>0</v>
      </c>
      <c r="AU292" s="547">
        <v>0</v>
      </c>
      <c r="AV292" s="547">
        <v>0</v>
      </c>
      <c r="AW292" s="547">
        <v>0</v>
      </c>
      <c r="AX292" s="547">
        <v>0</v>
      </c>
      <c r="AY292" s="547">
        <v>0</v>
      </c>
      <c r="AZ292" s="548">
        <v>0</v>
      </c>
    </row>
    <row r="293" spans="1:52" s="470" customFormat="1">
      <c r="A293" s="493">
        <f>'[4]Allocation Methodology'!A43</f>
        <v>39</v>
      </c>
      <c r="B293" s="494" t="str">
        <f>'[4]Allocation Methodology'!B43</f>
        <v>Electricity Retrofit Incentive</v>
      </c>
      <c r="C293" s="494" t="str">
        <f>'[4]Allocation Methodology'!C43</f>
        <v>Consumer, Business</v>
      </c>
      <c r="D293" s="494"/>
      <c r="E293" s="494">
        <f>'[4]Allocation Methodology'!D43</f>
        <v>2009</v>
      </c>
      <c r="F293" s="495" t="str">
        <f>'[4]Allocation Methodology'!E43</f>
        <v>Final</v>
      </c>
      <c r="G293" s="472" t="b">
        <v>0</v>
      </c>
      <c r="H293" s="549">
        <v>0</v>
      </c>
      <c r="I293" s="550">
        <v>0</v>
      </c>
      <c r="J293" s="550">
        <v>0</v>
      </c>
      <c r="K293" s="550">
        <v>948.4988038277512</v>
      </c>
      <c r="L293" s="550">
        <v>948.4988038277512</v>
      </c>
      <c r="M293" s="550">
        <v>948.4988038277512</v>
      </c>
      <c r="N293" s="550">
        <v>948.4988038277512</v>
      </c>
      <c r="O293" s="550">
        <v>948.4988038277512</v>
      </c>
      <c r="P293" s="550">
        <v>948.4988038277512</v>
      </c>
      <c r="Q293" s="550">
        <v>769.63564593303909</v>
      </c>
      <c r="R293" s="550">
        <v>645.34090909090901</v>
      </c>
      <c r="S293" s="550">
        <v>645.34090909090901</v>
      </c>
      <c r="T293" s="550">
        <v>645.34090909090901</v>
      </c>
      <c r="U293" s="550">
        <v>522.72613636360109</v>
      </c>
      <c r="V293" s="550">
        <v>0</v>
      </c>
      <c r="W293" s="550">
        <v>0</v>
      </c>
      <c r="X293" s="550">
        <v>0</v>
      </c>
      <c r="Y293" s="550">
        <v>0</v>
      </c>
      <c r="Z293" s="550">
        <v>0</v>
      </c>
      <c r="AA293" s="550">
        <v>0</v>
      </c>
      <c r="AB293" s="550">
        <v>0</v>
      </c>
      <c r="AC293" s="550">
        <v>0</v>
      </c>
      <c r="AD293" s="550">
        <v>0</v>
      </c>
      <c r="AE293" s="550">
        <v>0</v>
      </c>
      <c r="AF293" s="550">
        <v>0</v>
      </c>
      <c r="AG293" s="550">
        <v>0</v>
      </c>
      <c r="AH293" s="550">
        <v>0</v>
      </c>
      <c r="AI293" s="550">
        <v>0</v>
      </c>
      <c r="AJ293" s="550">
        <v>0</v>
      </c>
      <c r="AK293" s="550">
        <v>0</v>
      </c>
      <c r="AL293" s="550">
        <v>0</v>
      </c>
      <c r="AM293" s="550">
        <v>0</v>
      </c>
      <c r="AN293" s="550">
        <v>0</v>
      </c>
      <c r="AO293" s="550">
        <v>0</v>
      </c>
      <c r="AP293" s="550">
        <v>0</v>
      </c>
      <c r="AQ293" s="550">
        <v>0</v>
      </c>
      <c r="AR293" s="550">
        <v>0</v>
      </c>
      <c r="AS293" s="550">
        <v>0</v>
      </c>
      <c r="AT293" s="550">
        <v>0</v>
      </c>
      <c r="AU293" s="550">
        <v>0</v>
      </c>
      <c r="AV293" s="550">
        <v>0</v>
      </c>
      <c r="AW293" s="550">
        <v>0</v>
      </c>
      <c r="AX293" s="550">
        <v>0</v>
      </c>
      <c r="AY293" s="550">
        <v>0</v>
      </c>
      <c r="AZ293" s="551">
        <v>0</v>
      </c>
    </row>
    <row r="294" spans="1:52" s="470" customFormat="1">
      <c r="A294" s="486">
        <f>'[4]Allocation Methodology'!A44</f>
        <v>40</v>
      </c>
      <c r="B294" s="487" t="str">
        <f>'[4]Allocation Methodology'!B44</f>
        <v>Toronto Comprehensive</v>
      </c>
      <c r="C294" s="487" t="str">
        <f>'[4]Allocation Methodology'!C44</f>
        <v>Consumer, Consumer Low-Income, Business, Industrial</v>
      </c>
      <c r="D294" s="487"/>
      <c r="E294" s="487">
        <f>'[4]Allocation Methodology'!D44</f>
        <v>2009</v>
      </c>
      <c r="F294" s="488" t="str">
        <f>'[4]Allocation Methodology'!E44</f>
        <v>Final</v>
      </c>
      <c r="G294" s="472" t="b">
        <v>0</v>
      </c>
      <c r="H294" s="546">
        <v>0</v>
      </c>
      <c r="I294" s="547">
        <v>0</v>
      </c>
      <c r="J294" s="547">
        <v>0</v>
      </c>
      <c r="K294" s="547">
        <v>0</v>
      </c>
      <c r="L294" s="547">
        <v>0</v>
      </c>
      <c r="M294" s="547">
        <v>0</v>
      </c>
      <c r="N294" s="547">
        <v>0</v>
      </c>
      <c r="O294" s="547">
        <v>0</v>
      </c>
      <c r="P294" s="547">
        <v>0</v>
      </c>
      <c r="Q294" s="547">
        <v>0</v>
      </c>
      <c r="R294" s="547">
        <v>0</v>
      </c>
      <c r="S294" s="547">
        <v>0</v>
      </c>
      <c r="T294" s="547">
        <v>0</v>
      </c>
      <c r="U294" s="547">
        <v>0</v>
      </c>
      <c r="V294" s="547">
        <v>0</v>
      </c>
      <c r="W294" s="547">
        <v>0</v>
      </c>
      <c r="X294" s="547">
        <v>0</v>
      </c>
      <c r="Y294" s="547">
        <v>0</v>
      </c>
      <c r="Z294" s="547">
        <v>0</v>
      </c>
      <c r="AA294" s="547">
        <v>0</v>
      </c>
      <c r="AB294" s="547">
        <v>0</v>
      </c>
      <c r="AC294" s="547">
        <v>0</v>
      </c>
      <c r="AD294" s="547">
        <v>0</v>
      </c>
      <c r="AE294" s="547">
        <v>0</v>
      </c>
      <c r="AF294" s="547">
        <v>0</v>
      </c>
      <c r="AG294" s="547">
        <v>0</v>
      </c>
      <c r="AH294" s="547">
        <v>0</v>
      </c>
      <c r="AI294" s="547">
        <v>0</v>
      </c>
      <c r="AJ294" s="547">
        <v>0</v>
      </c>
      <c r="AK294" s="547">
        <v>0</v>
      </c>
      <c r="AL294" s="547">
        <v>0</v>
      </c>
      <c r="AM294" s="547">
        <v>0</v>
      </c>
      <c r="AN294" s="547">
        <v>0</v>
      </c>
      <c r="AO294" s="547">
        <v>0</v>
      </c>
      <c r="AP294" s="547">
        <v>0</v>
      </c>
      <c r="AQ294" s="547">
        <v>0</v>
      </c>
      <c r="AR294" s="547">
        <v>0</v>
      </c>
      <c r="AS294" s="547">
        <v>0</v>
      </c>
      <c r="AT294" s="547">
        <v>0</v>
      </c>
      <c r="AU294" s="547">
        <v>0</v>
      </c>
      <c r="AV294" s="547">
        <v>0</v>
      </c>
      <c r="AW294" s="547">
        <v>0</v>
      </c>
      <c r="AX294" s="547">
        <v>0</v>
      </c>
      <c r="AY294" s="547">
        <v>0</v>
      </c>
      <c r="AZ294" s="548">
        <v>0</v>
      </c>
    </row>
    <row r="295" spans="1:52" s="470" customFormat="1">
      <c r="A295" s="493">
        <f>'[4]Allocation Methodology'!A45</f>
        <v>41</v>
      </c>
      <c r="B295" s="494" t="str">
        <f>'[4]Allocation Methodology'!B45</f>
        <v>High Performance New Construction</v>
      </c>
      <c r="C295" s="494" t="str">
        <f>'[4]Allocation Methodology'!C45</f>
        <v>Business</v>
      </c>
      <c r="D295" s="494"/>
      <c r="E295" s="494">
        <f>'[4]Allocation Methodology'!D45</f>
        <v>2009</v>
      </c>
      <c r="F295" s="495" t="str">
        <f>'[4]Allocation Methodology'!E45</f>
        <v>Final</v>
      </c>
      <c r="G295" s="472" t="b">
        <v>0</v>
      </c>
      <c r="H295" s="549">
        <v>0</v>
      </c>
      <c r="I295" s="550">
        <v>0</v>
      </c>
      <c r="J295" s="550">
        <v>0</v>
      </c>
      <c r="K295" s="550">
        <v>86.25911412128103</v>
      </c>
      <c r="L295" s="550">
        <v>86.25911412128103</v>
      </c>
      <c r="M295" s="550">
        <v>86.25911412128103</v>
      </c>
      <c r="N295" s="550">
        <v>86.25911412128103</v>
      </c>
      <c r="O295" s="550">
        <v>86.25911412128103</v>
      </c>
      <c r="P295" s="550">
        <v>86.25911412128103</v>
      </c>
      <c r="Q295" s="550">
        <v>86.25911412128103</v>
      </c>
      <c r="R295" s="550">
        <v>86.25911412128103</v>
      </c>
      <c r="S295" s="550">
        <v>86.25911412128103</v>
      </c>
      <c r="T295" s="550">
        <v>86.25911412128103</v>
      </c>
      <c r="U295" s="550">
        <v>86.25911412128103</v>
      </c>
      <c r="V295" s="550">
        <v>86.25911412128103</v>
      </c>
      <c r="W295" s="550">
        <v>86.25911412128103</v>
      </c>
      <c r="X295" s="550">
        <v>86.25911412128103</v>
      </c>
      <c r="Y295" s="550">
        <v>86.25911412128103</v>
      </c>
      <c r="Z295" s="550">
        <v>86.25911412128103</v>
      </c>
      <c r="AA295" s="550">
        <v>86.25911412128103</v>
      </c>
      <c r="AB295" s="550">
        <v>86.25911412128103</v>
      </c>
      <c r="AC295" s="550">
        <v>86.25911412128103</v>
      </c>
      <c r="AD295" s="550">
        <v>86.25911412128103</v>
      </c>
      <c r="AE295" s="550">
        <v>0</v>
      </c>
      <c r="AF295" s="550">
        <v>0</v>
      </c>
      <c r="AG295" s="550">
        <v>0</v>
      </c>
      <c r="AH295" s="550">
        <v>0</v>
      </c>
      <c r="AI295" s="550">
        <v>0</v>
      </c>
      <c r="AJ295" s="550">
        <v>0</v>
      </c>
      <c r="AK295" s="550">
        <v>0</v>
      </c>
      <c r="AL295" s="550">
        <v>0</v>
      </c>
      <c r="AM295" s="550">
        <v>0</v>
      </c>
      <c r="AN295" s="550">
        <v>0</v>
      </c>
      <c r="AO295" s="550">
        <v>0</v>
      </c>
      <c r="AP295" s="550">
        <v>0</v>
      </c>
      <c r="AQ295" s="550">
        <v>0</v>
      </c>
      <c r="AR295" s="550">
        <v>0</v>
      </c>
      <c r="AS295" s="550">
        <v>0</v>
      </c>
      <c r="AT295" s="550">
        <v>0</v>
      </c>
      <c r="AU295" s="550">
        <v>0</v>
      </c>
      <c r="AV295" s="550">
        <v>0</v>
      </c>
      <c r="AW295" s="550">
        <v>0</v>
      </c>
      <c r="AX295" s="550">
        <v>0</v>
      </c>
      <c r="AY295" s="550">
        <v>0</v>
      </c>
      <c r="AZ295" s="551">
        <v>0</v>
      </c>
    </row>
    <row r="296" spans="1:52" s="470" customFormat="1">
      <c r="A296" s="486">
        <f>'[4]Allocation Methodology'!A46</f>
        <v>42</v>
      </c>
      <c r="B296" s="487" t="str">
        <f>'[4]Allocation Methodology'!B46</f>
        <v>Power Savings Blitz</v>
      </c>
      <c r="C296" s="487" t="str">
        <f>'[4]Allocation Methodology'!C46</f>
        <v>Business</v>
      </c>
      <c r="D296" s="487"/>
      <c r="E296" s="487">
        <f>'[4]Allocation Methodology'!D46</f>
        <v>2009</v>
      </c>
      <c r="F296" s="488" t="str">
        <f>'[4]Allocation Methodology'!E46</f>
        <v>Final</v>
      </c>
      <c r="G296" s="472" t="b">
        <v>0</v>
      </c>
      <c r="H296" s="546">
        <v>0</v>
      </c>
      <c r="I296" s="547">
        <v>0</v>
      </c>
      <c r="J296" s="547">
        <v>0</v>
      </c>
      <c r="K296" s="547">
        <v>718.99317711889455</v>
      </c>
      <c r="L296" s="547">
        <v>718.99317711889455</v>
      </c>
      <c r="M296" s="547">
        <v>718.99317711889455</v>
      </c>
      <c r="N296" s="547">
        <v>718.99317711889455</v>
      </c>
      <c r="O296" s="547">
        <v>718.99317711889455</v>
      </c>
      <c r="P296" s="547">
        <v>718.99317711889455</v>
      </c>
      <c r="Q296" s="547">
        <v>718.99317711889455</v>
      </c>
      <c r="R296" s="547">
        <v>718.99317711889455</v>
      </c>
      <c r="S296" s="547">
        <v>404.95018021642642</v>
      </c>
      <c r="T296" s="547">
        <v>0</v>
      </c>
      <c r="U296" s="547">
        <v>0</v>
      </c>
      <c r="V296" s="547">
        <v>0</v>
      </c>
      <c r="W296" s="547">
        <v>0</v>
      </c>
      <c r="X296" s="547">
        <v>0</v>
      </c>
      <c r="Y296" s="547">
        <v>0</v>
      </c>
      <c r="Z296" s="547">
        <v>0</v>
      </c>
      <c r="AA296" s="547">
        <v>0</v>
      </c>
      <c r="AB296" s="547">
        <v>0</v>
      </c>
      <c r="AC296" s="547">
        <v>0</v>
      </c>
      <c r="AD296" s="547">
        <v>0</v>
      </c>
      <c r="AE296" s="547">
        <v>0</v>
      </c>
      <c r="AF296" s="547">
        <v>0</v>
      </c>
      <c r="AG296" s="547">
        <v>0</v>
      </c>
      <c r="AH296" s="547">
        <v>0</v>
      </c>
      <c r="AI296" s="547">
        <v>0</v>
      </c>
      <c r="AJ296" s="547">
        <v>0</v>
      </c>
      <c r="AK296" s="547">
        <v>0</v>
      </c>
      <c r="AL296" s="547">
        <v>0</v>
      </c>
      <c r="AM296" s="547">
        <v>0</v>
      </c>
      <c r="AN296" s="547">
        <v>0</v>
      </c>
      <c r="AO296" s="547">
        <v>0</v>
      </c>
      <c r="AP296" s="547">
        <v>0</v>
      </c>
      <c r="AQ296" s="547">
        <v>0</v>
      </c>
      <c r="AR296" s="547">
        <v>0</v>
      </c>
      <c r="AS296" s="547">
        <v>0</v>
      </c>
      <c r="AT296" s="547">
        <v>0</v>
      </c>
      <c r="AU296" s="547">
        <v>0</v>
      </c>
      <c r="AV296" s="547">
        <v>0</v>
      </c>
      <c r="AW296" s="547">
        <v>0</v>
      </c>
      <c r="AX296" s="547">
        <v>0</v>
      </c>
      <c r="AY296" s="547">
        <v>0</v>
      </c>
      <c r="AZ296" s="548">
        <v>0</v>
      </c>
    </row>
    <row r="297" spans="1:52" s="470" customFormat="1">
      <c r="A297" s="493">
        <f>'[4]Allocation Methodology'!A47</f>
        <v>43</v>
      </c>
      <c r="B297" s="494" t="str">
        <f>'[4]Allocation Methodology'!B47</f>
        <v>Multi-Family Energy Efficiency Rebates</v>
      </c>
      <c r="C297" s="494" t="str">
        <f>'[4]Allocation Methodology'!C47</f>
        <v>Consumer, Consumer Low-Income</v>
      </c>
      <c r="D297" s="494"/>
      <c r="E297" s="494">
        <f>'[4]Allocation Methodology'!D47</f>
        <v>2009</v>
      </c>
      <c r="F297" s="495" t="str">
        <f>'[4]Allocation Methodology'!E47</f>
        <v>Final</v>
      </c>
      <c r="G297" s="472" t="b">
        <v>0</v>
      </c>
      <c r="H297" s="549">
        <v>0</v>
      </c>
      <c r="I297" s="550">
        <v>0</v>
      </c>
      <c r="J297" s="550">
        <v>0</v>
      </c>
      <c r="K297" s="550">
        <v>0</v>
      </c>
      <c r="L297" s="550">
        <v>0</v>
      </c>
      <c r="M297" s="550">
        <v>0</v>
      </c>
      <c r="N297" s="550">
        <v>0</v>
      </c>
      <c r="O297" s="550">
        <v>0</v>
      </c>
      <c r="P297" s="550">
        <v>0</v>
      </c>
      <c r="Q297" s="550">
        <v>0</v>
      </c>
      <c r="R297" s="550">
        <v>0</v>
      </c>
      <c r="S297" s="550">
        <v>0</v>
      </c>
      <c r="T297" s="550">
        <v>0</v>
      </c>
      <c r="U297" s="550">
        <v>0</v>
      </c>
      <c r="V297" s="550">
        <v>0</v>
      </c>
      <c r="W297" s="550">
        <v>0</v>
      </c>
      <c r="X297" s="550">
        <v>0</v>
      </c>
      <c r="Y297" s="550">
        <v>0</v>
      </c>
      <c r="Z297" s="550">
        <v>0</v>
      </c>
      <c r="AA297" s="550">
        <v>0</v>
      </c>
      <c r="AB297" s="550">
        <v>0</v>
      </c>
      <c r="AC297" s="550">
        <v>0</v>
      </c>
      <c r="AD297" s="550">
        <v>0</v>
      </c>
      <c r="AE297" s="550">
        <v>0</v>
      </c>
      <c r="AF297" s="550">
        <v>0</v>
      </c>
      <c r="AG297" s="550">
        <v>0</v>
      </c>
      <c r="AH297" s="550">
        <v>0</v>
      </c>
      <c r="AI297" s="550">
        <v>0</v>
      </c>
      <c r="AJ297" s="550">
        <v>0</v>
      </c>
      <c r="AK297" s="550">
        <v>0</v>
      </c>
      <c r="AL297" s="550">
        <v>0</v>
      </c>
      <c r="AM297" s="550">
        <v>0</v>
      </c>
      <c r="AN297" s="550">
        <v>0</v>
      </c>
      <c r="AO297" s="550">
        <v>0</v>
      </c>
      <c r="AP297" s="550">
        <v>0</v>
      </c>
      <c r="AQ297" s="550">
        <v>0</v>
      </c>
      <c r="AR297" s="550">
        <v>0</v>
      </c>
      <c r="AS297" s="550">
        <v>0</v>
      </c>
      <c r="AT297" s="550">
        <v>0</v>
      </c>
      <c r="AU297" s="550">
        <v>0</v>
      </c>
      <c r="AV297" s="550">
        <v>0</v>
      </c>
      <c r="AW297" s="550">
        <v>0</v>
      </c>
      <c r="AX297" s="550">
        <v>0</v>
      </c>
      <c r="AY297" s="550">
        <v>0</v>
      </c>
      <c r="AZ297" s="551">
        <v>0</v>
      </c>
    </row>
    <row r="298" spans="1:52" s="470" customFormat="1">
      <c r="A298" s="486">
        <f>'[4]Allocation Methodology'!A48</f>
        <v>44</v>
      </c>
      <c r="B298" s="487" t="str">
        <f>'[4]Allocation Methodology'!B48</f>
        <v>Demand Response 1</v>
      </c>
      <c r="C298" s="487" t="str">
        <f>'[4]Allocation Methodology'!C48</f>
        <v>Business, Industrial</v>
      </c>
      <c r="D298" s="487"/>
      <c r="E298" s="487">
        <f>'[4]Allocation Methodology'!D48</f>
        <v>2009</v>
      </c>
      <c r="F298" s="488" t="str">
        <f>'[4]Allocation Methodology'!E48</f>
        <v>Final</v>
      </c>
      <c r="G298" s="472" t="b">
        <v>0</v>
      </c>
      <c r="H298" s="546">
        <v>0</v>
      </c>
      <c r="I298" s="547">
        <v>0</v>
      </c>
      <c r="J298" s="547">
        <v>0</v>
      </c>
      <c r="K298" s="547">
        <v>52.538773828022777</v>
      </c>
      <c r="L298" s="547">
        <v>0</v>
      </c>
      <c r="M298" s="547">
        <v>0</v>
      </c>
      <c r="N298" s="547">
        <v>0</v>
      </c>
      <c r="O298" s="547">
        <v>0</v>
      </c>
      <c r="P298" s="547">
        <v>0</v>
      </c>
      <c r="Q298" s="547">
        <v>0</v>
      </c>
      <c r="R298" s="547">
        <v>0</v>
      </c>
      <c r="S298" s="547">
        <v>0</v>
      </c>
      <c r="T298" s="547">
        <v>0</v>
      </c>
      <c r="U298" s="547">
        <v>0</v>
      </c>
      <c r="V298" s="547">
        <v>0</v>
      </c>
      <c r="W298" s="547">
        <v>0</v>
      </c>
      <c r="X298" s="547">
        <v>0</v>
      </c>
      <c r="Y298" s="547">
        <v>0</v>
      </c>
      <c r="Z298" s="547">
        <v>0</v>
      </c>
      <c r="AA298" s="547">
        <v>0</v>
      </c>
      <c r="AB298" s="547">
        <v>0</v>
      </c>
      <c r="AC298" s="547">
        <v>0</v>
      </c>
      <c r="AD298" s="547">
        <v>0</v>
      </c>
      <c r="AE298" s="547">
        <v>0</v>
      </c>
      <c r="AF298" s="547">
        <v>0</v>
      </c>
      <c r="AG298" s="547">
        <v>0</v>
      </c>
      <c r="AH298" s="547">
        <v>0</v>
      </c>
      <c r="AI298" s="547">
        <v>0</v>
      </c>
      <c r="AJ298" s="547">
        <v>0</v>
      </c>
      <c r="AK298" s="547">
        <v>0</v>
      </c>
      <c r="AL298" s="547">
        <v>0</v>
      </c>
      <c r="AM298" s="547">
        <v>0</v>
      </c>
      <c r="AN298" s="547">
        <v>0</v>
      </c>
      <c r="AO298" s="547">
        <v>0</v>
      </c>
      <c r="AP298" s="547">
        <v>0</v>
      </c>
      <c r="AQ298" s="547">
        <v>0</v>
      </c>
      <c r="AR298" s="547">
        <v>0</v>
      </c>
      <c r="AS298" s="547">
        <v>0</v>
      </c>
      <c r="AT298" s="547">
        <v>0</v>
      </c>
      <c r="AU298" s="547">
        <v>0</v>
      </c>
      <c r="AV298" s="547">
        <v>0</v>
      </c>
      <c r="AW298" s="547">
        <v>0</v>
      </c>
      <c r="AX298" s="547">
        <v>0</v>
      </c>
      <c r="AY298" s="547">
        <v>0</v>
      </c>
      <c r="AZ298" s="548">
        <v>0</v>
      </c>
    </row>
    <row r="299" spans="1:52" s="470" customFormat="1">
      <c r="A299" s="493">
        <f>'[4]Allocation Methodology'!A49</f>
        <v>45</v>
      </c>
      <c r="B299" s="494" t="str">
        <f>'[4]Allocation Methodology'!B49</f>
        <v>Demand Response 2</v>
      </c>
      <c r="C299" s="494" t="str">
        <f>'[4]Allocation Methodology'!C49</f>
        <v>Business, Industrial</v>
      </c>
      <c r="D299" s="494"/>
      <c r="E299" s="494">
        <f>'[4]Allocation Methodology'!D49</f>
        <v>2009</v>
      </c>
      <c r="F299" s="495" t="str">
        <f>'[4]Allocation Methodology'!E49</f>
        <v>Final</v>
      </c>
      <c r="G299" s="472" t="b">
        <v>0</v>
      </c>
      <c r="H299" s="549">
        <v>0</v>
      </c>
      <c r="I299" s="550">
        <v>0</v>
      </c>
      <c r="J299" s="550">
        <v>0</v>
      </c>
      <c r="K299" s="550">
        <v>500.14183397325576</v>
      </c>
      <c r="L299" s="550">
        <v>0</v>
      </c>
      <c r="M299" s="550">
        <v>0</v>
      </c>
      <c r="N299" s="550">
        <v>0</v>
      </c>
      <c r="O299" s="550">
        <v>0</v>
      </c>
      <c r="P299" s="550">
        <v>0</v>
      </c>
      <c r="Q299" s="550">
        <v>0</v>
      </c>
      <c r="R299" s="550">
        <v>0</v>
      </c>
      <c r="S299" s="550">
        <v>0</v>
      </c>
      <c r="T299" s="550">
        <v>0</v>
      </c>
      <c r="U299" s="550">
        <v>0</v>
      </c>
      <c r="V299" s="550">
        <v>0</v>
      </c>
      <c r="W299" s="550">
        <v>0</v>
      </c>
      <c r="X299" s="550">
        <v>0</v>
      </c>
      <c r="Y299" s="550">
        <v>0</v>
      </c>
      <c r="Z299" s="550">
        <v>0</v>
      </c>
      <c r="AA299" s="550">
        <v>0</v>
      </c>
      <c r="AB299" s="550">
        <v>0</v>
      </c>
      <c r="AC299" s="550">
        <v>0</v>
      </c>
      <c r="AD299" s="550">
        <v>0</v>
      </c>
      <c r="AE299" s="550">
        <v>0</v>
      </c>
      <c r="AF299" s="550">
        <v>0</v>
      </c>
      <c r="AG299" s="550">
        <v>0</v>
      </c>
      <c r="AH299" s="550">
        <v>0</v>
      </c>
      <c r="AI299" s="550">
        <v>0</v>
      </c>
      <c r="AJ299" s="550">
        <v>0</v>
      </c>
      <c r="AK299" s="550">
        <v>0</v>
      </c>
      <c r="AL299" s="550">
        <v>0</v>
      </c>
      <c r="AM299" s="550">
        <v>0</v>
      </c>
      <c r="AN299" s="550">
        <v>0</v>
      </c>
      <c r="AO299" s="550">
        <v>0</v>
      </c>
      <c r="AP299" s="550">
        <v>0</v>
      </c>
      <c r="AQ299" s="550">
        <v>0</v>
      </c>
      <c r="AR299" s="550">
        <v>0</v>
      </c>
      <c r="AS299" s="550">
        <v>0</v>
      </c>
      <c r="AT299" s="550">
        <v>0</v>
      </c>
      <c r="AU299" s="550">
        <v>0</v>
      </c>
      <c r="AV299" s="550">
        <v>0</v>
      </c>
      <c r="AW299" s="550">
        <v>0</v>
      </c>
      <c r="AX299" s="550">
        <v>0</v>
      </c>
      <c r="AY299" s="550">
        <v>0</v>
      </c>
      <c r="AZ299" s="551">
        <v>0</v>
      </c>
    </row>
    <row r="300" spans="1:52" s="470" customFormat="1">
      <c r="A300" s="486">
        <f>'[4]Allocation Methodology'!A50</f>
        <v>46</v>
      </c>
      <c r="B300" s="487" t="str">
        <f>'[4]Allocation Methodology'!B50</f>
        <v>Demand Response 3</v>
      </c>
      <c r="C300" s="487" t="str">
        <f>'[4]Allocation Methodology'!C50</f>
        <v>Business, Industrial</v>
      </c>
      <c r="D300" s="487"/>
      <c r="E300" s="487">
        <f>'[4]Allocation Methodology'!D50</f>
        <v>2009</v>
      </c>
      <c r="F300" s="488" t="str">
        <f>'[4]Allocation Methodology'!E50</f>
        <v>Final</v>
      </c>
      <c r="G300" s="472" t="b">
        <v>0</v>
      </c>
      <c r="H300" s="546">
        <v>0</v>
      </c>
      <c r="I300" s="547">
        <v>0</v>
      </c>
      <c r="J300" s="547">
        <v>0</v>
      </c>
      <c r="K300" s="547">
        <v>9.5525043323677785</v>
      </c>
      <c r="L300" s="547">
        <v>0</v>
      </c>
      <c r="M300" s="547">
        <v>0</v>
      </c>
      <c r="N300" s="547">
        <v>0</v>
      </c>
      <c r="O300" s="547">
        <v>0</v>
      </c>
      <c r="P300" s="547">
        <v>0</v>
      </c>
      <c r="Q300" s="547">
        <v>0</v>
      </c>
      <c r="R300" s="547">
        <v>0</v>
      </c>
      <c r="S300" s="547">
        <v>0</v>
      </c>
      <c r="T300" s="547">
        <v>0</v>
      </c>
      <c r="U300" s="547">
        <v>0</v>
      </c>
      <c r="V300" s="547">
        <v>0</v>
      </c>
      <c r="W300" s="547">
        <v>0</v>
      </c>
      <c r="X300" s="547">
        <v>0</v>
      </c>
      <c r="Y300" s="547">
        <v>0</v>
      </c>
      <c r="Z300" s="547">
        <v>0</v>
      </c>
      <c r="AA300" s="547">
        <v>0</v>
      </c>
      <c r="AB300" s="547">
        <v>0</v>
      </c>
      <c r="AC300" s="547">
        <v>0</v>
      </c>
      <c r="AD300" s="547">
        <v>0</v>
      </c>
      <c r="AE300" s="547">
        <v>0</v>
      </c>
      <c r="AF300" s="547">
        <v>0</v>
      </c>
      <c r="AG300" s="547">
        <v>0</v>
      </c>
      <c r="AH300" s="547">
        <v>0</v>
      </c>
      <c r="AI300" s="547">
        <v>0</v>
      </c>
      <c r="AJ300" s="547">
        <v>0</v>
      </c>
      <c r="AK300" s="547">
        <v>0</v>
      </c>
      <c r="AL300" s="547">
        <v>0</v>
      </c>
      <c r="AM300" s="547">
        <v>0</v>
      </c>
      <c r="AN300" s="547">
        <v>0</v>
      </c>
      <c r="AO300" s="547">
        <v>0</v>
      </c>
      <c r="AP300" s="547">
        <v>0</v>
      </c>
      <c r="AQ300" s="547">
        <v>0</v>
      </c>
      <c r="AR300" s="547">
        <v>0</v>
      </c>
      <c r="AS300" s="547">
        <v>0</v>
      </c>
      <c r="AT300" s="547">
        <v>0</v>
      </c>
      <c r="AU300" s="547">
        <v>0</v>
      </c>
      <c r="AV300" s="547">
        <v>0</v>
      </c>
      <c r="AW300" s="547">
        <v>0</v>
      </c>
      <c r="AX300" s="547">
        <v>0</v>
      </c>
      <c r="AY300" s="547">
        <v>0</v>
      </c>
      <c r="AZ300" s="548">
        <v>0</v>
      </c>
    </row>
    <row r="301" spans="1:52" s="470" customFormat="1">
      <c r="A301" s="493">
        <f>'[4]Allocation Methodology'!A51</f>
        <v>47</v>
      </c>
      <c r="B301" s="494" t="str">
        <f>'[4]Allocation Methodology'!B51</f>
        <v>Loblaw &amp; York Region Demand Response</v>
      </c>
      <c r="C301" s="494" t="str">
        <f>'[4]Allocation Methodology'!C51</f>
        <v>Business, Industrial</v>
      </c>
      <c r="D301" s="494"/>
      <c r="E301" s="494">
        <f>'[4]Allocation Methodology'!D51</f>
        <v>2009</v>
      </c>
      <c r="F301" s="495" t="str">
        <f>'[4]Allocation Methodology'!E51</f>
        <v>Final</v>
      </c>
      <c r="G301" s="472" t="b">
        <v>0</v>
      </c>
      <c r="H301" s="549">
        <v>0</v>
      </c>
      <c r="I301" s="550">
        <v>0</v>
      </c>
      <c r="J301" s="550">
        <v>0</v>
      </c>
      <c r="K301" s="550">
        <v>0</v>
      </c>
      <c r="L301" s="550">
        <v>0</v>
      </c>
      <c r="M301" s="550">
        <v>0</v>
      </c>
      <c r="N301" s="550">
        <v>0</v>
      </c>
      <c r="O301" s="550">
        <v>0</v>
      </c>
      <c r="P301" s="550">
        <v>0</v>
      </c>
      <c r="Q301" s="550">
        <v>0</v>
      </c>
      <c r="R301" s="550">
        <v>0</v>
      </c>
      <c r="S301" s="550">
        <v>0</v>
      </c>
      <c r="T301" s="550">
        <v>0</v>
      </c>
      <c r="U301" s="550">
        <v>0</v>
      </c>
      <c r="V301" s="550">
        <v>0</v>
      </c>
      <c r="W301" s="550">
        <v>0</v>
      </c>
      <c r="X301" s="550">
        <v>0</v>
      </c>
      <c r="Y301" s="550">
        <v>0</v>
      </c>
      <c r="Z301" s="550">
        <v>0</v>
      </c>
      <c r="AA301" s="550">
        <v>0</v>
      </c>
      <c r="AB301" s="550">
        <v>0</v>
      </c>
      <c r="AC301" s="550">
        <v>0</v>
      </c>
      <c r="AD301" s="550">
        <v>0</v>
      </c>
      <c r="AE301" s="550">
        <v>0</v>
      </c>
      <c r="AF301" s="550">
        <v>0</v>
      </c>
      <c r="AG301" s="550">
        <v>0</v>
      </c>
      <c r="AH301" s="550">
        <v>0</v>
      </c>
      <c r="AI301" s="550">
        <v>0</v>
      </c>
      <c r="AJ301" s="550">
        <v>0</v>
      </c>
      <c r="AK301" s="550">
        <v>0</v>
      </c>
      <c r="AL301" s="550">
        <v>0</v>
      </c>
      <c r="AM301" s="550">
        <v>0</v>
      </c>
      <c r="AN301" s="550">
        <v>0</v>
      </c>
      <c r="AO301" s="550">
        <v>0</v>
      </c>
      <c r="AP301" s="550">
        <v>0</v>
      </c>
      <c r="AQ301" s="550">
        <v>0</v>
      </c>
      <c r="AR301" s="550">
        <v>0</v>
      </c>
      <c r="AS301" s="550">
        <v>0</v>
      </c>
      <c r="AT301" s="550">
        <v>0</v>
      </c>
      <c r="AU301" s="550">
        <v>0</v>
      </c>
      <c r="AV301" s="550">
        <v>0</v>
      </c>
      <c r="AW301" s="550">
        <v>0</v>
      </c>
      <c r="AX301" s="550">
        <v>0</v>
      </c>
      <c r="AY301" s="550">
        <v>0</v>
      </c>
      <c r="AZ301" s="551">
        <v>0</v>
      </c>
    </row>
    <row r="302" spans="1:52" s="470" customFormat="1">
      <c r="A302" s="486">
        <f>'[4]Allocation Methodology'!A52</f>
        <v>48</v>
      </c>
      <c r="B302" s="487" t="str">
        <f>'[4]Allocation Methodology'!B52</f>
        <v>LDC Custom - Thunder Bay Hydro - Phantom Load</v>
      </c>
      <c r="C302" s="487" t="str">
        <f>'[4]Allocation Methodology'!C52</f>
        <v>Consumer</v>
      </c>
      <c r="D302" s="487"/>
      <c r="E302" s="487">
        <f>'[4]Allocation Methodology'!D52</f>
        <v>2009</v>
      </c>
      <c r="F302" s="488" t="str">
        <f>'[4]Allocation Methodology'!E52</f>
        <v>Final</v>
      </c>
      <c r="G302" s="472" t="b">
        <v>0</v>
      </c>
      <c r="H302" s="546">
        <v>0</v>
      </c>
      <c r="I302" s="547">
        <v>0</v>
      </c>
      <c r="J302" s="547">
        <v>0</v>
      </c>
      <c r="K302" s="547">
        <v>0</v>
      </c>
      <c r="L302" s="547">
        <v>0</v>
      </c>
      <c r="M302" s="547">
        <v>0</v>
      </c>
      <c r="N302" s="547">
        <v>0</v>
      </c>
      <c r="O302" s="547">
        <v>0</v>
      </c>
      <c r="P302" s="547">
        <v>0</v>
      </c>
      <c r="Q302" s="547">
        <v>0</v>
      </c>
      <c r="R302" s="547">
        <v>0</v>
      </c>
      <c r="S302" s="547">
        <v>0</v>
      </c>
      <c r="T302" s="547">
        <v>0</v>
      </c>
      <c r="U302" s="547">
        <v>0</v>
      </c>
      <c r="V302" s="547">
        <v>0</v>
      </c>
      <c r="W302" s="547">
        <v>0</v>
      </c>
      <c r="X302" s="547">
        <v>0</v>
      </c>
      <c r="Y302" s="547">
        <v>0</v>
      </c>
      <c r="Z302" s="547">
        <v>0</v>
      </c>
      <c r="AA302" s="547">
        <v>0</v>
      </c>
      <c r="AB302" s="547">
        <v>0</v>
      </c>
      <c r="AC302" s="547">
        <v>0</v>
      </c>
      <c r="AD302" s="547">
        <v>0</v>
      </c>
      <c r="AE302" s="547">
        <v>0</v>
      </c>
      <c r="AF302" s="547">
        <v>0</v>
      </c>
      <c r="AG302" s="547">
        <v>0</v>
      </c>
      <c r="AH302" s="547">
        <v>0</v>
      </c>
      <c r="AI302" s="547">
        <v>0</v>
      </c>
      <c r="AJ302" s="547">
        <v>0</v>
      </c>
      <c r="AK302" s="547">
        <v>0</v>
      </c>
      <c r="AL302" s="547">
        <v>0</v>
      </c>
      <c r="AM302" s="547">
        <v>0</v>
      </c>
      <c r="AN302" s="547">
        <v>0</v>
      </c>
      <c r="AO302" s="547">
        <v>0</v>
      </c>
      <c r="AP302" s="547">
        <v>0</v>
      </c>
      <c r="AQ302" s="547">
        <v>0</v>
      </c>
      <c r="AR302" s="547">
        <v>0</v>
      </c>
      <c r="AS302" s="547">
        <v>0</v>
      </c>
      <c r="AT302" s="547">
        <v>0</v>
      </c>
      <c r="AU302" s="547">
        <v>0</v>
      </c>
      <c r="AV302" s="547">
        <v>0</v>
      </c>
      <c r="AW302" s="547">
        <v>0</v>
      </c>
      <c r="AX302" s="547">
        <v>0</v>
      </c>
      <c r="AY302" s="547">
        <v>0</v>
      </c>
      <c r="AZ302" s="548">
        <v>0</v>
      </c>
    </row>
    <row r="303" spans="1:52" s="470" customFormat="1">
      <c r="A303" s="523">
        <f>'[4]Allocation Methodology'!A53</f>
        <v>49</v>
      </c>
      <c r="B303" s="524" t="str">
        <f>'[4]Allocation Methodology'!B53</f>
        <v>LDC Custom - Toronto Hydro - Summer Challenge</v>
      </c>
      <c r="C303" s="524" t="str">
        <f>'[4]Allocation Methodology'!C53</f>
        <v>Consumer</v>
      </c>
      <c r="D303" s="524"/>
      <c r="E303" s="524">
        <f>'[4]Allocation Methodology'!D53</f>
        <v>2009</v>
      </c>
      <c r="F303" s="525" t="str">
        <f>'[4]Allocation Methodology'!E53</f>
        <v>Final</v>
      </c>
      <c r="G303" s="472" t="b">
        <v>0</v>
      </c>
      <c r="H303" s="561">
        <v>0</v>
      </c>
      <c r="I303" s="562">
        <v>0</v>
      </c>
      <c r="J303" s="562">
        <v>0</v>
      </c>
      <c r="K303" s="562">
        <v>0</v>
      </c>
      <c r="L303" s="562">
        <v>0</v>
      </c>
      <c r="M303" s="562">
        <v>0</v>
      </c>
      <c r="N303" s="562">
        <v>0</v>
      </c>
      <c r="O303" s="562">
        <v>0</v>
      </c>
      <c r="P303" s="562">
        <v>0</v>
      </c>
      <c r="Q303" s="562">
        <v>0</v>
      </c>
      <c r="R303" s="562">
        <v>0</v>
      </c>
      <c r="S303" s="562">
        <v>0</v>
      </c>
      <c r="T303" s="562">
        <v>0</v>
      </c>
      <c r="U303" s="562">
        <v>0</v>
      </c>
      <c r="V303" s="562">
        <v>0</v>
      </c>
      <c r="W303" s="562">
        <v>0</v>
      </c>
      <c r="X303" s="562">
        <v>0</v>
      </c>
      <c r="Y303" s="562">
        <v>0</v>
      </c>
      <c r="Z303" s="562">
        <v>0</v>
      </c>
      <c r="AA303" s="562">
        <v>0</v>
      </c>
      <c r="AB303" s="562">
        <v>0</v>
      </c>
      <c r="AC303" s="562">
        <v>0</v>
      </c>
      <c r="AD303" s="562">
        <v>0</v>
      </c>
      <c r="AE303" s="562">
        <v>0</v>
      </c>
      <c r="AF303" s="562">
        <v>0</v>
      </c>
      <c r="AG303" s="562">
        <v>0</v>
      </c>
      <c r="AH303" s="562">
        <v>0</v>
      </c>
      <c r="AI303" s="562">
        <v>0</v>
      </c>
      <c r="AJ303" s="562">
        <v>0</v>
      </c>
      <c r="AK303" s="562">
        <v>0</v>
      </c>
      <c r="AL303" s="562">
        <v>0</v>
      </c>
      <c r="AM303" s="562">
        <v>0</v>
      </c>
      <c r="AN303" s="562">
        <v>0</v>
      </c>
      <c r="AO303" s="562">
        <v>0</v>
      </c>
      <c r="AP303" s="562">
        <v>0</v>
      </c>
      <c r="AQ303" s="562">
        <v>0</v>
      </c>
      <c r="AR303" s="562">
        <v>0</v>
      </c>
      <c r="AS303" s="562">
        <v>0</v>
      </c>
      <c r="AT303" s="562">
        <v>0</v>
      </c>
      <c r="AU303" s="562">
        <v>0</v>
      </c>
      <c r="AV303" s="562">
        <v>0</v>
      </c>
      <c r="AW303" s="562">
        <v>0</v>
      </c>
      <c r="AX303" s="562">
        <v>0</v>
      </c>
      <c r="AY303" s="562">
        <v>0</v>
      </c>
      <c r="AZ303" s="563">
        <v>0</v>
      </c>
    </row>
    <row r="304" spans="1:52" s="470" customFormat="1">
      <c r="A304" s="515">
        <f>'[4]Allocation Methodology'!A54</f>
        <v>50</v>
      </c>
      <c r="B304" s="516" t="str">
        <f>'[4]Allocation Methodology'!B54</f>
        <v>LDC Custom - PowerStream - Data Centers</v>
      </c>
      <c r="C304" s="516" t="str">
        <f>'[4]Allocation Methodology'!C54</f>
        <v>Business</v>
      </c>
      <c r="D304" s="516"/>
      <c r="E304" s="516">
        <f>'[4]Allocation Methodology'!D54</f>
        <v>2009</v>
      </c>
      <c r="F304" s="517" t="str">
        <f>'[4]Allocation Methodology'!E54</f>
        <v>Final</v>
      </c>
      <c r="G304" s="472"/>
      <c r="H304" s="558">
        <v>0</v>
      </c>
      <c r="I304" s="559">
        <v>0</v>
      </c>
      <c r="J304" s="559">
        <v>0</v>
      </c>
      <c r="K304" s="559">
        <v>0</v>
      </c>
      <c r="L304" s="559">
        <v>0</v>
      </c>
      <c r="M304" s="559">
        <v>0</v>
      </c>
      <c r="N304" s="559">
        <v>0</v>
      </c>
      <c r="O304" s="559">
        <v>0</v>
      </c>
      <c r="P304" s="559">
        <v>0</v>
      </c>
      <c r="Q304" s="559">
        <v>0</v>
      </c>
      <c r="R304" s="559">
        <v>0</v>
      </c>
      <c r="S304" s="559">
        <v>0</v>
      </c>
      <c r="T304" s="559">
        <v>0</v>
      </c>
      <c r="U304" s="559">
        <v>0</v>
      </c>
      <c r="V304" s="559">
        <v>0</v>
      </c>
      <c r="W304" s="559">
        <v>0</v>
      </c>
      <c r="X304" s="559">
        <v>0</v>
      </c>
      <c r="Y304" s="559">
        <v>0</v>
      </c>
      <c r="Z304" s="559">
        <v>0</v>
      </c>
      <c r="AA304" s="559">
        <v>0</v>
      </c>
      <c r="AB304" s="559">
        <v>0</v>
      </c>
      <c r="AC304" s="559">
        <v>0</v>
      </c>
      <c r="AD304" s="559">
        <v>0</v>
      </c>
      <c r="AE304" s="559">
        <v>0</v>
      </c>
      <c r="AF304" s="559">
        <v>0</v>
      </c>
      <c r="AG304" s="559">
        <v>0</v>
      </c>
      <c r="AH304" s="559">
        <v>0</v>
      </c>
      <c r="AI304" s="559">
        <v>0</v>
      </c>
      <c r="AJ304" s="559">
        <v>0</v>
      </c>
      <c r="AK304" s="559">
        <v>0</v>
      </c>
      <c r="AL304" s="559">
        <v>0</v>
      </c>
      <c r="AM304" s="559">
        <v>0</v>
      </c>
      <c r="AN304" s="559">
        <v>0</v>
      </c>
      <c r="AO304" s="559">
        <v>0</v>
      </c>
      <c r="AP304" s="559">
        <v>0</v>
      </c>
      <c r="AQ304" s="559">
        <v>0</v>
      </c>
      <c r="AR304" s="559">
        <v>0</v>
      </c>
      <c r="AS304" s="559">
        <v>0</v>
      </c>
      <c r="AT304" s="559">
        <v>0</v>
      </c>
      <c r="AU304" s="559">
        <v>0</v>
      </c>
      <c r="AV304" s="559">
        <v>0</v>
      </c>
      <c r="AW304" s="559">
        <v>0</v>
      </c>
      <c r="AX304" s="559">
        <v>0</v>
      </c>
      <c r="AY304" s="559">
        <v>0</v>
      </c>
      <c r="AZ304" s="560">
        <v>0</v>
      </c>
    </row>
    <row r="305" spans="1:52" s="470" customFormat="1">
      <c r="A305" s="479">
        <f>'[4]Allocation Methodology'!A55</f>
        <v>51</v>
      </c>
      <c r="B305" s="480" t="str">
        <f>'[4]Allocation Methodology'!B55</f>
        <v>Toronto Comprehensive Adjustment</v>
      </c>
      <c r="C305" s="480" t="str">
        <f>'[4]Allocation Methodology'!C55</f>
        <v>Consumer, Business</v>
      </c>
      <c r="D305" s="480"/>
      <c r="E305" s="480">
        <f>'[4]Allocation Methodology'!D55</f>
        <v>2008</v>
      </c>
      <c r="F305" s="481" t="str">
        <f>'[4]Allocation Methodology'!E55</f>
        <v>Final</v>
      </c>
      <c r="G305" s="472"/>
      <c r="H305" s="542">
        <v>0</v>
      </c>
      <c r="I305" s="544">
        <v>0</v>
      </c>
      <c r="J305" s="544">
        <v>0</v>
      </c>
      <c r="K305" s="544">
        <v>0</v>
      </c>
      <c r="L305" s="544">
        <v>0</v>
      </c>
      <c r="M305" s="544">
        <v>0</v>
      </c>
      <c r="N305" s="544">
        <v>0</v>
      </c>
      <c r="O305" s="544">
        <v>0</v>
      </c>
      <c r="P305" s="544">
        <v>0</v>
      </c>
      <c r="Q305" s="544">
        <v>0</v>
      </c>
      <c r="R305" s="544">
        <v>0</v>
      </c>
      <c r="S305" s="544">
        <v>0</v>
      </c>
      <c r="T305" s="544">
        <v>0</v>
      </c>
      <c r="U305" s="544">
        <v>0</v>
      </c>
      <c r="V305" s="544">
        <v>0</v>
      </c>
      <c r="W305" s="544">
        <v>0</v>
      </c>
      <c r="X305" s="544">
        <v>0</v>
      </c>
      <c r="Y305" s="544">
        <v>0</v>
      </c>
      <c r="Z305" s="544">
        <v>0</v>
      </c>
      <c r="AA305" s="544">
        <v>0</v>
      </c>
      <c r="AB305" s="544">
        <v>0</v>
      </c>
      <c r="AC305" s="544">
        <v>0</v>
      </c>
      <c r="AD305" s="544">
        <v>0</v>
      </c>
      <c r="AE305" s="544">
        <v>0</v>
      </c>
      <c r="AF305" s="544">
        <v>0</v>
      </c>
      <c r="AG305" s="544">
        <v>0</v>
      </c>
      <c r="AH305" s="544">
        <v>0</v>
      </c>
      <c r="AI305" s="544">
        <v>0</v>
      </c>
      <c r="AJ305" s="544">
        <v>0</v>
      </c>
      <c r="AK305" s="544">
        <v>0</v>
      </c>
      <c r="AL305" s="544">
        <v>0</v>
      </c>
      <c r="AM305" s="544">
        <v>0</v>
      </c>
      <c r="AN305" s="544">
        <v>0</v>
      </c>
      <c r="AO305" s="544">
        <v>0</v>
      </c>
      <c r="AP305" s="544">
        <v>0</v>
      </c>
      <c r="AQ305" s="544">
        <v>0</v>
      </c>
      <c r="AR305" s="544">
        <v>0</v>
      </c>
      <c r="AS305" s="544">
        <v>0</v>
      </c>
      <c r="AT305" s="544">
        <v>0</v>
      </c>
      <c r="AU305" s="544">
        <v>0</v>
      </c>
      <c r="AV305" s="544">
        <v>0</v>
      </c>
      <c r="AW305" s="544">
        <v>0</v>
      </c>
      <c r="AX305" s="544">
        <v>0</v>
      </c>
      <c r="AY305" s="544">
        <v>0</v>
      </c>
      <c r="AZ305" s="545">
        <v>0</v>
      </c>
    </row>
    <row r="306" spans="1:52" s="470" customFormat="1">
      <c r="A306" s="515">
        <f>'[4]Allocation Methodology'!A56</f>
        <v>52</v>
      </c>
      <c r="B306" s="516" t="str">
        <f>'[4]Allocation Methodology'!B56</f>
        <v>LDC Custom - Hydro One Networks Inc. - Double Return Adjustment</v>
      </c>
      <c r="C306" s="516" t="str">
        <f>'[4]Allocation Methodology'!C56</f>
        <v>Business, Industrial</v>
      </c>
      <c r="D306" s="516"/>
      <c r="E306" s="516">
        <f>'[4]Allocation Methodology'!D56</f>
        <v>2008</v>
      </c>
      <c r="F306" s="517" t="str">
        <f>'[4]Allocation Methodology'!E56</f>
        <v>Final</v>
      </c>
      <c r="G306" s="472"/>
      <c r="H306" s="558">
        <v>0</v>
      </c>
      <c r="I306" s="559">
        <v>0</v>
      </c>
      <c r="J306" s="559">
        <v>0</v>
      </c>
      <c r="K306" s="559">
        <v>0</v>
      </c>
      <c r="L306" s="559">
        <v>0</v>
      </c>
      <c r="M306" s="559">
        <v>0</v>
      </c>
      <c r="N306" s="559">
        <v>0</v>
      </c>
      <c r="O306" s="559">
        <v>0</v>
      </c>
      <c r="P306" s="559">
        <v>0</v>
      </c>
      <c r="Q306" s="559">
        <v>0</v>
      </c>
      <c r="R306" s="559">
        <v>0</v>
      </c>
      <c r="S306" s="559">
        <v>0</v>
      </c>
      <c r="T306" s="559">
        <v>0</v>
      </c>
      <c r="U306" s="559">
        <v>0</v>
      </c>
      <c r="V306" s="559">
        <v>0</v>
      </c>
      <c r="W306" s="559">
        <v>0</v>
      </c>
      <c r="X306" s="559">
        <v>0</v>
      </c>
      <c r="Y306" s="559">
        <v>0</v>
      </c>
      <c r="Z306" s="559">
        <v>0</v>
      </c>
      <c r="AA306" s="559">
        <v>0</v>
      </c>
      <c r="AB306" s="559">
        <v>0</v>
      </c>
      <c r="AC306" s="559">
        <v>0</v>
      </c>
      <c r="AD306" s="559">
        <v>0</v>
      </c>
      <c r="AE306" s="559">
        <v>0</v>
      </c>
      <c r="AF306" s="559">
        <v>0</v>
      </c>
      <c r="AG306" s="559">
        <v>0</v>
      </c>
      <c r="AH306" s="559">
        <v>0</v>
      </c>
      <c r="AI306" s="559">
        <v>0</v>
      </c>
      <c r="AJ306" s="559">
        <v>0</v>
      </c>
      <c r="AK306" s="559">
        <v>0</v>
      </c>
      <c r="AL306" s="559">
        <v>0</v>
      </c>
      <c r="AM306" s="559">
        <v>0</v>
      </c>
      <c r="AN306" s="559">
        <v>0</v>
      </c>
      <c r="AO306" s="559">
        <v>0</v>
      </c>
      <c r="AP306" s="559">
        <v>0</v>
      </c>
      <c r="AQ306" s="559">
        <v>0</v>
      </c>
      <c r="AR306" s="559">
        <v>0</v>
      </c>
      <c r="AS306" s="559">
        <v>0</v>
      </c>
      <c r="AT306" s="559">
        <v>0</v>
      </c>
      <c r="AU306" s="559">
        <v>0</v>
      </c>
      <c r="AV306" s="559">
        <v>0</v>
      </c>
      <c r="AW306" s="559">
        <v>0</v>
      </c>
      <c r="AX306" s="559">
        <v>0</v>
      </c>
      <c r="AY306" s="559">
        <v>0</v>
      </c>
      <c r="AZ306" s="560">
        <v>0</v>
      </c>
    </row>
    <row r="307" spans="1:52" s="470" customFormat="1">
      <c r="A307" s="479">
        <f>'[4]Allocation Methodology'!A57</f>
        <v>53</v>
      </c>
      <c r="B307" s="480" t="str">
        <f>'[4]Allocation Methodology'!B57</f>
        <v>Great Refrigerator Roundup</v>
      </c>
      <c r="C307" s="480" t="str">
        <f>'[4]Allocation Methodology'!C57</f>
        <v>Consumer</v>
      </c>
      <c r="D307" s="480"/>
      <c r="E307" s="480">
        <f>'[4]Allocation Methodology'!D57</f>
        <v>2010</v>
      </c>
      <c r="F307" s="481" t="str">
        <f>'[4]Allocation Methodology'!E57</f>
        <v>Final</v>
      </c>
      <c r="G307" s="472"/>
      <c r="H307" s="542">
        <v>0</v>
      </c>
      <c r="I307" s="544">
        <v>0</v>
      </c>
      <c r="J307" s="544">
        <v>0</v>
      </c>
      <c r="K307" s="544">
        <v>0</v>
      </c>
      <c r="L307" s="544">
        <v>170.83456159515654</v>
      </c>
      <c r="M307" s="544">
        <v>170.83456159515654</v>
      </c>
      <c r="N307" s="544">
        <v>170.83456159515654</v>
      </c>
      <c r="O307" s="544">
        <v>168.21679595681675</v>
      </c>
      <c r="P307" s="544">
        <v>119.96451670955268</v>
      </c>
      <c r="Q307" s="544">
        <v>0</v>
      </c>
      <c r="R307" s="544">
        <v>0</v>
      </c>
      <c r="S307" s="544">
        <v>0</v>
      </c>
      <c r="T307" s="544">
        <v>0</v>
      </c>
      <c r="U307" s="544">
        <v>0</v>
      </c>
      <c r="V307" s="544">
        <v>0</v>
      </c>
      <c r="W307" s="544">
        <v>0</v>
      </c>
      <c r="X307" s="544">
        <v>0</v>
      </c>
      <c r="Y307" s="544">
        <v>0</v>
      </c>
      <c r="Z307" s="544">
        <v>0</v>
      </c>
      <c r="AA307" s="544">
        <v>0</v>
      </c>
      <c r="AB307" s="544">
        <v>0</v>
      </c>
      <c r="AC307" s="544">
        <v>0</v>
      </c>
      <c r="AD307" s="544">
        <v>0</v>
      </c>
      <c r="AE307" s="544">
        <v>0</v>
      </c>
      <c r="AF307" s="544">
        <v>0</v>
      </c>
      <c r="AG307" s="544">
        <v>0</v>
      </c>
      <c r="AH307" s="544">
        <v>0</v>
      </c>
      <c r="AI307" s="544">
        <v>0</v>
      </c>
      <c r="AJ307" s="544">
        <v>0</v>
      </c>
      <c r="AK307" s="544">
        <v>0</v>
      </c>
      <c r="AL307" s="544">
        <v>0</v>
      </c>
      <c r="AM307" s="544">
        <v>0</v>
      </c>
      <c r="AN307" s="544">
        <v>0</v>
      </c>
      <c r="AO307" s="544">
        <v>0</v>
      </c>
      <c r="AP307" s="544">
        <v>0</v>
      </c>
      <c r="AQ307" s="544">
        <v>0</v>
      </c>
      <c r="AR307" s="544">
        <v>0</v>
      </c>
      <c r="AS307" s="544">
        <v>0</v>
      </c>
      <c r="AT307" s="544">
        <v>0</v>
      </c>
      <c r="AU307" s="544">
        <v>0</v>
      </c>
      <c r="AV307" s="544">
        <v>0</v>
      </c>
      <c r="AW307" s="544">
        <v>0</v>
      </c>
      <c r="AX307" s="544">
        <v>0</v>
      </c>
      <c r="AY307" s="544">
        <v>0</v>
      </c>
      <c r="AZ307" s="545">
        <v>0</v>
      </c>
    </row>
    <row r="308" spans="1:52" s="470" customFormat="1">
      <c r="A308" s="486">
        <f>'[4]Allocation Methodology'!A58</f>
        <v>54</v>
      </c>
      <c r="B308" s="487" t="str">
        <f>'[4]Allocation Methodology'!B58</f>
        <v>Cool Savings Rebate</v>
      </c>
      <c r="C308" s="487" t="str">
        <f>'[4]Allocation Methodology'!C58</f>
        <v>Consumer</v>
      </c>
      <c r="D308" s="487"/>
      <c r="E308" s="487">
        <f>'[4]Allocation Methodology'!D58</f>
        <v>2010</v>
      </c>
      <c r="F308" s="488" t="str">
        <f>'[4]Allocation Methodology'!E58</f>
        <v>Final</v>
      </c>
      <c r="G308" s="472"/>
      <c r="H308" s="546">
        <v>0</v>
      </c>
      <c r="I308" s="547">
        <v>0</v>
      </c>
      <c r="J308" s="547">
        <v>0</v>
      </c>
      <c r="K308" s="547">
        <v>0</v>
      </c>
      <c r="L308" s="547">
        <v>176.72958167168585</v>
      </c>
      <c r="M308" s="547">
        <v>176.72958167168585</v>
      </c>
      <c r="N308" s="547">
        <v>176.72958167168585</v>
      </c>
      <c r="O308" s="547">
        <v>176.72958167168585</v>
      </c>
      <c r="P308" s="547">
        <v>176.72958167168585</v>
      </c>
      <c r="Q308" s="547">
        <v>176.72958167168585</v>
      </c>
      <c r="R308" s="547">
        <v>176.72958167168585</v>
      </c>
      <c r="S308" s="547">
        <v>176.72958167168585</v>
      </c>
      <c r="T308" s="547">
        <v>176.72958167168585</v>
      </c>
      <c r="U308" s="547">
        <v>176.72958167168585</v>
      </c>
      <c r="V308" s="547">
        <v>176.72958167168585</v>
      </c>
      <c r="W308" s="547">
        <v>176.72958167168585</v>
      </c>
      <c r="X308" s="547">
        <v>176.72958167168585</v>
      </c>
      <c r="Y308" s="547">
        <v>176.72958167168585</v>
      </c>
      <c r="Z308" s="547">
        <v>176.72958167168585</v>
      </c>
      <c r="AA308" s="547">
        <v>173.9204971826579</v>
      </c>
      <c r="AB308" s="547">
        <v>173.9204971826579</v>
      </c>
      <c r="AC308" s="547">
        <v>173.9204971826579</v>
      </c>
      <c r="AD308" s="547">
        <v>166.94792225088</v>
      </c>
      <c r="AE308" s="547">
        <v>0</v>
      </c>
      <c r="AF308" s="547">
        <v>0</v>
      </c>
      <c r="AG308" s="547">
        <v>0</v>
      </c>
      <c r="AH308" s="547">
        <v>0</v>
      </c>
      <c r="AI308" s="547">
        <v>0</v>
      </c>
      <c r="AJ308" s="547">
        <v>0</v>
      </c>
      <c r="AK308" s="547">
        <v>0</v>
      </c>
      <c r="AL308" s="547">
        <v>0</v>
      </c>
      <c r="AM308" s="547">
        <v>0</v>
      </c>
      <c r="AN308" s="547">
        <v>0</v>
      </c>
      <c r="AO308" s="547">
        <v>0</v>
      </c>
      <c r="AP308" s="547">
        <v>0</v>
      </c>
      <c r="AQ308" s="547">
        <v>0</v>
      </c>
      <c r="AR308" s="547">
        <v>0</v>
      </c>
      <c r="AS308" s="547">
        <v>0</v>
      </c>
      <c r="AT308" s="547">
        <v>0</v>
      </c>
      <c r="AU308" s="547">
        <v>0</v>
      </c>
      <c r="AV308" s="547">
        <v>0</v>
      </c>
      <c r="AW308" s="547">
        <v>0</v>
      </c>
      <c r="AX308" s="547">
        <v>0</v>
      </c>
      <c r="AY308" s="547">
        <v>0</v>
      </c>
      <c r="AZ308" s="548">
        <v>0</v>
      </c>
    </row>
    <row r="309" spans="1:52" s="470" customFormat="1">
      <c r="A309" s="493">
        <f>'[4]Allocation Methodology'!A59</f>
        <v>55</v>
      </c>
      <c r="B309" s="494" t="str">
        <f>'[4]Allocation Methodology'!B59</f>
        <v>Every Kilowatt Counts Power Savings Event</v>
      </c>
      <c r="C309" s="494" t="str">
        <f>'[4]Allocation Methodology'!C59</f>
        <v>Consumer</v>
      </c>
      <c r="D309" s="494"/>
      <c r="E309" s="494">
        <f>'[4]Allocation Methodology'!D59</f>
        <v>2010</v>
      </c>
      <c r="F309" s="495" t="str">
        <f>'[4]Allocation Methodology'!E59</f>
        <v>Final</v>
      </c>
      <c r="G309" s="472"/>
      <c r="H309" s="549">
        <v>0</v>
      </c>
      <c r="I309" s="550">
        <v>0</v>
      </c>
      <c r="J309" s="550">
        <v>0</v>
      </c>
      <c r="K309" s="550">
        <v>0</v>
      </c>
      <c r="L309" s="550">
        <v>192.6893012970927</v>
      </c>
      <c r="M309" s="550">
        <v>192.17147681897112</v>
      </c>
      <c r="N309" s="550">
        <v>191.88661187630922</v>
      </c>
      <c r="O309" s="550">
        <v>191.88661187630922</v>
      </c>
      <c r="P309" s="550">
        <v>191.88661187630922</v>
      </c>
      <c r="Q309" s="550">
        <v>83.193269607573882</v>
      </c>
      <c r="R309" s="550">
        <v>67.450982207569339</v>
      </c>
      <c r="S309" s="550">
        <v>67.450982207569339</v>
      </c>
      <c r="T309" s="550">
        <v>67.450982207569339</v>
      </c>
      <c r="U309" s="550">
        <v>64.063237454818136</v>
      </c>
      <c r="V309" s="550">
        <v>46.566855854845656</v>
      </c>
      <c r="W309" s="550">
        <v>46.566855854845656</v>
      </c>
      <c r="X309" s="550">
        <v>40.402942161140551</v>
      </c>
      <c r="Y309" s="550">
        <v>40.402942161140551</v>
      </c>
      <c r="Z309" s="550">
        <v>40.402942161140551</v>
      </c>
      <c r="AA309" s="550">
        <v>24.649178003103213</v>
      </c>
      <c r="AB309" s="550">
        <v>0.32532502947040665</v>
      </c>
      <c r="AC309" s="550">
        <v>0.32532502947040665</v>
      </c>
      <c r="AD309" s="550">
        <v>0.32532502947040665</v>
      </c>
      <c r="AE309" s="550">
        <v>0.32532502947040665</v>
      </c>
      <c r="AF309" s="550">
        <v>0</v>
      </c>
      <c r="AG309" s="550">
        <v>0</v>
      </c>
      <c r="AH309" s="550">
        <v>0</v>
      </c>
      <c r="AI309" s="550">
        <v>0</v>
      </c>
      <c r="AJ309" s="550">
        <v>0</v>
      </c>
      <c r="AK309" s="550">
        <v>0</v>
      </c>
      <c r="AL309" s="550">
        <v>0</v>
      </c>
      <c r="AM309" s="550">
        <v>0</v>
      </c>
      <c r="AN309" s="550">
        <v>0</v>
      </c>
      <c r="AO309" s="550">
        <v>0</v>
      </c>
      <c r="AP309" s="550">
        <v>0</v>
      </c>
      <c r="AQ309" s="550">
        <v>0</v>
      </c>
      <c r="AR309" s="550">
        <v>0</v>
      </c>
      <c r="AS309" s="550">
        <v>0</v>
      </c>
      <c r="AT309" s="550">
        <v>0</v>
      </c>
      <c r="AU309" s="550">
        <v>0</v>
      </c>
      <c r="AV309" s="550">
        <v>0</v>
      </c>
      <c r="AW309" s="550">
        <v>0</v>
      </c>
      <c r="AX309" s="550">
        <v>0</v>
      </c>
      <c r="AY309" s="550">
        <v>0</v>
      </c>
      <c r="AZ309" s="551">
        <v>0</v>
      </c>
    </row>
    <row r="310" spans="1:52" s="470" customFormat="1">
      <c r="A310" s="486">
        <f>'[4]Allocation Methodology'!A60</f>
        <v>56</v>
      </c>
      <c r="B310" s="522" t="str">
        <f>'[4]Allocation Methodology'!B60</f>
        <v>peaksaver®</v>
      </c>
      <c r="C310" s="487" t="str">
        <f>'[4]Allocation Methodology'!C60</f>
        <v>Consumer, Business</v>
      </c>
      <c r="D310" s="487"/>
      <c r="E310" s="487">
        <f>'[4]Allocation Methodology'!D60</f>
        <v>2010</v>
      </c>
      <c r="F310" s="488" t="str">
        <f>'[4]Allocation Methodology'!E60</f>
        <v>Final</v>
      </c>
      <c r="G310" s="472"/>
      <c r="H310" s="546">
        <v>0</v>
      </c>
      <c r="I310" s="547">
        <v>0</v>
      </c>
      <c r="J310" s="547">
        <v>0</v>
      </c>
      <c r="K310" s="547">
        <v>0</v>
      </c>
      <c r="L310" s="547">
        <v>0</v>
      </c>
      <c r="M310" s="547">
        <v>0</v>
      </c>
      <c r="N310" s="547">
        <v>0</v>
      </c>
      <c r="O310" s="547">
        <v>0</v>
      </c>
      <c r="P310" s="547">
        <v>0</v>
      </c>
      <c r="Q310" s="547">
        <v>0</v>
      </c>
      <c r="R310" s="547">
        <v>0</v>
      </c>
      <c r="S310" s="547">
        <v>0</v>
      </c>
      <c r="T310" s="547">
        <v>0</v>
      </c>
      <c r="U310" s="547">
        <v>0</v>
      </c>
      <c r="V310" s="547">
        <v>0</v>
      </c>
      <c r="W310" s="547">
        <v>0</v>
      </c>
      <c r="X310" s="547">
        <v>0</v>
      </c>
      <c r="Y310" s="547">
        <v>0</v>
      </c>
      <c r="Z310" s="547">
        <v>0</v>
      </c>
      <c r="AA310" s="547">
        <v>0</v>
      </c>
      <c r="AB310" s="547">
        <v>0</v>
      </c>
      <c r="AC310" s="547">
        <v>0</v>
      </c>
      <c r="AD310" s="547">
        <v>0</v>
      </c>
      <c r="AE310" s="547">
        <v>0</v>
      </c>
      <c r="AF310" s="547">
        <v>0</v>
      </c>
      <c r="AG310" s="547">
        <v>0</v>
      </c>
      <c r="AH310" s="547">
        <v>0</v>
      </c>
      <c r="AI310" s="547">
        <v>0</v>
      </c>
      <c r="AJ310" s="547">
        <v>0</v>
      </c>
      <c r="AK310" s="547">
        <v>0</v>
      </c>
      <c r="AL310" s="547">
        <v>0</v>
      </c>
      <c r="AM310" s="547">
        <v>0</v>
      </c>
      <c r="AN310" s="547">
        <v>0</v>
      </c>
      <c r="AO310" s="547">
        <v>0</v>
      </c>
      <c r="AP310" s="547">
        <v>0</v>
      </c>
      <c r="AQ310" s="547">
        <v>0</v>
      </c>
      <c r="AR310" s="547">
        <v>0</v>
      </c>
      <c r="AS310" s="547">
        <v>0</v>
      </c>
      <c r="AT310" s="547">
        <v>0</v>
      </c>
      <c r="AU310" s="547">
        <v>0</v>
      </c>
      <c r="AV310" s="547">
        <v>0</v>
      </c>
      <c r="AW310" s="547">
        <v>0</v>
      </c>
      <c r="AX310" s="547">
        <v>0</v>
      </c>
      <c r="AY310" s="547">
        <v>0</v>
      </c>
      <c r="AZ310" s="548">
        <v>0</v>
      </c>
    </row>
    <row r="311" spans="1:52" s="470" customFormat="1">
      <c r="A311" s="493">
        <f>'[4]Allocation Methodology'!A61</f>
        <v>57</v>
      </c>
      <c r="B311" s="494" t="str">
        <f>'[4]Allocation Methodology'!B61</f>
        <v>Electricity Retrofit Incentive</v>
      </c>
      <c r="C311" s="494" t="str">
        <f>'[4]Allocation Methodology'!C61</f>
        <v>Consumer, Business</v>
      </c>
      <c r="D311" s="494"/>
      <c r="E311" s="494">
        <f>'[4]Allocation Methodology'!D61</f>
        <v>2010</v>
      </c>
      <c r="F311" s="495" t="str">
        <f>'[4]Allocation Methodology'!E61</f>
        <v>Final</v>
      </c>
      <c r="G311" s="472"/>
      <c r="H311" s="549">
        <v>0</v>
      </c>
      <c r="I311" s="550">
        <v>0</v>
      </c>
      <c r="J311" s="550">
        <v>0</v>
      </c>
      <c r="K311" s="550">
        <v>0</v>
      </c>
      <c r="L311" s="550">
        <v>474.69027159515292</v>
      </c>
      <c r="M311" s="550">
        <v>474.69027159515292</v>
      </c>
      <c r="N311" s="550">
        <v>474.69027159515292</v>
      </c>
      <c r="O311" s="550">
        <v>474.69027159515292</v>
      </c>
      <c r="P311" s="550">
        <v>474.69027159515292</v>
      </c>
      <c r="Q311" s="550">
        <v>474.69027159515292</v>
      </c>
      <c r="R311" s="550">
        <v>474.69027159515292</v>
      </c>
      <c r="S311" s="550">
        <v>474.69027159515292</v>
      </c>
      <c r="T311" s="550">
        <v>470.44041708106613</v>
      </c>
      <c r="U311" s="550">
        <v>106.46693290922506</v>
      </c>
      <c r="V311" s="550">
        <v>0</v>
      </c>
      <c r="W311" s="550">
        <v>0</v>
      </c>
      <c r="X311" s="550">
        <v>0</v>
      </c>
      <c r="Y311" s="550">
        <v>0</v>
      </c>
      <c r="Z311" s="550">
        <v>0</v>
      </c>
      <c r="AA311" s="550">
        <v>0</v>
      </c>
      <c r="AB311" s="550">
        <v>0</v>
      </c>
      <c r="AC311" s="550">
        <v>0</v>
      </c>
      <c r="AD311" s="550">
        <v>0</v>
      </c>
      <c r="AE311" s="550">
        <v>0</v>
      </c>
      <c r="AF311" s="550">
        <v>0</v>
      </c>
      <c r="AG311" s="550">
        <v>0</v>
      </c>
      <c r="AH311" s="550">
        <v>0</v>
      </c>
      <c r="AI311" s="550">
        <v>0</v>
      </c>
      <c r="AJ311" s="550">
        <v>0</v>
      </c>
      <c r="AK311" s="550">
        <v>0</v>
      </c>
      <c r="AL311" s="550">
        <v>0</v>
      </c>
      <c r="AM311" s="550">
        <v>0</v>
      </c>
      <c r="AN311" s="550">
        <v>0</v>
      </c>
      <c r="AO311" s="550">
        <v>0</v>
      </c>
      <c r="AP311" s="550">
        <v>0</v>
      </c>
      <c r="AQ311" s="550">
        <v>0</v>
      </c>
      <c r="AR311" s="550">
        <v>0</v>
      </c>
      <c r="AS311" s="550">
        <v>0</v>
      </c>
      <c r="AT311" s="550">
        <v>0</v>
      </c>
      <c r="AU311" s="550">
        <v>0</v>
      </c>
      <c r="AV311" s="550">
        <v>0</v>
      </c>
      <c r="AW311" s="550">
        <v>0</v>
      </c>
      <c r="AX311" s="550">
        <v>0</v>
      </c>
      <c r="AY311" s="550">
        <v>0</v>
      </c>
      <c r="AZ311" s="551">
        <v>0</v>
      </c>
    </row>
    <row r="312" spans="1:52" s="470" customFormat="1">
      <c r="A312" s="486">
        <f>'[4]Allocation Methodology'!A62</f>
        <v>58</v>
      </c>
      <c r="B312" s="487" t="str">
        <f>'[4]Allocation Methodology'!B62</f>
        <v>Toronto Comprehensive</v>
      </c>
      <c r="C312" s="487" t="str">
        <f>'[4]Allocation Methodology'!C62</f>
        <v>Consumer, Consumer Low-Income, Business, Industrial</v>
      </c>
      <c r="D312" s="487"/>
      <c r="E312" s="487">
        <f>'[4]Allocation Methodology'!D62</f>
        <v>2010</v>
      </c>
      <c r="F312" s="488" t="str">
        <f>'[4]Allocation Methodology'!E62</f>
        <v>Final</v>
      </c>
      <c r="G312" s="472"/>
      <c r="H312" s="546">
        <v>0</v>
      </c>
      <c r="I312" s="547">
        <v>0</v>
      </c>
      <c r="J312" s="547">
        <v>0</v>
      </c>
      <c r="K312" s="547">
        <v>0</v>
      </c>
      <c r="L312" s="547">
        <v>0</v>
      </c>
      <c r="M312" s="547">
        <v>0</v>
      </c>
      <c r="N312" s="547">
        <v>0</v>
      </c>
      <c r="O312" s="547">
        <v>0</v>
      </c>
      <c r="P312" s="547">
        <v>0</v>
      </c>
      <c r="Q312" s="547">
        <v>0</v>
      </c>
      <c r="R312" s="547">
        <v>0</v>
      </c>
      <c r="S312" s="547">
        <v>0</v>
      </c>
      <c r="T312" s="547">
        <v>0</v>
      </c>
      <c r="U312" s="547">
        <v>0</v>
      </c>
      <c r="V312" s="547">
        <v>0</v>
      </c>
      <c r="W312" s="547">
        <v>0</v>
      </c>
      <c r="X312" s="547">
        <v>0</v>
      </c>
      <c r="Y312" s="547">
        <v>0</v>
      </c>
      <c r="Z312" s="547">
        <v>0</v>
      </c>
      <c r="AA312" s="547">
        <v>0</v>
      </c>
      <c r="AB312" s="547">
        <v>0</v>
      </c>
      <c r="AC312" s="547">
        <v>0</v>
      </c>
      <c r="AD312" s="547">
        <v>0</v>
      </c>
      <c r="AE312" s="547">
        <v>0</v>
      </c>
      <c r="AF312" s="547">
        <v>0</v>
      </c>
      <c r="AG312" s="547">
        <v>0</v>
      </c>
      <c r="AH312" s="547">
        <v>0</v>
      </c>
      <c r="AI312" s="547">
        <v>0</v>
      </c>
      <c r="AJ312" s="547">
        <v>0</v>
      </c>
      <c r="AK312" s="547">
        <v>0</v>
      </c>
      <c r="AL312" s="547">
        <v>0</v>
      </c>
      <c r="AM312" s="547">
        <v>0</v>
      </c>
      <c r="AN312" s="547">
        <v>0</v>
      </c>
      <c r="AO312" s="547">
        <v>0</v>
      </c>
      <c r="AP312" s="547">
        <v>0</v>
      </c>
      <c r="AQ312" s="547">
        <v>0</v>
      </c>
      <c r="AR312" s="547">
        <v>0</v>
      </c>
      <c r="AS312" s="547">
        <v>0</v>
      </c>
      <c r="AT312" s="547">
        <v>0</v>
      </c>
      <c r="AU312" s="547">
        <v>0</v>
      </c>
      <c r="AV312" s="547">
        <v>0</v>
      </c>
      <c r="AW312" s="547">
        <v>0</v>
      </c>
      <c r="AX312" s="547">
        <v>0</v>
      </c>
      <c r="AY312" s="547">
        <v>0</v>
      </c>
      <c r="AZ312" s="548">
        <v>0</v>
      </c>
    </row>
    <row r="313" spans="1:52" s="470" customFormat="1">
      <c r="A313" s="493">
        <f>'[4]Allocation Methodology'!A63</f>
        <v>59</v>
      </c>
      <c r="B313" s="494" t="str">
        <f>'[4]Allocation Methodology'!B63</f>
        <v>High Performance New Construction</v>
      </c>
      <c r="C313" s="494" t="str">
        <f>'[4]Allocation Methodology'!C63</f>
        <v>Business</v>
      </c>
      <c r="D313" s="494"/>
      <c r="E313" s="494">
        <f>'[4]Allocation Methodology'!D63</f>
        <v>2010</v>
      </c>
      <c r="F313" s="495" t="str">
        <f>'[4]Allocation Methodology'!E63</f>
        <v>Final</v>
      </c>
      <c r="G313" s="472"/>
      <c r="H313" s="549">
        <v>0</v>
      </c>
      <c r="I313" s="550">
        <v>0</v>
      </c>
      <c r="J313" s="550">
        <v>0</v>
      </c>
      <c r="K313" s="550">
        <v>0</v>
      </c>
      <c r="L313" s="550">
        <v>280.22881733639696</v>
      </c>
      <c r="M313" s="550">
        <v>280.22881733639696</v>
      </c>
      <c r="N313" s="550">
        <v>280.22881733639696</v>
      </c>
      <c r="O313" s="550">
        <v>280.22881733639696</v>
      </c>
      <c r="P313" s="550">
        <v>280.22881733639696</v>
      </c>
      <c r="Q313" s="550">
        <v>280.22881733639696</v>
      </c>
      <c r="R313" s="550">
        <v>280.22881733639696</v>
      </c>
      <c r="S313" s="550">
        <v>280.22881733639696</v>
      </c>
      <c r="T313" s="550">
        <v>280.22881733639696</v>
      </c>
      <c r="U313" s="550">
        <v>280.22881733639696</v>
      </c>
      <c r="V313" s="550">
        <v>280.22881733639696</v>
      </c>
      <c r="W313" s="550">
        <v>280.22881733639696</v>
      </c>
      <c r="X313" s="550">
        <v>280.22881733639696</v>
      </c>
      <c r="Y313" s="550">
        <v>280.22881733639696</v>
      </c>
      <c r="Z313" s="550">
        <v>280.22881733639696</v>
      </c>
      <c r="AA313" s="550">
        <v>280.22881733639696</v>
      </c>
      <c r="AB313" s="550">
        <v>280.22881733639696</v>
      </c>
      <c r="AC313" s="550">
        <v>280.22881733639696</v>
      </c>
      <c r="AD313" s="550">
        <v>280.22881733639696</v>
      </c>
      <c r="AE313" s="550">
        <v>280.22881733639696</v>
      </c>
      <c r="AF313" s="550">
        <v>0</v>
      </c>
      <c r="AG313" s="550">
        <v>0</v>
      </c>
      <c r="AH313" s="550">
        <v>0</v>
      </c>
      <c r="AI313" s="550">
        <v>0</v>
      </c>
      <c r="AJ313" s="550">
        <v>0</v>
      </c>
      <c r="AK313" s="550">
        <v>0</v>
      </c>
      <c r="AL313" s="550">
        <v>0</v>
      </c>
      <c r="AM313" s="550">
        <v>0</v>
      </c>
      <c r="AN313" s="550">
        <v>0</v>
      </c>
      <c r="AO313" s="550">
        <v>0</v>
      </c>
      <c r="AP313" s="550">
        <v>0</v>
      </c>
      <c r="AQ313" s="550">
        <v>0</v>
      </c>
      <c r="AR313" s="550">
        <v>0</v>
      </c>
      <c r="AS313" s="550">
        <v>0</v>
      </c>
      <c r="AT313" s="550">
        <v>0</v>
      </c>
      <c r="AU313" s="550">
        <v>0</v>
      </c>
      <c r="AV313" s="550">
        <v>0</v>
      </c>
      <c r="AW313" s="550">
        <v>0</v>
      </c>
      <c r="AX313" s="550">
        <v>0</v>
      </c>
      <c r="AY313" s="550">
        <v>0</v>
      </c>
      <c r="AZ313" s="551">
        <v>0</v>
      </c>
    </row>
    <row r="314" spans="1:52" s="470" customFormat="1">
      <c r="A314" s="486">
        <f>'[4]Allocation Methodology'!A64</f>
        <v>60</v>
      </c>
      <c r="B314" s="487" t="str">
        <f>'[4]Allocation Methodology'!B64</f>
        <v>Power Savings Blitz</v>
      </c>
      <c r="C314" s="487" t="str">
        <f>'[4]Allocation Methodology'!C64</f>
        <v>Business</v>
      </c>
      <c r="D314" s="487"/>
      <c r="E314" s="487">
        <f>'[4]Allocation Methodology'!D64</f>
        <v>2010</v>
      </c>
      <c r="F314" s="488" t="str">
        <f>'[4]Allocation Methodology'!E64</f>
        <v>Final</v>
      </c>
      <c r="G314" s="472"/>
      <c r="H314" s="546">
        <v>0</v>
      </c>
      <c r="I314" s="547">
        <v>0</v>
      </c>
      <c r="J314" s="547">
        <v>0</v>
      </c>
      <c r="K314" s="547">
        <v>0</v>
      </c>
      <c r="L314" s="547">
        <v>544.86097873755557</v>
      </c>
      <c r="M314" s="547">
        <v>544.86097873755557</v>
      </c>
      <c r="N314" s="547">
        <v>544.86097873755557</v>
      </c>
      <c r="O314" s="547">
        <v>544.86097873755557</v>
      </c>
      <c r="P314" s="547">
        <v>544.86097873755557</v>
      </c>
      <c r="Q314" s="547">
        <v>544.86097873755557</v>
      </c>
      <c r="R314" s="547">
        <v>544.86097873755557</v>
      </c>
      <c r="S314" s="547">
        <v>367.7285678892606</v>
      </c>
      <c r="T314" s="547">
        <v>0</v>
      </c>
      <c r="U314" s="547">
        <v>0</v>
      </c>
      <c r="V314" s="547">
        <v>0</v>
      </c>
      <c r="W314" s="547">
        <v>0</v>
      </c>
      <c r="X314" s="547">
        <v>0</v>
      </c>
      <c r="Y314" s="547">
        <v>0</v>
      </c>
      <c r="Z314" s="547">
        <v>0</v>
      </c>
      <c r="AA314" s="547">
        <v>0</v>
      </c>
      <c r="AB314" s="547">
        <v>0</v>
      </c>
      <c r="AC314" s="547">
        <v>0</v>
      </c>
      <c r="AD314" s="547">
        <v>0</v>
      </c>
      <c r="AE314" s="547">
        <v>0</v>
      </c>
      <c r="AF314" s="547">
        <v>0</v>
      </c>
      <c r="AG314" s="547">
        <v>0</v>
      </c>
      <c r="AH314" s="547">
        <v>0</v>
      </c>
      <c r="AI314" s="547">
        <v>0</v>
      </c>
      <c r="AJ314" s="547">
        <v>0</v>
      </c>
      <c r="AK314" s="547">
        <v>0</v>
      </c>
      <c r="AL314" s="547">
        <v>0</v>
      </c>
      <c r="AM314" s="547">
        <v>0</v>
      </c>
      <c r="AN314" s="547">
        <v>0</v>
      </c>
      <c r="AO314" s="547">
        <v>0</v>
      </c>
      <c r="AP314" s="547">
        <v>0</v>
      </c>
      <c r="AQ314" s="547">
        <v>0</v>
      </c>
      <c r="AR314" s="547">
        <v>0</v>
      </c>
      <c r="AS314" s="547">
        <v>0</v>
      </c>
      <c r="AT314" s="547">
        <v>0</v>
      </c>
      <c r="AU314" s="547">
        <v>0</v>
      </c>
      <c r="AV314" s="547">
        <v>0</v>
      </c>
      <c r="AW314" s="547">
        <v>0</v>
      </c>
      <c r="AX314" s="547">
        <v>0</v>
      </c>
      <c r="AY314" s="547">
        <v>0</v>
      </c>
      <c r="AZ314" s="548">
        <v>0</v>
      </c>
    </row>
    <row r="315" spans="1:52" s="470" customFormat="1">
      <c r="A315" s="493">
        <f>'[4]Allocation Methodology'!A65</f>
        <v>61</v>
      </c>
      <c r="B315" s="494" t="str">
        <f>'[4]Allocation Methodology'!B65</f>
        <v>Multi-Family Energy Efficiency Rebates</v>
      </c>
      <c r="C315" s="494" t="str">
        <f>'[4]Allocation Methodology'!C65</f>
        <v>Consumer, Consumer Low-Income</v>
      </c>
      <c r="D315" s="494"/>
      <c r="E315" s="494">
        <f>'[4]Allocation Methodology'!D65</f>
        <v>2010</v>
      </c>
      <c r="F315" s="495" t="str">
        <f>'[4]Allocation Methodology'!E65</f>
        <v>Final</v>
      </c>
      <c r="G315" s="472"/>
      <c r="H315" s="549">
        <v>0</v>
      </c>
      <c r="I315" s="550">
        <v>0</v>
      </c>
      <c r="J315" s="550">
        <v>0</v>
      </c>
      <c r="K315" s="550">
        <v>0</v>
      </c>
      <c r="L315" s="550">
        <v>135.02159758974085</v>
      </c>
      <c r="M315" s="550">
        <v>135.02159758974085</v>
      </c>
      <c r="N315" s="550">
        <v>135.02159758974085</v>
      </c>
      <c r="O315" s="550">
        <v>135.02159758974085</v>
      </c>
      <c r="P315" s="550">
        <v>135.02159758974085</v>
      </c>
      <c r="Q315" s="550">
        <v>135.02159758974085</v>
      </c>
      <c r="R315" s="550">
        <v>135.02159758974085</v>
      </c>
      <c r="S315" s="550">
        <v>135.02159758974085</v>
      </c>
      <c r="T315" s="550">
        <v>135.02159758974085</v>
      </c>
      <c r="U315" s="550">
        <v>12.068969616964019</v>
      </c>
      <c r="V315" s="550">
        <v>0</v>
      </c>
      <c r="W315" s="550">
        <v>0</v>
      </c>
      <c r="X315" s="550">
        <v>0</v>
      </c>
      <c r="Y315" s="550">
        <v>0</v>
      </c>
      <c r="Z315" s="550">
        <v>0</v>
      </c>
      <c r="AA315" s="550">
        <v>0</v>
      </c>
      <c r="AB315" s="550">
        <v>0</v>
      </c>
      <c r="AC315" s="550">
        <v>0</v>
      </c>
      <c r="AD315" s="550">
        <v>0</v>
      </c>
      <c r="AE315" s="550">
        <v>0</v>
      </c>
      <c r="AF315" s="550">
        <v>0</v>
      </c>
      <c r="AG315" s="550">
        <v>0</v>
      </c>
      <c r="AH315" s="550">
        <v>0</v>
      </c>
      <c r="AI315" s="550">
        <v>0</v>
      </c>
      <c r="AJ315" s="550">
        <v>0</v>
      </c>
      <c r="AK315" s="550">
        <v>0</v>
      </c>
      <c r="AL315" s="550">
        <v>0</v>
      </c>
      <c r="AM315" s="550">
        <v>0</v>
      </c>
      <c r="AN315" s="550">
        <v>0</v>
      </c>
      <c r="AO315" s="550">
        <v>0</v>
      </c>
      <c r="AP315" s="550">
        <v>0</v>
      </c>
      <c r="AQ315" s="550">
        <v>0</v>
      </c>
      <c r="AR315" s="550">
        <v>0</v>
      </c>
      <c r="AS315" s="550">
        <v>0</v>
      </c>
      <c r="AT315" s="550">
        <v>0</v>
      </c>
      <c r="AU315" s="550">
        <v>0</v>
      </c>
      <c r="AV315" s="550">
        <v>0</v>
      </c>
      <c r="AW315" s="550">
        <v>0</v>
      </c>
      <c r="AX315" s="550">
        <v>0</v>
      </c>
      <c r="AY315" s="550">
        <v>0</v>
      </c>
      <c r="AZ315" s="551">
        <v>0</v>
      </c>
    </row>
    <row r="316" spans="1:52" s="470" customFormat="1">
      <c r="A316" s="486">
        <f>'[4]Allocation Methodology'!A66</f>
        <v>62</v>
      </c>
      <c r="B316" s="487" t="str">
        <f>'[4]Allocation Methodology'!B66</f>
        <v>Demand Response 2</v>
      </c>
      <c r="C316" s="487" t="str">
        <f>'[4]Allocation Methodology'!C66</f>
        <v>Business, Industrial</v>
      </c>
      <c r="D316" s="487"/>
      <c r="E316" s="487">
        <f>'[4]Allocation Methodology'!D66</f>
        <v>2010</v>
      </c>
      <c r="F316" s="488" t="str">
        <f>'[4]Allocation Methodology'!E66</f>
        <v>Final</v>
      </c>
      <c r="G316" s="472"/>
      <c r="H316" s="546">
        <v>0</v>
      </c>
      <c r="I316" s="547">
        <v>0</v>
      </c>
      <c r="J316" s="547">
        <v>0</v>
      </c>
      <c r="K316" s="547">
        <v>0</v>
      </c>
      <c r="L316" s="547">
        <v>927.03949446998331</v>
      </c>
      <c r="M316" s="547">
        <v>0</v>
      </c>
      <c r="N316" s="547">
        <v>0</v>
      </c>
      <c r="O316" s="547">
        <v>0</v>
      </c>
      <c r="P316" s="547">
        <v>0</v>
      </c>
      <c r="Q316" s="547">
        <v>0</v>
      </c>
      <c r="R316" s="547">
        <v>0</v>
      </c>
      <c r="S316" s="547">
        <v>0</v>
      </c>
      <c r="T316" s="547">
        <v>0</v>
      </c>
      <c r="U316" s="547">
        <v>0</v>
      </c>
      <c r="V316" s="547">
        <v>0</v>
      </c>
      <c r="W316" s="547">
        <v>0</v>
      </c>
      <c r="X316" s="547">
        <v>0</v>
      </c>
      <c r="Y316" s="547">
        <v>0</v>
      </c>
      <c r="Z316" s="547">
        <v>0</v>
      </c>
      <c r="AA316" s="547">
        <v>0</v>
      </c>
      <c r="AB316" s="547">
        <v>0</v>
      </c>
      <c r="AC316" s="547">
        <v>0</v>
      </c>
      <c r="AD316" s="547">
        <v>0</v>
      </c>
      <c r="AE316" s="547">
        <v>0</v>
      </c>
      <c r="AF316" s="547">
        <v>0</v>
      </c>
      <c r="AG316" s="547">
        <v>0</v>
      </c>
      <c r="AH316" s="547">
        <v>0</v>
      </c>
      <c r="AI316" s="547">
        <v>0</v>
      </c>
      <c r="AJ316" s="547">
        <v>0</v>
      </c>
      <c r="AK316" s="547">
        <v>0</v>
      </c>
      <c r="AL316" s="547">
        <v>0</v>
      </c>
      <c r="AM316" s="547">
        <v>0</v>
      </c>
      <c r="AN316" s="547">
        <v>0</v>
      </c>
      <c r="AO316" s="547">
        <v>0</v>
      </c>
      <c r="AP316" s="547">
        <v>0</v>
      </c>
      <c r="AQ316" s="547">
        <v>0</v>
      </c>
      <c r="AR316" s="547">
        <v>0</v>
      </c>
      <c r="AS316" s="547">
        <v>0</v>
      </c>
      <c r="AT316" s="547">
        <v>0</v>
      </c>
      <c r="AU316" s="547">
        <v>0</v>
      </c>
      <c r="AV316" s="547">
        <v>0</v>
      </c>
      <c r="AW316" s="547">
        <v>0</v>
      </c>
      <c r="AX316" s="547">
        <v>0</v>
      </c>
      <c r="AY316" s="547">
        <v>0</v>
      </c>
      <c r="AZ316" s="548">
        <v>0</v>
      </c>
    </row>
    <row r="317" spans="1:52" s="470" customFormat="1">
      <c r="A317" s="493">
        <f>'[4]Allocation Methodology'!A67</f>
        <v>63</v>
      </c>
      <c r="B317" s="494" t="str">
        <f>'[4]Allocation Methodology'!B67</f>
        <v>Demand Response 3</v>
      </c>
      <c r="C317" s="494" t="str">
        <f>'[4]Allocation Methodology'!C67</f>
        <v>Business, Industrial</v>
      </c>
      <c r="D317" s="494"/>
      <c r="E317" s="494">
        <f>'[4]Allocation Methodology'!D67</f>
        <v>2010</v>
      </c>
      <c r="F317" s="495" t="str">
        <f>'[4]Allocation Methodology'!E67</f>
        <v>Final</v>
      </c>
      <c r="G317" s="472"/>
      <c r="H317" s="549">
        <v>0</v>
      </c>
      <c r="I317" s="550">
        <v>0</v>
      </c>
      <c r="J317" s="550">
        <v>0</v>
      </c>
      <c r="K317" s="550">
        <v>0</v>
      </c>
      <c r="L317" s="550">
        <v>32.85625239207058</v>
      </c>
      <c r="M317" s="550">
        <v>0</v>
      </c>
      <c r="N317" s="550">
        <v>0</v>
      </c>
      <c r="O317" s="550">
        <v>0</v>
      </c>
      <c r="P317" s="550">
        <v>0</v>
      </c>
      <c r="Q317" s="550">
        <v>0</v>
      </c>
      <c r="R317" s="550">
        <v>0</v>
      </c>
      <c r="S317" s="550">
        <v>0</v>
      </c>
      <c r="T317" s="550">
        <v>0</v>
      </c>
      <c r="U317" s="550">
        <v>0</v>
      </c>
      <c r="V317" s="550">
        <v>0</v>
      </c>
      <c r="W317" s="550">
        <v>0</v>
      </c>
      <c r="X317" s="550">
        <v>0</v>
      </c>
      <c r="Y317" s="550">
        <v>0</v>
      </c>
      <c r="Z317" s="550">
        <v>0</v>
      </c>
      <c r="AA317" s="550">
        <v>0</v>
      </c>
      <c r="AB317" s="550">
        <v>0</v>
      </c>
      <c r="AC317" s="550">
        <v>0</v>
      </c>
      <c r="AD317" s="550">
        <v>0</v>
      </c>
      <c r="AE317" s="550">
        <v>0</v>
      </c>
      <c r="AF317" s="550">
        <v>0</v>
      </c>
      <c r="AG317" s="550">
        <v>0</v>
      </c>
      <c r="AH317" s="550">
        <v>0</v>
      </c>
      <c r="AI317" s="550">
        <v>0</v>
      </c>
      <c r="AJ317" s="550">
        <v>0</v>
      </c>
      <c r="AK317" s="550">
        <v>0</v>
      </c>
      <c r="AL317" s="550">
        <v>0</v>
      </c>
      <c r="AM317" s="550">
        <v>0</v>
      </c>
      <c r="AN317" s="550">
        <v>0</v>
      </c>
      <c r="AO317" s="550">
        <v>0</v>
      </c>
      <c r="AP317" s="550">
        <v>0</v>
      </c>
      <c r="AQ317" s="550">
        <v>0</v>
      </c>
      <c r="AR317" s="550">
        <v>0</v>
      </c>
      <c r="AS317" s="550">
        <v>0</v>
      </c>
      <c r="AT317" s="550">
        <v>0</v>
      </c>
      <c r="AU317" s="550">
        <v>0</v>
      </c>
      <c r="AV317" s="550">
        <v>0</v>
      </c>
      <c r="AW317" s="550">
        <v>0</v>
      </c>
      <c r="AX317" s="550">
        <v>0</v>
      </c>
      <c r="AY317" s="550">
        <v>0</v>
      </c>
      <c r="AZ317" s="551">
        <v>0</v>
      </c>
    </row>
    <row r="318" spans="1:52" s="470" customFormat="1">
      <c r="A318" s="486">
        <f>'[4]Allocation Methodology'!A68</f>
        <v>64</v>
      </c>
      <c r="B318" s="487" t="str">
        <f>'[4]Allocation Methodology'!B68</f>
        <v>Loblaw &amp; York Region Demand Response</v>
      </c>
      <c r="C318" s="487" t="str">
        <f>'[4]Allocation Methodology'!C68</f>
        <v>Business, Industrial</v>
      </c>
      <c r="D318" s="487"/>
      <c r="E318" s="487">
        <f>'[4]Allocation Methodology'!D68</f>
        <v>2010</v>
      </c>
      <c r="F318" s="488" t="str">
        <f>'[4]Allocation Methodology'!E68</f>
        <v>Final</v>
      </c>
      <c r="G318" s="472"/>
      <c r="H318" s="546">
        <v>0</v>
      </c>
      <c r="I318" s="547">
        <v>0</v>
      </c>
      <c r="J318" s="547">
        <v>0</v>
      </c>
      <c r="K318" s="547">
        <v>0</v>
      </c>
      <c r="L318" s="547">
        <v>0</v>
      </c>
      <c r="M318" s="547">
        <v>0</v>
      </c>
      <c r="N318" s="547">
        <v>0</v>
      </c>
      <c r="O318" s="547">
        <v>0</v>
      </c>
      <c r="P318" s="547">
        <v>0</v>
      </c>
      <c r="Q318" s="547">
        <v>0</v>
      </c>
      <c r="R318" s="547">
        <v>0</v>
      </c>
      <c r="S318" s="547">
        <v>0</v>
      </c>
      <c r="T318" s="547">
        <v>0</v>
      </c>
      <c r="U318" s="547">
        <v>0</v>
      </c>
      <c r="V318" s="547">
        <v>0</v>
      </c>
      <c r="W318" s="547">
        <v>0</v>
      </c>
      <c r="X318" s="547">
        <v>0</v>
      </c>
      <c r="Y318" s="547">
        <v>0</v>
      </c>
      <c r="Z318" s="547">
        <v>0</v>
      </c>
      <c r="AA318" s="547">
        <v>0</v>
      </c>
      <c r="AB318" s="547">
        <v>0</v>
      </c>
      <c r="AC318" s="547">
        <v>0</v>
      </c>
      <c r="AD318" s="547">
        <v>0</v>
      </c>
      <c r="AE318" s="547">
        <v>0</v>
      </c>
      <c r="AF318" s="547">
        <v>0</v>
      </c>
      <c r="AG318" s="547">
        <v>0</v>
      </c>
      <c r="AH318" s="547">
        <v>0</v>
      </c>
      <c r="AI318" s="547">
        <v>0</v>
      </c>
      <c r="AJ318" s="547">
        <v>0</v>
      </c>
      <c r="AK318" s="547">
        <v>0</v>
      </c>
      <c r="AL318" s="547">
        <v>0</v>
      </c>
      <c r="AM318" s="547">
        <v>0</v>
      </c>
      <c r="AN318" s="547">
        <v>0</v>
      </c>
      <c r="AO318" s="547">
        <v>0</v>
      </c>
      <c r="AP318" s="547">
        <v>0</v>
      </c>
      <c r="AQ318" s="547">
        <v>0</v>
      </c>
      <c r="AR318" s="547">
        <v>0</v>
      </c>
      <c r="AS318" s="547">
        <v>0</v>
      </c>
      <c r="AT318" s="547">
        <v>0</v>
      </c>
      <c r="AU318" s="547">
        <v>0</v>
      </c>
      <c r="AV318" s="547">
        <v>0</v>
      </c>
      <c r="AW318" s="547">
        <v>0</v>
      </c>
      <c r="AX318" s="547">
        <v>0</v>
      </c>
      <c r="AY318" s="547">
        <v>0</v>
      </c>
      <c r="AZ318" s="548">
        <v>0</v>
      </c>
    </row>
    <row r="319" spans="1:52" s="470" customFormat="1">
      <c r="A319" s="500">
        <f>'[4]Allocation Methodology'!A69</f>
        <v>65</v>
      </c>
      <c r="B319" s="501" t="str">
        <f>'[4]Allocation Methodology'!B69</f>
        <v>LDC Custom - Hydro Ottawa - Small Commercial Demand Response</v>
      </c>
      <c r="C319" s="501" t="str">
        <f>'[4]Allocation Methodology'!C69</f>
        <v>Consumer</v>
      </c>
      <c r="D319" s="501"/>
      <c r="E319" s="501">
        <f>'[4]Allocation Methodology'!D69</f>
        <v>2010</v>
      </c>
      <c r="F319" s="502" t="str">
        <f>'[4]Allocation Methodology'!E69</f>
        <v>Final</v>
      </c>
      <c r="G319" s="472"/>
      <c r="H319" s="552">
        <v>0</v>
      </c>
      <c r="I319" s="553">
        <v>0</v>
      </c>
      <c r="J319" s="553">
        <v>0</v>
      </c>
      <c r="K319" s="553">
        <v>0</v>
      </c>
      <c r="L319" s="553">
        <v>0</v>
      </c>
      <c r="M319" s="553">
        <v>0</v>
      </c>
      <c r="N319" s="553">
        <v>0</v>
      </c>
      <c r="O319" s="553">
        <v>0</v>
      </c>
      <c r="P319" s="553">
        <v>0</v>
      </c>
      <c r="Q319" s="553">
        <v>0</v>
      </c>
      <c r="R319" s="553">
        <v>0</v>
      </c>
      <c r="S319" s="553">
        <v>0</v>
      </c>
      <c r="T319" s="553">
        <v>0</v>
      </c>
      <c r="U319" s="553">
        <v>0</v>
      </c>
      <c r="V319" s="553">
        <v>0</v>
      </c>
      <c r="W319" s="553">
        <v>0</v>
      </c>
      <c r="X319" s="553">
        <v>0</v>
      </c>
      <c r="Y319" s="553">
        <v>0</v>
      </c>
      <c r="Z319" s="553">
        <v>0</v>
      </c>
      <c r="AA319" s="553">
        <v>0</v>
      </c>
      <c r="AB319" s="553">
        <v>0</v>
      </c>
      <c r="AC319" s="553">
        <v>0</v>
      </c>
      <c r="AD319" s="553">
        <v>0</v>
      </c>
      <c r="AE319" s="553">
        <v>0</v>
      </c>
      <c r="AF319" s="553">
        <v>0</v>
      </c>
      <c r="AG319" s="553">
        <v>0</v>
      </c>
      <c r="AH319" s="553">
        <v>0</v>
      </c>
      <c r="AI319" s="553">
        <v>0</v>
      </c>
      <c r="AJ319" s="553">
        <v>0</v>
      </c>
      <c r="AK319" s="553">
        <v>0</v>
      </c>
      <c r="AL319" s="553">
        <v>0</v>
      </c>
      <c r="AM319" s="553">
        <v>0</v>
      </c>
      <c r="AN319" s="553">
        <v>0</v>
      </c>
      <c r="AO319" s="553">
        <v>0</v>
      </c>
      <c r="AP319" s="553">
        <v>0</v>
      </c>
      <c r="AQ319" s="553">
        <v>0</v>
      </c>
      <c r="AR319" s="553">
        <v>0</v>
      </c>
      <c r="AS319" s="553">
        <v>0</v>
      </c>
      <c r="AT319" s="553">
        <v>0</v>
      </c>
      <c r="AU319" s="553">
        <v>0</v>
      </c>
      <c r="AV319" s="553">
        <v>0</v>
      </c>
      <c r="AW319" s="553">
        <v>0</v>
      </c>
      <c r="AX319" s="553">
        <v>0</v>
      </c>
      <c r="AY319" s="553">
        <v>0</v>
      </c>
      <c r="AZ319" s="554">
        <v>0</v>
      </c>
    </row>
    <row r="320" spans="1:52" s="470" customFormat="1" ht="4.5" customHeight="1">
      <c r="A320" s="478"/>
      <c r="B320" s="478"/>
      <c r="C320" s="478"/>
      <c r="D320" s="478"/>
      <c r="E320" s="478"/>
      <c r="F320" s="478"/>
      <c r="G320" s="468"/>
      <c r="H320" s="469"/>
      <c r="I320" s="469"/>
      <c r="J320" s="469"/>
      <c r="K320" s="469"/>
      <c r="L320" s="469"/>
      <c r="M320" s="469"/>
      <c r="N320" s="469"/>
      <c r="O320" s="469"/>
      <c r="P320" s="469"/>
      <c r="Q320" s="469"/>
      <c r="R320" s="469"/>
      <c r="S320" s="469"/>
      <c r="T320" s="469"/>
      <c r="U320" s="469"/>
      <c r="V320" s="469"/>
      <c r="W320" s="469"/>
      <c r="X320" s="469"/>
      <c r="Y320" s="469"/>
      <c r="Z320" s="469"/>
      <c r="AA320" s="469"/>
      <c r="AB320" s="469"/>
      <c r="AC320" s="469"/>
      <c r="AD320" s="469"/>
      <c r="AE320" s="469"/>
      <c r="AF320" s="469"/>
      <c r="AG320" s="469"/>
      <c r="AH320" s="469"/>
      <c r="AI320" s="469"/>
      <c r="AJ320" s="469"/>
      <c r="AK320" s="469"/>
      <c r="AL320" s="469"/>
      <c r="AM320" s="469"/>
      <c r="AN320" s="469"/>
      <c r="AO320" s="469"/>
      <c r="AP320" s="469"/>
      <c r="AQ320" s="469"/>
      <c r="AR320" s="469"/>
      <c r="AS320" s="469"/>
      <c r="AT320" s="469"/>
      <c r="AU320" s="469"/>
      <c r="AV320" s="469"/>
      <c r="AW320" s="469"/>
      <c r="AX320" s="469"/>
      <c r="AY320" s="469"/>
      <c r="AZ320" s="469"/>
    </row>
    <row r="321" spans="1:52" s="470" customFormat="1">
      <c r="A321" s="530" t="s">
        <v>510</v>
      </c>
      <c r="B321" s="531"/>
      <c r="C321" s="531"/>
      <c r="D321" s="531"/>
      <c r="E321" s="531"/>
      <c r="F321" s="532"/>
      <c r="G321" s="468"/>
      <c r="H321" s="564">
        <f>SUM(H255:H259)</f>
        <v>2095.3900987581637</v>
      </c>
      <c r="I321" s="564">
        <f t="shared" ref="I321:AZ321" si="25">SUM(I255:I259)</f>
        <v>2095.3900987581637</v>
      </c>
      <c r="J321" s="564">
        <f t="shared" si="25"/>
        <v>2095.3900987581637</v>
      </c>
      <c r="K321" s="564">
        <f t="shared" si="25"/>
        <v>2095.3900987581637</v>
      </c>
      <c r="L321" s="564">
        <f t="shared" si="25"/>
        <v>372.74849247555881</v>
      </c>
      <c r="M321" s="564">
        <f t="shared" si="25"/>
        <v>372.74849247555881</v>
      </c>
      <c r="N321" s="564">
        <f t="shared" si="25"/>
        <v>341.87414788886838</v>
      </c>
      <c r="O321" s="564">
        <f t="shared" si="25"/>
        <v>341.87414788886838</v>
      </c>
      <c r="P321" s="564">
        <f t="shared" si="25"/>
        <v>321.88796755015142</v>
      </c>
      <c r="Q321" s="564">
        <f t="shared" si="25"/>
        <v>321.88796755015142</v>
      </c>
      <c r="R321" s="564">
        <f t="shared" si="25"/>
        <v>304.70291770545288</v>
      </c>
      <c r="S321" s="564">
        <f t="shared" si="25"/>
        <v>304.70291770545288</v>
      </c>
      <c r="T321" s="564">
        <f t="shared" si="25"/>
        <v>304.70291770545288</v>
      </c>
      <c r="U321" s="564">
        <f t="shared" si="25"/>
        <v>304.70291770545288</v>
      </c>
      <c r="V321" s="564">
        <f t="shared" si="25"/>
        <v>276.82600354995918</v>
      </c>
      <c r="W321" s="564">
        <f t="shared" si="25"/>
        <v>232.15963612578599</v>
      </c>
      <c r="X321" s="564">
        <f t="shared" si="25"/>
        <v>232.15963612578599</v>
      </c>
      <c r="Y321" s="564">
        <f t="shared" si="25"/>
        <v>232.15963612578599</v>
      </c>
      <c r="Z321" s="564">
        <f t="shared" si="25"/>
        <v>124.99853527544661</v>
      </c>
      <c r="AA321" s="564">
        <f t="shared" si="25"/>
        <v>124.99853527544661</v>
      </c>
      <c r="AB321" s="564">
        <f t="shared" si="25"/>
        <v>72.9363818144421</v>
      </c>
      <c r="AC321" s="564">
        <f t="shared" si="25"/>
        <v>72.9363818144421</v>
      </c>
      <c r="AD321" s="564">
        <f t="shared" si="25"/>
        <v>72.9363818144421</v>
      </c>
      <c r="AE321" s="564">
        <f t="shared" si="25"/>
        <v>72.9363818144421</v>
      </c>
      <c r="AF321" s="564">
        <f t="shared" si="25"/>
        <v>72.9363818144421</v>
      </c>
      <c r="AG321" s="564">
        <f t="shared" si="25"/>
        <v>11.834705580732592</v>
      </c>
      <c r="AH321" s="564">
        <f t="shared" si="25"/>
        <v>11.834705580732592</v>
      </c>
      <c r="AI321" s="564">
        <f t="shared" si="25"/>
        <v>11.834705580732592</v>
      </c>
      <c r="AJ321" s="564">
        <f t="shared" si="25"/>
        <v>11.834705580732592</v>
      </c>
      <c r="AK321" s="564">
        <f t="shared" si="25"/>
        <v>11.834705580732592</v>
      </c>
      <c r="AL321" s="564">
        <f t="shared" si="25"/>
        <v>0</v>
      </c>
      <c r="AM321" s="564">
        <f t="shared" si="25"/>
        <v>0</v>
      </c>
      <c r="AN321" s="564">
        <f t="shared" si="25"/>
        <v>0</v>
      </c>
      <c r="AO321" s="564">
        <f t="shared" si="25"/>
        <v>0</v>
      </c>
      <c r="AP321" s="564">
        <f t="shared" si="25"/>
        <v>0</v>
      </c>
      <c r="AQ321" s="564">
        <f t="shared" si="25"/>
        <v>0</v>
      </c>
      <c r="AR321" s="564">
        <f t="shared" si="25"/>
        <v>0</v>
      </c>
      <c r="AS321" s="564">
        <f t="shared" si="25"/>
        <v>0</v>
      </c>
      <c r="AT321" s="564">
        <f t="shared" si="25"/>
        <v>0</v>
      </c>
      <c r="AU321" s="564">
        <f t="shared" si="25"/>
        <v>0</v>
      </c>
      <c r="AV321" s="564">
        <f t="shared" si="25"/>
        <v>0</v>
      </c>
      <c r="AW321" s="564">
        <f t="shared" si="25"/>
        <v>0</v>
      </c>
      <c r="AX321" s="564">
        <f t="shared" si="25"/>
        <v>0</v>
      </c>
      <c r="AY321" s="564">
        <f t="shared" si="25"/>
        <v>0</v>
      </c>
      <c r="AZ321" s="564">
        <f t="shared" si="25"/>
        <v>0</v>
      </c>
    </row>
    <row r="322" spans="1:52" s="470" customFormat="1" ht="4.5" customHeight="1">
      <c r="A322" s="478"/>
      <c r="B322" s="478"/>
      <c r="C322" s="478"/>
      <c r="D322" s="478"/>
      <c r="E322" s="478"/>
      <c r="F322" s="478"/>
      <c r="G322" s="468"/>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5"/>
      <c r="AL322" s="565"/>
      <c r="AM322" s="565"/>
      <c r="AN322" s="565"/>
      <c r="AO322" s="565"/>
      <c r="AP322" s="565"/>
      <c r="AQ322" s="565"/>
      <c r="AR322" s="565"/>
      <c r="AS322" s="565"/>
      <c r="AT322" s="565"/>
      <c r="AU322" s="565"/>
      <c r="AV322" s="565"/>
      <c r="AW322" s="565"/>
      <c r="AX322" s="565"/>
      <c r="AY322" s="565"/>
      <c r="AZ322" s="565"/>
    </row>
    <row r="323" spans="1:52" s="470" customFormat="1">
      <c r="A323" s="530" t="s">
        <v>511</v>
      </c>
      <c r="B323" s="531"/>
      <c r="C323" s="531"/>
      <c r="D323" s="531"/>
      <c r="E323" s="531"/>
      <c r="F323" s="532"/>
      <c r="G323" s="468"/>
      <c r="H323" s="564">
        <f>SUM(H260:H273)</f>
        <v>0</v>
      </c>
      <c r="I323" s="564">
        <f t="shared" ref="I323:AZ323" si="26">SUM(I260:I273)</f>
        <v>4437.767708616836</v>
      </c>
      <c r="J323" s="564">
        <f t="shared" si="26"/>
        <v>2135.666576744622</v>
      </c>
      <c r="K323" s="564">
        <f t="shared" si="26"/>
        <v>1847.6084281353458</v>
      </c>
      <c r="L323" s="564">
        <f t="shared" si="26"/>
        <v>1847.6084281353458</v>
      </c>
      <c r="M323" s="564">
        <f t="shared" si="26"/>
        <v>1847.2481698808499</v>
      </c>
      <c r="N323" s="564">
        <f t="shared" si="26"/>
        <v>1756.8607920619111</v>
      </c>
      <c r="O323" s="564">
        <f t="shared" si="26"/>
        <v>1756.8607920619111</v>
      </c>
      <c r="P323" s="564">
        <f t="shared" si="26"/>
        <v>1756.8607920619111</v>
      </c>
      <c r="Q323" s="564">
        <f t="shared" si="26"/>
        <v>873.35311319286393</v>
      </c>
      <c r="R323" s="564">
        <f t="shared" si="26"/>
        <v>745.2016843267927</v>
      </c>
      <c r="S323" s="564">
        <f t="shared" si="26"/>
        <v>601.51298696272556</v>
      </c>
      <c r="T323" s="564">
        <f t="shared" si="26"/>
        <v>601.51298696272556</v>
      </c>
      <c r="U323" s="564">
        <f t="shared" si="26"/>
        <v>601.51298696272556</v>
      </c>
      <c r="V323" s="564">
        <f t="shared" si="26"/>
        <v>601.51298696272556</v>
      </c>
      <c r="W323" s="564">
        <f t="shared" si="26"/>
        <v>369.36729829180211</v>
      </c>
      <c r="X323" s="564">
        <f t="shared" si="26"/>
        <v>187.39001608689327</v>
      </c>
      <c r="Y323" s="564">
        <f t="shared" si="26"/>
        <v>181.26883882805828</v>
      </c>
      <c r="Z323" s="564">
        <f t="shared" si="26"/>
        <v>181.26883882805828</v>
      </c>
      <c r="AA323" s="564">
        <f t="shared" si="26"/>
        <v>156.1108484675193</v>
      </c>
      <c r="AB323" s="564">
        <f t="shared" si="26"/>
        <v>24.438648000000001</v>
      </c>
      <c r="AC323" s="564">
        <f t="shared" si="26"/>
        <v>0</v>
      </c>
      <c r="AD323" s="564">
        <f t="shared" si="26"/>
        <v>0</v>
      </c>
      <c r="AE323" s="564">
        <f t="shared" si="26"/>
        <v>0</v>
      </c>
      <c r="AF323" s="564">
        <f t="shared" si="26"/>
        <v>0</v>
      </c>
      <c r="AG323" s="564">
        <f t="shared" si="26"/>
        <v>0</v>
      </c>
      <c r="AH323" s="564">
        <f t="shared" si="26"/>
        <v>0</v>
      </c>
      <c r="AI323" s="564">
        <f t="shared" si="26"/>
        <v>0</v>
      </c>
      <c r="AJ323" s="564">
        <f t="shared" si="26"/>
        <v>0</v>
      </c>
      <c r="AK323" s="564">
        <f t="shared" si="26"/>
        <v>0</v>
      </c>
      <c r="AL323" s="564">
        <f t="shared" si="26"/>
        <v>0</v>
      </c>
      <c r="AM323" s="564">
        <f t="shared" si="26"/>
        <v>0</v>
      </c>
      <c r="AN323" s="564">
        <f t="shared" si="26"/>
        <v>0</v>
      </c>
      <c r="AO323" s="564">
        <f t="shared" si="26"/>
        <v>0</v>
      </c>
      <c r="AP323" s="564">
        <f t="shared" si="26"/>
        <v>0</v>
      </c>
      <c r="AQ323" s="564">
        <f t="shared" si="26"/>
        <v>0</v>
      </c>
      <c r="AR323" s="564">
        <f t="shared" si="26"/>
        <v>0</v>
      </c>
      <c r="AS323" s="564">
        <f t="shared" si="26"/>
        <v>0</v>
      </c>
      <c r="AT323" s="564">
        <f t="shared" si="26"/>
        <v>0</v>
      </c>
      <c r="AU323" s="564">
        <f t="shared" si="26"/>
        <v>0</v>
      </c>
      <c r="AV323" s="564">
        <f t="shared" si="26"/>
        <v>0</v>
      </c>
      <c r="AW323" s="564">
        <f t="shared" si="26"/>
        <v>0</v>
      </c>
      <c r="AX323" s="564">
        <f t="shared" si="26"/>
        <v>0</v>
      </c>
      <c r="AY323" s="564">
        <f t="shared" si="26"/>
        <v>0</v>
      </c>
      <c r="AZ323" s="564">
        <f t="shared" si="26"/>
        <v>0</v>
      </c>
    </row>
    <row r="324" spans="1:52" s="470" customFormat="1" ht="5.0999999999999996" customHeight="1">
      <c r="A324" s="478"/>
      <c r="B324" s="478"/>
      <c r="C324" s="478"/>
      <c r="D324" s="478"/>
      <c r="E324" s="478"/>
      <c r="F324" s="478"/>
      <c r="G324" s="468"/>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5"/>
      <c r="AL324" s="565"/>
      <c r="AM324" s="565"/>
      <c r="AN324" s="565"/>
      <c r="AO324" s="565"/>
      <c r="AP324" s="565"/>
      <c r="AQ324" s="565"/>
      <c r="AR324" s="565"/>
      <c r="AS324" s="565"/>
      <c r="AT324" s="565"/>
      <c r="AU324" s="565"/>
      <c r="AV324" s="565"/>
      <c r="AW324" s="565"/>
      <c r="AX324" s="565"/>
      <c r="AY324" s="565"/>
      <c r="AZ324" s="565"/>
    </row>
    <row r="325" spans="1:52" s="470" customFormat="1">
      <c r="A325" s="530" t="s">
        <v>512</v>
      </c>
      <c r="B325" s="531"/>
      <c r="C325" s="531"/>
      <c r="D325" s="531"/>
      <c r="E325" s="531"/>
      <c r="F325" s="532"/>
      <c r="G325" s="468"/>
      <c r="H325" s="564">
        <f>SUM(H274:H288,H305:H306)</f>
        <v>0</v>
      </c>
      <c r="I325" s="564">
        <f t="shared" ref="I325:AZ325" si="27">SUM(I274:I288,I305:I306)</f>
        <v>0</v>
      </c>
      <c r="J325" s="564">
        <f t="shared" si="27"/>
        <v>4983.120920467326</v>
      </c>
      <c r="K325" s="564">
        <f t="shared" si="27"/>
        <v>4759.1364876631969</v>
      </c>
      <c r="L325" s="564">
        <f t="shared" si="27"/>
        <v>4759.1364876631969</v>
      </c>
      <c r="M325" s="564">
        <f t="shared" si="27"/>
        <v>4759.1364876631969</v>
      </c>
      <c r="N325" s="564">
        <f t="shared" si="27"/>
        <v>4529.2495990735442</v>
      </c>
      <c r="O325" s="564">
        <f t="shared" si="27"/>
        <v>4528.4615990735447</v>
      </c>
      <c r="P325" s="564">
        <f t="shared" si="27"/>
        <v>4322.6645299784277</v>
      </c>
      <c r="Q325" s="564">
        <f t="shared" si="27"/>
        <v>4139.2039076858409</v>
      </c>
      <c r="R325" s="564">
        <f t="shared" si="27"/>
        <v>3577.199007715411</v>
      </c>
      <c r="S325" s="564">
        <f t="shared" si="27"/>
        <v>3406.7599980654486</v>
      </c>
      <c r="T325" s="564">
        <f t="shared" si="27"/>
        <v>3301.5401093646988</v>
      </c>
      <c r="U325" s="564">
        <f t="shared" si="27"/>
        <v>3301.5401093646988</v>
      </c>
      <c r="V325" s="564">
        <f t="shared" si="27"/>
        <v>3281.3875631585861</v>
      </c>
      <c r="W325" s="564">
        <f t="shared" si="27"/>
        <v>3275.5337014144184</v>
      </c>
      <c r="X325" s="564">
        <f t="shared" si="27"/>
        <v>3270.7362078358265</v>
      </c>
      <c r="Y325" s="564">
        <f t="shared" si="27"/>
        <v>3138.8749229672658</v>
      </c>
      <c r="Z325" s="564">
        <f t="shared" si="27"/>
        <v>215.23802386915906</v>
      </c>
      <c r="AA325" s="564">
        <f t="shared" si="27"/>
        <v>215.23802386915906</v>
      </c>
      <c r="AB325" s="564">
        <f t="shared" si="27"/>
        <v>54.660489338671809</v>
      </c>
      <c r="AC325" s="564">
        <f t="shared" si="27"/>
        <v>54.660489338671809</v>
      </c>
      <c r="AD325" s="564">
        <f t="shared" si="27"/>
        <v>0</v>
      </c>
      <c r="AE325" s="564">
        <f t="shared" si="27"/>
        <v>0</v>
      </c>
      <c r="AF325" s="564">
        <f t="shared" si="27"/>
        <v>0</v>
      </c>
      <c r="AG325" s="564">
        <f t="shared" si="27"/>
        <v>0</v>
      </c>
      <c r="AH325" s="564">
        <f t="shared" si="27"/>
        <v>0</v>
      </c>
      <c r="AI325" s="564">
        <f t="shared" si="27"/>
        <v>0</v>
      </c>
      <c r="AJ325" s="564">
        <f t="shared" si="27"/>
        <v>0</v>
      </c>
      <c r="AK325" s="564">
        <f t="shared" si="27"/>
        <v>0</v>
      </c>
      <c r="AL325" s="564">
        <f t="shared" si="27"/>
        <v>0</v>
      </c>
      <c r="AM325" s="564">
        <f t="shared" si="27"/>
        <v>0</v>
      </c>
      <c r="AN325" s="564">
        <f t="shared" si="27"/>
        <v>0</v>
      </c>
      <c r="AO325" s="564">
        <f t="shared" si="27"/>
        <v>0</v>
      </c>
      <c r="AP325" s="564">
        <f t="shared" si="27"/>
        <v>0</v>
      </c>
      <c r="AQ325" s="564">
        <f t="shared" si="27"/>
        <v>0</v>
      </c>
      <c r="AR325" s="564">
        <f t="shared" si="27"/>
        <v>0</v>
      </c>
      <c r="AS325" s="564">
        <f t="shared" si="27"/>
        <v>0</v>
      </c>
      <c r="AT325" s="564">
        <f t="shared" si="27"/>
        <v>0</v>
      </c>
      <c r="AU325" s="564">
        <f t="shared" si="27"/>
        <v>0</v>
      </c>
      <c r="AV325" s="564">
        <f t="shared" si="27"/>
        <v>0</v>
      </c>
      <c r="AW325" s="564">
        <f t="shared" si="27"/>
        <v>0</v>
      </c>
      <c r="AX325" s="564">
        <f t="shared" si="27"/>
        <v>0</v>
      </c>
      <c r="AY325" s="564">
        <f t="shared" si="27"/>
        <v>0</v>
      </c>
      <c r="AZ325" s="564">
        <f t="shared" si="27"/>
        <v>0</v>
      </c>
    </row>
    <row r="326" spans="1:52" s="470" customFormat="1" ht="5.0999999999999996" customHeight="1">
      <c r="A326" s="478"/>
      <c r="B326" s="478"/>
      <c r="C326" s="478"/>
      <c r="D326" s="478"/>
      <c r="E326" s="478"/>
      <c r="F326" s="478"/>
      <c r="G326" s="468"/>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5"/>
      <c r="AL326" s="565"/>
      <c r="AM326" s="565"/>
      <c r="AN326" s="565"/>
      <c r="AO326" s="565"/>
      <c r="AP326" s="565"/>
      <c r="AQ326" s="565"/>
      <c r="AR326" s="565"/>
      <c r="AS326" s="565"/>
      <c r="AT326" s="565"/>
      <c r="AU326" s="565"/>
      <c r="AV326" s="565"/>
      <c r="AW326" s="565"/>
      <c r="AX326" s="565"/>
      <c r="AY326" s="565"/>
      <c r="AZ326" s="565"/>
    </row>
    <row r="327" spans="1:52" s="470" customFormat="1">
      <c r="A327" s="530" t="s">
        <v>513</v>
      </c>
      <c r="B327" s="531"/>
      <c r="C327" s="531"/>
      <c r="D327" s="531"/>
      <c r="E327" s="531"/>
      <c r="F327" s="532"/>
      <c r="G327" s="468"/>
      <c r="H327" s="564">
        <f>SUM(H289:H304)</f>
        <v>0</v>
      </c>
      <c r="I327" s="564">
        <f t="shared" ref="I327:AZ327" si="28">SUM(I289:I304)</f>
        <v>0</v>
      </c>
      <c r="J327" s="564">
        <f t="shared" si="28"/>
        <v>0</v>
      </c>
      <c r="K327" s="564">
        <f t="shared" si="28"/>
        <v>3568.6857607892639</v>
      </c>
      <c r="L327" s="564">
        <f t="shared" si="28"/>
        <v>2940.1903796180613</v>
      </c>
      <c r="M327" s="564">
        <f t="shared" si="28"/>
        <v>2940.1903796180613</v>
      </c>
      <c r="N327" s="564">
        <f t="shared" si="28"/>
        <v>2937.9268099677256</v>
      </c>
      <c r="O327" s="564">
        <f t="shared" si="28"/>
        <v>2877.8921426408592</v>
      </c>
      <c r="P327" s="564">
        <f t="shared" si="28"/>
        <v>2694.2240366275628</v>
      </c>
      <c r="Q327" s="564">
        <f t="shared" si="28"/>
        <v>2427.0054409261948</v>
      </c>
      <c r="R327" s="564">
        <f t="shared" si="28"/>
        <v>2300.4109289137059</v>
      </c>
      <c r="S327" s="564">
        <f t="shared" si="28"/>
        <v>1836.3202303970399</v>
      </c>
      <c r="T327" s="564">
        <f t="shared" si="28"/>
        <v>1431.3700501806136</v>
      </c>
      <c r="U327" s="564">
        <f t="shared" si="28"/>
        <v>1211.7010891604014</v>
      </c>
      <c r="V327" s="564">
        <f t="shared" si="28"/>
        <v>688.84929261920797</v>
      </c>
      <c r="W327" s="564">
        <f t="shared" si="28"/>
        <v>639.64595915032271</v>
      </c>
      <c r="X327" s="564">
        <f t="shared" si="28"/>
        <v>639.64595915032271</v>
      </c>
      <c r="Y327" s="564">
        <f t="shared" si="28"/>
        <v>625.30542032594224</v>
      </c>
      <c r="Z327" s="564">
        <f t="shared" si="28"/>
        <v>515.68858686323142</v>
      </c>
      <c r="AA327" s="564">
        <f t="shared" si="28"/>
        <v>477.70543904156153</v>
      </c>
      <c r="AB327" s="564">
        <f t="shared" si="28"/>
        <v>451.59248637079446</v>
      </c>
      <c r="AC327" s="564">
        <f t="shared" si="28"/>
        <v>412.10043447918895</v>
      </c>
      <c r="AD327" s="564">
        <f t="shared" si="28"/>
        <v>120.93058315030223</v>
      </c>
      <c r="AE327" s="564">
        <f t="shared" si="28"/>
        <v>0</v>
      </c>
      <c r="AF327" s="564">
        <f t="shared" si="28"/>
        <v>0</v>
      </c>
      <c r="AG327" s="564">
        <f t="shared" si="28"/>
        <v>0</v>
      </c>
      <c r="AH327" s="564">
        <f t="shared" si="28"/>
        <v>0</v>
      </c>
      <c r="AI327" s="564">
        <f t="shared" si="28"/>
        <v>0</v>
      </c>
      <c r="AJ327" s="564">
        <f t="shared" si="28"/>
        <v>0</v>
      </c>
      <c r="AK327" s="564">
        <f t="shared" si="28"/>
        <v>0</v>
      </c>
      <c r="AL327" s="564">
        <f t="shared" si="28"/>
        <v>0</v>
      </c>
      <c r="AM327" s="564">
        <f t="shared" si="28"/>
        <v>0</v>
      </c>
      <c r="AN327" s="564">
        <f t="shared" si="28"/>
        <v>0</v>
      </c>
      <c r="AO327" s="564">
        <f t="shared" si="28"/>
        <v>0</v>
      </c>
      <c r="AP327" s="564">
        <f t="shared" si="28"/>
        <v>0</v>
      </c>
      <c r="AQ327" s="564">
        <f t="shared" si="28"/>
        <v>0</v>
      </c>
      <c r="AR327" s="564">
        <f t="shared" si="28"/>
        <v>0</v>
      </c>
      <c r="AS327" s="564">
        <f t="shared" si="28"/>
        <v>0</v>
      </c>
      <c r="AT327" s="564">
        <f t="shared" si="28"/>
        <v>0</v>
      </c>
      <c r="AU327" s="564">
        <f t="shared" si="28"/>
        <v>0</v>
      </c>
      <c r="AV327" s="564">
        <f t="shared" si="28"/>
        <v>0</v>
      </c>
      <c r="AW327" s="564">
        <f t="shared" si="28"/>
        <v>0</v>
      </c>
      <c r="AX327" s="564">
        <f t="shared" si="28"/>
        <v>0</v>
      </c>
      <c r="AY327" s="564">
        <f t="shared" si="28"/>
        <v>0</v>
      </c>
      <c r="AZ327" s="564">
        <f t="shared" si="28"/>
        <v>0</v>
      </c>
    </row>
    <row r="328" spans="1:52" s="470" customFormat="1" ht="4.5" customHeight="1">
      <c r="A328" s="478"/>
      <c r="B328" s="478"/>
      <c r="C328" s="478"/>
      <c r="D328" s="478"/>
      <c r="E328" s="478"/>
      <c r="F328" s="478"/>
      <c r="G328" s="468"/>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5"/>
      <c r="AL328" s="565"/>
      <c r="AM328" s="565"/>
      <c r="AN328" s="565"/>
      <c r="AO328" s="565"/>
      <c r="AP328" s="565"/>
      <c r="AQ328" s="565"/>
      <c r="AR328" s="565"/>
      <c r="AS328" s="565"/>
      <c r="AT328" s="565"/>
      <c r="AU328" s="565"/>
      <c r="AV328" s="565"/>
      <c r="AW328" s="565"/>
      <c r="AX328" s="565"/>
      <c r="AY328" s="565"/>
      <c r="AZ328" s="565"/>
    </row>
    <row r="329" spans="1:52" s="470" customFormat="1">
      <c r="A329" s="530" t="s">
        <v>514</v>
      </c>
      <c r="B329" s="531"/>
      <c r="C329" s="531"/>
      <c r="D329" s="531"/>
      <c r="E329" s="531"/>
      <c r="F329" s="532"/>
      <c r="G329" s="468"/>
      <c r="H329" s="564">
        <f>SUM(H307:H319)</f>
        <v>0</v>
      </c>
      <c r="I329" s="564">
        <f t="shared" ref="I329:AZ329" si="29">SUM(I307:I319)</f>
        <v>0</v>
      </c>
      <c r="J329" s="564">
        <f t="shared" si="29"/>
        <v>0</v>
      </c>
      <c r="K329" s="564">
        <f t="shared" si="29"/>
        <v>0</v>
      </c>
      <c r="L329" s="564">
        <f t="shared" si="29"/>
        <v>2934.9508566848349</v>
      </c>
      <c r="M329" s="564">
        <f t="shared" si="29"/>
        <v>1974.5372853446597</v>
      </c>
      <c r="N329" s="564">
        <f t="shared" si="29"/>
        <v>1974.2524204019978</v>
      </c>
      <c r="O329" s="564">
        <f t="shared" si="29"/>
        <v>1971.6346547636581</v>
      </c>
      <c r="P329" s="564">
        <f t="shared" si="29"/>
        <v>1923.3823755163939</v>
      </c>
      <c r="Q329" s="564">
        <f t="shared" si="29"/>
        <v>1694.7245165381059</v>
      </c>
      <c r="R329" s="564">
        <f t="shared" si="29"/>
        <v>1678.9822291381015</v>
      </c>
      <c r="S329" s="564">
        <f t="shared" si="29"/>
        <v>1501.8498182898065</v>
      </c>
      <c r="T329" s="564">
        <f t="shared" si="29"/>
        <v>1129.8713958864591</v>
      </c>
      <c r="U329" s="564">
        <f t="shared" si="29"/>
        <v>639.55753898909006</v>
      </c>
      <c r="V329" s="564">
        <f t="shared" si="29"/>
        <v>503.52525486292848</v>
      </c>
      <c r="W329" s="564">
        <f t="shared" si="29"/>
        <v>503.52525486292848</v>
      </c>
      <c r="X329" s="564">
        <f t="shared" si="29"/>
        <v>497.36134116922335</v>
      </c>
      <c r="Y329" s="564">
        <f t="shared" si="29"/>
        <v>497.36134116922335</v>
      </c>
      <c r="Z329" s="564">
        <f t="shared" si="29"/>
        <v>497.36134116922335</v>
      </c>
      <c r="AA329" s="564">
        <f t="shared" si="29"/>
        <v>478.79849252215809</v>
      </c>
      <c r="AB329" s="564">
        <f t="shared" si="29"/>
        <v>454.47463954852526</v>
      </c>
      <c r="AC329" s="564">
        <f t="shared" si="29"/>
        <v>454.47463954852526</v>
      </c>
      <c r="AD329" s="564">
        <f t="shared" si="29"/>
        <v>447.50206461674736</v>
      </c>
      <c r="AE329" s="564">
        <f t="shared" si="29"/>
        <v>280.55414236586739</v>
      </c>
      <c r="AF329" s="564">
        <f t="shared" si="29"/>
        <v>0</v>
      </c>
      <c r="AG329" s="564">
        <f t="shared" si="29"/>
        <v>0</v>
      </c>
      <c r="AH329" s="564">
        <f t="shared" si="29"/>
        <v>0</v>
      </c>
      <c r="AI329" s="564">
        <f t="shared" si="29"/>
        <v>0</v>
      </c>
      <c r="AJ329" s="564">
        <f t="shared" si="29"/>
        <v>0</v>
      </c>
      <c r="AK329" s="564">
        <f t="shared" si="29"/>
        <v>0</v>
      </c>
      <c r="AL329" s="564">
        <f t="shared" si="29"/>
        <v>0</v>
      </c>
      <c r="AM329" s="564">
        <f t="shared" si="29"/>
        <v>0</v>
      </c>
      <c r="AN329" s="564">
        <f t="shared" si="29"/>
        <v>0</v>
      </c>
      <c r="AO329" s="564">
        <f t="shared" si="29"/>
        <v>0</v>
      </c>
      <c r="AP329" s="564">
        <f t="shared" si="29"/>
        <v>0</v>
      </c>
      <c r="AQ329" s="564">
        <f t="shared" si="29"/>
        <v>0</v>
      </c>
      <c r="AR329" s="564">
        <f t="shared" si="29"/>
        <v>0</v>
      </c>
      <c r="AS329" s="564">
        <f t="shared" si="29"/>
        <v>0</v>
      </c>
      <c r="AT329" s="564">
        <f t="shared" si="29"/>
        <v>0</v>
      </c>
      <c r="AU329" s="564">
        <f t="shared" si="29"/>
        <v>0</v>
      </c>
      <c r="AV329" s="564">
        <f t="shared" si="29"/>
        <v>0</v>
      </c>
      <c r="AW329" s="564">
        <f t="shared" si="29"/>
        <v>0</v>
      </c>
      <c r="AX329" s="564">
        <f t="shared" si="29"/>
        <v>0</v>
      </c>
      <c r="AY329" s="564">
        <f t="shared" si="29"/>
        <v>0</v>
      </c>
      <c r="AZ329" s="564">
        <f t="shared" si="29"/>
        <v>0</v>
      </c>
    </row>
    <row r="330" spans="1:52" s="470" customFormat="1" ht="4.5" customHeight="1">
      <c r="A330" s="478"/>
      <c r="B330" s="478"/>
      <c r="C330" s="478"/>
      <c r="D330" s="478"/>
      <c r="E330" s="478"/>
      <c r="F330" s="478"/>
      <c r="G330" s="468"/>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5"/>
      <c r="AL330" s="565"/>
      <c r="AM330" s="565"/>
      <c r="AN330" s="565"/>
      <c r="AO330" s="565"/>
      <c r="AP330" s="565"/>
      <c r="AQ330" s="565"/>
      <c r="AR330" s="565"/>
      <c r="AS330" s="565"/>
      <c r="AT330" s="565"/>
      <c r="AU330" s="565"/>
      <c r="AV330" s="565"/>
      <c r="AW330" s="565"/>
      <c r="AX330" s="565"/>
      <c r="AY330" s="565"/>
      <c r="AZ330" s="565"/>
    </row>
    <row r="331" spans="1:52" s="470" customFormat="1">
      <c r="A331" s="530" t="s">
        <v>515</v>
      </c>
      <c r="B331" s="536"/>
      <c r="C331" s="536"/>
      <c r="D331" s="536"/>
      <c r="E331" s="536"/>
      <c r="F331" s="537"/>
      <c r="G331" s="468"/>
      <c r="H331" s="564">
        <f>SUM(H255:H319)</f>
        <v>2095.3900987581637</v>
      </c>
      <c r="I331" s="564">
        <f t="shared" ref="I331:AZ331" si="30">SUM(I255:I319)</f>
        <v>6533.1578073750006</v>
      </c>
      <c r="J331" s="564">
        <f t="shared" si="30"/>
        <v>9214.1775959701154</v>
      </c>
      <c r="K331" s="564">
        <f t="shared" si="30"/>
        <v>12270.82077534597</v>
      </c>
      <c r="L331" s="564">
        <f t="shared" si="30"/>
        <v>12854.634644576998</v>
      </c>
      <c r="M331" s="564">
        <f t="shared" si="30"/>
        <v>11893.860814982327</v>
      </c>
      <c r="N331" s="564">
        <f t="shared" si="30"/>
        <v>11540.163769394047</v>
      </c>
      <c r="O331" s="564">
        <f t="shared" si="30"/>
        <v>11476.723336428842</v>
      </c>
      <c r="P331" s="564">
        <f t="shared" si="30"/>
        <v>11019.019701734447</v>
      </c>
      <c r="Q331" s="564">
        <f t="shared" si="30"/>
        <v>9456.1749458931572</v>
      </c>
      <c r="R331" s="564">
        <f t="shared" si="30"/>
        <v>8606.4967677994646</v>
      </c>
      <c r="S331" s="564">
        <f t="shared" si="30"/>
        <v>7651.1459514204726</v>
      </c>
      <c r="T331" s="564">
        <f t="shared" si="30"/>
        <v>6768.9974600999485</v>
      </c>
      <c r="U331" s="564">
        <f t="shared" si="30"/>
        <v>6059.0146421823665</v>
      </c>
      <c r="V331" s="564">
        <f t="shared" si="30"/>
        <v>5352.1011011534065</v>
      </c>
      <c r="W331" s="564">
        <f t="shared" si="30"/>
        <v>5020.2318498452578</v>
      </c>
      <c r="X331" s="564">
        <f t="shared" si="30"/>
        <v>4827.2931603680508</v>
      </c>
      <c r="Y331" s="564">
        <f t="shared" si="30"/>
        <v>4674.9701594162752</v>
      </c>
      <c r="Z331" s="564">
        <f t="shared" si="30"/>
        <v>1534.5553260051188</v>
      </c>
      <c r="AA331" s="564">
        <f t="shared" si="30"/>
        <v>1452.8513391758449</v>
      </c>
      <c r="AB331" s="564">
        <f t="shared" si="30"/>
        <v>1058.1026450724337</v>
      </c>
      <c r="AC331" s="564">
        <f t="shared" si="30"/>
        <v>994.17194518082806</v>
      </c>
      <c r="AD331" s="564">
        <f t="shared" si="30"/>
        <v>641.36902958149176</v>
      </c>
      <c r="AE331" s="564">
        <f t="shared" si="30"/>
        <v>353.49052418030948</v>
      </c>
      <c r="AF331" s="564">
        <f t="shared" si="30"/>
        <v>72.9363818144421</v>
      </c>
      <c r="AG331" s="564">
        <f t="shared" si="30"/>
        <v>11.834705580732592</v>
      </c>
      <c r="AH331" s="564">
        <f t="shared" si="30"/>
        <v>11.834705580732592</v>
      </c>
      <c r="AI331" s="564">
        <f t="shared" si="30"/>
        <v>11.834705580732592</v>
      </c>
      <c r="AJ331" s="564">
        <f t="shared" si="30"/>
        <v>11.834705580732592</v>
      </c>
      <c r="AK331" s="564">
        <f t="shared" si="30"/>
        <v>11.834705580732592</v>
      </c>
      <c r="AL331" s="564">
        <f t="shared" si="30"/>
        <v>0</v>
      </c>
      <c r="AM331" s="564">
        <f t="shared" si="30"/>
        <v>0</v>
      </c>
      <c r="AN331" s="564">
        <f t="shared" si="30"/>
        <v>0</v>
      </c>
      <c r="AO331" s="564">
        <f t="shared" si="30"/>
        <v>0</v>
      </c>
      <c r="AP331" s="564">
        <f t="shared" si="30"/>
        <v>0</v>
      </c>
      <c r="AQ331" s="564">
        <f t="shared" si="30"/>
        <v>0</v>
      </c>
      <c r="AR331" s="564">
        <f t="shared" si="30"/>
        <v>0</v>
      </c>
      <c r="AS331" s="564">
        <f t="shared" si="30"/>
        <v>0</v>
      </c>
      <c r="AT331" s="564">
        <f t="shared" si="30"/>
        <v>0</v>
      </c>
      <c r="AU331" s="564">
        <f t="shared" si="30"/>
        <v>0</v>
      </c>
      <c r="AV331" s="564">
        <f t="shared" si="30"/>
        <v>0</v>
      </c>
      <c r="AW331" s="564">
        <f t="shared" si="30"/>
        <v>0</v>
      </c>
      <c r="AX331" s="564">
        <f t="shared" si="30"/>
        <v>0</v>
      </c>
      <c r="AY331" s="564">
        <f t="shared" si="30"/>
        <v>0</v>
      </c>
      <c r="AZ331" s="564">
        <f t="shared" si="30"/>
        <v>0</v>
      </c>
    </row>
    <row r="332" spans="1:52" s="538" customFormat="1">
      <c r="G332" s="539"/>
      <c r="H332" s="540">
        <v>34</v>
      </c>
      <c r="I332" s="540">
        <f>H332+1</f>
        <v>35</v>
      </c>
      <c r="J332" s="540">
        <f t="shared" ref="J332:AZ332" si="31">I332+1</f>
        <v>36</v>
      </c>
      <c r="K332" s="540">
        <f t="shared" si="31"/>
        <v>37</v>
      </c>
      <c r="L332" s="540">
        <f t="shared" si="31"/>
        <v>38</v>
      </c>
      <c r="M332" s="540">
        <f t="shared" si="31"/>
        <v>39</v>
      </c>
      <c r="N332" s="540">
        <f t="shared" si="31"/>
        <v>40</v>
      </c>
      <c r="O332" s="540">
        <f t="shared" si="31"/>
        <v>41</v>
      </c>
      <c r="P332" s="540">
        <f t="shared" si="31"/>
        <v>42</v>
      </c>
      <c r="Q332" s="540">
        <f t="shared" si="31"/>
        <v>43</v>
      </c>
      <c r="R332" s="540">
        <f t="shared" si="31"/>
        <v>44</v>
      </c>
      <c r="S332" s="540">
        <f t="shared" si="31"/>
        <v>45</v>
      </c>
      <c r="T332" s="540">
        <f t="shared" si="31"/>
        <v>46</v>
      </c>
      <c r="U332" s="540">
        <f t="shared" si="31"/>
        <v>47</v>
      </c>
      <c r="V332" s="540">
        <f t="shared" si="31"/>
        <v>48</v>
      </c>
      <c r="W332" s="540">
        <f t="shared" si="31"/>
        <v>49</v>
      </c>
      <c r="X332" s="540">
        <f t="shared" si="31"/>
        <v>50</v>
      </c>
      <c r="Y332" s="540">
        <f t="shared" si="31"/>
        <v>51</v>
      </c>
      <c r="Z332" s="540">
        <f t="shared" si="31"/>
        <v>52</v>
      </c>
      <c r="AA332" s="540">
        <f t="shared" si="31"/>
        <v>53</v>
      </c>
      <c r="AB332" s="540">
        <f t="shared" si="31"/>
        <v>54</v>
      </c>
      <c r="AC332" s="540">
        <f t="shared" si="31"/>
        <v>55</v>
      </c>
      <c r="AD332" s="540">
        <f t="shared" si="31"/>
        <v>56</v>
      </c>
      <c r="AE332" s="540">
        <f t="shared" si="31"/>
        <v>57</v>
      </c>
      <c r="AF332" s="540">
        <f t="shared" si="31"/>
        <v>58</v>
      </c>
      <c r="AG332" s="540">
        <f t="shared" si="31"/>
        <v>59</v>
      </c>
      <c r="AH332" s="540">
        <f t="shared" si="31"/>
        <v>60</v>
      </c>
      <c r="AI332" s="540">
        <f t="shared" si="31"/>
        <v>61</v>
      </c>
      <c r="AJ332" s="540">
        <f t="shared" si="31"/>
        <v>62</v>
      </c>
      <c r="AK332" s="540">
        <f t="shared" si="31"/>
        <v>63</v>
      </c>
      <c r="AL332" s="540">
        <f t="shared" si="31"/>
        <v>64</v>
      </c>
      <c r="AM332" s="540">
        <f t="shared" si="31"/>
        <v>65</v>
      </c>
      <c r="AN332" s="540">
        <f t="shared" si="31"/>
        <v>66</v>
      </c>
      <c r="AO332" s="540">
        <f t="shared" si="31"/>
        <v>67</v>
      </c>
      <c r="AP332" s="540">
        <f t="shared" si="31"/>
        <v>68</v>
      </c>
      <c r="AQ332" s="540">
        <f t="shared" si="31"/>
        <v>69</v>
      </c>
      <c r="AR332" s="540">
        <f t="shared" si="31"/>
        <v>70</v>
      </c>
      <c r="AS332" s="540">
        <f t="shared" si="31"/>
        <v>71</v>
      </c>
      <c r="AT332" s="540">
        <f t="shared" si="31"/>
        <v>72</v>
      </c>
      <c r="AU332" s="540">
        <f t="shared" si="31"/>
        <v>73</v>
      </c>
      <c r="AV332" s="540">
        <f t="shared" si="31"/>
        <v>74</v>
      </c>
      <c r="AW332" s="540">
        <f t="shared" si="31"/>
        <v>75</v>
      </c>
      <c r="AX332" s="540">
        <f t="shared" si="31"/>
        <v>76</v>
      </c>
      <c r="AY332" s="540">
        <f t="shared" si="31"/>
        <v>77</v>
      </c>
      <c r="AZ332" s="540">
        <f t="shared" si="31"/>
        <v>78</v>
      </c>
    </row>
  </sheetData>
  <pageMargins left="0.5" right="0.5" top="0.5" bottom="0.5" header="0.35" footer="0.35"/>
  <pageSetup paperSize="17" scale="47" fitToHeight="4" orientation="landscape" r:id="rId1"/>
  <headerFooter alignWithMargins="0">
    <oddFooter>&amp;L&amp;D &amp;T&amp;RPage &amp;P of &amp;N</oddFooter>
  </headerFooter>
  <rowBreaks count="3" manualBreakCount="3">
    <brk id="87" max="59" man="1"/>
    <brk id="169" max="59" man="1"/>
    <brk id="251" max="59" man="1"/>
  </rowBreaks>
  <colBreaks count="1" manualBreakCount="1">
    <brk id="37" max="258"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38"/>
  <sheetViews>
    <sheetView topLeftCell="C94" zoomScaleNormal="100" workbookViewId="0">
      <selection activeCell="I125" sqref="I125"/>
    </sheetView>
  </sheetViews>
  <sheetFormatPr defaultRowHeight="15"/>
  <cols>
    <col min="1" max="1" width="25.28515625" bestFit="1" customWidth="1"/>
    <col min="2" max="2" width="56.28515625" bestFit="1" customWidth="1"/>
    <col min="3" max="3" width="69.140625" bestFit="1" customWidth="1"/>
    <col min="4" max="4" width="28.42578125" bestFit="1" customWidth="1"/>
    <col min="5" max="5" width="8.140625" bestFit="1" customWidth="1"/>
    <col min="6" max="6" width="10.7109375" bestFit="1" customWidth="1"/>
    <col min="7" max="7" width="29.140625" bestFit="1" customWidth="1"/>
    <col min="8" max="11" width="13.140625" bestFit="1" customWidth="1"/>
    <col min="12" max="12" width="12.85546875" bestFit="1" customWidth="1"/>
    <col min="13" max="16" width="7.140625" bestFit="1" customWidth="1"/>
    <col min="17" max="41" width="12.85546875" bestFit="1" customWidth="1"/>
    <col min="42" max="42" width="6.42578125" bestFit="1" customWidth="1"/>
  </cols>
  <sheetData>
    <row r="1" spans="1:42" ht="78.75">
      <c r="A1" s="3" t="s">
        <v>28</v>
      </c>
      <c r="B1" s="3" t="s">
        <v>29</v>
      </c>
      <c r="C1" s="3" t="s">
        <v>30</v>
      </c>
      <c r="D1" s="2" t="s">
        <v>0</v>
      </c>
      <c r="E1" s="2" t="s">
        <v>32</v>
      </c>
      <c r="F1" s="1" t="s">
        <v>33</v>
      </c>
      <c r="G1" s="1" t="s">
        <v>56</v>
      </c>
      <c r="H1" s="1">
        <v>2006</v>
      </c>
      <c r="I1" s="1">
        <v>2007</v>
      </c>
      <c r="J1" s="1">
        <v>2008</v>
      </c>
      <c r="K1" s="1">
        <v>2009</v>
      </c>
      <c r="L1" s="1">
        <v>2010</v>
      </c>
      <c r="M1" s="1">
        <v>2011</v>
      </c>
      <c r="N1" s="1">
        <v>2012</v>
      </c>
      <c r="O1" s="1">
        <v>2013</v>
      </c>
      <c r="P1" s="1">
        <v>2014</v>
      </c>
      <c r="Q1" s="1">
        <v>2015</v>
      </c>
      <c r="R1" s="1">
        <v>2016</v>
      </c>
      <c r="S1" s="1">
        <v>2017</v>
      </c>
      <c r="T1" s="1">
        <v>2018</v>
      </c>
      <c r="U1" s="1">
        <v>2019</v>
      </c>
      <c r="V1" s="1">
        <v>2020</v>
      </c>
      <c r="W1" s="1">
        <v>2021</v>
      </c>
      <c r="X1" s="1">
        <v>2022</v>
      </c>
      <c r="Y1" s="1">
        <v>2023</v>
      </c>
      <c r="Z1" s="1">
        <v>2024</v>
      </c>
      <c r="AA1" s="1">
        <v>2025</v>
      </c>
      <c r="AB1" s="1">
        <v>2026</v>
      </c>
      <c r="AC1" s="1">
        <v>2027</v>
      </c>
      <c r="AD1" s="1">
        <v>2028</v>
      </c>
      <c r="AE1" s="1">
        <v>2029</v>
      </c>
      <c r="AF1" s="1">
        <v>2030</v>
      </c>
      <c r="AG1" s="1">
        <v>2031</v>
      </c>
      <c r="AH1" s="1">
        <v>2032</v>
      </c>
      <c r="AI1" s="1">
        <v>2033</v>
      </c>
      <c r="AJ1" s="1">
        <v>2034</v>
      </c>
      <c r="AK1" s="1">
        <v>2035</v>
      </c>
      <c r="AL1" s="1">
        <v>2036</v>
      </c>
      <c r="AM1" s="1">
        <v>2037</v>
      </c>
      <c r="AN1" s="1">
        <v>2038</v>
      </c>
      <c r="AO1" s="1">
        <v>2039</v>
      </c>
      <c r="AP1" s="1">
        <v>2040</v>
      </c>
    </row>
    <row r="2" spans="1:42" ht="15.75">
      <c r="A2" s="31">
        <v>1</v>
      </c>
      <c r="B2" s="31" t="s">
        <v>15</v>
      </c>
      <c r="C2" s="31" t="s">
        <v>520</v>
      </c>
      <c r="D2" s="31" t="s">
        <v>3</v>
      </c>
      <c r="E2" s="31" t="s">
        <v>544</v>
      </c>
      <c r="F2" s="31">
        <v>2006</v>
      </c>
      <c r="G2" s="33" t="s">
        <v>17</v>
      </c>
      <c r="H2" s="33">
        <v>6.2983662956848426E-3</v>
      </c>
      <c r="I2" s="33">
        <v>6.2983662956848426E-3</v>
      </c>
      <c r="J2" s="33">
        <v>6.2983662956848426E-3</v>
      </c>
      <c r="K2" s="33">
        <v>6.2983662956848426E-3</v>
      </c>
      <c r="L2" s="33">
        <v>6.2983662956848426E-3</v>
      </c>
      <c r="M2" s="33">
        <v>6.2983662956848426E-3</v>
      </c>
      <c r="N2" s="33">
        <v>0</v>
      </c>
      <c r="O2" s="33">
        <v>0</v>
      </c>
      <c r="P2" s="33">
        <v>0</v>
      </c>
      <c r="Q2" s="33">
        <v>0</v>
      </c>
      <c r="R2" s="33">
        <v>0</v>
      </c>
      <c r="S2" s="33">
        <v>0</v>
      </c>
      <c r="T2" s="33">
        <v>0</v>
      </c>
      <c r="U2" s="33">
        <v>0</v>
      </c>
      <c r="V2" s="33">
        <v>0</v>
      </c>
      <c r="W2" s="33">
        <v>0</v>
      </c>
      <c r="X2" s="33">
        <v>0</v>
      </c>
      <c r="Y2" s="33">
        <v>0</v>
      </c>
      <c r="Z2" s="33">
        <v>0</v>
      </c>
      <c r="AA2" s="33">
        <v>0</v>
      </c>
      <c r="AB2" s="33">
        <v>0</v>
      </c>
      <c r="AC2" s="33">
        <v>0</v>
      </c>
      <c r="AD2" s="33">
        <v>0</v>
      </c>
      <c r="AE2" s="33">
        <v>0</v>
      </c>
      <c r="AF2" s="33"/>
      <c r="AG2" s="33"/>
      <c r="AH2" s="33"/>
      <c r="AI2" s="33"/>
      <c r="AJ2" s="33"/>
      <c r="AK2" s="33"/>
      <c r="AL2" s="33"/>
      <c r="AM2" s="33"/>
      <c r="AN2" s="33"/>
      <c r="AO2" s="33"/>
      <c r="AP2" s="33"/>
    </row>
    <row r="3" spans="1:42" ht="15.75">
      <c r="A3" s="31">
        <v>2</v>
      </c>
      <c r="B3" s="31" t="s">
        <v>15</v>
      </c>
      <c r="C3" s="31" t="s">
        <v>521</v>
      </c>
      <c r="D3" s="31" t="s">
        <v>3</v>
      </c>
      <c r="E3" s="31" t="s">
        <v>544</v>
      </c>
      <c r="F3" s="31">
        <v>2006</v>
      </c>
      <c r="G3" s="33" t="s">
        <v>17</v>
      </c>
      <c r="H3" s="33">
        <v>6.3571070086416395E-2</v>
      </c>
      <c r="I3" s="33">
        <v>6.3571070086416395E-2</v>
      </c>
      <c r="J3" s="33">
        <v>6.3571070086416395E-2</v>
      </c>
      <c r="K3" s="33">
        <v>6.3571070086416395E-2</v>
      </c>
      <c r="L3" s="33">
        <v>6.3571070086416395E-2</v>
      </c>
      <c r="M3" s="33">
        <v>6.3571070086416395E-2</v>
      </c>
      <c r="N3" s="33">
        <v>6.3571070086416395E-2</v>
      </c>
      <c r="O3" s="33">
        <v>6.3571070086416395E-2</v>
      </c>
      <c r="P3" s="33">
        <v>4.514648252402656E-2</v>
      </c>
      <c r="Q3" s="33">
        <v>4.514648252402656E-2</v>
      </c>
      <c r="R3" s="33">
        <v>4.514648252402656E-2</v>
      </c>
      <c r="S3" s="33">
        <v>4.514648252402656E-2</v>
      </c>
      <c r="T3" s="33">
        <v>4.514648252402656E-2</v>
      </c>
      <c r="U3" s="33">
        <v>4.514648252402656E-2</v>
      </c>
      <c r="V3" s="33">
        <v>1.9486147231609231E-2</v>
      </c>
      <c r="W3" s="33">
        <v>1.0285373397780484E-2</v>
      </c>
      <c r="X3" s="33">
        <v>1.0285373397780484E-2</v>
      </c>
      <c r="Y3" s="33">
        <v>1.0285373397780484E-2</v>
      </c>
      <c r="Z3" s="33">
        <v>0</v>
      </c>
      <c r="AA3" s="33">
        <v>0</v>
      </c>
      <c r="AB3" s="33">
        <v>0</v>
      </c>
      <c r="AC3" s="33">
        <v>0</v>
      </c>
      <c r="AD3" s="33">
        <v>0</v>
      </c>
      <c r="AE3" s="33">
        <v>0</v>
      </c>
      <c r="AF3" s="33"/>
      <c r="AG3" s="33"/>
      <c r="AH3" s="33"/>
      <c r="AI3" s="33"/>
      <c r="AJ3" s="33"/>
      <c r="AK3" s="33"/>
      <c r="AL3" s="33"/>
      <c r="AM3" s="33"/>
      <c r="AN3" s="33"/>
      <c r="AO3" s="33"/>
      <c r="AP3" s="33"/>
    </row>
    <row r="4" spans="1:42" ht="15.75">
      <c r="A4" s="31">
        <v>3</v>
      </c>
      <c r="B4" s="31" t="s">
        <v>15</v>
      </c>
      <c r="C4" s="31" t="s">
        <v>522</v>
      </c>
      <c r="D4" s="31" t="s">
        <v>3</v>
      </c>
      <c r="E4" s="31" t="s">
        <v>544</v>
      </c>
      <c r="F4" s="31">
        <v>2006</v>
      </c>
      <c r="G4" s="33" t="s">
        <v>17</v>
      </c>
      <c r="H4" s="33">
        <v>2.0991743803273958E-2</v>
      </c>
      <c r="I4" s="33">
        <v>2.0991743803273958E-2</v>
      </c>
      <c r="J4" s="33">
        <v>2.0991743803273958E-2</v>
      </c>
      <c r="K4" s="33">
        <v>2.0991743803273958E-2</v>
      </c>
      <c r="L4" s="33">
        <v>2.0991743803273958E-2</v>
      </c>
      <c r="M4" s="33">
        <v>2.0991743803273958E-2</v>
      </c>
      <c r="N4" s="33">
        <v>2.0991743803273958E-2</v>
      </c>
      <c r="O4" s="33">
        <v>2.0991743803273958E-2</v>
      </c>
      <c r="P4" s="33">
        <v>2.0991743803273958E-2</v>
      </c>
      <c r="Q4" s="33">
        <v>2.0991743803273958E-2</v>
      </c>
      <c r="R4" s="33">
        <v>2.0991743803273958E-2</v>
      </c>
      <c r="S4" s="33">
        <v>2.0991743803273958E-2</v>
      </c>
      <c r="T4" s="33">
        <v>2.0991743803273958E-2</v>
      </c>
      <c r="U4" s="33">
        <v>2.0991743803273958E-2</v>
      </c>
      <c r="V4" s="33">
        <v>2.0991743803273958E-2</v>
      </c>
      <c r="W4" s="33">
        <v>1.7344569381220296E-2</v>
      </c>
      <c r="X4" s="33">
        <v>1.7344569381220296E-2</v>
      </c>
      <c r="Y4" s="33">
        <v>1.7344569381220296E-2</v>
      </c>
      <c r="Z4" s="33">
        <v>7.7685709105042593E-4</v>
      </c>
      <c r="AA4" s="33">
        <v>7.7685709105042593E-4</v>
      </c>
      <c r="AB4" s="33">
        <v>0</v>
      </c>
      <c r="AC4" s="33">
        <v>0</v>
      </c>
      <c r="AD4" s="33">
        <v>0</v>
      </c>
      <c r="AE4" s="33">
        <v>0</v>
      </c>
      <c r="AF4" s="33"/>
      <c r="AG4" s="33"/>
      <c r="AH4" s="33"/>
      <c r="AI4" s="33"/>
      <c r="AJ4" s="33"/>
      <c r="AK4" s="33"/>
      <c r="AL4" s="33"/>
      <c r="AM4" s="33"/>
      <c r="AN4" s="33"/>
      <c r="AO4" s="33"/>
      <c r="AP4" s="33"/>
    </row>
    <row r="5" spans="1:42" ht="15.75">
      <c r="A5" s="31">
        <v>4</v>
      </c>
      <c r="B5" s="31" t="s">
        <v>62</v>
      </c>
      <c r="C5" s="31" t="s">
        <v>523</v>
      </c>
      <c r="D5" s="31" t="s">
        <v>3</v>
      </c>
      <c r="E5" s="31" t="s">
        <v>544</v>
      </c>
      <c r="F5" s="31">
        <v>2006</v>
      </c>
      <c r="G5" s="33" t="s">
        <v>71</v>
      </c>
      <c r="H5" s="33">
        <v>1.8056307353830989</v>
      </c>
      <c r="I5" s="33">
        <v>0</v>
      </c>
      <c r="J5" s="33">
        <v>0</v>
      </c>
      <c r="K5" s="33">
        <v>0</v>
      </c>
      <c r="L5" s="33">
        <v>0</v>
      </c>
      <c r="M5" s="33">
        <v>0</v>
      </c>
      <c r="N5" s="33">
        <v>0</v>
      </c>
      <c r="O5" s="33">
        <v>0</v>
      </c>
      <c r="P5" s="33">
        <v>0</v>
      </c>
      <c r="Q5" s="33">
        <v>0</v>
      </c>
      <c r="R5" s="33">
        <v>0</v>
      </c>
      <c r="S5" s="33">
        <v>0</v>
      </c>
      <c r="T5" s="33">
        <v>0</v>
      </c>
      <c r="U5" s="33">
        <v>0</v>
      </c>
      <c r="V5" s="33">
        <v>0</v>
      </c>
      <c r="W5" s="33">
        <v>0</v>
      </c>
      <c r="X5" s="33">
        <v>0</v>
      </c>
      <c r="Y5" s="33">
        <v>0</v>
      </c>
      <c r="Z5" s="33">
        <v>0</v>
      </c>
      <c r="AA5" s="33">
        <v>0</v>
      </c>
      <c r="AB5" s="33">
        <v>0</v>
      </c>
      <c r="AC5" s="33">
        <v>0</v>
      </c>
      <c r="AD5" s="33">
        <v>0</v>
      </c>
      <c r="AE5" s="33">
        <v>0</v>
      </c>
      <c r="AF5" s="33"/>
      <c r="AG5" s="33"/>
      <c r="AH5" s="33"/>
      <c r="AI5" s="33"/>
      <c r="AJ5" s="33"/>
      <c r="AK5" s="33"/>
      <c r="AL5" s="33"/>
      <c r="AM5" s="33"/>
      <c r="AN5" s="33"/>
      <c r="AO5" s="33"/>
      <c r="AP5" s="33"/>
    </row>
    <row r="6" spans="1:42" ht="15.75">
      <c r="A6" s="31">
        <v>5</v>
      </c>
      <c r="B6" s="31" t="s">
        <v>62</v>
      </c>
      <c r="C6" s="31" t="s">
        <v>63</v>
      </c>
      <c r="D6" s="31" t="s">
        <v>3</v>
      </c>
      <c r="E6" s="31" t="s">
        <v>544</v>
      </c>
      <c r="F6" s="31">
        <v>2006</v>
      </c>
      <c r="G6" s="33" t="s">
        <v>71</v>
      </c>
      <c r="H6" s="33">
        <v>8.837801039149204E-2</v>
      </c>
      <c r="I6" s="33">
        <v>0</v>
      </c>
      <c r="J6" s="33">
        <v>0</v>
      </c>
      <c r="K6" s="33">
        <v>0</v>
      </c>
      <c r="L6" s="33">
        <v>0</v>
      </c>
      <c r="M6" s="33">
        <v>0</v>
      </c>
      <c r="N6" s="33">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c r="AF6" s="33"/>
      <c r="AG6" s="33"/>
      <c r="AH6" s="33"/>
      <c r="AI6" s="33"/>
      <c r="AJ6" s="33"/>
      <c r="AK6" s="33"/>
      <c r="AL6" s="33"/>
      <c r="AM6" s="33"/>
      <c r="AN6" s="33"/>
      <c r="AO6" s="33"/>
      <c r="AP6" s="33"/>
    </row>
    <row r="7" spans="1:42" ht="15.75">
      <c r="A7" s="31">
        <v>6</v>
      </c>
      <c r="B7" s="31" t="s">
        <v>15</v>
      </c>
      <c r="C7" s="31" t="s">
        <v>524</v>
      </c>
      <c r="D7" s="31" t="s">
        <v>3</v>
      </c>
      <c r="E7" s="31" t="s">
        <v>544</v>
      </c>
      <c r="F7" s="31">
        <v>2007</v>
      </c>
      <c r="G7" s="33" t="s">
        <v>17</v>
      </c>
      <c r="H7" s="33">
        <v>0</v>
      </c>
      <c r="I7" s="33">
        <v>7.6386844005982358E-3</v>
      </c>
      <c r="J7" s="33">
        <v>7.6386844005982358E-3</v>
      </c>
      <c r="K7" s="33">
        <v>7.6386844005982358E-3</v>
      </c>
      <c r="L7" s="33">
        <v>7.6386844005982358E-3</v>
      </c>
      <c r="M7" s="33">
        <v>6.912571631395646E-3</v>
      </c>
      <c r="N7" s="33">
        <v>6.912571631395646E-3</v>
      </c>
      <c r="O7" s="33">
        <v>6.912571631395646E-3</v>
      </c>
      <c r="P7" s="33">
        <v>6.912571631395646E-3</v>
      </c>
      <c r="Q7" s="33">
        <v>5.454304174645117E-3</v>
      </c>
      <c r="R7" s="33">
        <v>0</v>
      </c>
      <c r="S7" s="33">
        <v>0</v>
      </c>
      <c r="T7" s="33">
        <v>0</v>
      </c>
      <c r="U7" s="33">
        <v>0</v>
      </c>
      <c r="V7" s="33">
        <v>0</v>
      </c>
      <c r="W7" s="33">
        <v>0</v>
      </c>
      <c r="X7" s="33">
        <v>0</v>
      </c>
      <c r="Y7" s="33">
        <v>0</v>
      </c>
      <c r="Z7" s="33">
        <v>0</v>
      </c>
      <c r="AA7" s="33">
        <v>0</v>
      </c>
      <c r="AB7" s="33">
        <v>0</v>
      </c>
      <c r="AC7" s="33">
        <v>0</v>
      </c>
      <c r="AD7" s="33">
        <v>0</v>
      </c>
      <c r="AE7" s="33">
        <v>0</v>
      </c>
      <c r="AF7" s="33"/>
      <c r="AG7" s="33"/>
      <c r="AH7" s="33"/>
      <c r="AI7" s="33"/>
      <c r="AJ7" s="33"/>
      <c r="AK7" s="33"/>
      <c r="AL7" s="33"/>
      <c r="AM7" s="33"/>
      <c r="AN7" s="33"/>
      <c r="AO7" s="33"/>
      <c r="AP7" s="33"/>
    </row>
    <row r="8" spans="1:42" ht="15.75">
      <c r="A8" s="31">
        <v>7</v>
      </c>
      <c r="B8" s="31" t="s">
        <v>15</v>
      </c>
      <c r="C8" s="31" t="s">
        <v>521</v>
      </c>
      <c r="D8" s="31" t="s">
        <v>3</v>
      </c>
      <c r="E8" s="31" t="s">
        <v>544</v>
      </c>
      <c r="F8" s="31">
        <v>2007</v>
      </c>
      <c r="G8" s="33" t="s">
        <v>17</v>
      </c>
      <c r="H8" s="33">
        <v>0</v>
      </c>
      <c r="I8" s="33">
        <v>7.8646473081810886E-2</v>
      </c>
      <c r="J8" s="33">
        <v>7.8646473081810886E-2</v>
      </c>
      <c r="K8" s="33">
        <v>7.8646473081810886E-2</v>
      </c>
      <c r="L8" s="33">
        <v>7.8646473081810886E-2</v>
      </c>
      <c r="M8" s="33">
        <v>7.8646473081810886E-2</v>
      </c>
      <c r="N8" s="33">
        <v>7.253551237082799E-2</v>
      </c>
      <c r="O8" s="33">
        <v>7.253551237082799E-2</v>
      </c>
      <c r="P8" s="33">
        <v>7.253551237082799E-2</v>
      </c>
      <c r="Q8" s="33">
        <v>7.253551237082799E-2</v>
      </c>
      <c r="R8" s="33">
        <v>7.253551237082799E-2</v>
      </c>
      <c r="S8" s="33">
        <v>7.253551237082799E-2</v>
      </c>
      <c r="T8" s="33">
        <v>7.253551237082799E-2</v>
      </c>
      <c r="U8" s="33">
        <v>7.253551237082799E-2</v>
      </c>
      <c r="V8" s="33">
        <v>7.253551237082799E-2</v>
      </c>
      <c r="W8" s="33">
        <v>7.253551237082799E-2</v>
      </c>
      <c r="X8" s="33">
        <v>1.3464568800130318E-2</v>
      </c>
      <c r="Y8" s="33">
        <v>1.3464568800130318E-2</v>
      </c>
      <c r="Z8" s="33">
        <v>1.3464568800130318E-2</v>
      </c>
      <c r="AA8" s="33">
        <v>0</v>
      </c>
      <c r="AB8" s="33">
        <v>0</v>
      </c>
      <c r="AC8" s="33">
        <v>0</v>
      </c>
      <c r="AD8" s="33">
        <v>0</v>
      </c>
      <c r="AE8" s="33">
        <v>0</v>
      </c>
      <c r="AF8" s="33"/>
      <c r="AG8" s="33"/>
      <c r="AH8" s="33"/>
      <c r="AI8" s="33"/>
      <c r="AJ8" s="33"/>
      <c r="AK8" s="33"/>
      <c r="AL8" s="33"/>
      <c r="AM8" s="33"/>
      <c r="AN8" s="33"/>
      <c r="AO8" s="33"/>
      <c r="AP8" s="33"/>
    </row>
    <row r="9" spans="1:42" ht="15.75">
      <c r="A9" s="31">
        <v>8</v>
      </c>
      <c r="B9" s="31" t="s">
        <v>15</v>
      </c>
      <c r="C9" s="31" t="s">
        <v>522</v>
      </c>
      <c r="D9" s="31" t="s">
        <v>3</v>
      </c>
      <c r="E9" s="31" t="s">
        <v>544</v>
      </c>
      <c r="F9" s="31">
        <v>2007</v>
      </c>
      <c r="G9" s="33" t="s">
        <v>17</v>
      </c>
      <c r="H9" s="33">
        <v>0</v>
      </c>
      <c r="I9" s="33">
        <v>2.7360536093088448E-2</v>
      </c>
      <c r="J9" s="33">
        <v>2.4793259388238696E-2</v>
      </c>
      <c r="K9" s="33">
        <v>2.4793259388238696E-2</v>
      </c>
      <c r="L9" s="33">
        <v>2.4793259388238696E-2</v>
      </c>
      <c r="M9" s="33">
        <v>2.4793259388238696E-2</v>
      </c>
      <c r="N9" s="33">
        <v>2.4793259388238696E-2</v>
      </c>
      <c r="O9" s="33">
        <v>2.4793259388238696E-2</v>
      </c>
      <c r="P9" s="33">
        <v>2.4793259388238696E-2</v>
      </c>
      <c r="Q9" s="33">
        <v>6.0313346606187656E-3</v>
      </c>
      <c r="R9" s="33">
        <v>6.0313346606187656E-3</v>
      </c>
      <c r="S9" s="33">
        <v>2.435997398561046E-4</v>
      </c>
      <c r="T9" s="33">
        <v>2.435997398561046E-4</v>
      </c>
      <c r="U9" s="33">
        <v>2.435997398561046E-4</v>
      </c>
      <c r="V9" s="33">
        <v>2.435997398561046E-4</v>
      </c>
      <c r="W9" s="33">
        <v>2.435997398561046E-4</v>
      </c>
      <c r="X9" s="33">
        <v>2.435997398561046E-4</v>
      </c>
      <c r="Y9" s="33">
        <v>9.0196762173339932E-5</v>
      </c>
      <c r="Z9" s="33">
        <v>9.0196762173339932E-5</v>
      </c>
      <c r="AA9" s="33">
        <v>0</v>
      </c>
      <c r="AB9" s="33">
        <v>0</v>
      </c>
      <c r="AC9" s="33">
        <v>0</v>
      </c>
      <c r="AD9" s="33">
        <v>0</v>
      </c>
      <c r="AE9" s="33">
        <v>0</v>
      </c>
      <c r="AF9" s="33"/>
      <c r="AG9" s="33"/>
      <c r="AH9" s="33"/>
      <c r="AI9" s="33"/>
      <c r="AJ9" s="33"/>
      <c r="AK9" s="33"/>
      <c r="AL9" s="33"/>
      <c r="AM9" s="33"/>
      <c r="AN9" s="33"/>
      <c r="AO9" s="33"/>
      <c r="AP9" s="33"/>
    </row>
    <row r="10" spans="1:42" ht="15.75">
      <c r="A10" s="31">
        <v>9</v>
      </c>
      <c r="B10" s="31" t="s">
        <v>65</v>
      </c>
      <c r="C10" s="31" t="s">
        <v>525</v>
      </c>
      <c r="D10" s="31" t="s">
        <v>3</v>
      </c>
      <c r="E10" s="31" t="s">
        <v>544</v>
      </c>
      <c r="F10" s="31">
        <v>2007</v>
      </c>
      <c r="G10" s="33" t="s">
        <v>58</v>
      </c>
      <c r="H10" s="33">
        <v>0</v>
      </c>
      <c r="I10" s="33">
        <v>0</v>
      </c>
      <c r="J10" s="33">
        <v>0</v>
      </c>
      <c r="K10" s="33">
        <v>0</v>
      </c>
      <c r="L10" s="33">
        <v>0</v>
      </c>
      <c r="M10" s="33">
        <v>0</v>
      </c>
      <c r="N10" s="33">
        <v>0</v>
      </c>
      <c r="O10" s="33">
        <v>0</v>
      </c>
      <c r="P10" s="33">
        <v>0</v>
      </c>
      <c r="Q10" s="33">
        <v>0</v>
      </c>
      <c r="R10" s="33">
        <v>0</v>
      </c>
      <c r="S10" s="33">
        <v>0</v>
      </c>
      <c r="T10" s="33">
        <v>0</v>
      </c>
      <c r="U10" s="33">
        <v>0</v>
      </c>
      <c r="V10" s="33">
        <v>0</v>
      </c>
      <c r="W10" s="33">
        <v>0</v>
      </c>
      <c r="X10" s="33">
        <v>0</v>
      </c>
      <c r="Y10" s="33">
        <v>0</v>
      </c>
      <c r="Z10" s="33">
        <v>0</v>
      </c>
      <c r="AA10" s="33">
        <v>0</v>
      </c>
      <c r="AB10" s="33">
        <v>0</v>
      </c>
      <c r="AC10" s="33">
        <v>0</v>
      </c>
      <c r="AD10" s="33">
        <v>0</v>
      </c>
      <c r="AE10" s="33">
        <v>0</v>
      </c>
      <c r="AF10" s="33"/>
      <c r="AG10" s="33"/>
      <c r="AH10" s="33"/>
      <c r="AI10" s="33"/>
      <c r="AJ10" s="33"/>
      <c r="AK10" s="33"/>
      <c r="AL10" s="33"/>
      <c r="AM10" s="33"/>
      <c r="AN10" s="33"/>
      <c r="AO10" s="33"/>
      <c r="AP10" s="33"/>
    </row>
    <row r="11" spans="1:42" ht="15.75">
      <c r="A11" s="31">
        <v>10</v>
      </c>
      <c r="B11" s="31" t="s">
        <v>15</v>
      </c>
      <c r="C11" s="31" t="s">
        <v>526</v>
      </c>
      <c r="D11" s="31" t="s">
        <v>3</v>
      </c>
      <c r="E11" s="31" t="s">
        <v>544</v>
      </c>
      <c r="F11" s="31">
        <v>2007</v>
      </c>
      <c r="G11" s="33" t="s">
        <v>17</v>
      </c>
      <c r="H11" s="33">
        <v>0</v>
      </c>
      <c r="I11" s="33">
        <v>0.18473848769829265</v>
      </c>
      <c r="J11" s="33">
        <v>5.5093734332415989E-2</v>
      </c>
      <c r="K11" s="33">
        <v>2.6526442324912462E-2</v>
      </c>
      <c r="L11" s="33">
        <v>2.6526442324912462E-2</v>
      </c>
      <c r="M11" s="33">
        <v>2.6526442324912462E-2</v>
      </c>
      <c r="N11" s="33">
        <v>2.6526442324912462E-2</v>
      </c>
      <c r="O11" s="33">
        <v>2.6526442324912462E-2</v>
      </c>
      <c r="P11" s="33">
        <v>2.6526442324912462E-2</v>
      </c>
      <c r="Q11" s="33">
        <v>2.6287774030029652E-2</v>
      </c>
      <c r="R11" s="33">
        <v>2.6287774030029652E-2</v>
      </c>
      <c r="S11" s="33">
        <v>2.6287774030029652E-2</v>
      </c>
      <c r="T11" s="33">
        <v>2.6287774030029652E-2</v>
      </c>
      <c r="U11" s="33">
        <v>2.6287774030029652E-2</v>
      </c>
      <c r="V11" s="33">
        <v>2.6287774030029652E-2</v>
      </c>
      <c r="W11" s="33">
        <v>0</v>
      </c>
      <c r="X11" s="33">
        <v>0</v>
      </c>
      <c r="Y11" s="33">
        <v>0</v>
      </c>
      <c r="Z11" s="33">
        <v>0</v>
      </c>
      <c r="AA11" s="33">
        <v>0</v>
      </c>
      <c r="AB11" s="33">
        <v>0</v>
      </c>
      <c r="AC11" s="33">
        <v>0</v>
      </c>
      <c r="AD11" s="33">
        <v>0</v>
      </c>
      <c r="AE11" s="33">
        <v>0</v>
      </c>
      <c r="AF11" s="33"/>
      <c r="AG11" s="33"/>
      <c r="AH11" s="33"/>
      <c r="AI11" s="33"/>
      <c r="AJ11" s="33"/>
      <c r="AK11" s="33"/>
      <c r="AL11" s="33"/>
      <c r="AM11" s="33"/>
      <c r="AN11" s="33"/>
      <c r="AO11" s="33"/>
      <c r="AP11" s="33"/>
    </row>
    <row r="12" spans="1:42" ht="15.75">
      <c r="A12" s="31">
        <v>11</v>
      </c>
      <c r="B12" s="31" t="s">
        <v>15</v>
      </c>
      <c r="C12" s="31" t="s">
        <v>527</v>
      </c>
      <c r="D12" s="31" t="s">
        <v>3</v>
      </c>
      <c r="E12" s="31" t="s">
        <v>544</v>
      </c>
      <c r="F12" s="31">
        <v>2007</v>
      </c>
      <c r="G12" s="33" t="s">
        <v>58</v>
      </c>
      <c r="H12" s="33">
        <v>0</v>
      </c>
      <c r="I12" s="33">
        <v>0</v>
      </c>
      <c r="J12" s="33">
        <v>0</v>
      </c>
      <c r="K12" s="33">
        <v>0</v>
      </c>
      <c r="L12" s="33">
        <v>0</v>
      </c>
      <c r="M12" s="33">
        <v>0</v>
      </c>
      <c r="N12" s="33">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c r="AF12" s="33"/>
      <c r="AG12" s="33"/>
      <c r="AH12" s="33"/>
      <c r="AI12" s="33"/>
      <c r="AJ12" s="33"/>
      <c r="AK12" s="33"/>
      <c r="AL12" s="33"/>
      <c r="AM12" s="33"/>
      <c r="AN12" s="33"/>
      <c r="AO12" s="33"/>
      <c r="AP12" s="33"/>
    </row>
    <row r="13" spans="1:42" ht="15.75">
      <c r="A13" s="31">
        <v>12</v>
      </c>
      <c r="B13" s="31" t="s">
        <v>66</v>
      </c>
      <c r="C13" s="31" t="s">
        <v>528</v>
      </c>
      <c r="D13" s="31" t="s">
        <v>3</v>
      </c>
      <c r="E13" s="31" t="s">
        <v>544</v>
      </c>
      <c r="F13" s="31">
        <v>2007</v>
      </c>
      <c r="G13" s="33" t="s">
        <v>17</v>
      </c>
      <c r="H13" s="33">
        <v>0</v>
      </c>
      <c r="I13" s="33">
        <v>3.7263824999999996E-3</v>
      </c>
      <c r="J13" s="33">
        <v>3.7263824999999996E-3</v>
      </c>
      <c r="K13" s="33">
        <v>3.7263824999999996E-3</v>
      </c>
      <c r="L13" s="33">
        <v>3.7263824999999996E-3</v>
      </c>
      <c r="M13" s="33">
        <v>3.7263824999999996E-3</v>
      </c>
      <c r="N13" s="33">
        <v>3.7263824999999996E-3</v>
      </c>
      <c r="O13" s="33">
        <v>3.7263824999999996E-3</v>
      </c>
      <c r="P13" s="33">
        <v>3.7263824999999996E-3</v>
      </c>
      <c r="Q13" s="33">
        <v>3.7263824999999996E-3</v>
      </c>
      <c r="R13" s="33">
        <v>3.7263824999999996E-3</v>
      </c>
      <c r="S13" s="33">
        <v>3.7263824999999996E-3</v>
      </c>
      <c r="T13" s="33">
        <v>3.7263824999999996E-3</v>
      </c>
      <c r="U13" s="33">
        <v>3.7263824999999996E-3</v>
      </c>
      <c r="V13" s="33">
        <v>3.7263824999999996E-3</v>
      </c>
      <c r="W13" s="33">
        <v>0</v>
      </c>
      <c r="X13" s="33">
        <v>0</v>
      </c>
      <c r="Y13" s="33">
        <v>0</v>
      </c>
      <c r="Z13" s="33">
        <v>0</v>
      </c>
      <c r="AA13" s="33">
        <v>0</v>
      </c>
      <c r="AB13" s="33">
        <v>0</v>
      </c>
      <c r="AC13" s="33">
        <v>0</v>
      </c>
      <c r="AD13" s="33">
        <v>0</v>
      </c>
      <c r="AE13" s="33">
        <v>0</v>
      </c>
      <c r="AF13" s="33"/>
      <c r="AG13" s="33"/>
      <c r="AH13" s="33"/>
      <c r="AI13" s="33"/>
      <c r="AJ13" s="33"/>
      <c r="AK13" s="33"/>
      <c r="AL13" s="33"/>
      <c r="AM13" s="33"/>
      <c r="AN13" s="33"/>
      <c r="AO13" s="33"/>
      <c r="AP13" s="33"/>
    </row>
    <row r="14" spans="1:42" ht="15.75">
      <c r="A14" s="31">
        <v>13</v>
      </c>
      <c r="B14" s="31" t="s">
        <v>66</v>
      </c>
      <c r="C14" s="31" t="s">
        <v>529</v>
      </c>
      <c r="D14" s="31" t="s">
        <v>3</v>
      </c>
      <c r="E14" s="31" t="s">
        <v>544</v>
      </c>
      <c r="F14" s="31">
        <v>2007</v>
      </c>
      <c r="G14" s="33" t="s">
        <v>17</v>
      </c>
      <c r="H14" s="33">
        <v>0</v>
      </c>
      <c r="I14" s="33">
        <v>7.5553826221084076E-3</v>
      </c>
      <c r="J14" s="33">
        <v>7.5553826221084076E-3</v>
      </c>
      <c r="K14" s="33">
        <v>7.5553826221084076E-3</v>
      </c>
      <c r="L14" s="33">
        <v>7.5553826221084076E-3</v>
      </c>
      <c r="M14" s="33">
        <v>7.5553826221084076E-3</v>
      </c>
      <c r="N14" s="33">
        <v>7.5553826221084076E-3</v>
      </c>
      <c r="O14" s="33">
        <v>7.5553826221084076E-3</v>
      </c>
      <c r="P14" s="33">
        <v>7.5553826221084076E-3</v>
      </c>
      <c r="Q14" s="33">
        <v>7.5553826221084076E-3</v>
      </c>
      <c r="R14" s="33">
        <v>7.5553826221084076E-3</v>
      </c>
      <c r="S14" s="33">
        <v>0</v>
      </c>
      <c r="T14" s="33">
        <v>0</v>
      </c>
      <c r="U14" s="33">
        <v>0</v>
      </c>
      <c r="V14" s="33">
        <v>0</v>
      </c>
      <c r="W14" s="33">
        <v>0</v>
      </c>
      <c r="X14" s="33">
        <v>0</v>
      </c>
      <c r="Y14" s="33">
        <v>0</v>
      </c>
      <c r="Z14" s="33">
        <v>0</v>
      </c>
      <c r="AA14" s="33">
        <v>0</v>
      </c>
      <c r="AB14" s="33">
        <v>0</v>
      </c>
      <c r="AC14" s="33">
        <v>0</v>
      </c>
      <c r="AD14" s="33">
        <v>0</v>
      </c>
      <c r="AE14" s="33">
        <v>0</v>
      </c>
      <c r="AF14" s="33"/>
      <c r="AG14" s="33"/>
      <c r="AH14" s="33"/>
      <c r="AI14" s="33"/>
      <c r="AJ14" s="33"/>
      <c r="AK14" s="33"/>
      <c r="AL14" s="33"/>
      <c r="AM14" s="33"/>
      <c r="AN14" s="33"/>
      <c r="AO14" s="33"/>
      <c r="AP14" s="33"/>
    </row>
    <row r="15" spans="1:42" ht="15.75">
      <c r="A15" s="31">
        <v>14</v>
      </c>
      <c r="B15" s="31" t="s">
        <v>66</v>
      </c>
      <c r="C15" s="31" t="s">
        <v>530</v>
      </c>
      <c r="D15" s="31" t="s">
        <v>3</v>
      </c>
      <c r="E15" s="31" t="s">
        <v>544</v>
      </c>
      <c r="F15" s="31">
        <v>2007</v>
      </c>
      <c r="G15" s="33" t="s">
        <v>17</v>
      </c>
      <c r="H15" s="33">
        <v>0</v>
      </c>
      <c r="I15" s="33">
        <v>2.6126666666666666E-2</v>
      </c>
      <c r="J15" s="33">
        <v>2.6126666666666666E-2</v>
      </c>
      <c r="K15" s="33">
        <v>2.6126666666666666E-2</v>
      </c>
      <c r="L15" s="33">
        <v>2.6126666666666666E-2</v>
      </c>
      <c r="M15" s="33">
        <v>2.6126666666666666E-2</v>
      </c>
      <c r="N15" s="33">
        <v>2.6126666666666666E-2</v>
      </c>
      <c r="O15" s="33">
        <v>2.6126666666666666E-2</v>
      </c>
      <c r="P15" s="33">
        <v>2.6126666666666666E-2</v>
      </c>
      <c r="Q15" s="33">
        <v>2.6126666666666666E-2</v>
      </c>
      <c r="R15" s="33">
        <v>2.6126666666666666E-2</v>
      </c>
      <c r="S15" s="33">
        <v>2.6126666666666666E-2</v>
      </c>
      <c r="T15" s="33">
        <v>2.6126666666666666E-2</v>
      </c>
      <c r="U15" s="33">
        <v>2.6126666666666666E-2</v>
      </c>
      <c r="V15" s="33">
        <v>2.6126666666666666E-2</v>
      </c>
      <c r="W15" s="33">
        <v>2.6126666666666666E-2</v>
      </c>
      <c r="X15" s="33">
        <v>2.6126666666666666E-2</v>
      </c>
      <c r="Y15" s="33">
        <v>2.6126666666666666E-2</v>
      </c>
      <c r="Z15" s="33">
        <v>2.6126666666666666E-2</v>
      </c>
      <c r="AA15" s="33">
        <v>2.6126666666666666E-2</v>
      </c>
      <c r="AB15" s="33">
        <v>0</v>
      </c>
      <c r="AC15" s="33">
        <v>0</v>
      </c>
      <c r="AD15" s="33">
        <v>0</v>
      </c>
      <c r="AE15" s="33">
        <v>0</v>
      </c>
      <c r="AF15" s="33"/>
      <c r="AG15" s="33"/>
      <c r="AH15" s="33"/>
      <c r="AI15" s="33"/>
      <c r="AJ15" s="33"/>
      <c r="AK15" s="33"/>
      <c r="AL15" s="33"/>
      <c r="AM15" s="33"/>
      <c r="AN15" s="33"/>
      <c r="AO15" s="33"/>
      <c r="AP15" s="33"/>
    </row>
    <row r="16" spans="1:42" ht="15.75">
      <c r="A16" s="31">
        <v>15</v>
      </c>
      <c r="B16" s="31" t="s">
        <v>1</v>
      </c>
      <c r="C16" s="31" t="s">
        <v>531</v>
      </c>
      <c r="D16" s="31" t="s">
        <v>3</v>
      </c>
      <c r="E16" s="31" t="s">
        <v>544</v>
      </c>
      <c r="F16" s="31">
        <v>2007</v>
      </c>
      <c r="G16" s="33" t="s">
        <v>71</v>
      </c>
      <c r="H16" s="33">
        <v>0</v>
      </c>
      <c r="I16" s="33">
        <v>0</v>
      </c>
      <c r="J16" s="33">
        <v>0</v>
      </c>
      <c r="K16" s="33">
        <v>0</v>
      </c>
      <c r="L16" s="33">
        <v>0</v>
      </c>
      <c r="M16" s="33">
        <v>0</v>
      </c>
      <c r="N16" s="33">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c r="AF16" s="33"/>
      <c r="AG16" s="33"/>
      <c r="AH16" s="33"/>
      <c r="AI16" s="33"/>
      <c r="AJ16" s="33"/>
      <c r="AK16" s="33"/>
      <c r="AL16" s="33"/>
      <c r="AM16" s="33"/>
      <c r="AN16" s="33"/>
      <c r="AO16" s="33"/>
      <c r="AP16" s="33"/>
    </row>
    <row r="17" spans="1:42" ht="15.75">
      <c r="A17" s="31">
        <v>16</v>
      </c>
      <c r="B17" s="31" t="s">
        <v>1</v>
      </c>
      <c r="C17" s="31" t="s">
        <v>139</v>
      </c>
      <c r="D17" s="31" t="s">
        <v>3</v>
      </c>
      <c r="E17" s="31" t="s">
        <v>544</v>
      </c>
      <c r="F17" s="31">
        <v>2007</v>
      </c>
      <c r="G17" s="33" t="s">
        <v>58</v>
      </c>
      <c r="H17" s="33">
        <v>0</v>
      </c>
      <c r="I17" s="33">
        <v>0</v>
      </c>
      <c r="J17" s="33">
        <v>0</v>
      </c>
      <c r="K17" s="33">
        <v>0</v>
      </c>
      <c r="L17" s="33">
        <v>0</v>
      </c>
      <c r="M17" s="33">
        <v>0</v>
      </c>
      <c r="N17" s="33">
        <v>0</v>
      </c>
      <c r="O17" s="33">
        <v>0</v>
      </c>
      <c r="P17" s="33">
        <v>0</v>
      </c>
      <c r="Q17" s="33">
        <v>0</v>
      </c>
      <c r="R17" s="33">
        <v>0</v>
      </c>
      <c r="S17" s="33">
        <v>0</v>
      </c>
      <c r="T17" s="33">
        <v>0</v>
      </c>
      <c r="U17" s="33">
        <v>0</v>
      </c>
      <c r="V17" s="33">
        <v>0</v>
      </c>
      <c r="W17" s="33">
        <v>0</v>
      </c>
      <c r="X17" s="33">
        <v>0</v>
      </c>
      <c r="Y17" s="33">
        <v>0</v>
      </c>
      <c r="Z17" s="33">
        <v>0</v>
      </c>
      <c r="AA17" s="33">
        <v>0</v>
      </c>
      <c r="AB17" s="33">
        <v>0</v>
      </c>
      <c r="AC17" s="33">
        <v>0</v>
      </c>
      <c r="AD17" s="33">
        <v>0</v>
      </c>
      <c r="AE17" s="33">
        <v>0</v>
      </c>
      <c r="AF17" s="33"/>
      <c r="AG17" s="33"/>
      <c r="AH17" s="33"/>
      <c r="AI17" s="33"/>
      <c r="AJ17" s="33"/>
      <c r="AK17" s="33"/>
      <c r="AL17" s="33"/>
      <c r="AM17" s="33"/>
      <c r="AN17" s="33"/>
      <c r="AO17" s="33"/>
      <c r="AP17" s="33"/>
    </row>
    <row r="18" spans="1:42" ht="15.75">
      <c r="A18" s="31">
        <v>17</v>
      </c>
      <c r="B18" s="31" t="s">
        <v>62</v>
      </c>
      <c r="C18" s="31" t="s">
        <v>523</v>
      </c>
      <c r="D18" s="31" t="s">
        <v>3</v>
      </c>
      <c r="E18" s="31" t="s">
        <v>544</v>
      </c>
      <c r="F18" s="31">
        <v>2007</v>
      </c>
      <c r="G18" s="33" t="s">
        <v>71</v>
      </c>
      <c r="H18" s="33">
        <v>0</v>
      </c>
      <c r="I18" s="33">
        <v>1.9100236982573271</v>
      </c>
      <c r="J18" s="33">
        <v>0</v>
      </c>
      <c r="K18" s="33">
        <v>0</v>
      </c>
      <c r="L18" s="33">
        <v>0</v>
      </c>
      <c r="M18" s="33">
        <v>0</v>
      </c>
      <c r="N18" s="33">
        <v>0</v>
      </c>
      <c r="O18" s="33">
        <v>0</v>
      </c>
      <c r="P18" s="33">
        <v>0</v>
      </c>
      <c r="Q18" s="33">
        <v>0</v>
      </c>
      <c r="R18" s="33">
        <v>0</v>
      </c>
      <c r="S18" s="33">
        <v>0</v>
      </c>
      <c r="T18" s="33">
        <v>0</v>
      </c>
      <c r="U18" s="33">
        <v>0</v>
      </c>
      <c r="V18" s="33">
        <v>0</v>
      </c>
      <c r="W18" s="33">
        <v>0</v>
      </c>
      <c r="X18" s="33">
        <v>0</v>
      </c>
      <c r="Y18" s="33">
        <v>0</v>
      </c>
      <c r="Z18" s="33">
        <v>0</v>
      </c>
      <c r="AA18" s="33">
        <v>0</v>
      </c>
      <c r="AB18" s="33">
        <v>0</v>
      </c>
      <c r="AC18" s="33">
        <v>0</v>
      </c>
      <c r="AD18" s="33">
        <v>0</v>
      </c>
      <c r="AE18" s="33">
        <v>0</v>
      </c>
      <c r="AF18" s="33"/>
      <c r="AG18" s="33"/>
      <c r="AH18" s="33"/>
      <c r="AI18" s="33"/>
      <c r="AJ18" s="33"/>
      <c r="AK18" s="33"/>
      <c r="AL18" s="33"/>
      <c r="AM18" s="33"/>
      <c r="AN18" s="33"/>
      <c r="AO18" s="33"/>
      <c r="AP18" s="33"/>
    </row>
    <row r="19" spans="1:42" ht="15.75">
      <c r="A19" s="31">
        <v>18</v>
      </c>
      <c r="B19" s="31" t="s">
        <v>62</v>
      </c>
      <c r="C19" s="31" t="s">
        <v>63</v>
      </c>
      <c r="D19" s="31" t="s">
        <v>3</v>
      </c>
      <c r="E19" s="31" t="s">
        <v>544</v>
      </c>
      <c r="F19" s="31">
        <v>2007</v>
      </c>
      <c r="G19" s="33" t="s">
        <v>71</v>
      </c>
      <c r="H19" s="33">
        <v>0</v>
      </c>
      <c r="I19" s="33">
        <v>0.15889278599021095</v>
      </c>
      <c r="J19" s="33">
        <v>0</v>
      </c>
      <c r="K19" s="33">
        <v>0</v>
      </c>
      <c r="L19" s="33">
        <v>0</v>
      </c>
      <c r="M19" s="33">
        <v>0</v>
      </c>
      <c r="N19" s="33">
        <v>0</v>
      </c>
      <c r="O19" s="33">
        <v>0</v>
      </c>
      <c r="P19" s="33">
        <v>0</v>
      </c>
      <c r="Q19" s="33">
        <v>0</v>
      </c>
      <c r="R19" s="33">
        <v>0</v>
      </c>
      <c r="S19" s="33">
        <v>0</v>
      </c>
      <c r="T19" s="33">
        <v>0</v>
      </c>
      <c r="U19" s="33">
        <v>0</v>
      </c>
      <c r="V19" s="33">
        <v>0</v>
      </c>
      <c r="W19" s="33">
        <v>0</v>
      </c>
      <c r="X19" s="33">
        <v>0</v>
      </c>
      <c r="Y19" s="33">
        <v>0</v>
      </c>
      <c r="Z19" s="33">
        <v>0</v>
      </c>
      <c r="AA19" s="33">
        <v>0</v>
      </c>
      <c r="AB19" s="33">
        <v>0</v>
      </c>
      <c r="AC19" s="33">
        <v>0</v>
      </c>
      <c r="AD19" s="33">
        <v>0</v>
      </c>
      <c r="AE19" s="33">
        <v>0</v>
      </c>
      <c r="AF19" s="33"/>
      <c r="AG19" s="33"/>
      <c r="AH19" s="33"/>
      <c r="AI19" s="33"/>
      <c r="AJ19" s="33"/>
      <c r="AK19" s="33"/>
      <c r="AL19" s="33"/>
      <c r="AM19" s="33"/>
      <c r="AN19" s="33"/>
      <c r="AO19" s="33"/>
      <c r="AP19" s="33"/>
    </row>
    <row r="20" spans="1:42" ht="15.75">
      <c r="A20" s="31">
        <v>19</v>
      </c>
      <c r="B20" s="31" t="s">
        <v>67</v>
      </c>
      <c r="C20" s="31" t="s">
        <v>532</v>
      </c>
      <c r="D20" s="31" t="s">
        <v>3</v>
      </c>
      <c r="E20" s="31" t="s">
        <v>544</v>
      </c>
      <c r="F20" s="31">
        <v>2007</v>
      </c>
      <c r="G20" s="33" t="s">
        <v>17</v>
      </c>
      <c r="H20" s="33">
        <v>0</v>
      </c>
      <c r="I20" s="33">
        <v>2.146E-2</v>
      </c>
      <c r="J20" s="33">
        <v>2.146E-2</v>
      </c>
      <c r="K20" s="33">
        <v>2.146E-2</v>
      </c>
      <c r="L20" s="33">
        <v>2.146E-2</v>
      </c>
      <c r="M20" s="33">
        <v>2.146E-2</v>
      </c>
      <c r="N20" s="33">
        <v>2.146E-2</v>
      </c>
      <c r="O20" s="33">
        <v>2.146E-2</v>
      </c>
      <c r="P20" s="33">
        <v>2.146E-2</v>
      </c>
      <c r="Q20" s="33">
        <v>2.146E-2</v>
      </c>
      <c r="R20" s="33">
        <v>2.146E-2</v>
      </c>
      <c r="S20" s="33">
        <v>2.146E-2</v>
      </c>
      <c r="T20" s="33">
        <v>2.146E-2</v>
      </c>
      <c r="U20" s="33">
        <v>2.146E-2</v>
      </c>
      <c r="V20" s="33">
        <v>2.146E-2</v>
      </c>
      <c r="W20" s="33">
        <v>2.146E-2</v>
      </c>
      <c r="X20" s="33">
        <v>2.146E-2</v>
      </c>
      <c r="Y20" s="33">
        <v>2.146E-2</v>
      </c>
      <c r="Z20" s="33">
        <v>2.146E-2</v>
      </c>
      <c r="AA20" s="33">
        <v>2.146E-2</v>
      </c>
      <c r="AB20" s="33">
        <v>2.146E-2</v>
      </c>
      <c r="AC20" s="33">
        <v>0</v>
      </c>
      <c r="AD20" s="33">
        <v>0</v>
      </c>
      <c r="AE20" s="33">
        <v>0</v>
      </c>
      <c r="AF20" s="33"/>
      <c r="AG20" s="33"/>
      <c r="AH20" s="33"/>
      <c r="AI20" s="33"/>
      <c r="AJ20" s="33"/>
      <c r="AK20" s="33"/>
      <c r="AL20" s="33"/>
      <c r="AM20" s="33"/>
      <c r="AN20" s="33"/>
      <c r="AO20" s="33"/>
      <c r="AP20" s="33"/>
    </row>
    <row r="21" spans="1:42" ht="15.75">
      <c r="A21" s="31">
        <v>20</v>
      </c>
      <c r="B21" s="31" t="s">
        <v>15</v>
      </c>
      <c r="C21" s="31" t="s">
        <v>524</v>
      </c>
      <c r="D21" s="31" t="s">
        <v>3</v>
      </c>
      <c r="E21" s="31" t="s">
        <v>544</v>
      </c>
      <c r="F21" s="31">
        <v>2008</v>
      </c>
      <c r="G21" s="33" t="s">
        <v>17</v>
      </c>
      <c r="H21" s="33">
        <v>0</v>
      </c>
      <c r="I21" s="33">
        <v>0</v>
      </c>
      <c r="J21" s="33">
        <v>1.2514288895960003E-2</v>
      </c>
      <c r="K21" s="33">
        <v>1.2514288895960003E-2</v>
      </c>
      <c r="L21" s="33">
        <v>1.2514288895960003E-2</v>
      </c>
      <c r="M21" s="33">
        <v>1.2514288895960003E-2</v>
      </c>
      <c r="N21" s="33">
        <v>1.1941168895960003E-2</v>
      </c>
      <c r="O21" s="33">
        <v>1.1941168895960003E-2</v>
      </c>
      <c r="P21" s="33">
        <v>1.1941168895960003E-2</v>
      </c>
      <c r="Q21" s="33">
        <v>1.1941168895960003E-2</v>
      </c>
      <c r="R21" s="33">
        <v>9.2565183699999994E-3</v>
      </c>
      <c r="S21" s="33">
        <v>0</v>
      </c>
      <c r="T21" s="33">
        <v>0</v>
      </c>
      <c r="U21" s="33">
        <v>0</v>
      </c>
      <c r="V21" s="33">
        <v>0</v>
      </c>
      <c r="W21" s="33">
        <v>0</v>
      </c>
      <c r="X21" s="33">
        <v>0</v>
      </c>
      <c r="Y21" s="33">
        <v>0</v>
      </c>
      <c r="Z21" s="33">
        <v>0</v>
      </c>
      <c r="AA21" s="33">
        <v>0</v>
      </c>
      <c r="AB21" s="33">
        <v>0</v>
      </c>
      <c r="AC21" s="33">
        <v>0</v>
      </c>
      <c r="AD21" s="33">
        <v>0</v>
      </c>
      <c r="AE21" s="33">
        <v>0</v>
      </c>
      <c r="AF21" s="33"/>
      <c r="AG21" s="33"/>
      <c r="AH21" s="33"/>
      <c r="AI21" s="33"/>
      <c r="AJ21" s="33"/>
      <c r="AK21" s="33"/>
      <c r="AL21" s="33"/>
      <c r="AM21" s="33"/>
      <c r="AN21" s="33"/>
      <c r="AO21" s="33"/>
      <c r="AP21" s="33"/>
    </row>
    <row r="22" spans="1:42" ht="15.75">
      <c r="A22" s="31">
        <v>21</v>
      </c>
      <c r="B22" s="31" t="s">
        <v>15</v>
      </c>
      <c r="C22" s="31" t="s">
        <v>533</v>
      </c>
      <c r="D22" s="31" t="s">
        <v>3</v>
      </c>
      <c r="E22" s="31" t="s">
        <v>544</v>
      </c>
      <c r="F22" s="31">
        <v>2008</v>
      </c>
      <c r="G22" s="33" t="s">
        <v>17</v>
      </c>
      <c r="H22" s="33">
        <v>0</v>
      </c>
      <c r="I22" s="33">
        <v>0</v>
      </c>
      <c r="J22" s="33">
        <v>7.3226482662845205E-2</v>
      </c>
      <c r="K22" s="33">
        <v>7.3226482662845205E-2</v>
      </c>
      <c r="L22" s="33">
        <v>7.3226482662845205E-2</v>
      </c>
      <c r="M22" s="33">
        <v>7.3226482662845205E-2</v>
      </c>
      <c r="N22" s="33">
        <v>7.3226482662845205E-2</v>
      </c>
      <c r="O22" s="33">
        <v>7.3226482662845205E-2</v>
      </c>
      <c r="P22" s="33">
        <v>7.3226482662845205E-2</v>
      </c>
      <c r="Q22" s="33">
        <v>7.3226482662845205E-2</v>
      </c>
      <c r="R22" s="33">
        <v>7.3226482662845205E-2</v>
      </c>
      <c r="S22" s="33">
        <v>7.3226482662845205E-2</v>
      </c>
      <c r="T22" s="33">
        <v>7.3226482662845205E-2</v>
      </c>
      <c r="U22" s="33">
        <v>7.3226482662845205E-2</v>
      </c>
      <c r="V22" s="33">
        <v>7.3226482662845205E-2</v>
      </c>
      <c r="W22" s="33">
        <v>7.3226482662845205E-2</v>
      </c>
      <c r="X22" s="33">
        <v>7.3226482662845205E-2</v>
      </c>
      <c r="Y22" s="33">
        <v>5.9382090709696744E-2</v>
      </c>
      <c r="Z22" s="33">
        <v>5.9382090709696744E-2</v>
      </c>
      <c r="AA22" s="33">
        <v>5.9382090709696744E-2</v>
      </c>
      <c r="AB22" s="33">
        <v>0</v>
      </c>
      <c r="AC22" s="33">
        <v>0</v>
      </c>
      <c r="AD22" s="33">
        <v>0</v>
      </c>
      <c r="AE22" s="33">
        <v>0</v>
      </c>
      <c r="AF22" s="33"/>
      <c r="AG22" s="33"/>
      <c r="AH22" s="33"/>
      <c r="AI22" s="33"/>
      <c r="AJ22" s="33"/>
      <c r="AK22" s="33"/>
      <c r="AL22" s="33"/>
      <c r="AM22" s="33"/>
      <c r="AN22" s="33"/>
      <c r="AO22" s="33"/>
      <c r="AP22" s="33"/>
    </row>
    <row r="23" spans="1:42" ht="15.75">
      <c r="A23" s="31">
        <v>22</v>
      </c>
      <c r="B23" s="31" t="s">
        <v>15</v>
      </c>
      <c r="C23" s="31" t="s">
        <v>534</v>
      </c>
      <c r="D23" s="31" t="s">
        <v>3</v>
      </c>
      <c r="E23" s="31" t="s">
        <v>544</v>
      </c>
      <c r="F23" s="31">
        <v>2008</v>
      </c>
      <c r="G23" s="33" t="s">
        <v>17</v>
      </c>
      <c r="H23" s="33">
        <v>0</v>
      </c>
      <c r="I23" s="33">
        <v>0</v>
      </c>
      <c r="J23" s="33">
        <v>3.2001137256771957E-2</v>
      </c>
      <c r="K23" s="33">
        <v>3.0579226462291307E-2</v>
      </c>
      <c r="L23" s="33">
        <v>3.0579226462291307E-2</v>
      </c>
      <c r="M23" s="33">
        <v>3.0579226462291307E-2</v>
      </c>
      <c r="N23" s="33">
        <v>2.7794435564226144E-2</v>
      </c>
      <c r="O23" s="33">
        <v>2.7794435564226144E-2</v>
      </c>
      <c r="P23" s="33">
        <v>2.1380143290994958E-2</v>
      </c>
      <c r="Q23" s="33">
        <v>1.9213691127003774E-2</v>
      </c>
      <c r="R23" s="33">
        <v>1.4081555003652657E-2</v>
      </c>
      <c r="S23" s="33">
        <v>1.1359573148502024E-2</v>
      </c>
      <c r="T23" s="33">
        <v>1.0012830430589256E-2</v>
      </c>
      <c r="U23" s="33">
        <v>1.0012830430589256E-2</v>
      </c>
      <c r="V23" s="33">
        <v>4.9017613883593171E-3</v>
      </c>
      <c r="W23" s="33">
        <v>4.9017613883593171E-3</v>
      </c>
      <c r="X23" s="33">
        <v>4.9017613883593171E-3</v>
      </c>
      <c r="Y23" s="33">
        <v>4.9017613883593171E-3</v>
      </c>
      <c r="Z23" s="33">
        <v>0</v>
      </c>
      <c r="AA23" s="33">
        <v>0</v>
      </c>
      <c r="AB23" s="33">
        <v>0</v>
      </c>
      <c r="AC23" s="33">
        <v>0</v>
      </c>
      <c r="AD23" s="33">
        <v>0</v>
      </c>
      <c r="AE23" s="33">
        <v>0</v>
      </c>
      <c r="AF23" s="33"/>
      <c r="AG23" s="33"/>
      <c r="AH23" s="33"/>
      <c r="AI23" s="33"/>
      <c r="AJ23" s="33"/>
      <c r="AK23" s="33"/>
      <c r="AL23" s="33"/>
      <c r="AM23" s="33"/>
      <c r="AN23" s="33"/>
      <c r="AO23" s="33"/>
      <c r="AP23" s="33"/>
    </row>
    <row r="24" spans="1:42" ht="15.75">
      <c r="A24" s="31">
        <v>23</v>
      </c>
      <c r="B24" s="31" t="s">
        <v>65</v>
      </c>
      <c r="C24" s="31" t="s">
        <v>525</v>
      </c>
      <c r="D24" s="31" t="s">
        <v>3</v>
      </c>
      <c r="E24" s="31" t="s">
        <v>544</v>
      </c>
      <c r="F24" s="31">
        <v>2008</v>
      </c>
      <c r="G24" s="33" t="s">
        <v>58</v>
      </c>
      <c r="H24" s="33">
        <v>0</v>
      </c>
      <c r="I24" s="33">
        <v>0</v>
      </c>
      <c r="J24" s="33">
        <v>0</v>
      </c>
      <c r="K24" s="33">
        <v>0</v>
      </c>
      <c r="L24" s="33">
        <v>0</v>
      </c>
      <c r="M24" s="33">
        <v>0</v>
      </c>
      <c r="N24" s="33">
        <v>0</v>
      </c>
      <c r="O24" s="33">
        <v>0</v>
      </c>
      <c r="P24" s="33">
        <v>0</v>
      </c>
      <c r="Q24" s="33">
        <v>0</v>
      </c>
      <c r="R24" s="33">
        <v>0</v>
      </c>
      <c r="S24" s="33">
        <v>0</v>
      </c>
      <c r="T24" s="33">
        <v>0</v>
      </c>
      <c r="U24" s="33">
        <v>0</v>
      </c>
      <c r="V24" s="33">
        <v>0</v>
      </c>
      <c r="W24" s="33">
        <v>0</v>
      </c>
      <c r="X24" s="33">
        <v>0</v>
      </c>
      <c r="Y24" s="33">
        <v>0</v>
      </c>
      <c r="Z24" s="33">
        <v>0</v>
      </c>
      <c r="AA24" s="33">
        <v>0</v>
      </c>
      <c r="AB24" s="33">
        <v>0</v>
      </c>
      <c r="AC24" s="33">
        <v>0</v>
      </c>
      <c r="AD24" s="33">
        <v>0</v>
      </c>
      <c r="AE24" s="33">
        <v>0</v>
      </c>
      <c r="AF24" s="33"/>
      <c r="AG24" s="33"/>
      <c r="AH24" s="33"/>
      <c r="AI24" s="33"/>
      <c r="AJ24" s="33"/>
      <c r="AK24" s="33"/>
      <c r="AL24" s="33"/>
      <c r="AM24" s="33"/>
      <c r="AN24" s="33"/>
      <c r="AO24" s="33"/>
      <c r="AP24" s="33"/>
    </row>
    <row r="25" spans="1:42" ht="15.75">
      <c r="A25" s="31">
        <v>24</v>
      </c>
      <c r="B25" s="31" t="s">
        <v>15</v>
      </c>
      <c r="C25" s="31" t="s">
        <v>535</v>
      </c>
      <c r="D25" s="31" t="s">
        <v>3</v>
      </c>
      <c r="E25" s="31" t="s">
        <v>544</v>
      </c>
      <c r="F25" s="31">
        <v>2008</v>
      </c>
      <c r="G25" s="33" t="s">
        <v>17</v>
      </c>
      <c r="H25" s="33">
        <v>0</v>
      </c>
      <c r="I25" s="33">
        <v>0</v>
      </c>
      <c r="J25" s="33">
        <v>6.6546992181266945E-2</v>
      </c>
      <c r="K25" s="33">
        <v>3.8161664120042189E-2</v>
      </c>
      <c r="L25" s="33">
        <v>3.8161664120042189E-2</v>
      </c>
      <c r="M25" s="33">
        <v>3.8161664120042189E-2</v>
      </c>
      <c r="N25" s="33">
        <v>3.8161664120042189E-2</v>
      </c>
      <c r="O25" s="33">
        <v>3.8161664120042189E-2</v>
      </c>
      <c r="P25" s="33">
        <v>3.8161664120042189E-2</v>
      </c>
      <c r="Q25" s="33">
        <v>3.8161664120042189E-2</v>
      </c>
      <c r="R25" s="33">
        <v>3.6833533179924688E-2</v>
      </c>
      <c r="S25" s="33">
        <v>3.6833533179924688E-2</v>
      </c>
      <c r="T25" s="33">
        <v>3.6443636323965113E-2</v>
      </c>
      <c r="U25" s="33">
        <v>3.6443636323965113E-2</v>
      </c>
      <c r="V25" s="33">
        <v>3.6443636323965113E-2</v>
      </c>
      <c r="W25" s="33">
        <v>3.5980238530188807E-2</v>
      </c>
      <c r="X25" s="33">
        <v>3.580621443590911E-2</v>
      </c>
      <c r="Y25" s="33">
        <v>3.4039082115023371E-2</v>
      </c>
      <c r="Z25" s="33">
        <v>3.4039082115023371E-2</v>
      </c>
      <c r="AA25" s="33">
        <v>3.4039082115023371E-2</v>
      </c>
      <c r="AB25" s="33">
        <v>3.4039082115023371E-2</v>
      </c>
      <c r="AC25" s="33">
        <v>3.4039082115023371E-2</v>
      </c>
      <c r="AD25" s="33">
        <v>0</v>
      </c>
      <c r="AE25" s="33">
        <v>0</v>
      </c>
      <c r="AF25" s="33"/>
      <c r="AG25" s="33"/>
      <c r="AH25" s="33"/>
      <c r="AI25" s="33"/>
      <c r="AJ25" s="33"/>
      <c r="AK25" s="33"/>
      <c r="AL25" s="33"/>
      <c r="AM25" s="33"/>
      <c r="AN25" s="33"/>
      <c r="AO25" s="33"/>
      <c r="AP25" s="33"/>
    </row>
    <row r="26" spans="1:42" ht="15.75">
      <c r="A26" s="31">
        <v>25</v>
      </c>
      <c r="B26" s="31" t="s">
        <v>65</v>
      </c>
      <c r="C26" s="31" t="s">
        <v>531</v>
      </c>
      <c r="D26" s="31" t="s">
        <v>3</v>
      </c>
      <c r="E26" s="31" t="s">
        <v>544</v>
      </c>
      <c r="F26" s="31">
        <v>2008</v>
      </c>
      <c r="G26" s="33" t="s">
        <v>71</v>
      </c>
      <c r="H26" s="33">
        <v>0</v>
      </c>
      <c r="I26" s="33">
        <v>0</v>
      </c>
      <c r="J26" s="33">
        <v>0.17699903062552166</v>
      </c>
      <c r="K26" s="33">
        <v>0.17700302476915533</v>
      </c>
      <c r="L26" s="33">
        <v>0.17700302476915533</v>
      </c>
      <c r="M26" s="33">
        <v>0.17700302476915533</v>
      </c>
      <c r="N26" s="33">
        <v>0.17700302476915533</v>
      </c>
      <c r="O26" s="33">
        <v>0.17700302476915533</v>
      </c>
      <c r="P26" s="33">
        <v>0.17700302476915533</v>
      </c>
      <c r="Q26" s="33">
        <v>0.17700302476915533</v>
      </c>
      <c r="R26" s="33">
        <v>0.17436836293101649</v>
      </c>
      <c r="S26" s="33">
        <v>0.17436836293101649</v>
      </c>
      <c r="T26" s="33">
        <v>0.17436836293101649</v>
      </c>
      <c r="U26" s="33">
        <v>0.17436836293101649</v>
      </c>
      <c r="V26" s="33">
        <v>0.17436836293101649</v>
      </c>
      <c r="W26" s="33">
        <v>0.17436836293101649</v>
      </c>
      <c r="X26" s="33">
        <v>0.17436836293101649</v>
      </c>
      <c r="Y26" s="33">
        <v>0.16913731204308596</v>
      </c>
      <c r="Z26" s="33">
        <v>0</v>
      </c>
      <c r="AA26" s="33">
        <v>0</v>
      </c>
      <c r="AB26" s="33">
        <v>0</v>
      </c>
      <c r="AC26" s="33">
        <v>0</v>
      </c>
      <c r="AD26" s="33">
        <v>0</v>
      </c>
      <c r="AE26" s="33">
        <v>0</v>
      </c>
      <c r="AF26" s="33"/>
      <c r="AG26" s="33"/>
      <c r="AH26" s="33"/>
      <c r="AI26" s="33"/>
      <c r="AJ26" s="33"/>
      <c r="AK26" s="33"/>
      <c r="AL26" s="33"/>
      <c r="AM26" s="33"/>
      <c r="AN26" s="33"/>
      <c r="AO26" s="33"/>
      <c r="AP26" s="33"/>
    </row>
    <row r="27" spans="1:42" ht="15.75">
      <c r="A27" s="31">
        <v>26</v>
      </c>
      <c r="B27" s="31" t="s">
        <v>68</v>
      </c>
      <c r="C27" s="31" t="s">
        <v>139</v>
      </c>
      <c r="D27" s="31" t="s">
        <v>3</v>
      </c>
      <c r="E27" s="31" t="s">
        <v>544</v>
      </c>
      <c r="F27" s="31">
        <v>2008</v>
      </c>
      <c r="G27" s="33" t="s">
        <v>58</v>
      </c>
      <c r="H27" s="33">
        <v>0</v>
      </c>
      <c r="I27" s="33">
        <v>0</v>
      </c>
      <c r="J27" s="33">
        <v>0</v>
      </c>
      <c r="K27" s="33">
        <v>0</v>
      </c>
      <c r="L27" s="33">
        <v>0</v>
      </c>
      <c r="M27" s="33">
        <v>0</v>
      </c>
      <c r="N27" s="33">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c r="AF27" s="33"/>
      <c r="AG27" s="33"/>
      <c r="AH27" s="33"/>
      <c r="AI27" s="33"/>
      <c r="AJ27" s="33"/>
      <c r="AK27" s="33"/>
      <c r="AL27" s="33"/>
      <c r="AM27" s="33"/>
      <c r="AN27" s="33"/>
      <c r="AO27" s="33"/>
      <c r="AP27" s="33"/>
    </row>
    <row r="28" spans="1:42" ht="15.75">
      <c r="A28" s="31">
        <v>27</v>
      </c>
      <c r="B28" s="31" t="s">
        <v>1</v>
      </c>
      <c r="C28" s="31" t="s">
        <v>42</v>
      </c>
      <c r="D28" s="31" t="s">
        <v>3</v>
      </c>
      <c r="E28" s="31" t="s">
        <v>544</v>
      </c>
      <c r="F28" s="31">
        <v>2008</v>
      </c>
      <c r="G28" s="33" t="s">
        <v>71</v>
      </c>
      <c r="H28" s="33">
        <v>0</v>
      </c>
      <c r="I28" s="33">
        <v>0</v>
      </c>
      <c r="J28" s="33">
        <v>2.2487549480987089E-3</v>
      </c>
      <c r="K28" s="33">
        <v>2.2487549480987089E-3</v>
      </c>
      <c r="L28" s="33">
        <v>2.2487549480987089E-3</v>
      </c>
      <c r="M28" s="33">
        <v>2.2487549480987089E-3</v>
      </c>
      <c r="N28" s="33">
        <v>2.2487549480987089E-3</v>
      </c>
      <c r="O28" s="33">
        <v>2.2487549480987089E-3</v>
      </c>
      <c r="P28" s="33">
        <v>2.2487549480987089E-3</v>
      </c>
      <c r="Q28" s="33">
        <v>2.2487549480987089E-3</v>
      </c>
      <c r="R28" s="33">
        <v>2.2487549480987089E-3</v>
      </c>
      <c r="S28" s="33">
        <v>2.2487549480987089E-3</v>
      </c>
      <c r="T28" s="33">
        <v>2.2487549480987089E-3</v>
      </c>
      <c r="U28" s="33">
        <v>2.2487549480987089E-3</v>
      </c>
      <c r="V28" s="33">
        <v>2.2487549480987089E-3</v>
      </c>
      <c r="W28" s="33">
        <v>2.2487549480987089E-3</v>
      </c>
      <c r="X28" s="33">
        <v>0</v>
      </c>
      <c r="Y28" s="33">
        <v>0</v>
      </c>
      <c r="Z28" s="33">
        <v>0</v>
      </c>
      <c r="AA28" s="33">
        <v>0</v>
      </c>
      <c r="AB28" s="33">
        <v>0</v>
      </c>
      <c r="AC28" s="33">
        <v>0</v>
      </c>
      <c r="AD28" s="33">
        <v>0</v>
      </c>
      <c r="AE28" s="33">
        <v>0</v>
      </c>
      <c r="AF28" s="33"/>
      <c r="AG28" s="33"/>
      <c r="AH28" s="33"/>
      <c r="AI28" s="33"/>
      <c r="AJ28" s="33"/>
      <c r="AK28" s="33"/>
      <c r="AL28" s="33"/>
      <c r="AM28" s="33"/>
      <c r="AN28" s="33"/>
      <c r="AO28" s="33"/>
      <c r="AP28" s="33"/>
    </row>
    <row r="29" spans="1:42" ht="15.75">
      <c r="A29" s="31">
        <v>28</v>
      </c>
      <c r="B29" s="31" t="s">
        <v>1</v>
      </c>
      <c r="C29" s="31" t="s">
        <v>536</v>
      </c>
      <c r="D29" s="31" t="s">
        <v>3</v>
      </c>
      <c r="E29" s="31" t="s">
        <v>544</v>
      </c>
      <c r="F29" s="31">
        <v>2008</v>
      </c>
      <c r="G29" s="33" t="s">
        <v>70</v>
      </c>
      <c r="H29" s="33">
        <v>0</v>
      </c>
      <c r="I29" s="33">
        <v>0</v>
      </c>
      <c r="J29" s="33">
        <v>0</v>
      </c>
      <c r="K29" s="33">
        <v>0</v>
      </c>
      <c r="L29" s="33">
        <v>0</v>
      </c>
      <c r="M29" s="33">
        <v>0</v>
      </c>
      <c r="N29" s="33">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c r="AF29" s="33"/>
      <c r="AG29" s="33"/>
      <c r="AH29" s="33"/>
      <c r="AI29" s="33"/>
      <c r="AJ29" s="33"/>
      <c r="AK29" s="33"/>
      <c r="AL29" s="33"/>
      <c r="AM29" s="33"/>
      <c r="AN29" s="33"/>
      <c r="AO29" s="33"/>
      <c r="AP29" s="33"/>
    </row>
    <row r="30" spans="1:42" ht="15.75">
      <c r="A30" s="31">
        <v>29</v>
      </c>
      <c r="B30" s="31" t="s">
        <v>62</v>
      </c>
      <c r="C30" s="31" t="s">
        <v>523</v>
      </c>
      <c r="D30" s="31" t="s">
        <v>3</v>
      </c>
      <c r="E30" s="31" t="s">
        <v>544</v>
      </c>
      <c r="F30" s="31">
        <v>2008</v>
      </c>
      <c r="G30" s="33" t="s">
        <v>71</v>
      </c>
      <c r="H30" s="33">
        <v>0</v>
      </c>
      <c r="I30" s="33">
        <v>0</v>
      </c>
      <c r="J30" s="33">
        <v>2.9071771689317281</v>
      </c>
      <c r="K30" s="33">
        <v>0</v>
      </c>
      <c r="L30" s="33">
        <v>0</v>
      </c>
      <c r="M30" s="33">
        <v>0</v>
      </c>
      <c r="N30" s="33">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c r="AF30" s="33"/>
      <c r="AG30" s="33"/>
      <c r="AH30" s="33"/>
      <c r="AI30" s="33"/>
      <c r="AJ30" s="33"/>
      <c r="AK30" s="33"/>
      <c r="AL30" s="33"/>
      <c r="AM30" s="33"/>
      <c r="AN30" s="33"/>
      <c r="AO30" s="33"/>
      <c r="AP30" s="33"/>
    </row>
    <row r="31" spans="1:42" ht="15.75">
      <c r="A31" s="31">
        <v>30</v>
      </c>
      <c r="B31" s="31" t="s">
        <v>62</v>
      </c>
      <c r="C31" s="31" t="s">
        <v>49</v>
      </c>
      <c r="D31" s="31" t="s">
        <v>3</v>
      </c>
      <c r="E31" s="31" t="s">
        <v>544</v>
      </c>
      <c r="F31" s="31">
        <v>2008</v>
      </c>
      <c r="G31" s="33" t="s">
        <v>71</v>
      </c>
      <c r="H31" s="33">
        <v>0</v>
      </c>
      <c r="I31" s="33">
        <v>0</v>
      </c>
      <c r="J31" s="33">
        <v>0.56218873702467731</v>
      </c>
      <c r="K31" s="33">
        <v>0</v>
      </c>
      <c r="L31" s="33">
        <v>0</v>
      </c>
      <c r="M31" s="33">
        <v>0</v>
      </c>
      <c r="N31" s="33">
        <v>0</v>
      </c>
      <c r="O31" s="33">
        <v>0</v>
      </c>
      <c r="P31" s="33">
        <v>0</v>
      </c>
      <c r="Q31" s="33">
        <v>0</v>
      </c>
      <c r="R31" s="33">
        <v>0</v>
      </c>
      <c r="S31" s="33">
        <v>0</v>
      </c>
      <c r="T31" s="33">
        <v>0</v>
      </c>
      <c r="U31" s="33">
        <v>0</v>
      </c>
      <c r="V31" s="33">
        <v>0</v>
      </c>
      <c r="W31" s="33">
        <v>0</v>
      </c>
      <c r="X31" s="33">
        <v>0</v>
      </c>
      <c r="Y31" s="33">
        <v>0</v>
      </c>
      <c r="Z31" s="33">
        <v>0</v>
      </c>
      <c r="AA31" s="33">
        <v>0</v>
      </c>
      <c r="AB31" s="33">
        <v>0</v>
      </c>
      <c r="AC31" s="33">
        <v>0</v>
      </c>
      <c r="AD31" s="33">
        <v>0</v>
      </c>
      <c r="AE31" s="33">
        <v>0</v>
      </c>
      <c r="AF31" s="33"/>
      <c r="AG31" s="33"/>
      <c r="AH31" s="33"/>
      <c r="AI31" s="33"/>
      <c r="AJ31" s="33"/>
      <c r="AK31" s="33"/>
      <c r="AL31" s="33"/>
      <c r="AM31" s="33"/>
      <c r="AN31" s="33"/>
      <c r="AO31" s="33"/>
      <c r="AP31" s="33"/>
    </row>
    <row r="32" spans="1:42" ht="15.75">
      <c r="A32" s="31">
        <v>31</v>
      </c>
      <c r="B32" s="31" t="s">
        <v>62</v>
      </c>
      <c r="C32" s="31" t="s">
        <v>63</v>
      </c>
      <c r="D32" s="31" t="s">
        <v>3</v>
      </c>
      <c r="E32" s="31" t="s">
        <v>544</v>
      </c>
      <c r="F32" s="31">
        <v>2008</v>
      </c>
      <c r="G32" s="33" t="s">
        <v>71</v>
      </c>
      <c r="H32" s="33">
        <v>0</v>
      </c>
      <c r="I32" s="33">
        <v>0</v>
      </c>
      <c r="J32" s="33">
        <v>0.19319450598224494</v>
      </c>
      <c r="K32" s="33">
        <v>0</v>
      </c>
      <c r="L32" s="33">
        <v>0</v>
      </c>
      <c r="M32" s="33">
        <v>0</v>
      </c>
      <c r="N32" s="33">
        <v>0</v>
      </c>
      <c r="O32" s="33">
        <v>0</v>
      </c>
      <c r="P32" s="33">
        <v>0</v>
      </c>
      <c r="Q32" s="33">
        <v>0</v>
      </c>
      <c r="R32" s="33">
        <v>0</v>
      </c>
      <c r="S32" s="33">
        <v>0</v>
      </c>
      <c r="T32" s="33">
        <v>0</v>
      </c>
      <c r="U32" s="33">
        <v>0</v>
      </c>
      <c r="V32" s="33">
        <v>0</v>
      </c>
      <c r="W32" s="33">
        <v>0</v>
      </c>
      <c r="X32" s="33">
        <v>0</v>
      </c>
      <c r="Y32" s="33">
        <v>0</v>
      </c>
      <c r="Z32" s="33">
        <v>0</v>
      </c>
      <c r="AA32" s="33">
        <v>0</v>
      </c>
      <c r="AB32" s="33">
        <v>0</v>
      </c>
      <c r="AC32" s="33">
        <v>0</v>
      </c>
      <c r="AD32" s="33">
        <v>0</v>
      </c>
      <c r="AE32" s="33">
        <v>0</v>
      </c>
      <c r="AF32" s="33"/>
      <c r="AG32" s="33"/>
      <c r="AH32" s="33"/>
      <c r="AI32" s="33"/>
      <c r="AJ32" s="33"/>
      <c r="AK32" s="33"/>
      <c r="AL32" s="33"/>
      <c r="AM32" s="33"/>
      <c r="AN32" s="33"/>
      <c r="AO32" s="33"/>
      <c r="AP32" s="33"/>
    </row>
    <row r="33" spans="1:42" ht="15.75">
      <c r="A33" s="31">
        <v>32</v>
      </c>
      <c r="B33" s="31" t="s">
        <v>65</v>
      </c>
      <c r="C33" s="31" t="s">
        <v>532</v>
      </c>
      <c r="D33" s="31" t="s">
        <v>3</v>
      </c>
      <c r="E33" s="31" t="s">
        <v>544</v>
      </c>
      <c r="F33" s="31">
        <v>2008</v>
      </c>
      <c r="G33" s="33" t="s">
        <v>17</v>
      </c>
      <c r="H33" s="33">
        <v>0</v>
      </c>
      <c r="I33" s="33">
        <v>0</v>
      </c>
      <c r="J33" s="33">
        <v>1.2230000000000001E-2</v>
      </c>
      <c r="K33" s="33">
        <v>1.2230000000000001E-2</v>
      </c>
      <c r="L33" s="33">
        <v>1.2230000000000001E-2</v>
      </c>
      <c r="M33" s="33">
        <v>1.2230000000000001E-2</v>
      </c>
      <c r="N33" s="33">
        <v>1.2230000000000001E-2</v>
      </c>
      <c r="O33" s="33">
        <v>1.2230000000000001E-2</v>
      </c>
      <c r="P33" s="33">
        <v>1.2230000000000001E-2</v>
      </c>
      <c r="Q33" s="33">
        <v>1.2230000000000001E-2</v>
      </c>
      <c r="R33" s="33">
        <v>1.2230000000000001E-2</v>
      </c>
      <c r="S33" s="33">
        <v>1.2230000000000001E-2</v>
      </c>
      <c r="T33" s="33">
        <v>1.2230000000000001E-2</v>
      </c>
      <c r="U33" s="33">
        <v>1.2230000000000001E-2</v>
      </c>
      <c r="V33" s="33">
        <v>1.2230000000000001E-2</v>
      </c>
      <c r="W33" s="33">
        <v>1.2230000000000001E-2</v>
      </c>
      <c r="X33" s="33">
        <v>1.2230000000000001E-2</v>
      </c>
      <c r="Y33" s="33">
        <v>1.2230000000000001E-2</v>
      </c>
      <c r="Z33" s="33">
        <v>1.2230000000000001E-2</v>
      </c>
      <c r="AA33" s="33">
        <v>1.2230000000000001E-2</v>
      </c>
      <c r="AB33" s="33">
        <v>1.2230000000000001E-2</v>
      </c>
      <c r="AC33" s="33">
        <v>1.2230000000000001E-2</v>
      </c>
      <c r="AD33" s="33">
        <v>0</v>
      </c>
      <c r="AE33" s="33">
        <v>0</v>
      </c>
      <c r="AF33" s="33"/>
      <c r="AG33" s="33"/>
      <c r="AH33" s="33"/>
      <c r="AI33" s="33"/>
      <c r="AJ33" s="33"/>
      <c r="AK33" s="33"/>
      <c r="AL33" s="33"/>
      <c r="AM33" s="33"/>
      <c r="AN33" s="33"/>
      <c r="AO33" s="33"/>
      <c r="AP33" s="33"/>
    </row>
    <row r="34" spans="1:42" ht="15.75">
      <c r="A34" s="31">
        <v>33</v>
      </c>
      <c r="B34" s="31" t="s">
        <v>1</v>
      </c>
      <c r="C34" s="31" t="s">
        <v>537</v>
      </c>
      <c r="D34" s="31" t="s">
        <v>3</v>
      </c>
      <c r="E34" s="31" t="s">
        <v>544</v>
      </c>
      <c r="F34" s="31">
        <v>2008</v>
      </c>
      <c r="G34" s="33" t="s">
        <v>17</v>
      </c>
      <c r="H34" s="33">
        <v>0</v>
      </c>
      <c r="I34" s="33">
        <v>0</v>
      </c>
      <c r="J34" s="33">
        <v>0</v>
      </c>
      <c r="K34" s="33">
        <v>0</v>
      </c>
      <c r="L34" s="33">
        <v>0</v>
      </c>
      <c r="M34" s="33">
        <v>0</v>
      </c>
      <c r="N34" s="33">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c r="AF34" s="33"/>
      <c r="AG34" s="33"/>
      <c r="AH34" s="33"/>
      <c r="AI34" s="33"/>
      <c r="AJ34" s="33"/>
      <c r="AK34" s="33"/>
      <c r="AL34" s="33"/>
      <c r="AM34" s="33"/>
      <c r="AN34" s="33"/>
      <c r="AO34" s="33"/>
      <c r="AP34" s="33"/>
    </row>
    <row r="35" spans="1:42" ht="15.75">
      <c r="A35" s="31">
        <v>34</v>
      </c>
      <c r="B35" s="31" t="s">
        <v>62</v>
      </c>
      <c r="C35" s="31" t="s">
        <v>538</v>
      </c>
      <c r="D35" s="31" t="s">
        <v>3</v>
      </c>
      <c r="E35" s="31" t="s">
        <v>544</v>
      </c>
      <c r="F35" s="31">
        <v>2008</v>
      </c>
      <c r="G35" s="33" t="s">
        <v>58</v>
      </c>
      <c r="H35" s="33">
        <v>0</v>
      </c>
      <c r="I35" s="33">
        <v>0</v>
      </c>
      <c r="J35" s="33">
        <v>0</v>
      </c>
      <c r="K35" s="33">
        <v>0</v>
      </c>
      <c r="L35" s="33">
        <v>0</v>
      </c>
      <c r="M35" s="33">
        <v>0</v>
      </c>
      <c r="N35" s="33">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c r="AF35" s="33"/>
      <c r="AG35" s="33"/>
      <c r="AH35" s="33"/>
      <c r="AI35" s="33"/>
      <c r="AJ35" s="33"/>
      <c r="AK35" s="33"/>
      <c r="AL35" s="33"/>
      <c r="AM35" s="33"/>
      <c r="AN35" s="33"/>
      <c r="AO35" s="33"/>
      <c r="AP35" s="33"/>
    </row>
    <row r="36" spans="1:42" ht="15.75">
      <c r="A36" s="31">
        <v>35</v>
      </c>
      <c r="B36" s="31" t="s">
        <v>15</v>
      </c>
      <c r="C36" s="31" t="s">
        <v>524</v>
      </c>
      <c r="D36" s="31" t="s">
        <v>3</v>
      </c>
      <c r="E36" s="31" t="s">
        <v>544</v>
      </c>
      <c r="F36" s="31">
        <v>2009</v>
      </c>
      <c r="G36" s="33" t="s">
        <v>17</v>
      </c>
      <c r="H36" s="33">
        <v>0</v>
      </c>
      <c r="I36" s="33">
        <v>0</v>
      </c>
      <c r="J36" s="33">
        <v>0</v>
      </c>
      <c r="K36" s="33">
        <v>1.7622945066093177E-2</v>
      </c>
      <c r="L36" s="33">
        <v>1.7622945066093177E-2</v>
      </c>
      <c r="M36" s="33">
        <v>1.7622945066093177E-2</v>
      </c>
      <c r="N36" s="33">
        <v>1.7007093418450196E-2</v>
      </c>
      <c r="O36" s="33">
        <v>1.206498763490913E-2</v>
      </c>
      <c r="P36" s="33">
        <v>0</v>
      </c>
      <c r="Q36" s="33">
        <v>0</v>
      </c>
      <c r="R36" s="33">
        <v>0</v>
      </c>
      <c r="S36" s="33">
        <v>0</v>
      </c>
      <c r="T36" s="33">
        <v>0</v>
      </c>
      <c r="U36" s="33">
        <v>0</v>
      </c>
      <c r="V36" s="33">
        <v>0</v>
      </c>
      <c r="W36" s="33">
        <v>0</v>
      </c>
      <c r="X36" s="33">
        <v>0</v>
      </c>
      <c r="Y36" s="33">
        <v>0</v>
      </c>
      <c r="Z36" s="33">
        <v>0</v>
      </c>
      <c r="AA36" s="33">
        <v>0</v>
      </c>
      <c r="AB36" s="33">
        <v>0</v>
      </c>
      <c r="AC36" s="33">
        <v>0</v>
      </c>
      <c r="AD36" s="33">
        <v>0</v>
      </c>
      <c r="AE36" s="33">
        <v>0</v>
      </c>
      <c r="AF36" s="33"/>
      <c r="AG36" s="33"/>
      <c r="AH36" s="33"/>
      <c r="AI36" s="33"/>
      <c r="AJ36" s="33"/>
      <c r="AK36" s="33"/>
      <c r="AL36" s="33"/>
      <c r="AM36" s="33"/>
      <c r="AN36" s="33"/>
      <c r="AO36" s="33"/>
      <c r="AP36" s="33"/>
    </row>
    <row r="37" spans="1:42" ht="15.75">
      <c r="A37" s="31">
        <v>36</v>
      </c>
      <c r="B37" s="31" t="s">
        <v>15</v>
      </c>
      <c r="C37" s="31" t="s">
        <v>533</v>
      </c>
      <c r="D37" s="31" t="s">
        <v>3</v>
      </c>
      <c r="E37" s="31" t="s">
        <v>544</v>
      </c>
      <c r="F37" s="31">
        <v>2009</v>
      </c>
      <c r="G37" s="33" t="s">
        <v>17</v>
      </c>
      <c r="H37" s="33">
        <v>0</v>
      </c>
      <c r="I37" s="33">
        <v>0</v>
      </c>
      <c r="J37" s="33">
        <v>0</v>
      </c>
      <c r="K37" s="33">
        <v>9.6339726886089508E-2</v>
      </c>
      <c r="L37" s="33">
        <v>9.6339726886089508E-2</v>
      </c>
      <c r="M37" s="33">
        <v>9.6339726886089508E-2</v>
      </c>
      <c r="N37" s="33">
        <v>9.5889283688434163E-2</v>
      </c>
      <c r="O37" s="33">
        <v>9.5814937154006352E-2</v>
      </c>
      <c r="P37" s="33">
        <v>9.5770686413772371E-2</v>
      </c>
      <c r="Q37" s="33">
        <v>9.5770686413772371E-2</v>
      </c>
      <c r="R37" s="33">
        <v>9.5770686413772371E-2</v>
      </c>
      <c r="S37" s="33">
        <v>9.5770686413772371E-2</v>
      </c>
      <c r="T37" s="33">
        <v>9.5770686413772371E-2</v>
      </c>
      <c r="U37" s="33">
        <v>9.4310611253790533E-2</v>
      </c>
      <c r="V37" s="33">
        <v>9.4310611253790533E-2</v>
      </c>
      <c r="W37" s="33">
        <v>9.4310611253790533E-2</v>
      </c>
      <c r="X37" s="33">
        <v>9.4310611253790533E-2</v>
      </c>
      <c r="Y37" s="33">
        <v>9.4310611253790533E-2</v>
      </c>
      <c r="Z37" s="33">
        <v>9.201755565670848E-2</v>
      </c>
      <c r="AA37" s="33">
        <v>9.201755565670848E-2</v>
      </c>
      <c r="AB37" s="33">
        <v>9.201755565670848E-2</v>
      </c>
      <c r="AC37" s="33">
        <v>6.7651123459698814E-2</v>
      </c>
      <c r="AD37" s="33">
        <v>0</v>
      </c>
      <c r="AE37" s="33">
        <v>0</v>
      </c>
      <c r="AF37" s="33"/>
      <c r="AG37" s="33"/>
      <c r="AH37" s="33"/>
      <c r="AI37" s="33"/>
      <c r="AJ37" s="33"/>
      <c r="AK37" s="33"/>
      <c r="AL37" s="33"/>
      <c r="AM37" s="33"/>
      <c r="AN37" s="33"/>
      <c r="AO37" s="33"/>
      <c r="AP37" s="33"/>
    </row>
    <row r="38" spans="1:42" ht="15.75">
      <c r="A38" s="31">
        <v>37</v>
      </c>
      <c r="B38" s="31" t="s">
        <v>15</v>
      </c>
      <c r="C38" s="31" t="s">
        <v>534</v>
      </c>
      <c r="D38" s="31" t="s">
        <v>3</v>
      </c>
      <c r="E38" s="31" t="s">
        <v>544</v>
      </c>
      <c r="F38" s="31">
        <v>2009</v>
      </c>
      <c r="G38" s="33" t="s">
        <v>17</v>
      </c>
      <c r="H38" s="33">
        <v>0</v>
      </c>
      <c r="I38" s="33">
        <v>0</v>
      </c>
      <c r="J38" s="33">
        <v>0</v>
      </c>
      <c r="K38" s="33">
        <v>2.5768014820738688E-2</v>
      </c>
      <c r="L38" s="33">
        <v>2.5332323263717503E-2</v>
      </c>
      <c r="M38" s="33">
        <v>2.5332323263717503E-2</v>
      </c>
      <c r="N38" s="33">
        <v>2.5332323263717503E-2</v>
      </c>
      <c r="O38" s="33">
        <v>2.5218581648874513E-2</v>
      </c>
      <c r="P38" s="33">
        <v>2.5218581648874513E-2</v>
      </c>
      <c r="Q38" s="33">
        <v>2.3372467239253285E-2</v>
      </c>
      <c r="R38" s="33">
        <v>2.3372467239253285E-2</v>
      </c>
      <c r="S38" s="33">
        <v>1.7872280585685924E-2</v>
      </c>
      <c r="T38" s="33">
        <v>1.7872280585685924E-2</v>
      </c>
      <c r="U38" s="33">
        <v>1.5862888668755945E-2</v>
      </c>
      <c r="V38" s="33">
        <v>1.5856285998175308E-2</v>
      </c>
      <c r="W38" s="33">
        <v>8.0605704408814403E-3</v>
      </c>
      <c r="X38" s="33">
        <v>8.0605704408814403E-3</v>
      </c>
      <c r="Y38" s="33">
        <v>7.6855221651858435E-3</v>
      </c>
      <c r="Z38" s="33">
        <v>1.3253665025346596E-3</v>
      </c>
      <c r="AA38" s="33">
        <v>5.9356034643395751E-4</v>
      </c>
      <c r="AB38" s="33">
        <v>5.9356034643395751E-4</v>
      </c>
      <c r="AC38" s="33">
        <v>3.7147291538171257E-4</v>
      </c>
      <c r="AD38" s="33">
        <v>3.7147291538171257E-4</v>
      </c>
      <c r="AE38" s="33">
        <v>0</v>
      </c>
      <c r="AF38" s="33"/>
      <c r="AG38" s="33"/>
      <c r="AH38" s="33"/>
      <c r="AI38" s="33"/>
      <c r="AJ38" s="33"/>
      <c r="AK38" s="33"/>
      <c r="AL38" s="33"/>
      <c r="AM38" s="33"/>
      <c r="AN38" s="33"/>
      <c r="AO38" s="33"/>
      <c r="AP38" s="33"/>
    </row>
    <row r="39" spans="1:42" ht="15.75">
      <c r="A39" s="31">
        <v>38</v>
      </c>
      <c r="B39" s="31" t="s">
        <v>65</v>
      </c>
      <c r="C39" s="31" t="s">
        <v>525</v>
      </c>
      <c r="D39" s="31" t="s">
        <v>3</v>
      </c>
      <c r="E39" s="31" t="s">
        <v>544</v>
      </c>
      <c r="F39" s="31">
        <v>2009</v>
      </c>
      <c r="G39" s="33" t="s">
        <v>58</v>
      </c>
      <c r="H39" s="33">
        <v>0</v>
      </c>
      <c r="I39" s="33">
        <v>0</v>
      </c>
      <c r="J39" s="33">
        <v>0</v>
      </c>
      <c r="K39" s="33">
        <v>0</v>
      </c>
      <c r="L39" s="33">
        <v>0</v>
      </c>
      <c r="M39" s="33">
        <v>0</v>
      </c>
      <c r="N39" s="33">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c r="AF39" s="33"/>
      <c r="AG39" s="33"/>
      <c r="AH39" s="33"/>
      <c r="AI39" s="33"/>
      <c r="AJ39" s="33"/>
      <c r="AK39" s="33"/>
      <c r="AL39" s="33"/>
      <c r="AM39" s="33"/>
      <c r="AN39" s="33"/>
      <c r="AO39" s="33"/>
      <c r="AP39" s="33"/>
    </row>
    <row r="40" spans="1:42" ht="15.75">
      <c r="A40" s="31">
        <v>39</v>
      </c>
      <c r="B40" s="31" t="s">
        <v>65</v>
      </c>
      <c r="C40" s="31" t="s">
        <v>531</v>
      </c>
      <c r="D40" s="31" t="s">
        <v>3</v>
      </c>
      <c r="E40" s="31" t="s">
        <v>544</v>
      </c>
      <c r="F40" s="31">
        <v>2009</v>
      </c>
      <c r="G40" s="33" t="s">
        <v>71</v>
      </c>
      <c r="H40" s="33">
        <v>0</v>
      </c>
      <c r="I40" s="33">
        <v>0</v>
      </c>
      <c r="J40" s="33">
        <v>0</v>
      </c>
      <c r="K40" s="33">
        <v>8.3498803827751183E-2</v>
      </c>
      <c r="L40" s="33">
        <v>8.3498803827751183E-2</v>
      </c>
      <c r="M40" s="33">
        <v>8.3498803827751183E-2</v>
      </c>
      <c r="N40" s="33">
        <v>8.3498803827751183E-2</v>
      </c>
      <c r="O40" s="33">
        <v>8.3498803827751183E-2</v>
      </c>
      <c r="P40" s="33">
        <v>8.3498803827751183E-2</v>
      </c>
      <c r="Q40" s="33">
        <v>8.3498803827751183E-2</v>
      </c>
      <c r="R40" s="33">
        <v>6.0340909090909084E-2</v>
      </c>
      <c r="S40" s="33">
        <v>6.0340909090909084E-2</v>
      </c>
      <c r="T40" s="33">
        <v>6.0340909090909084E-2</v>
      </c>
      <c r="U40" s="33">
        <v>6.0340909090909084E-2</v>
      </c>
      <c r="V40" s="33">
        <v>0</v>
      </c>
      <c r="W40" s="33">
        <v>0</v>
      </c>
      <c r="X40" s="33">
        <v>0</v>
      </c>
      <c r="Y40" s="33">
        <v>0</v>
      </c>
      <c r="Z40" s="33">
        <v>0</v>
      </c>
      <c r="AA40" s="33">
        <v>0</v>
      </c>
      <c r="AB40" s="33">
        <v>0</v>
      </c>
      <c r="AC40" s="33">
        <v>0</v>
      </c>
      <c r="AD40" s="33">
        <v>0</v>
      </c>
      <c r="AE40" s="33">
        <v>0</v>
      </c>
      <c r="AF40" s="33"/>
      <c r="AG40" s="33"/>
      <c r="AH40" s="33"/>
      <c r="AI40" s="33"/>
      <c r="AJ40" s="33"/>
      <c r="AK40" s="33"/>
      <c r="AL40" s="33"/>
      <c r="AM40" s="33"/>
      <c r="AN40" s="33"/>
      <c r="AO40" s="33"/>
      <c r="AP40" s="33"/>
    </row>
    <row r="41" spans="1:42" ht="15.75">
      <c r="A41" s="31">
        <v>40</v>
      </c>
      <c r="B41" s="31" t="s">
        <v>69</v>
      </c>
      <c r="C41" s="31" t="s">
        <v>139</v>
      </c>
      <c r="D41" s="31" t="s">
        <v>3</v>
      </c>
      <c r="E41" s="31" t="s">
        <v>544</v>
      </c>
      <c r="F41" s="31">
        <v>2009</v>
      </c>
      <c r="G41" s="33" t="s">
        <v>58</v>
      </c>
      <c r="H41" s="33">
        <v>0</v>
      </c>
      <c r="I41" s="33">
        <v>0</v>
      </c>
      <c r="J41" s="33">
        <v>0</v>
      </c>
      <c r="K41" s="33">
        <v>0</v>
      </c>
      <c r="L41" s="33">
        <v>0</v>
      </c>
      <c r="M41" s="33">
        <v>0</v>
      </c>
      <c r="N41" s="33">
        <v>0</v>
      </c>
      <c r="O41" s="33">
        <v>0</v>
      </c>
      <c r="P41" s="33">
        <v>0</v>
      </c>
      <c r="Q41" s="33">
        <v>0</v>
      </c>
      <c r="R41" s="33">
        <v>0</v>
      </c>
      <c r="S41" s="33">
        <v>0</v>
      </c>
      <c r="T41" s="33">
        <v>0</v>
      </c>
      <c r="U41" s="33">
        <v>0</v>
      </c>
      <c r="V41" s="33">
        <v>0</v>
      </c>
      <c r="W41" s="33">
        <v>0</v>
      </c>
      <c r="X41" s="33">
        <v>0</v>
      </c>
      <c r="Y41" s="33">
        <v>0</v>
      </c>
      <c r="Z41" s="33">
        <v>0</v>
      </c>
      <c r="AA41" s="33">
        <v>0</v>
      </c>
      <c r="AB41" s="33">
        <v>0</v>
      </c>
      <c r="AC41" s="33">
        <v>0</v>
      </c>
      <c r="AD41" s="33">
        <v>0</v>
      </c>
      <c r="AE41" s="33">
        <v>0</v>
      </c>
      <c r="AF41" s="33"/>
      <c r="AG41" s="33"/>
      <c r="AH41" s="33"/>
      <c r="AI41" s="33"/>
      <c r="AJ41" s="33"/>
      <c r="AK41" s="33"/>
      <c r="AL41" s="33"/>
      <c r="AM41" s="33"/>
      <c r="AN41" s="33"/>
      <c r="AO41" s="33"/>
      <c r="AP41" s="33"/>
    </row>
    <row r="42" spans="1:42" ht="15.75">
      <c r="A42" s="31">
        <v>41</v>
      </c>
      <c r="B42" s="31" t="s">
        <v>1</v>
      </c>
      <c r="C42" s="31" t="s">
        <v>42</v>
      </c>
      <c r="D42" s="31" t="s">
        <v>3</v>
      </c>
      <c r="E42" s="31" t="s">
        <v>544</v>
      </c>
      <c r="F42" s="31">
        <v>2009</v>
      </c>
      <c r="G42" s="33" t="s">
        <v>71</v>
      </c>
      <c r="H42" s="33">
        <v>0</v>
      </c>
      <c r="I42" s="33">
        <v>0</v>
      </c>
      <c r="J42" s="33">
        <v>0</v>
      </c>
      <c r="K42" s="33">
        <v>2.6484318261489666E-2</v>
      </c>
      <c r="L42" s="33">
        <v>2.6484318261489666E-2</v>
      </c>
      <c r="M42" s="33">
        <v>2.6484318261489666E-2</v>
      </c>
      <c r="N42" s="33">
        <v>2.6484318261489666E-2</v>
      </c>
      <c r="O42" s="33">
        <v>2.6484318261489666E-2</v>
      </c>
      <c r="P42" s="33">
        <v>2.6484318261489666E-2</v>
      </c>
      <c r="Q42" s="33">
        <v>2.6484318261489666E-2</v>
      </c>
      <c r="R42" s="33">
        <v>2.6484318261489666E-2</v>
      </c>
      <c r="S42" s="33">
        <v>2.6484318261489666E-2</v>
      </c>
      <c r="T42" s="33">
        <v>2.6484318261489666E-2</v>
      </c>
      <c r="U42" s="33">
        <v>2.6484318261489666E-2</v>
      </c>
      <c r="V42" s="33">
        <v>2.6484318261489666E-2</v>
      </c>
      <c r="W42" s="33">
        <v>2.6484318261489666E-2</v>
      </c>
      <c r="X42" s="33">
        <v>2.6484318261489666E-2</v>
      </c>
      <c r="Y42" s="33">
        <v>2.6484318261489666E-2</v>
      </c>
      <c r="Z42" s="33">
        <v>2.6484318261489666E-2</v>
      </c>
      <c r="AA42" s="33">
        <v>2.6484318261489666E-2</v>
      </c>
      <c r="AB42" s="33">
        <v>2.6484318261489666E-2</v>
      </c>
      <c r="AC42" s="33">
        <v>2.6484318261489666E-2</v>
      </c>
      <c r="AD42" s="33">
        <v>2.6484318261489666E-2</v>
      </c>
      <c r="AE42" s="33">
        <v>0</v>
      </c>
      <c r="AF42" s="33"/>
      <c r="AG42" s="33"/>
      <c r="AH42" s="33"/>
      <c r="AI42" s="33"/>
      <c r="AJ42" s="33"/>
      <c r="AK42" s="33"/>
      <c r="AL42" s="33"/>
      <c r="AM42" s="33"/>
      <c r="AN42" s="33"/>
      <c r="AO42" s="33"/>
      <c r="AP42" s="33"/>
    </row>
    <row r="43" spans="1:42" ht="15.75">
      <c r="A43" s="31">
        <v>42</v>
      </c>
      <c r="B43" s="31" t="s">
        <v>1</v>
      </c>
      <c r="C43" s="31" t="s">
        <v>536</v>
      </c>
      <c r="D43" s="31" t="s">
        <v>3</v>
      </c>
      <c r="E43" s="31" t="s">
        <v>544</v>
      </c>
      <c r="F43" s="31">
        <v>2009</v>
      </c>
      <c r="G43" s="33" t="s">
        <v>70</v>
      </c>
      <c r="H43" s="33">
        <v>0</v>
      </c>
      <c r="I43" s="33">
        <v>0</v>
      </c>
      <c r="J43" s="33">
        <v>0</v>
      </c>
      <c r="K43" s="33">
        <v>0.17507897077314688</v>
      </c>
      <c r="L43" s="33">
        <v>0.17507897077314688</v>
      </c>
      <c r="M43" s="33">
        <v>0.17507897077314688</v>
      </c>
      <c r="N43" s="33">
        <v>0.17507897077314688</v>
      </c>
      <c r="O43" s="33">
        <v>0.17507897077314688</v>
      </c>
      <c r="P43" s="33">
        <v>0.17507897077314688</v>
      </c>
      <c r="Q43" s="33">
        <v>0.17507897077314688</v>
      </c>
      <c r="R43" s="33">
        <v>0.17507897077314688</v>
      </c>
      <c r="S43" s="33">
        <v>0.17507897077314688</v>
      </c>
      <c r="T43" s="33">
        <v>0</v>
      </c>
      <c r="U43" s="33">
        <v>0</v>
      </c>
      <c r="V43" s="33">
        <v>0</v>
      </c>
      <c r="W43" s="33">
        <v>0</v>
      </c>
      <c r="X43" s="33">
        <v>0</v>
      </c>
      <c r="Y43" s="33">
        <v>0</v>
      </c>
      <c r="Z43" s="33">
        <v>0</v>
      </c>
      <c r="AA43" s="33">
        <v>0</v>
      </c>
      <c r="AB43" s="33">
        <v>0</v>
      </c>
      <c r="AC43" s="33">
        <v>0</v>
      </c>
      <c r="AD43" s="33">
        <v>0</v>
      </c>
      <c r="AE43" s="33">
        <v>0</v>
      </c>
      <c r="AF43" s="33"/>
      <c r="AG43" s="33"/>
      <c r="AH43" s="33"/>
      <c r="AI43" s="33"/>
      <c r="AJ43" s="33"/>
      <c r="AK43" s="33"/>
      <c r="AL43" s="33"/>
      <c r="AM43" s="33"/>
      <c r="AN43" s="33"/>
      <c r="AO43" s="33"/>
      <c r="AP43" s="33"/>
    </row>
    <row r="44" spans="1:42" ht="15.75">
      <c r="A44" s="31">
        <v>43</v>
      </c>
      <c r="B44" s="31" t="s">
        <v>60</v>
      </c>
      <c r="C44" s="31" t="s">
        <v>59</v>
      </c>
      <c r="D44" s="31" t="s">
        <v>3</v>
      </c>
      <c r="E44" s="31" t="s">
        <v>544</v>
      </c>
      <c r="F44" s="31">
        <v>2009</v>
      </c>
      <c r="G44" s="33" t="s">
        <v>58</v>
      </c>
      <c r="H44" s="33">
        <v>0</v>
      </c>
      <c r="I44" s="33">
        <v>0</v>
      </c>
      <c r="J44" s="33">
        <v>0</v>
      </c>
      <c r="K44" s="33">
        <v>0</v>
      </c>
      <c r="L44" s="33">
        <v>0</v>
      </c>
      <c r="M44" s="33">
        <v>0</v>
      </c>
      <c r="N44" s="33">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c r="AF44" s="33"/>
      <c r="AG44" s="33"/>
      <c r="AH44" s="33"/>
      <c r="AI44" s="33"/>
      <c r="AJ44" s="33"/>
      <c r="AK44" s="33"/>
      <c r="AL44" s="33"/>
      <c r="AM44" s="33"/>
      <c r="AN44" s="33"/>
      <c r="AO44" s="33"/>
      <c r="AP44" s="33"/>
    </row>
    <row r="45" spans="1:42" ht="15.75">
      <c r="A45" s="31">
        <v>44</v>
      </c>
      <c r="B45" s="31" t="s">
        <v>62</v>
      </c>
      <c r="C45" s="31" t="s">
        <v>523</v>
      </c>
      <c r="D45" s="31" t="s">
        <v>3</v>
      </c>
      <c r="E45" s="31" t="s">
        <v>544</v>
      </c>
      <c r="F45" s="31">
        <v>2009</v>
      </c>
      <c r="G45" s="33" t="s">
        <v>71</v>
      </c>
      <c r="H45" s="33">
        <v>0</v>
      </c>
      <c r="I45" s="33">
        <v>0</v>
      </c>
      <c r="J45" s="33">
        <v>0</v>
      </c>
      <c r="K45" s="33">
        <v>1.1957688458910378</v>
      </c>
      <c r="L45" s="33">
        <v>0</v>
      </c>
      <c r="M45" s="33">
        <v>0</v>
      </c>
      <c r="N45" s="33">
        <v>0</v>
      </c>
      <c r="O45" s="33">
        <v>0</v>
      </c>
      <c r="P45" s="33">
        <v>0</v>
      </c>
      <c r="Q45" s="33">
        <v>0</v>
      </c>
      <c r="R45" s="33">
        <v>0</v>
      </c>
      <c r="S45" s="33">
        <v>0</v>
      </c>
      <c r="T45" s="33">
        <v>0</v>
      </c>
      <c r="U45" s="33">
        <v>0</v>
      </c>
      <c r="V45" s="33">
        <v>0</v>
      </c>
      <c r="W45" s="33">
        <v>0</v>
      </c>
      <c r="X45" s="33">
        <v>0</v>
      </c>
      <c r="Y45" s="33">
        <v>0</v>
      </c>
      <c r="Z45" s="33">
        <v>0</v>
      </c>
      <c r="AA45" s="33">
        <v>0</v>
      </c>
      <c r="AB45" s="33">
        <v>0</v>
      </c>
      <c r="AC45" s="33">
        <v>0</v>
      </c>
      <c r="AD45" s="33">
        <v>0</v>
      </c>
      <c r="AE45" s="33">
        <v>0</v>
      </c>
      <c r="AF45" s="33"/>
      <c r="AG45" s="33"/>
      <c r="AH45" s="33"/>
      <c r="AI45" s="33"/>
      <c r="AJ45" s="33"/>
      <c r="AK45" s="33"/>
      <c r="AL45" s="33"/>
      <c r="AM45" s="33"/>
      <c r="AN45" s="33"/>
      <c r="AO45" s="33"/>
      <c r="AP45" s="33"/>
    </row>
    <row r="46" spans="1:42" ht="15.75">
      <c r="A46" s="31">
        <v>45</v>
      </c>
      <c r="B46" s="31" t="s">
        <v>62</v>
      </c>
      <c r="C46" s="31" t="s">
        <v>61</v>
      </c>
      <c r="D46" s="31" t="s">
        <v>3</v>
      </c>
      <c r="E46" s="31" t="s">
        <v>544</v>
      </c>
      <c r="F46" s="31">
        <v>2009</v>
      </c>
      <c r="G46" s="33" t="s">
        <v>71</v>
      </c>
      <c r="H46" s="33">
        <v>0</v>
      </c>
      <c r="I46" s="33">
        <v>0</v>
      </c>
      <c r="J46" s="33">
        <v>0</v>
      </c>
      <c r="K46" s="33">
        <v>0.81196286825126107</v>
      </c>
      <c r="L46" s="33">
        <v>0</v>
      </c>
      <c r="M46" s="33">
        <v>0</v>
      </c>
      <c r="N46" s="33">
        <v>0</v>
      </c>
      <c r="O46" s="33">
        <v>0</v>
      </c>
      <c r="P46" s="33">
        <v>0</v>
      </c>
      <c r="Q46" s="33">
        <v>0</v>
      </c>
      <c r="R46" s="33">
        <v>0</v>
      </c>
      <c r="S46" s="33">
        <v>0</v>
      </c>
      <c r="T46" s="33">
        <v>0</v>
      </c>
      <c r="U46" s="33">
        <v>0</v>
      </c>
      <c r="V46" s="33">
        <v>0</v>
      </c>
      <c r="W46" s="33">
        <v>0</v>
      </c>
      <c r="X46" s="33">
        <v>0</v>
      </c>
      <c r="Y46" s="33">
        <v>0</v>
      </c>
      <c r="Z46" s="33">
        <v>0</v>
      </c>
      <c r="AA46" s="33">
        <v>0</v>
      </c>
      <c r="AB46" s="33">
        <v>0</v>
      </c>
      <c r="AC46" s="33">
        <v>0</v>
      </c>
      <c r="AD46" s="33">
        <v>0</v>
      </c>
      <c r="AE46" s="33">
        <v>0</v>
      </c>
      <c r="AF46" s="33"/>
      <c r="AG46" s="33"/>
      <c r="AH46" s="33"/>
      <c r="AI46" s="33"/>
      <c r="AJ46" s="33"/>
      <c r="AK46" s="33"/>
      <c r="AL46" s="33"/>
      <c r="AM46" s="33"/>
      <c r="AN46" s="33"/>
      <c r="AO46" s="33"/>
      <c r="AP46" s="33"/>
    </row>
    <row r="47" spans="1:42" ht="15.75">
      <c r="A47" s="31">
        <v>46</v>
      </c>
      <c r="B47" s="31" t="s">
        <v>62</v>
      </c>
      <c r="C47" s="31" t="s">
        <v>49</v>
      </c>
      <c r="D47" s="31" t="s">
        <v>3</v>
      </c>
      <c r="E47" s="31" t="s">
        <v>544</v>
      </c>
      <c r="F47" s="31">
        <v>2009</v>
      </c>
      <c r="G47" s="33" t="s">
        <v>71</v>
      </c>
      <c r="H47" s="33">
        <v>0</v>
      </c>
      <c r="I47" s="33">
        <v>0</v>
      </c>
      <c r="J47" s="33">
        <v>0</v>
      </c>
      <c r="K47" s="33">
        <v>1.1599469546446588</v>
      </c>
      <c r="L47" s="33">
        <v>0</v>
      </c>
      <c r="M47" s="33">
        <v>0</v>
      </c>
      <c r="N47" s="33">
        <v>0</v>
      </c>
      <c r="O47" s="33">
        <v>0</v>
      </c>
      <c r="P47" s="33">
        <v>0</v>
      </c>
      <c r="Q47" s="33">
        <v>0</v>
      </c>
      <c r="R47" s="33">
        <v>0</v>
      </c>
      <c r="S47" s="33">
        <v>0</v>
      </c>
      <c r="T47" s="33">
        <v>0</v>
      </c>
      <c r="U47" s="33">
        <v>0</v>
      </c>
      <c r="V47" s="33">
        <v>0</v>
      </c>
      <c r="W47" s="33">
        <v>0</v>
      </c>
      <c r="X47" s="33">
        <v>0</v>
      </c>
      <c r="Y47" s="33">
        <v>0</v>
      </c>
      <c r="Z47" s="33">
        <v>0</v>
      </c>
      <c r="AA47" s="33">
        <v>0</v>
      </c>
      <c r="AB47" s="33">
        <v>0</v>
      </c>
      <c r="AC47" s="33">
        <v>0</v>
      </c>
      <c r="AD47" s="33">
        <v>0</v>
      </c>
      <c r="AE47" s="33">
        <v>0</v>
      </c>
      <c r="AF47" s="33"/>
      <c r="AG47" s="33"/>
      <c r="AH47" s="33"/>
      <c r="AI47" s="33"/>
      <c r="AJ47" s="33"/>
      <c r="AK47" s="33"/>
      <c r="AL47" s="33"/>
      <c r="AM47" s="33"/>
      <c r="AN47" s="33"/>
      <c r="AO47" s="33"/>
      <c r="AP47" s="33"/>
    </row>
    <row r="48" spans="1:42" ht="15.75">
      <c r="A48" s="31">
        <v>47</v>
      </c>
      <c r="B48" s="31" t="s">
        <v>62</v>
      </c>
      <c r="C48" s="31" t="s">
        <v>63</v>
      </c>
      <c r="D48" s="31" t="s">
        <v>3</v>
      </c>
      <c r="E48" s="31" t="s">
        <v>544</v>
      </c>
      <c r="F48" s="31">
        <v>2009</v>
      </c>
      <c r="G48" s="33" t="s">
        <v>71</v>
      </c>
      <c r="H48" s="33">
        <v>0</v>
      </c>
      <c r="I48" s="33">
        <v>0</v>
      </c>
      <c r="J48" s="33">
        <v>0</v>
      </c>
      <c r="K48" s="33">
        <v>0.19930617967747344</v>
      </c>
      <c r="L48" s="33">
        <v>0</v>
      </c>
      <c r="M48" s="33">
        <v>0</v>
      </c>
      <c r="N48" s="33">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c r="AF48" s="33"/>
      <c r="AG48" s="33"/>
      <c r="AH48" s="33"/>
      <c r="AI48" s="33"/>
      <c r="AJ48" s="33"/>
      <c r="AK48" s="33"/>
      <c r="AL48" s="33"/>
      <c r="AM48" s="33"/>
      <c r="AN48" s="33"/>
      <c r="AO48" s="33"/>
      <c r="AP48" s="33"/>
    </row>
    <row r="49" spans="1:42" ht="15.75">
      <c r="A49" s="31">
        <v>48</v>
      </c>
      <c r="B49" s="31" t="s">
        <v>15</v>
      </c>
      <c r="C49" s="31" t="s">
        <v>539</v>
      </c>
      <c r="D49" s="31" t="s">
        <v>3</v>
      </c>
      <c r="E49" s="31" t="s">
        <v>544</v>
      </c>
      <c r="F49" s="31">
        <v>2009</v>
      </c>
      <c r="G49" s="33" t="s">
        <v>58</v>
      </c>
      <c r="H49" s="33">
        <v>0</v>
      </c>
      <c r="I49" s="33">
        <v>0</v>
      </c>
      <c r="J49" s="33">
        <v>0</v>
      </c>
      <c r="K49" s="33">
        <v>0</v>
      </c>
      <c r="L49" s="33">
        <v>0</v>
      </c>
      <c r="M49" s="33">
        <v>0</v>
      </c>
      <c r="N49" s="33">
        <v>0</v>
      </c>
      <c r="O49" s="33">
        <v>0</v>
      </c>
      <c r="P49" s="33">
        <v>0</v>
      </c>
      <c r="Q49" s="33">
        <v>0</v>
      </c>
      <c r="R49" s="33">
        <v>0</v>
      </c>
      <c r="S49" s="33">
        <v>0</v>
      </c>
      <c r="T49" s="33">
        <v>0</v>
      </c>
      <c r="U49" s="33">
        <v>0</v>
      </c>
      <c r="V49" s="33">
        <v>0</v>
      </c>
      <c r="W49" s="33">
        <v>0</v>
      </c>
      <c r="X49" s="33">
        <v>0</v>
      </c>
      <c r="Y49" s="33">
        <v>0</v>
      </c>
      <c r="Z49" s="33">
        <v>0</v>
      </c>
      <c r="AA49" s="33">
        <v>0</v>
      </c>
      <c r="AB49" s="33">
        <v>0</v>
      </c>
      <c r="AC49" s="33">
        <v>0</v>
      </c>
      <c r="AD49" s="33">
        <v>0</v>
      </c>
      <c r="AE49" s="33">
        <v>0</v>
      </c>
      <c r="AF49" s="33"/>
      <c r="AG49" s="33"/>
      <c r="AH49" s="33"/>
      <c r="AI49" s="33"/>
      <c r="AJ49" s="33"/>
      <c r="AK49" s="33"/>
      <c r="AL49" s="33"/>
      <c r="AM49" s="33"/>
      <c r="AN49" s="33"/>
      <c r="AO49" s="33"/>
      <c r="AP49" s="33"/>
    </row>
    <row r="50" spans="1:42" ht="15.75">
      <c r="A50" s="31">
        <v>49</v>
      </c>
      <c r="B50" s="31" t="s">
        <v>15</v>
      </c>
      <c r="C50" s="31" t="s">
        <v>540</v>
      </c>
      <c r="D50" s="31" t="s">
        <v>3</v>
      </c>
      <c r="E50" s="31" t="s">
        <v>544</v>
      </c>
      <c r="F50" s="31">
        <v>2009</v>
      </c>
      <c r="G50" s="33" t="s">
        <v>58</v>
      </c>
      <c r="H50" s="33">
        <v>0</v>
      </c>
      <c r="I50" s="33">
        <v>0</v>
      </c>
      <c r="J50" s="33">
        <v>0</v>
      </c>
      <c r="K50" s="33">
        <v>0</v>
      </c>
      <c r="L50" s="33">
        <v>0</v>
      </c>
      <c r="M50" s="33">
        <v>0</v>
      </c>
      <c r="N50" s="33">
        <v>0</v>
      </c>
      <c r="O50" s="33">
        <v>0</v>
      </c>
      <c r="P50" s="33">
        <v>0</v>
      </c>
      <c r="Q50" s="33">
        <v>0</v>
      </c>
      <c r="R50" s="33">
        <v>0</v>
      </c>
      <c r="S50" s="33">
        <v>0</v>
      </c>
      <c r="T50" s="33">
        <v>0</v>
      </c>
      <c r="U50" s="33">
        <v>0</v>
      </c>
      <c r="V50" s="33">
        <v>0</v>
      </c>
      <c r="W50" s="33">
        <v>0</v>
      </c>
      <c r="X50" s="33">
        <v>0</v>
      </c>
      <c r="Y50" s="33">
        <v>0</v>
      </c>
      <c r="Z50" s="33">
        <v>0</v>
      </c>
      <c r="AA50" s="33">
        <v>0</v>
      </c>
      <c r="AB50" s="33">
        <v>0</v>
      </c>
      <c r="AC50" s="33">
        <v>0</v>
      </c>
      <c r="AD50" s="33">
        <v>0</v>
      </c>
      <c r="AE50" s="33">
        <v>0</v>
      </c>
      <c r="AF50" s="33"/>
      <c r="AG50" s="33"/>
      <c r="AH50" s="33"/>
      <c r="AI50" s="33"/>
      <c r="AJ50" s="33"/>
      <c r="AK50" s="33"/>
      <c r="AL50" s="33"/>
      <c r="AM50" s="33"/>
      <c r="AN50" s="33"/>
      <c r="AO50" s="33"/>
      <c r="AP50" s="33"/>
    </row>
    <row r="51" spans="1:42" ht="15.75">
      <c r="A51" s="31">
        <v>50</v>
      </c>
      <c r="B51" s="31" t="s">
        <v>1</v>
      </c>
      <c r="C51" s="31" t="s">
        <v>541</v>
      </c>
      <c r="D51" s="31" t="s">
        <v>3</v>
      </c>
      <c r="E51" s="31" t="s">
        <v>544</v>
      </c>
      <c r="F51" s="31">
        <v>2009</v>
      </c>
      <c r="G51" s="33" t="s">
        <v>58</v>
      </c>
      <c r="H51" s="33">
        <v>0</v>
      </c>
      <c r="I51" s="33">
        <v>0</v>
      </c>
      <c r="J51" s="33">
        <v>0</v>
      </c>
      <c r="K51" s="33">
        <v>0</v>
      </c>
      <c r="L51" s="33">
        <v>0</v>
      </c>
      <c r="M51" s="33">
        <v>0</v>
      </c>
      <c r="N51" s="33">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c r="AF51" s="33"/>
      <c r="AG51" s="33"/>
      <c r="AH51" s="33"/>
      <c r="AI51" s="33"/>
      <c r="AJ51" s="33"/>
      <c r="AK51" s="33"/>
      <c r="AL51" s="33"/>
      <c r="AM51" s="33"/>
      <c r="AN51" s="33"/>
      <c r="AO51" s="33"/>
      <c r="AP51" s="33"/>
    </row>
    <row r="52" spans="1:42" ht="15.75">
      <c r="A52" s="31">
        <v>51</v>
      </c>
      <c r="B52" s="31" t="s">
        <v>65</v>
      </c>
      <c r="C52" s="31" t="s">
        <v>542</v>
      </c>
      <c r="D52" s="31" t="s">
        <v>3</v>
      </c>
      <c r="E52" s="31" t="s">
        <v>544</v>
      </c>
      <c r="F52" s="31">
        <v>2008</v>
      </c>
      <c r="G52" s="33" t="s">
        <v>58</v>
      </c>
      <c r="H52" s="33">
        <v>0</v>
      </c>
      <c r="I52" s="33">
        <v>0</v>
      </c>
      <c r="J52" s="33">
        <v>0</v>
      </c>
      <c r="K52" s="33">
        <v>0</v>
      </c>
      <c r="L52" s="33">
        <v>0</v>
      </c>
      <c r="M52" s="33">
        <v>0</v>
      </c>
      <c r="N52" s="33">
        <v>0</v>
      </c>
      <c r="O52" s="33">
        <v>0</v>
      </c>
      <c r="P52" s="33">
        <v>0</v>
      </c>
      <c r="Q52" s="33">
        <v>0</v>
      </c>
      <c r="R52" s="33">
        <v>0</v>
      </c>
      <c r="S52" s="33">
        <v>0</v>
      </c>
      <c r="T52" s="33">
        <v>0</v>
      </c>
      <c r="U52" s="33">
        <v>0</v>
      </c>
      <c r="V52" s="33">
        <v>0</v>
      </c>
      <c r="W52" s="33">
        <v>0</v>
      </c>
      <c r="X52" s="33">
        <v>0</v>
      </c>
      <c r="Y52" s="33">
        <v>0</v>
      </c>
      <c r="Z52" s="33">
        <v>0</v>
      </c>
      <c r="AA52" s="33">
        <v>0</v>
      </c>
      <c r="AB52" s="33">
        <v>0</v>
      </c>
      <c r="AC52" s="33">
        <v>0</v>
      </c>
      <c r="AD52" s="33">
        <v>0</v>
      </c>
      <c r="AE52" s="33">
        <v>0</v>
      </c>
      <c r="AF52" s="33"/>
      <c r="AG52" s="33"/>
      <c r="AH52" s="33"/>
      <c r="AI52" s="33"/>
      <c r="AJ52" s="33"/>
      <c r="AK52" s="33"/>
      <c r="AL52" s="33"/>
      <c r="AM52" s="33"/>
      <c r="AN52" s="33"/>
      <c r="AO52" s="33"/>
      <c r="AP52" s="33"/>
    </row>
    <row r="53" spans="1:42" ht="15.75">
      <c r="A53" s="31">
        <v>52</v>
      </c>
      <c r="B53" s="31" t="s">
        <v>62</v>
      </c>
      <c r="C53" s="31" t="s">
        <v>543</v>
      </c>
      <c r="D53" s="31" t="s">
        <v>3</v>
      </c>
      <c r="E53" s="31" t="s">
        <v>544</v>
      </c>
      <c r="F53" s="31">
        <v>2008</v>
      </c>
      <c r="G53" s="33" t="s">
        <v>58</v>
      </c>
      <c r="H53" s="33">
        <v>0</v>
      </c>
      <c r="I53" s="33">
        <v>0</v>
      </c>
      <c r="J53" s="33">
        <v>0</v>
      </c>
      <c r="K53" s="33">
        <v>0</v>
      </c>
      <c r="L53" s="33">
        <v>0</v>
      </c>
      <c r="M53" s="33">
        <v>0</v>
      </c>
      <c r="N53" s="33">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c r="AF53" s="33"/>
      <c r="AG53" s="33"/>
      <c r="AH53" s="33"/>
      <c r="AI53" s="33"/>
      <c r="AJ53" s="33"/>
      <c r="AK53" s="33"/>
      <c r="AL53" s="33"/>
      <c r="AM53" s="33"/>
      <c r="AN53" s="33"/>
      <c r="AO53" s="33"/>
      <c r="AP53" s="33"/>
    </row>
    <row r="54" spans="1:42" ht="15.75">
      <c r="A54" s="31">
        <v>53</v>
      </c>
      <c r="B54" s="31" t="s">
        <v>15</v>
      </c>
      <c r="C54" s="31" t="s">
        <v>524</v>
      </c>
      <c r="D54" s="31" t="s">
        <v>3</v>
      </c>
      <c r="E54" s="31" t="s">
        <v>544</v>
      </c>
      <c r="F54" s="31">
        <v>2010</v>
      </c>
      <c r="G54" s="33" t="s">
        <v>17</v>
      </c>
      <c r="H54" s="33">
        <v>0</v>
      </c>
      <c r="I54" s="33">
        <v>0</v>
      </c>
      <c r="J54" s="33">
        <v>0</v>
      </c>
      <c r="K54" s="33">
        <v>0</v>
      </c>
      <c r="L54" s="33">
        <v>1.3571767054916849E-2</v>
      </c>
      <c r="M54" s="33">
        <v>1.3571767054916849E-2</v>
      </c>
      <c r="N54" s="33">
        <v>1.3571767054916849E-2</v>
      </c>
      <c r="O54" s="33">
        <v>1.2617838813460935E-2</v>
      </c>
      <c r="P54" s="33">
        <v>9.0288108236690826E-3</v>
      </c>
      <c r="Q54" s="33">
        <v>0</v>
      </c>
      <c r="R54" s="33">
        <v>0</v>
      </c>
      <c r="S54" s="33">
        <v>0</v>
      </c>
      <c r="T54" s="33">
        <v>0</v>
      </c>
      <c r="U54" s="33">
        <v>0</v>
      </c>
      <c r="V54" s="33">
        <v>0</v>
      </c>
      <c r="W54" s="33">
        <v>0</v>
      </c>
      <c r="X54" s="33">
        <v>0</v>
      </c>
      <c r="Y54" s="33">
        <v>0</v>
      </c>
      <c r="Z54" s="33">
        <v>0</v>
      </c>
      <c r="AA54" s="33">
        <v>0</v>
      </c>
      <c r="AB54" s="33">
        <v>0</v>
      </c>
      <c r="AC54" s="33">
        <v>0</v>
      </c>
      <c r="AD54" s="33">
        <v>0</v>
      </c>
      <c r="AE54" s="33">
        <v>0</v>
      </c>
      <c r="AF54" s="33"/>
      <c r="AG54" s="33"/>
      <c r="AH54" s="33"/>
      <c r="AI54" s="33"/>
      <c r="AJ54" s="33"/>
      <c r="AK54" s="33"/>
      <c r="AL54" s="33"/>
      <c r="AM54" s="33"/>
      <c r="AN54" s="33"/>
      <c r="AO54" s="33"/>
      <c r="AP54" s="33"/>
    </row>
    <row r="55" spans="1:42" ht="15.75">
      <c r="A55" s="31">
        <v>54</v>
      </c>
      <c r="B55" s="31" t="s">
        <v>15</v>
      </c>
      <c r="C55" s="31" t="s">
        <v>533</v>
      </c>
      <c r="D55" s="31" t="s">
        <v>3</v>
      </c>
      <c r="E55" s="31" t="s">
        <v>544</v>
      </c>
      <c r="F55" s="31">
        <v>2010</v>
      </c>
      <c r="G55" s="33" t="s">
        <v>17</v>
      </c>
      <c r="H55" s="33">
        <v>0</v>
      </c>
      <c r="I55" s="33">
        <v>0</v>
      </c>
      <c r="J55" s="33">
        <v>0</v>
      </c>
      <c r="K55" s="33">
        <v>0</v>
      </c>
      <c r="L55" s="33">
        <v>4.5320049962194832E-2</v>
      </c>
      <c r="M55" s="33">
        <v>4.5320049962194832E-2</v>
      </c>
      <c r="N55" s="33">
        <v>4.5320049962194832E-2</v>
      </c>
      <c r="O55" s="33">
        <v>4.5320049962194832E-2</v>
      </c>
      <c r="P55" s="33">
        <v>4.5320049962194832E-2</v>
      </c>
      <c r="Q55" s="33">
        <v>4.5320049962194832E-2</v>
      </c>
      <c r="R55" s="33">
        <v>4.5320049962194832E-2</v>
      </c>
      <c r="S55" s="33">
        <v>4.5320049962194832E-2</v>
      </c>
      <c r="T55" s="33">
        <v>4.5320049962194832E-2</v>
      </c>
      <c r="U55" s="33">
        <v>4.5320049962194832E-2</v>
      </c>
      <c r="V55" s="33">
        <v>4.5320049962194832E-2</v>
      </c>
      <c r="W55" s="33">
        <v>4.5320049962194832E-2</v>
      </c>
      <c r="X55" s="33">
        <v>4.5320049962194832E-2</v>
      </c>
      <c r="Y55" s="33">
        <v>4.5320049962194832E-2</v>
      </c>
      <c r="Z55" s="33">
        <v>4.5320049962194832E-2</v>
      </c>
      <c r="AA55" s="33">
        <v>4.4345889124962512E-2</v>
      </c>
      <c r="AB55" s="33">
        <v>4.4345889124962512E-2</v>
      </c>
      <c r="AC55" s="33">
        <v>4.4345889124962512E-2</v>
      </c>
      <c r="AD55" s="33">
        <v>3.9851884381790312E-2</v>
      </c>
      <c r="AE55" s="33">
        <v>0</v>
      </c>
      <c r="AF55" s="33"/>
      <c r="AG55" s="33"/>
      <c r="AH55" s="33"/>
      <c r="AI55" s="33"/>
      <c r="AJ55" s="33"/>
      <c r="AK55" s="33"/>
      <c r="AL55" s="33"/>
      <c r="AM55" s="33"/>
      <c r="AN55" s="33"/>
      <c r="AO55" s="33"/>
      <c r="AP55" s="33"/>
    </row>
    <row r="56" spans="1:42" ht="15.75">
      <c r="A56" s="31">
        <v>55</v>
      </c>
      <c r="B56" s="31" t="s">
        <v>15</v>
      </c>
      <c r="C56" s="31" t="s">
        <v>534</v>
      </c>
      <c r="D56" s="31" t="s">
        <v>3</v>
      </c>
      <c r="E56" s="31" t="s">
        <v>544</v>
      </c>
      <c r="F56" s="31">
        <v>2010</v>
      </c>
      <c r="G56" s="33" t="s">
        <v>17</v>
      </c>
      <c r="H56" s="33">
        <v>0</v>
      </c>
      <c r="I56" s="33">
        <v>0</v>
      </c>
      <c r="J56" s="33">
        <v>0</v>
      </c>
      <c r="K56" s="33">
        <v>0</v>
      </c>
      <c r="L56" s="33">
        <v>7.9102505462775169E-3</v>
      </c>
      <c r="M56" s="33">
        <v>7.552654102152446E-3</v>
      </c>
      <c r="N56" s="33">
        <v>7.3715778473947748E-3</v>
      </c>
      <c r="O56" s="33">
        <v>7.3715778473947748E-3</v>
      </c>
      <c r="P56" s="33">
        <v>7.3715778473947748E-3</v>
      </c>
      <c r="Q56" s="33">
        <v>7.1302517976481478E-3</v>
      </c>
      <c r="R56" s="33">
        <v>6.8376049226685507E-3</v>
      </c>
      <c r="S56" s="33">
        <v>6.8376049226685507E-3</v>
      </c>
      <c r="T56" s="33">
        <v>6.8139925801342181E-3</v>
      </c>
      <c r="U56" s="33">
        <v>5.0749839832919304E-3</v>
      </c>
      <c r="V56" s="33">
        <v>2.9539306412880596E-3</v>
      </c>
      <c r="W56" s="33">
        <v>2.9539306412880596E-3</v>
      </c>
      <c r="X56" s="33">
        <v>2.7412498847349319E-3</v>
      </c>
      <c r="Y56" s="33">
        <v>2.7412498847349319E-3</v>
      </c>
      <c r="Z56" s="33">
        <v>2.7412498847349319E-3</v>
      </c>
      <c r="AA56" s="33">
        <v>3.7191837741592208E-4</v>
      </c>
      <c r="AB56" s="33">
        <v>5.1457930911912316E-6</v>
      </c>
      <c r="AC56" s="33">
        <v>5.1457930911912316E-6</v>
      </c>
      <c r="AD56" s="33">
        <v>5.1457930911912316E-6</v>
      </c>
      <c r="AE56" s="33">
        <v>5.1457930911912316E-6</v>
      </c>
      <c r="AF56" s="33"/>
      <c r="AG56" s="33"/>
      <c r="AH56" s="33"/>
      <c r="AI56" s="33"/>
      <c r="AJ56" s="33"/>
      <c r="AK56" s="33"/>
      <c r="AL56" s="33"/>
      <c r="AM56" s="33"/>
      <c r="AN56" s="33"/>
      <c r="AO56" s="33"/>
      <c r="AP56" s="33"/>
    </row>
    <row r="57" spans="1:42" ht="15.75">
      <c r="A57" s="31">
        <v>56</v>
      </c>
      <c r="B57" s="31" t="s">
        <v>65</v>
      </c>
      <c r="C57" s="31" t="s">
        <v>525</v>
      </c>
      <c r="D57" s="31" t="s">
        <v>3</v>
      </c>
      <c r="E57" s="31" t="s">
        <v>544</v>
      </c>
      <c r="F57" s="31">
        <v>2010</v>
      </c>
      <c r="G57" s="33" t="s">
        <v>58</v>
      </c>
      <c r="H57" s="33">
        <v>0</v>
      </c>
      <c r="I57" s="33">
        <v>0</v>
      </c>
      <c r="J57" s="33">
        <v>0</v>
      </c>
      <c r="K57" s="33">
        <v>0</v>
      </c>
      <c r="L57" s="33">
        <v>0</v>
      </c>
      <c r="M57" s="33">
        <v>0</v>
      </c>
      <c r="N57" s="33">
        <v>0</v>
      </c>
      <c r="O57" s="33">
        <v>0</v>
      </c>
      <c r="P57" s="33">
        <v>0</v>
      </c>
      <c r="Q57" s="33">
        <v>0</v>
      </c>
      <c r="R57" s="33">
        <v>0</v>
      </c>
      <c r="S57" s="33">
        <v>0</v>
      </c>
      <c r="T57" s="33">
        <v>0</v>
      </c>
      <c r="U57" s="33">
        <v>0</v>
      </c>
      <c r="V57" s="33">
        <v>0</v>
      </c>
      <c r="W57" s="33">
        <v>0</v>
      </c>
      <c r="X57" s="33">
        <v>0</v>
      </c>
      <c r="Y57" s="33">
        <v>0</v>
      </c>
      <c r="Z57" s="33">
        <v>0</v>
      </c>
      <c r="AA57" s="33">
        <v>0</v>
      </c>
      <c r="AB57" s="33">
        <v>0</v>
      </c>
      <c r="AC57" s="33">
        <v>0</v>
      </c>
      <c r="AD57" s="33">
        <v>0</v>
      </c>
      <c r="AE57" s="33">
        <v>0</v>
      </c>
      <c r="AF57" s="33"/>
      <c r="AG57" s="33"/>
      <c r="AH57" s="33"/>
      <c r="AI57" s="33"/>
      <c r="AJ57" s="33"/>
      <c r="AK57" s="33"/>
      <c r="AL57" s="33"/>
      <c r="AM57" s="33"/>
      <c r="AN57" s="33"/>
      <c r="AO57" s="33"/>
      <c r="AP57" s="33"/>
    </row>
    <row r="58" spans="1:42" ht="15.75">
      <c r="A58" s="31">
        <v>57</v>
      </c>
      <c r="B58" s="31" t="s">
        <v>65</v>
      </c>
      <c r="C58" s="31" t="s">
        <v>531</v>
      </c>
      <c r="D58" s="31" t="s">
        <v>3</v>
      </c>
      <c r="E58" s="31" t="s">
        <v>544</v>
      </c>
      <c r="F58" s="31">
        <v>2010</v>
      </c>
      <c r="G58" s="33" t="s">
        <v>71</v>
      </c>
      <c r="H58" s="33">
        <v>0</v>
      </c>
      <c r="I58" s="33">
        <v>0</v>
      </c>
      <c r="J58" s="33">
        <v>0</v>
      </c>
      <c r="K58" s="33">
        <v>0</v>
      </c>
      <c r="L58" s="33">
        <v>4.2683321424087324E-2</v>
      </c>
      <c r="M58" s="33">
        <v>4.2683321424087324E-2</v>
      </c>
      <c r="N58" s="33">
        <v>4.2683321424087324E-2</v>
      </c>
      <c r="O58" s="33">
        <v>4.2683321424087324E-2</v>
      </c>
      <c r="P58" s="33">
        <v>4.2683321424087324E-2</v>
      </c>
      <c r="Q58" s="33">
        <v>4.2683321424087324E-2</v>
      </c>
      <c r="R58" s="33">
        <v>4.2683321424087324E-2</v>
      </c>
      <c r="S58" s="33">
        <v>4.2683321424087324E-2</v>
      </c>
      <c r="T58" s="33">
        <v>4.2683321424087324E-2</v>
      </c>
      <c r="U58" s="33">
        <v>4.2252176763237954E-2</v>
      </c>
      <c r="V58" s="33">
        <v>0</v>
      </c>
      <c r="W58" s="33">
        <v>0</v>
      </c>
      <c r="X58" s="33">
        <v>0</v>
      </c>
      <c r="Y58" s="33">
        <v>0</v>
      </c>
      <c r="Z58" s="33">
        <v>0</v>
      </c>
      <c r="AA58" s="33">
        <v>0</v>
      </c>
      <c r="AB58" s="33">
        <v>0</v>
      </c>
      <c r="AC58" s="33">
        <v>0</v>
      </c>
      <c r="AD58" s="33">
        <v>0</v>
      </c>
      <c r="AE58" s="33">
        <v>0</v>
      </c>
      <c r="AF58" s="33"/>
      <c r="AG58" s="33"/>
      <c r="AH58" s="33"/>
      <c r="AI58" s="33"/>
      <c r="AJ58" s="33"/>
      <c r="AK58" s="33"/>
      <c r="AL58" s="33"/>
      <c r="AM58" s="33"/>
      <c r="AN58" s="33"/>
      <c r="AO58" s="33"/>
      <c r="AP58" s="33"/>
    </row>
    <row r="59" spans="1:42" ht="15.75">
      <c r="A59" s="31">
        <v>58</v>
      </c>
      <c r="B59" s="31" t="s">
        <v>69</v>
      </c>
      <c r="C59" s="31" t="s">
        <v>139</v>
      </c>
      <c r="D59" s="31" t="s">
        <v>3</v>
      </c>
      <c r="E59" s="31" t="s">
        <v>544</v>
      </c>
      <c r="F59" s="31">
        <v>2010</v>
      </c>
      <c r="G59" s="33" t="s">
        <v>58</v>
      </c>
      <c r="H59" s="33">
        <v>0</v>
      </c>
      <c r="I59" s="33">
        <v>0</v>
      </c>
      <c r="J59" s="33">
        <v>0</v>
      </c>
      <c r="K59" s="33">
        <v>0</v>
      </c>
      <c r="L59" s="33">
        <v>0</v>
      </c>
      <c r="M59" s="33">
        <v>0</v>
      </c>
      <c r="N59" s="33">
        <v>0</v>
      </c>
      <c r="O59" s="33">
        <v>0</v>
      </c>
      <c r="P59" s="33">
        <v>0</v>
      </c>
      <c r="Q59" s="33">
        <v>0</v>
      </c>
      <c r="R59" s="33">
        <v>0</v>
      </c>
      <c r="S59" s="33">
        <v>0</v>
      </c>
      <c r="T59" s="33">
        <v>0</v>
      </c>
      <c r="U59" s="33">
        <v>0</v>
      </c>
      <c r="V59" s="33">
        <v>0</v>
      </c>
      <c r="W59" s="33">
        <v>0</v>
      </c>
      <c r="X59" s="33">
        <v>0</v>
      </c>
      <c r="Y59" s="33">
        <v>0</v>
      </c>
      <c r="Z59" s="33">
        <v>0</v>
      </c>
      <c r="AA59" s="33">
        <v>0</v>
      </c>
      <c r="AB59" s="33">
        <v>0</v>
      </c>
      <c r="AC59" s="33">
        <v>0</v>
      </c>
      <c r="AD59" s="33">
        <v>0</v>
      </c>
      <c r="AE59" s="33">
        <v>0</v>
      </c>
      <c r="AF59" s="33"/>
      <c r="AG59" s="33"/>
      <c r="AH59" s="33"/>
      <c r="AI59" s="33"/>
      <c r="AJ59" s="33"/>
      <c r="AK59" s="33"/>
      <c r="AL59" s="33"/>
      <c r="AM59" s="33"/>
      <c r="AN59" s="33"/>
      <c r="AO59" s="33"/>
      <c r="AP59" s="33"/>
    </row>
    <row r="60" spans="1:42" ht="15.75">
      <c r="A60" s="31">
        <v>59</v>
      </c>
      <c r="B60" s="31" t="s">
        <v>1</v>
      </c>
      <c r="C60" s="31" t="s">
        <v>42</v>
      </c>
      <c r="D60" s="31" t="s">
        <v>3</v>
      </c>
      <c r="E60" s="31" t="s">
        <v>544</v>
      </c>
      <c r="F60" s="31">
        <v>2010</v>
      </c>
      <c r="G60" s="33" t="s">
        <v>71</v>
      </c>
      <c r="H60" s="33">
        <v>0</v>
      </c>
      <c r="I60" s="33">
        <v>0</v>
      </c>
      <c r="J60" s="33">
        <v>0</v>
      </c>
      <c r="K60" s="33">
        <v>0</v>
      </c>
      <c r="L60" s="33">
        <v>8.6035163217314831E-2</v>
      </c>
      <c r="M60" s="33">
        <v>8.6035163217314831E-2</v>
      </c>
      <c r="N60" s="33">
        <v>8.6035163217314831E-2</v>
      </c>
      <c r="O60" s="33">
        <v>8.6035163217314831E-2</v>
      </c>
      <c r="P60" s="33">
        <v>8.6035163217314831E-2</v>
      </c>
      <c r="Q60" s="33">
        <v>8.6035163217314831E-2</v>
      </c>
      <c r="R60" s="33">
        <v>8.6035163217314831E-2</v>
      </c>
      <c r="S60" s="33">
        <v>8.6035163217314831E-2</v>
      </c>
      <c r="T60" s="33">
        <v>8.6035163217314831E-2</v>
      </c>
      <c r="U60" s="33">
        <v>8.6035163217314831E-2</v>
      </c>
      <c r="V60" s="33">
        <v>8.6035163217314831E-2</v>
      </c>
      <c r="W60" s="33">
        <v>8.6035163217314831E-2</v>
      </c>
      <c r="X60" s="33">
        <v>8.6035163217314831E-2</v>
      </c>
      <c r="Y60" s="33">
        <v>8.6035163217314831E-2</v>
      </c>
      <c r="Z60" s="33">
        <v>8.6035163217314831E-2</v>
      </c>
      <c r="AA60" s="33">
        <v>8.6035163217314831E-2</v>
      </c>
      <c r="AB60" s="33">
        <v>8.6035163217314831E-2</v>
      </c>
      <c r="AC60" s="33">
        <v>8.6035163217314831E-2</v>
      </c>
      <c r="AD60" s="33">
        <v>8.6035163217314831E-2</v>
      </c>
      <c r="AE60" s="33">
        <v>8.6035163217314831E-2</v>
      </c>
      <c r="AF60" s="33"/>
      <c r="AG60" s="33"/>
      <c r="AH60" s="33"/>
      <c r="AI60" s="33"/>
      <c r="AJ60" s="33"/>
      <c r="AK60" s="33"/>
      <c r="AL60" s="33"/>
      <c r="AM60" s="33"/>
      <c r="AN60" s="33"/>
      <c r="AO60" s="33"/>
      <c r="AP60" s="33"/>
    </row>
    <row r="61" spans="1:42" ht="15.75">
      <c r="A61" s="31">
        <v>60</v>
      </c>
      <c r="B61" s="31" t="s">
        <v>1</v>
      </c>
      <c r="C61" s="31" t="s">
        <v>536</v>
      </c>
      <c r="D61" s="31" t="s">
        <v>3</v>
      </c>
      <c r="E61" s="31" t="s">
        <v>544</v>
      </c>
      <c r="F61" s="31">
        <v>2010</v>
      </c>
      <c r="G61" s="33" t="s">
        <v>70</v>
      </c>
      <c r="H61" s="33">
        <v>0</v>
      </c>
      <c r="I61" s="33">
        <v>0</v>
      </c>
      <c r="J61" s="33">
        <v>0</v>
      </c>
      <c r="K61" s="33">
        <v>0</v>
      </c>
      <c r="L61" s="33">
        <v>0.17577762138762623</v>
      </c>
      <c r="M61" s="33">
        <v>0.17577762138762623</v>
      </c>
      <c r="N61" s="33">
        <v>0.17577762138762623</v>
      </c>
      <c r="O61" s="33">
        <v>0.17577762138762623</v>
      </c>
      <c r="P61" s="33">
        <v>0.17577762138762623</v>
      </c>
      <c r="Q61" s="33">
        <v>0.17577762138762623</v>
      </c>
      <c r="R61" s="33">
        <v>0.17577762138762623</v>
      </c>
      <c r="S61" s="33">
        <v>0.17577762138762623</v>
      </c>
      <c r="T61" s="33">
        <v>0</v>
      </c>
      <c r="U61" s="33">
        <v>0</v>
      </c>
      <c r="V61" s="33">
        <v>0</v>
      </c>
      <c r="W61" s="33">
        <v>0</v>
      </c>
      <c r="X61" s="33">
        <v>0</v>
      </c>
      <c r="Y61" s="33">
        <v>0</v>
      </c>
      <c r="Z61" s="33">
        <v>0</v>
      </c>
      <c r="AA61" s="33">
        <v>0</v>
      </c>
      <c r="AB61" s="33">
        <v>0</v>
      </c>
      <c r="AC61" s="33">
        <v>0</v>
      </c>
      <c r="AD61" s="33">
        <v>0</v>
      </c>
      <c r="AE61" s="33">
        <v>0</v>
      </c>
      <c r="AF61" s="33"/>
      <c r="AG61" s="33"/>
      <c r="AH61" s="33"/>
      <c r="AI61" s="33"/>
      <c r="AJ61" s="33"/>
      <c r="AK61" s="33"/>
      <c r="AL61" s="33"/>
      <c r="AM61" s="33"/>
      <c r="AN61" s="33"/>
      <c r="AO61" s="33"/>
      <c r="AP61" s="33"/>
    </row>
    <row r="62" spans="1:42" ht="15.75">
      <c r="A62" s="31">
        <v>61</v>
      </c>
      <c r="B62" s="31" t="s">
        <v>60</v>
      </c>
      <c r="C62" s="31" t="s">
        <v>59</v>
      </c>
      <c r="D62" s="31" t="s">
        <v>3</v>
      </c>
      <c r="E62" s="31" t="s">
        <v>544</v>
      </c>
      <c r="F62" s="31">
        <v>2010</v>
      </c>
      <c r="G62" s="33" t="s">
        <v>17</v>
      </c>
      <c r="H62" s="33">
        <v>0</v>
      </c>
      <c r="I62" s="33">
        <v>0</v>
      </c>
      <c r="J62" s="33">
        <v>0</v>
      </c>
      <c r="K62" s="33">
        <v>0</v>
      </c>
      <c r="L62" s="33">
        <v>8.427273923639518E-3</v>
      </c>
      <c r="M62" s="33">
        <v>8.427273923639518E-3</v>
      </c>
      <c r="N62" s="33">
        <v>8.427273923639518E-3</v>
      </c>
      <c r="O62" s="33">
        <v>8.427273923639518E-3</v>
      </c>
      <c r="P62" s="33">
        <v>8.427273923639518E-3</v>
      </c>
      <c r="Q62" s="33">
        <v>8.427273923639518E-3</v>
      </c>
      <c r="R62" s="33">
        <v>8.427273923639518E-3</v>
      </c>
      <c r="S62" s="33">
        <v>8.427273923639518E-3</v>
      </c>
      <c r="T62" s="33">
        <v>8.427273923639518E-3</v>
      </c>
      <c r="U62" s="33">
        <v>8.427273923639518E-3</v>
      </c>
      <c r="V62" s="33">
        <v>0</v>
      </c>
      <c r="W62" s="33">
        <v>0</v>
      </c>
      <c r="X62" s="33">
        <v>0</v>
      </c>
      <c r="Y62" s="33">
        <v>0</v>
      </c>
      <c r="Z62" s="33">
        <v>0</v>
      </c>
      <c r="AA62" s="33">
        <v>0</v>
      </c>
      <c r="AB62" s="33">
        <v>0</v>
      </c>
      <c r="AC62" s="33">
        <v>0</v>
      </c>
      <c r="AD62" s="33">
        <v>0</v>
      </c>
      <c r="AE62" s="33">
        <v>0</v>
      </c>
      <c r="AF62" s="33"/>
      <c r="AG62" s="33"/>
      <c r="AH62" s="33"/>
      <c r="AI62" s="33"/>
      <c r="AJ62" s="33"/>
      <c r="AK62" s="33"/>
      <c r="AL62" s="33"/>
      <c r="AM62" s="33"/>
      <c r="AN62" s="33"/>
      <c r="AO62" s="33"/>
      <c r="AP62" s="33"/>
    </row>
    <row r="63" spans="1:42" ht="15.75">
      <c r="A63" s="31">
        <v>62</v>
      </c>
      <c r="B63" s="31" t="s">
        <v>62</v>
      </c>
      <c r="C63" s="31" t="s">
        <v>61</v>
      </c>
      <c r="D63" s="31" t="s">
        <v>3</v>
      </c>
      <c r="E63" s="31" t="s">
        <v>544</v>
      </c>
      <c r="F63" s="31">
        <v>2010</v>
      </c>
      <c r="G63" s="33" t="s">
        <v>71</v>
      </c>
      <c r="H63" s="33">
        <v>0</v>
      </c>
      <c r="I63" s="33">
        <v>0</v>
      </c>
      <c r="J63" s="33">
        <v>0</v>
      </c>
      <c r="K63" s="33">
        <v>0</v>
      </c>
      <c r="L63" s="33">
        <v>0.79308195429135875</v>
      </c>
      <c r="M63" s="33">
        <v>0</v>
      </c>
      <c r="N63" s="33">
        <v>0</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c r="AF63" s="33"/>
      <c r="AG63" s="33"/>
      <c r="AH63" s="33"/>
      <c r="AI63" s="33"/>
      <c r="AJ63" s="33"/>
      <c r="AK63" s="33"/>
      <c r="AL63" s="33"/>
      <c r="AM63" s="33"/>
      <c r="AN63" s="33"/>
      <c r="AO63" s="33"/>
      <c r="AP63" s="33"/>
    </row>
    <row r="64" spans="1:42" ht="15.75">
      <c r="A64" s="31">
        <v>63</v>
      </c>
      <c r="B64" s="31" t="s">
        <v>62</v>
      </c>
      <c r="C64" s="31" t="s">
        <v>49</v>
      </c>
      <c r="D64" s="31" t="s">
        <v>3</v>
      </c>
      <c r="E64" s="31" t="s">
        <v>544</v>
      </c>
      <c r="F64" s="31">
        <v>2010</v>
      </c>
      <c r="G64" s="33" t="s">
        <v>71</v>
      </c>
      <c r="H64" s="33">
        <v>0</v>
      </c>
      <c r="I64" s="33">
        <v>0</v>
      </c>
      <c r="J64" s="33">
        <v>0</v>
      </c>
      <c r="K64" s="33">
        <v>0</v>
      </c>
      <c r="L64" s="33">
        <v>1.67746830163979</v>
      </c>
      <c r="M64" s="33">
        <v>0</v>
      </c>
      <c r="N64" s="33">
        <v>0</v>
      </c>
      <c r="O64" s="33">
        <v>0</v>
      </c>
      <c r="P64" s="33">
        <v>0</v>
      </c>
      <c r="Q64" s="33">
        <v>0</v>
      </c>
      <c r="R64" s="33">
        <v>0</v>
      </c>
      <c r="S64" s="33">
        <v>0</v>
      </c>
      <c r="T64" s="33">
        <v>0</v>
      </c>
      <c r="U64" s="33">
        <v>0</v>
      </c>
      <c r="V64" s="33">
        <v>0</v>
      </c>
      <c r="W64" s="33">
        <v>0</v>
      </c>
      <c r="X64" s="33">
        <v>0</v>
      </c>
      <c r="Y64" s="33">
        <v>0</v>
      </c>
      <c r="Z64" s="33">
        <v>0</v>
      </c>
      <c r="AA64" s="33">
        <v>0</v>
      </c>
      <c r="AB64" s="33">
        <v>0</v>
      </c>
      <c r="AC64" s="33">
        <v>0</v>
      </c>
      <c r="AD64" s="33">
        <v>0</v>
      </c>
      <c r="AE64" s="33">
        <v>0</v>
      </c>
      <c r="AF64" s="33"/>
      <c r="AG64" s="33"/>
      <c r="AH64" s="33"/>
      <c r="AI64" s="33"/>
      <c r="AJ64" s="33"/>
      <c r="AK64" s="33"/>
      <c r="AL64" s="33"/>
      <c r="AM64" s="33"/>
      <c r="AN64" s="33"/>
      <c r="AO64" s="33"/>
      <c r="AP64" s="33"/>
    </row>
    <row r="65" spans="1:42" ht="15.75">
      <c r="A65" s="31">
        <v>64</v>
      </c>
      <c r="B65" s="31" t="s">
        <v>62</v>
      </c>
      <c r="C65" s="31" t="s">
        <v>63</v>
      </c>
      <c r="D65" s="31" t="s">
        <v>3</v>
      </c>
      <c r="E65" s="31" t="s">
        <v>544</v>
      </c>
      <c r="F65" s="31">
        <v>2010</v>
      </c>
      <c r="G65" s="33" t="s">
        <v>71</v>
      </c>
      <c r="H65" s="33">
        <v>0</v>
      </c>
      <c r="I65" s="33">
        <v>0</v>
      </c>
      <c r="J65" s="33">
        <v>0</v>
      </c>
      <c r="K65" s="33">
        <v>0</v>
      </c>
      <c r="L65" s="33">
        <v>0.19467162928445872</v>
      </c>
      <c r="M65" s="33">
        <v>0</v>
      </c>
      <c r="N65" s="33">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c r="AF65" s="33"/>
      <c r="AG65" s="33"/>
      <c r="AH65" s="33"/>
      <c r="AI65" s="33"/>
      <c r="AJ65" s="33"/>
      <c r="AK65" s="33"/>
      <c r="AL65" s="33"/>
      <c r="AM65" s="33"/>
      <c r="AN65" s="33"/>
      <c r="AO65" s="33"/>
      <c r="AP65" s="33"/>
    </row>
    <row r="66" spans="1:42" ht="15.75">
      <c r="A66" s="31">
        <v>65</v>
      </c>
      <c r="B66" s="31" t="s">
        <v>15</v>
      </c>
      <c r="C66" s="31" t="s">
        <v>64</v>
      </c>
      <c r="D66" s="31" t="s">
        <v>3</v>
      </c>
      <c r="E66" s="31" t="s">
        <v>544</v>
      </c>
      <c r="F66" s="31">
        <v>2010</v>
      </c>
      <c r="G66" s="33" t="s">
        <v>58</v>
      </c>
      <c r="H66" s="33">
        <v>0</v>
      </c>
      <c r="I66" s="33">
        <v>0</v>
      </c>
      <c r="J66" s="33">
        <v>0</v>
      </c>
      <c r="K66" s="33">
        <v>0</v>
      </c>
      <c r="L66" s="33">
        <v>0</v>
      </c>
      <c r="M66" s="33">
        <v>0</v>
      </c>
      <c r="N66" s="33">
        <v>0</v>
      </c>
      <c r="O66" s="33">
        <v>0</v>
      </c>
      <c r="P66" s="33">
        <v>0</v>
      </c>
      <c r="Q66" s="33">
        <v>0</v>
      </c>
      <c r="R66" s="33">
        <v>0</v>
      </c>
      <c r="S66" s="33">
        <v>0</v>
      </c>
      <c r="T66" s="33">
        <v>0</v>
      </c>
      <c r="U66" s="33">
        <v>0</v>
      </c>
      <c r="V66" s="33">
        <v>0</v>
      </c>
      <c r="W66" s="33">
        <v>0</v>
      </c>
      <c r="X66" s="33">
        <v>0</v>
      </c>
      <c r="Y66" s="33">
        <v>0</v>
      </c>
      <c r="Z66" s="33">
        <v>0</v>
      </c>
      <c r="AA66" s="33">
        <v>0</v>
      </c>
      <c r="AB66" s="33">
        <v>0</v>
      </c>
      <c r="AC66" s="33">
        <v>0</v>
      </c>
      <c r="AD66" s="33">
        <v>0</v>
      </c>
      <c r="AE66" s="33">
        <v>0</v>
      </c>
      <c r="AF66" s="33"/>
      <c r="AG66" s="33"/>
      <c r="AH66" s="33"/>
      <c r="AI66" s="33"/>
      <c r="AJ66" s="33"/>
      <c r="AK66" s="33"/>
      <c r="AL66" s="33"/>
      <c r="AM66" s="33"/>
      <c r="AN66" s="33"/>
      <c r="AO66" s="33"/>
      <c r="AP66" s="33"/>
    </row>
    <row r="67" spans="1:42" ht="15.75">
      <c r="A67" s="31" t="s">
        <v>37</v>
      </c>
      <c r="B67" s="31" t="s">
        <v>15</v>
      </c>
      <c r="C67" s="31" t="s">
        <v>19</v>
      </c>
      <c r="D67" s="31" t="s">
        <v>3</v>
      </c>
      <c r="E67" s="31" t="s">
        <v>5</v>
      </c>
      <c r="F67" s="31">
        <v>2011</v>
      </c>
      <c r="G67" s="33" t="s">
        <v>17</v>
      </c>
      <c r="H67" s="33"/>
      <c r="I67" s="33"/>
      <c r="J67" s="33"/>
      <c r="K67" s="33"/>
      <c r="L67" s="33"/>
      <c r="M67" s="33">
        <v>2.2087221046377999E-3</v>
      </c>
      <c r="N67" s="33">
        <v>2.2087221046377999E-3</v>
      </c>
      <c r="O67" s="33">
        <v>2.2087221046377999E-3</v>
      </c>
      <c r="P67" s="33">
        <v>7.5426660871048378E-4</v>
      </c>
      <c r="Q67" s="33">
        <v>0</v>
      </c>
      <c r="R67" s="33">
        <v>0</v>
      </c>
      <c r="S67" s="33">
        <v>0</v>
      </c>
      <c r="T67" s="33">
        <v>0</v>
      </c>
      <c r="U67" s="33">
        <v>0</v>
      </c>
      <c r="V67" s="33">
        <v>0</v>
      </c>
      <c r="W67" s="33">
        <v>0</v>
      </c>
      <c r="X67" s="33">
        <v>0</v>
      </c>
      <c r="Y67" s="33">
        <v>0</v>
      </c>
      <c r="Z67" s="33">
        <v>0</v>
      </c>
      <c r="AA67" s="33">
        <v>0</v>
      </c>
      <c r="AB67" s="33">
        <v>0</v>
      </c>
      <c r="AC67" s="33">
        <v>0</v>
      </c>
      <c r="AD67" s="33">
        <v>0</v>
      </c>
      <c r="AE67" s="33">
        <v>0</v>
      </c>
      <c r="AF67" s="33">
        <v>0</v>
      </c>
      <c r="AG67" s="33">
        <v>0</v>
      </c>
      <c r="AH67" s="33">
        <v>0</v>
      </c>
      <c r="AI67" s="33">
        <v>0</v>
      </c>
      <c r="AJ67" s="33">
        <v>0</v>
      </c>
      <c r="AK67" s="33">
        <v>0</v>
      </c>
      <c r="AL67" s="33">
        <v>0</v>
      </c>
      <c r="AM67" s="33">
        <v>0</v>
      </c>
      <c r="AN67" s="33">
        <v>0</v>
      </c>
      <c r="AO67" s="33">
        <v>0</v>
      </c>
      <c r="AP67" s="33">
        <v>0</v>
      </c>
    </row>
    <row r="68" spans="1:42" ht="15.75">
      <c r="A68" s="31" t="s">
        <v>37</v>
      </c>
      <c r="B68" s="31" t="s">
        <v>15</v>
      </c>
      <c r="C68" s="31" t="s">
        <v>21</v>
      </c>
      <c r="D68" s="31" t="s">
        <v>3</v>
      </c>
      <c r="E68" s="31" t="s">
        <v>5</v>
      </c>
      <c r="F68" s="31">
        <v>2011</v>
      </c>
      <c r="G68" s="33" t="s">
        <v>17</v>
      </c>
      <c r="H68" s="33"/>
      <c r="I68" s="33"/>
      <c r="J68" s="33"/>
      <c r="K68" s="33"/>
      <c r="L68" s="33"/>
      <c r="M68" s="33">
        <v>9.7587870989821034E-3</v>
      </c>
      <c r="N68" s="33">
        <v>9.7587870989821034E-3</v>
      </c>
      <c r="O68" s="33">
        <v>9.7587870989821034E-3</v>
      </c>
      <c r="P68" s="33">
        <v>9.5320388070644791E-3</v>
      </c>
      <c r="Q68" s="33">
        <v>6.971248558427184E-3</v>
      </c>
      <c r="R68" s="33">
        <v>0</v>
      </c>
      <c r="S68" s="33">
        <v>0</v>
      </c>
      <c r="T68" s="33">
        <v>0</v>
      </c>
      <c r="U68" s="33">
        <v>0</v>
      </c>
      <c r="V68" s="33">
        <v>0</v>
      </c>
      <c r="W68" s="33">
        <v>0</v>
      </c>
      <c r="X68" s="33">
        <v>0</v>
      </c>
      <c r="Y68" s="33">
        <v>0</v>
      </c>
      <c r="Z68" s="33">
        <v>0</v>
      </c>
      <c r="AA68" s="33">
        <v>0</v>
      </c>
      <c r="AB68" s="33">
        <v>0</v>
      </c>
      <c r="AC68" s="33">
        <v>0</v>
      </c>
      <c r="AD68" s="33">
        <v>0</v>
      </c>
      <c r="AE68" s="33">
        <v>0</v>
      </c>
      <c r="AF68" s="33">
        <v>0</v>
      </c>
      <c r="AG68" s="33">
        <v>0</v>
      </c>
      <c r="AH68" s="33">
        <v>0</v>
      </c>
      <c r="AI68" s="33">
        <v>0</v>
      </c>
      <c r="AJ68" s="33">
        <v>0</v>
      </c>
      <c r="AK68" s="33">
        <v>0</v>
      </c>
      <c r="AL68" s="33">
        <v>0</v>
      </c>
      <c r="AM68" s="33">
        <v>0</v>
      </c>
      <c r="AN68" s="33">
        <v>0</v>
      </c>
      <c r="AO68" s="33">
        <v>0</v>
      </c>
      <c r="AP68" s="33">
        <v>0</v>
      </c>
    </row>
    <row r="69" spans="1:42" ht="15.75">
      <c r="A69" s="31" t="s">
        <v>37</v>
      </c>
      <c r="B69" s="31" t="s">
        <v>15</v>
      </c>
      <c r="C69" s="31" t="s">
        <v>43</v>
      </c>
      <c r="D69" s="31" t="s">
        <v>3</v>
      </c>
      <c r="E69" s="31" t="s">
        <v>5</v>
      </c>
      <c r="F69" s="31">
        <v>2011</v>
      </c>
      <c r="G69" s="33" t="s">
        <v>17</v>
      </c>
      <c r="H69" s="33"/>
      <c r="I69" s="33"/>
      <c r="J69" s="33"/>
      <c r="K69" s="33"/>
      <c r="L69" s="33"/>
      <c r="M69" s="33">
        <v>8.430533393957388E-3</v>
      </c>
      <c r="N69" s="33">
        <v>8.430533393957388E-3</v>
      </c>
      <c r="O69" s="33">
        <v>8.430533393957388E-3</v>
      </c>
      <c r="P69" s="33">
        <v>8.430533393957388E-3</v>
      </c>
      <c r="Q69" s="33">
        <v>7.8433079422466512E-3</v>
      </c>
      <c r="R69" s="33">
        <v>7.2017888719191061E-3</v>
      </c>
      <c r="S69" s="33">
        <v>5.8254027079323078E-3</v>
      </c>
      <c r="T69" s="33">
        <v>5.7874743031671996E-3</v>
      </c>
      <c r="U69" s="33">
        <v>7.0162188252054841E-3</v>
      </c>
      <c r="V69" s="33">
        <v>3.3282576576091081E-3</v>
      </c>
      <c r="W69" s="33">
        <v>4.7330997280805161E-4</v>
      </c>
      <c r="X69" s="33">
        <v>4.7311309875717686E-4</v>
      </c>
      <c r="Y69" s="33">
        <v>4.7311309875717686E-4</v>
      </c>
      <c r="Z69" s="33">
        <v>4.3913278278496734E-4</v>
      </c>
      <c r="AA69" s="33">
        <v>4.3913278278496734E-4</v>
      </c>
      <c r="AB69" s="33">
        <v>3.706443474060017E-4</v>
      </c>
      <c r="AC69" s="33">
        <v>0</v>
      </c>
      <c r="AD69" s="33">
        <v>0</v>
      </c>
      <c r="AE69" s="33">
        <v>0</v>
      </c>
      <c r="AF69" s="33">
        <v>0</v>
      </c>
      <c r="AG69" s="33">
        <v>0</v>
      </c>
      <c r="AH69" s="33">
        <v>0</v>
      </c>
      <c r="AI69" s="33">
        <v>0</v>
      </c>
      <c r="AJ69" s="33">
        <v>0</v>
      </c>
      <c r="AK69" s="33">
        <v>0</v>
      </c>
      <c r="AL69" s="33">
        <v>0</v>
      </c>
      <c r="AM69" s="33">
        <v>0</v>
      </c>
      <c r="AN69" s="33">
        <v>0</v>
      </c>
      <c r="AO69" s="33">
        <v>0</v>
      </c>
      <c r="AP69" s="33">
        <v>0</v>
      </c>
    </row>
    <row r="70" spans="1:42" ht="15.75">
      <c r="A70" s="31" t="s">
        <v>37</v>
      </c>
      <c r="B70" s="31" t="s">
        <v>15</v>
      </c>
      <c r="C70" s="31" t="s">
        <v>45</v>
      </c>
      <c r="D70" s="31" t="s">
        <v>3</v>
      </c>
      <c r="E70" s="31" t="s">
        <v>5</v>
      </c>
      <c r="F70" s="31">
        <v>2011</v>
      </c>
      <c r="G70" s="33" t="s">
        <v>17</v>
      </c>
      <c r="H70" s="33"/>
      <c r="I70" s="33"/>
      <c r="J70" s="33"/>
      <c r="K70" s="33"/>
      <c r="L70" s="33"/>
      <c r="M70" s="33">
        <v>6.1033098347424682E-3</v>
      </c>
      <c r="N70" s="33">
        <v>6.1033098347424682E-3</v>
      </c>
      <c r="O70" s="33">
        <v>6.1033098347424682E-3</v>
      </c>
      <c r="P70" s="33">
        <v>6.1033098347424682E-3</v>
      </c>
      <c r="Q70" s="33">
        <v>5.7376461781793791E-3</v>
      </c>
      <c r="R70" s="33">
        <v>5.338174036214941E-3</v>
      </c>
      <c r="S70" s="33">
        <v>4.4770737385133709E-3</v>
      </c>
      <c r="T70" s="33">
        <v>4.4321616909661155E-3</v>
      </c>
      <c r="U70" s="33">
        <v>5.1972974894936427E-3</v>
      </c>
      <c r="V70" s="33">
        <v>2.9008143212704601E-3</v>
      </c>
      <c r="W70" s="33">
        <v>3.4393170086695211E-4</v>
      </c>
      <c r="X70" s="33">
        <v>3.4370242967095765E-4</v>
      </c>
      <c r="Y70" s="33">
        <v>3.4370242967095765E-4</v>
      </c>
      <c r="Z70" s="33">
        <v>3.3736606284991502E-4</v>
      </c>
      <c r="AA70" s="33">
        <v>3.3736606284991502E-4</v>
      </c>
      <c r="AB70" s="33">
        <v>3.1823150548650295E-4</v>
      </c>
      <c r="AC70" s="33">
        <v>0</v>
      </c>
      <c r="AD70" s="33">
        <v>0</v>
      </c>
      <c r="AE70" s="33">
        <v>0</v>
      </c>
      <c r="AF70" s="33">
        <v>0</v>
      </c>
      <c r="AG70" s="33">
        <v>0</v>
      </c>
      <c r="AH70" s="33">
        <v>0</v>
      </c>
      <c r="AI70" s="33">
        <v>0</v>
      </c>
      <c r="AJ70" s="33">
        <v>0</v>
      </c>
      <c r="AK70" s="33">
        <v>0</v>
      </c>
      <c r="AL70" s="33">
        <v>0</v>
      </c>
      <c r="AM70" s="33">
        <v>0</v>
      </c>
      <c r="AN70" s="33">
        <v>0</v>
      </c>
      <c r="AO70" s="33">
        <v>0</v>
      </c>
      <c r="AP70" s="33">
        <v>0</v>
      </c>
    </row>
    <row r="71" spans="1:42" ht="15.75">
      <c r="A71" s="31" t="s">
        <v>37</v>
      </c>
      <c r="B71" s="31" t="s">
        <v>15</v>
      </c>
      <c r="C71" s="31" t="s">
        <v>46</v>
      </c>
      <c r="D71" s="31" t="s">
        <v>3</v>
      </c>
      <c r="E71" s="31" t="s">
        <v>5</v>
      </c>
      <c r="F71" s="31">
        <v>2011</v>
      </c>
      <c r="G71" s="33" t="s">
        <v>17</v>
      </c>
      <c r="H71" s="33"/>
      <c r="I71" s="33"/>
      <c r="J71" s="33"/>
      <c r="K71" s="33"/>
      <c r="L71" s="33"/>
      <c r="M71" s="33">
        <v>0.11813922851734725</v>
      </c>
      <c r="N71" s="33">
        <v>0.11813922851734725</v>
      </c>
      <c r="O71" s="33">
        <v>0.11813922851734725</v>
      </c>
      <c r="P71" s="33">
        <v>0.11813922851734725</v>
      </c>
      <c r="Q71" s="33">
        <v>0.11813922851734725</v>
      </c>
      <c r="R71" s="33">
        <v>0.11813922851734725</v>
      </c>
      <c r="S71" s="33">
        <v>0.11813922851734725</v>
      </c>
      <c r="T71" s="33">
        <v>0.11813922851734725</v>
      </c>
      <c r="U71" s="33">
        <v>0.11813922851734725</v>
      </c>
      <c r="V71" s="33">
        <v>0.11813922851734725</v>
      </c>
      <c r="W71" s="33">
        <v>0.11813922851734725</v>
      </c>
      <c r="X71" s="33">
        <v>0.11813922851734725</v>
      </c>
      <c r="Y71" s="33">
        <v>0.11813922851734725</v>
      </c>
      <c r="Z71" s="33">
        <v>0.11813922851734725</v>
      </c>
      <c r="AA71" s="33">
        <v>0.11813922851734725</v>
      </c>
      <c r="AB71" s="33">
        <v>0.11813922851734725</v>
      </c>
      <c r="AC71" s="33">
        <v>0.11813922851734725</v>
      </c>
      <c r="AD71" s="33">
        <v>0.11813922851734725</v>
      </c>
      <c r="AE71" s="33">
        <v>0.10784961221401221</v>
      </c>
      <c r="AF71" s="33">
        <v>0</v>
      </c>
      <c r="AG71" s="33">
        <v>0</v>
      </c>
      <c r="AH71" s="33">
        <v>0</v>
      </c>
      <c r="AI71" s="33">
        <v>0</v>
      </c>
      <c r="AJ71" s="33">
        <v>0</v>
      </c>
      <c r="AK71" s="33">
        <v>0</v>
      </c>
      <c r="AL71" s="33">
        <v>0</v>
      </c>
      <c r="AM71" s="33">
        <v>0</v>
      </c>
      <c r="AN71" s="33">
        <v>0</v>
      </c>
      <c r="AO71" s="33">
        <v>0</v>
      </c>
      <c r="AP71" s="33">
        <v>0</v>
      </c>
    </row>
    <row r="72" spans="1:42" ht="15.75">
      <c r="A72" s="31" t="s">
        <v>37</v>
      </c>
      <c r="B72" s="31" t="s">
        <v>15</v>
      </c>
      <c r="C72" s="31" t="s">
        <v>54</v>
      </c>
      <c r="D72" s="31" t="s">
        <v>3</v>
      </c>
      <c r="E72" s="31" t="s">
        <v>5</v>
      </c>
      <c r="F72" s="31">
        <v>2011</v>
      </c>
      <c r="G72" s="33" t="s">
        <v>17</v>
      </c>
      <c r="H72" s="33"/>
      <c r="I72" s="33"/>
      <c r="J72" s="33"/>
      <c r="K72" s="33"/>
      <c r="L72" s="33"/>
      <c r="M72" s="33">
        <v>0</v>
      </c>
      <c r="N72" s="33">
        <v>0</v>
      </c>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c r="AF72" s="33">
        <v>0</v>
      </c>
      <c r="AG72" s="33">
        <v>0</v>
      </c>
      <c r="AH72" s="33">
        <v>0</v>
      </c>
      <c r="AI72" s="33">
        <v>0</v>
      </c>
      <c r="AJ72" s="33">
        <v>0</v>
      </c>
      <c r="AK72" s="33">
        <v>0</v>
      </c>
      <c r="AL72" s="33">
        <v>0</v>
      </c>
      <c r="AM72" s="33">
        <v>0</v>
      </c>
      <c r="AN72" s="33">
        <v>0</v>
      </c>
      <c r="AO72" s="33">
        <v>0</v>
      </c>
      <c r="AP72" s="33">
        <v>0</v>
      </c>
    </row>
    <row r="73" spans="1:42" ht="15.75">
      <c r="A73" s="31" t="s">
        <v>37</v>
      </c>
      <c r="B73" s="31" t="s">
        <v>1</v>
      </c>
      <c r="C73" s="31" t="s">
        <v>51</v>
      </c>
      <c r="D73" s="31" t="s">
        <v>3</v>
      </c>
      <c r="E73" s="31" t="s">
        <v>9</v>
      </c>
      <c r="F73" s="31">
        <v>2011</v>
      </c>
      <c r="G73" s="33" t="s">
        <v>58</v>
      </c>
      <c r="H73" s="33"/>
      <c r="I73" s="33"/>
      <c r="J73" s="33"/>
      <c r="K73" s="33"/>
      <c r="L73" s="33"/>
      <c r="M73" s="33">
        <v>4.0183739999999997</v>
      </c>
      <c r="N73" s="33">
        <v>0</v>
      </c>
      <c r="O73" s="33">
        <v>0</v>
      </c>
      <c r="P73" s="33">
        <v>0</v>
      </c>
      <c r="Q73" s="33">
        <v>0</v>
      </c>
      <c r="R73" s="33">
        <v>0</v>
      </c>
      <c r="S73" s="33">
        <v>0</v>
      </c>
      <c r="T73" s="33">
        <v>0</v>
      </c>
      <c r="U73" s="33">
        <v>0</v>
      </c>
      <c r="V73" s="33">
        <v>0</v>
      </c>
      <c r="W73" s="33">
        <v>0</v>
      </c>
      <c r="X73" s="33">
        <v>0</v>
      </c>
      <c r="Y73" s="33">
        <v>0</v>
      </c>
      <c r="Z73" s="33">
        <v>0</v>
      </c>
      <c r="AA73" s="33">
        <v>0</v>
      </c>
      <c r="AB73" s="33">
        <v>0</v>
      </c>
      <c r="AC73" s="33">
        <v>0</v>
      </c>
      <c r="AD73" s="33">
        <v>0</v>
      </c>
      <c r="AE73" s="33">
        <v>0</v>
      </c>
      <c r="AF73" s="33">
        <v>0</v>
      </c>
      <c r="AG73" s="33">
        <v>0</v>
      </c>
      <c r="AH73" s="33">
        <v>0</v>
      </c>
      <c r="AI73" s="33">
        <v>0</v>
      </c>
      <c r="AJ73" s="33">
        <v>0</v>
      </c>
      <c r="AK73" s="33">
        <v>0</v>
      </c>
      <c r="AL73" s="33">
        <v>0</v>
      </c>
      <c r="AM73" s="33">
        <v>0</v>
      </c>
      <c r="AN73" s="33">
        <v>0</v>
      </c>
      <c r="AO73" s="33">
        <v>0</v>
      </c>
      <c r="AP73" s="33">
        <v>0</v>
      </c>
    </row>
    <row r="74" spans="1:42" ht="15.75">
      <c r="A74" s="31" t="s">
        <v>37</v>
      </c>
      <c r="B74" s="31" t="s">
        <v>1</v>
      </c>
      <c r="C74" s="31" t="s">
        <v>38</v>
      </c>
      <c r="D74" s="31" t="s">
        <v>3</v>
      </c>
      <c r="E74" s="31" t="s">
        <v>5</v>
      </c>
      <c r="F74" s="31">
        <v>2011</v>
      </c>
      <c r="G74" s="33" t="s">
        <v>92</v>
      </c>
      <c r="H74" s="33"/>
      <c r="I74" s="33"/>
      <c r="J74" s="33"/>
      <c r="K74" s="33"/>
      <c r="L74" s="33"/>
      <c r="M74" s="33">
        <v>0.10501326240581341</v>
      </c>
      <c r="N74" s="33">
        <v>0.10501326240581341</v>
      </c>
      <c r="O74" s="33">
        <v>0.10485196055999835</v>
      </c>
      <c r="P74" s="33">
        <v>8.4607426754166479E-2</v>
      </c>
      <c r="Q74" s="33">
        <v>8.4607426754166479E-2</v>
      </c>
      <c r="R74" s="33">
        <v>8.4607426754166479E-2</v>
      </c>
      <c r="S74" s="33">
        <v>2.8341886465748044E-2</v>
      </c>
      <c r="T74" s="33">
        <v>2.6020292042052674E-2</v>
      </c>
      <c r="U74" s="33">
        <v>2.6020292042052674E-2</v>
      </c>
      <c r="V74" s="33">
        <v>2.6020292042052674E-2</v>
      </c>
      <c r="W74" s="33">
        <v>2.2473955746204373E-2</v>
      </c>
      <c r="X74" s="33">
        <v>2.2473955746204373E-2</v>
      </c>
      <c r="Y74" s="33">
        <v>8.2955234990603616E-3</v>
      </c>
      <c r="Z74" s="33">
        <v>8.2955234990603616E-3</v>
      </c>
      <c r="AA74" s="33">
        <v>8.2955234990603616E-3</v>
      </c>
      <c r="AB74" s="33">
        <v>0</v>
      </c>
      <c r="AC74" s="33">
        <v>0</v>
      </c>
      <c r="AD74" s="33">
        <v>0</v>
      </c>
      <c r="AE74" s="33">
        <v>0</v>
      </c>
      <c r="AF74" s="33">
        <v>0</v>
      </c>
      <c r="AG74" s="33">
        <v>0</v>
      </c>
      <c r="AH74" s="33">
        <v>0</v>
      </c>
      <c r="AI74" s="33">
        <v>0</v>
      </c>
      <c r="AJ74" s="33">
        <v>0</v>
      </c>
      <c r="AK74" s="33">
        <v>0</v>
      </c>
      <c r="AL74" s="33">
        <v>0</v>
      </c>
      <c r="AM74" s="33">
        <v>0</v>
      </c>
      <c r="AN74" s="33">
        <v>0</v>
      </c>
      <c r="AO74" s="33">
        <v>0</v>
      </c>
      <c r="AP74" s="33">
        <v>0</v>
      </c>
    </row>
    <row r="75" spans="1:42" ht="15.75">
      <c r="A75" s="31" t="s">
        <v>37</v>
      </c>
      <c r="B75" s="31" t="s">
        <v>1</v>
      </c>
      <c r="C75" s="31" t="s">
        <v>12</v>
      </c>
      <c r="D75" s="31" t="s">
        <v>3</v>
      </c>
      <c r="E75" s="31" t="s">
        <v>5</v>
      </c>
      <c r="F75" s="31">
        <v>2011</v>
      </c>
      <c r="G75" s="33" t="s">
        <v>93</v>
      </c>
      <c r="H75" s="33"/>
      <c r="I75" s="33"/>
      <c r="J75" s="33"/>
      <c r="K75" s="33"/>
      <c r="L75" s="33"/>
      <c r="M75" s="33">
        <v>0.36025041265358465</v>
      </c>
      <c r="N75" s="33">
        <v>0.36025041265358465</v>
      </c>
      <c r="O75" s="33">
        <v>0.36025041265358465</v>
      </c>
      <c r="P75" s="33">
        <v>0.36025041265358465</v>
      </c>
      <c r="Q75" s="33">
        <v>0.36025041265358465</v>
      </c>
      <c r="R75" s="33">
        <v>0.36025041265358465</v>
      </c>
      <c r="S75" s="33">
        <v>0.36025041265358465</v>
      </c>
      <c r="T75" s="33">
        <v>0.36025041265358465</v>
      </c>
      <c r="U75" s="33">
        <v>0.36025041265358465</v>
      </c>
      <c r="V75" s="33">
        <v>0.24067565572919383</v>
      </c>
      <c r="W75" s="33">
        <v>0.24067565572919383</v>
      </c>
      <c r="X75" s="33">
        <v>0.24067565572919383</v>
      </c>
      <c r="Y75" s="33">
        <v>0.24067565572919383</v>
      </c>
      <c r="Z75" s="33">
        <v>0.24067565572919383</v>
      </c>
      <c r="AA75" s="33">
        <v>1.0164256489680166E-2</v>
      </c>
      <c r="AB75" s="33">
        <v>0</v>
      </c>
      <c r="AC75" s="33">
        <v>0</v>
      </c>
      <c r="AD75" s="33">
        <v>0</v>
      </c>
      <c r="AE75" s="33">
        <v>0</v>
      </c>
      <c r="AF75" s="33">
        <v>0</v>
      </c>
      <c r="AG75" s="33">
        <v>0</v>
      </c>
      <c r="AH75" s="33">
        <v>0</v>
      </c>
      <c r="AI75" s="33">
        <v>0</v>
      </c>
      <c r="AJ75" s="33">
        <v>0</v>
      </c>
      <c r="AK75" s="33">
        <v>0</v>
      </c>
      <c r="AL75" s="33">
        <v>0</v>
      </c>
      <c r="AM75" s="33">
        <v>0</v>
      </c>
      <c r="AN75" s="33">
        <v>0</v>
      </c>
      <c r="AO75" s="33">
        <v>0</v>
      </c>
      <c r="AP75" s="33">
        <v>0</v>
      </c>
    </row>
    <row r="76" spans="1:42" ht="15.75">
      <c r="A76" s="31" t="s">
        <v>37</v>
      </c>
      <c r="B76" s="31" t="s">
        <v>1</v>
      </c>
      <c r="C76" s="31" t="s">
        <v>40</v>
      </c>
      <c r="D76" s="31" t="s">
        <v>3</v>
      </c>
      <c r="E76" s="31" t="s">
        <v>5</v>
      </c>
      <c r="F76" s="31">
        <v>2011</v>
      </c>
      <c r="G76" s="33" t="s">
        <v>94</v>
      </c>
      <c r="H76" s="33"/>
      <c r="I76" s="33"/>
      <c r="J76" s="33"/>
      <c r="K76" s="33"/>
      <c r="L76" s="33"/>
      <c r="M76" s="33">
        <v>0</v>
      </c>
      <c r="N76" s="33">
        <v>0</v>
      </c>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c r="AF76" s="33">
        <v>0</v>
      </c>
      <c r="AG76" s="33">
        <v>0</v>
      </c>
      <c r="AH76" s="33">
        <v>0</v>
      </c>
      <c r="AI76" s="33">
        <v>0</v>
      </c>
      <c r="AJ76" s="33">
        <v>0</v>
      </c>
      <c r="AK76" s="33">
        <v>0</v>
      </c>
      <c r="AL76" s="33">
        <v>0</v>
      </c>
      <c r="AM76" s="33">
        <v>0</v>
      </c>
      <c r="AN76" s="33">
        <v>0</v>
      </c>
      <c r="AO76" s="33">
        <v>0</v>
      </c>
      <c r="AP76" s="33">
        <v>0</v>
      </c>
    </row>
    <row r="77" spans="1:42" ht="15.75">
      <c r="A77" s="31" t="s">
        <v>37</v>
      </c>
      <c r="B77" s="31" t="s">
        <v>27</v>
      </c>
      <c r="C77" s="31" t="s">
        <v>49</v>
      </c>
      <c r="D77" s="31" t="s">
        <v>3</v>
      </c>
      <c r="E77" s="31" t="s">
        <v>9</v>
      </c>
      <c r="F77" s="31">
        <v>2011</v>
      </c>
      <c r="G77" s="33" t="s">
        <v>58</v>
      </c>
      <c r="H77" s="33"/>
      <c r="I77" s="33"/>
      <c r="J77" s="33"/>
      <c r="K77" s="33"/>
      <c r="L77" s="33"/>
      <c r="M77" s="33">
        <v>0</v>
      </c>
      <c r="N77" s="33">
        <v>0</v>
      </c>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c r="AF77" s="33">
        <v>0</v>
      </c>
      <c r="AG77" s="33">
        <v>0</v>
      </c>
      <c r="AH77" s="33">
        <v>0</v>
      </c>
      <c r="AI77" s="33">
        <v>0</v>
      </c>
      <c r="AJ77" s="33">
        <v>0</v>
      </c>
      <c r="AK77" s="33">
        <v>0</v>
      </c>
      <c r="AL77" s="33">
        <v>0</v>
      </c>
      <c r="AM77" s="33">
        <v>0</v>
      </c>
      <c r="AN77" s="33">
        <v>0</v>
      </c>
      <c r="AO77" s="33">
        <v>0</v>
      </c>
      <c r="AP77" s="33">
        <v>0</v>
      </c>
    </row>
    <row r="78" spans="1:42" ht="15.75">
      <c r="A78" s="31" t="s">
        <v>37</v>
      </c>
      <c r="B78" s="31" t="s">
        <v>50</v>
      </c>
      <c r="C78" s="31" t="s">
        <v>55</v>
      </c>
      <c r="D78" s="31" t="s">
        <v>3</v>
      </c>
      <c r="E78" s="31" t="s">
        <v>5</v>
      </c>
      <c r="F78" s="31">
        <v>2011</v>
      </c>
      <c r="G78" s="33" t="s">
        <v>71</v>
      </c>
      <c r="H78" s="33"/>
      <c r="I78" s="33"/>
      <c r="J78" s="33"/>
      <c r="K78" s="33"/>
      <c r="L78" s="33"/>
      <c r="M78" s="33">
        <v>1.2423171199999999E-2</v>
      </c>
      <c r="N78" s="33">
        <v>1.2423171199999999E-2</v>
      </c>
      <c r="O78" s="33">
        <v>1.2423171199999999E-2</v>
      </c>
      <c r="P78" s="33">
        <v>1.2423171199999999E-2</v>
      </c>
      <c r="Q78" s="33">
        <v>1.2423171199999999E-2</v>
      </c>
      <c r="R78" s="33">
        <v>1.2423171199999999E-2</v>
      </c>
      <c r="S78" s="33">
        <v>1.2423171199999999E-2</v>
      </c>
      <c r="T78" s="33">
        <v>1.2423171199999999E-2</v>
      </c>
      <c r="U78" s="33">
        <v>1.2423171199999999E-2</v>
      </c>
      <c r="V78" s="33">
        <v>1.2423171199999999E-2</v>
      </c>
      <c r="W78" s="33">
        <v>1.2423171199999999E-2</v>
      </c>
      <c r="X78" s="33">
        <v>1.2423171199999999E-2</v>
      </c>
      <c r="Y78" s="33">
        <v>1.2423171199999999E-2</v>
      </c>
      <c r="Z78" s="33">
        <v>0</v>
      </c>
      <c r="AA78" s="33">
        <v>0</v>
      </c>
      <c r="AB78" s="33">
        <v>0</v>
      </c>
      <c r="AC78" s="33">
        <v>0</v>
      </c>
      <c r="AD78" s="33">
        <v>0</v>
      </c>
      <c r="AE78" s="33">
        <v>0</v>
      </c>
      <c r="AF78" s="33">
        <v>0</v>
      </c>
      <c r="AG78" s="33">
        <v>0</v>
      </c>
      <c r="AH78" s="33">
        <v>0</v>
      </c>
      <c r="AI78" s="33">
        <v>0</v>
      </c>
      <c r="AJ78" s="33">
        <v>0</v>
      </c>
      <c r="AK78" s="33">
        <v>0</v>
      </c>
      <c r="AL78" s="33">
        <v>0</v>
      </c>
      <c r="AM78" s="33">
        <v>0</v>
      </c>
      <c r="AN78" s="33">
        <v>0</v>
      </c>
      <c r="AO78" s="33">
        <v>0</v>
      </c>
      <c r="AP78" s="33">
        <v>0</v>
      </c>
    </row>
    <row r="79" spans="1:42" ht="15.75">
      <c r="A79" s="31" t="s">
        <v>37</v>
      </c>
      <c r="B79" s="31" t="s">
        <v>50</v>
      </c>
      <c r="C79" s="31" t="s">
        <v>42</v>
      </c>
      <c r="D79" s="31" t="s">
        <v>3</v>
      </c>
      <c r="E79" s="31" t="s">
        <v>5</v>
      </c>
      <c r="F79" s="31">
        <v>2011</v>
      </c>
      <c r="G79" s="33" t="s">
        <v>57</v>
      </c>
      <c r="H79" s="33"/>
      <c r="I79" s="33"/>
      <c r="J79" s="33"/>
      <c r="K79" s="33"/>
      <c r="L79" s="33"/>
      <c r="M79" s="33">
        <v>6.445545105378446E-2</v>
      </c>
      <c r="N79" s="33">
        <v>6.445545105378446E-2</v>
      </c>
      <c r="O79" s="33">
        <v>6.445545105378446E-2</v>
      </c>
      <c r="P79" s="33">
        <v>6.445545105378446E-2</v>
      </c>
      <c r="Q79" s="33">
        <v>6.445545105378446E-2</v>
      </c>
      <c r="R79" s="33">
        <v>6.445545105378446E-2</v>
      </c>
      <c r="S79" s="33">
        <v>6.445545105378446E-2</v>
      </c>
      <c r="T79" s="33">
        <v>6.445545105378446E-2</v>
      </c>
      <c r="U79" s="33">
        <v>6.445545105378446E-2</v>
      </c>
      <c r="V79" s="33">
        <v>6.445545105378446E-2</v>
      </c>
      <c r="W79" s="33">
        <v>6.445545105378446E-2</v>
      </c>
      <c r="X79" s="33">
        <v>6.445545105378446E-2</v>
      </c>
      <c r="Y79" s="33">
        <v>6.445545105378446E-2</v>
      </c>
      <c r="Z79" s="33">
        <v>6.445545105378446E-2</v>
      </c>
      <c r="AA79" s="33">
        <v>6.445545105378446E-2</v>
      </c>
      <c r="AB79" s="33">
        <v>4.4645105378446223E-4</v>
      </c>
      <c r="AC79" s="33">
        <v>4.4645105378446223E-4</v>
      </c>
      <c r="AD79" s="33">
        <v>4.4645105378446223E-4</v>
      </c>
      <c r="AE79" s="33">
        <v>4.4645105378446223E-4</v>
      </c>
      <c r="AF79" s="33">
        <v>4.4645105378446223E-4</v>
      </c>
      <c r="AG79" s="33">
        <v>4.4645105378446223E-4</v>
      </c>
      <c r="AH79" s="33">
        <v>4.4645105378446223E-4</v>
      </c>
      <c r="AI79" s="33">
        <v>4.4645105378446223E-4</v>
      </c>
      <c r="AJ79" s="33">
        <v>4.4645105378446223E-4</v>
      </c>
      <c r="AK79" s="33">
        <v>4.4645105378446223E-4</v>
      </c>
      <c r="AL79" s="33">
        <v>4.4645105378446223E-4</v>
      </c>
      <c r="AM79" s="33">
        <v>0</v>
      </c>
      <c r="AN79" s="33">
        <v>0</v>
      </c>
      <c r="AO79" s="33">
        <v>0</v>
      </c>
      <c r="AP79" s="33">
        <v>0</v>
      </c>
    </row>
    <row r="80" spans="1:42" ht="15.75">
      <c r="A80" s="31" t="s">
        <v>37</v>
      </c>
      <c r="B80" s="31" t="s">
        <v>1</v>
      </c>
      <c r="C80" s="31" t="s">
        <v>38</v>
      </c>
      <c r="D80" s="31" t="s">
        <v>3</v>
      </c>
      <c r="E80" s="31" t="s">
        <v>5</v>
      </c>
      <c r="F80" s="31">
        <v>2012</v>
      </c>
      <c r="G80" s="33" t="s">
        <v>95</v>
      </c>
      <c r="H80" s="33"/>
      <c r="I80" s="33"/>
      <c r="J80" s="33"/>
      <c r="K80" s="33"/>
      <c r="L80" s="33"/>
      <c r="M80" s="33">
        <v>0</v>
      </c>
      <c r="N80" s="33">
        <v>0.2377121381276755</v>
      </c>
      <c r="O80" s="33">
        <v>0.2377121381276755</v>
      </c>
      <c r="P80" s="33">
        <v>0.2353244764076512</v>
      </c>
      <c r="Q80" s="33">
        <v>0.17424634752752116</v>
      </c>
      <c r="R80" s="33">
        <v>0.17424634752752116</v>
      </c>
      <c r="S80" s="33">
        <v>4.2976796593697394E-2</v>
      </c>
      <c r="T80" s="33">
        <v>4.2976796593697394E-2</v>
      </c>
      <c r="U80" s="33">
        <v>4.2834352189810194E-2</v>
      </c>
      <c r="V80" s="33">
        <v>4.2834352189810194E-2</v>
      </c>
      <c r="W80" s="33">
        <v>4.2834352189810194E-2</v>
      </c>
      <c r="X80" s="33">
        <v>3.5453015330728123E-2</v>
      </c>
      <c r="Y80" s="33">
        <v>3.5453015330728123E-2</v>
      </c>
      <c r="Z80" s="33">
        <v>0</v>
      </c>
      <c r="AA80" s="33">
        <v>0</v>
      </c>
      <c r="AB80" s="33">
        <v>0</v>
      </c>
      <c r="AC80" s="33">
        <v>0</v>
      </c>
      <c r="AD80" s="33">
        <v>0</v>
      </c>
      <c r="AE80" s="33">
        <v>0</v>
      </c>
      <c r="AF80" s="33">
        <v>0</v>
      </c>
      <c r="AG80" s="33">
        <v>0</v>
      </c>
      <c r="AH80" s="33">
        <v>0</v>
      </c>
      <c r="AI80" s="33">
        <v>0</v>
      </c>
      <c r="AJ80" s="33">
        <v>0</v>
      </c>
      <c r="AK80" s="33">
        <v>0</v>
      </c>
      <c r="AL80" s="33">
        <v>0</v>
      </c>
      <c r="AM80" s="33">
        <v>0</v>
      </c>
      <c r="AN80" s="33">
        <v>0</v>
      </c>
      <c r="AO80" s="33">
        <v>0</v>
      </c>
      <c r="AP80" s="33">
        <v>0</v>
      </c>
    </row>
    <row r="81" spans="1:42" ht="15.75">
      <c r="A81" s="31" t="s">
        <v>37</v>
      </c>
      <c r="B81" s="31" t="s">
        <v>1</v>
      </c>
      <c r="C81" s="31" t="s">
        <v>12</v>
      </c>
      <c r="D81" s="31" t="s">
        <v>3</v>
      </c>
      <c r="E81" s="31" t="s">
        <v>5</v>
      </c>
      <c r="F81" s="31">
        <v>2012</v>
      </c>
      <c r="G81" s="33" t="s">
        <v>96</v>
      </c>
      <c r="H81" s="33"/>
      <c r="I81" s="33"/>
      <c r="J81" s="33"/>
      <c r="K81" s="33"/>
      <c r="L81" s="33"/>
      <c r="M81" s="33">
        <v>0</v>
      </c>
      <c r="N81" s="33">
        <v>0.53631086835715347</v>
      </c>
      <c r="O81" s="33">
        <v>0.53631086835715347</v>
      </c>
      <c r="P81" s="33">
        <v>0.50824574030219083</v>
      </c>
      <c r="Q81" s="33">
        <v>0.46978124666636023</v>
      </c>
      <c r="R81" s="33">
        <v>0.46978124666636023</v>
      </c>
      <c r="S81" s="33">
        <v>0.36495555142924069</v>
      </c>
      <c r="T81" s="33">
        <v>0.36288057440404975</v>
      </c>
      <c r="U81" s="33">
        <v>0.36288057440404975</v>
      </c>
      <c r="V81" s="33">
        <v>0.35207978584178362</v>
      </c>
      <c r="W81" s="33">
        <v>0.32409897434093177</v>
      </c>
      <c r="X81" s="33">
        <v>0.28905886587088431</v>
      </c>
      <c r="Y81" s="33">
        <v>0.28905886587088431</v>
      </c>
      <c r="Z81" s="33">
        <v>0.15500419609239907</v>
      </c>
      <c r="AA81" s="33">
        <v>9.0496178911968483E-2</v>
      </c>
      <c r="AB81" s="33">
        <v>9.0496178911968483E-2</v>
      </c>
      <c r="AC81" s="33">
        <v>1.6015694575667556E-2</v>
      </c>
      <c r="AD81" s="33">
        <v>5.3442356042627103E-3</v>
      </c>
      <c r="AE81" s="33">
        <v>5.3442356042627103E-3</v>
      </c>
      <c r="AF81" s="33">
        <v>5.3442356042627103E-3</v>
      </c>
      <c r="AG81" s="33">
        <v>5.3442356042627103E-3</v>
      </c>
      <c r="AH81" s="33">
        <v>0</v>
      </c>
      <c r="AI81" s="33">
        <v>0</v>
      </c>
      <c r="AJ81" s="33">
        <v>0</v>
      </c>
      <c r="AK81" s="33">
        <v>0</v>
      </c>
      <c r="AL81" s="33">
        <v>0</v>
      </c>
      <c r="AM81" s="33">
        <v>0</v>
      </c>
      <c r="AN81" s="33">
        <v>0</v>
      </c>
      <c r="AO81" s="33">
        <v>0</v>
      </c>
      <c r="AP81" s="33">
        <v>0</v>
      </c>
    </row>
    <row r="82" spans="1:42" ht="15.75">
      <c r="A82" s="31" t="s">
        <v>37</v>
      </c>
      <c r="B82" s="31" t="s">
        <v>1</v>
      </c>
      <c r="C82" s="31" t="s">
        <v>40</v>
      </c>
      <c r="D82" s="31" t="s">
        <v>3</v>
      </c>
      <c r="E82" s="31" t="s">
        <v>5</v>
      </c>
      <c r="F82" s="31">
        <v>2012</v>
      </c>
      <c r="G82" s="33" t="s">
        <v>97</v>
      </c>
      <c r="H82" s="33"/>
      <c r="I82" s="33"/>
      <c r="J82" s="33"/>
      <c r="K82" s="33"/>
      <c r="L82" s="33"/>
      <c r="M82" s="33">
        <v>0</v>
      </c>
      <c r="N82" s="33">
        <v>2.5885873147823913E-2</v>
      </c>
      <c r="O82" s="33">
        <v>2.5885873147823913E-2</v>
      </c>
      <c r="P82" s="33">
        <v>2.5885873147823913E-2</v>
      </c>
      <c r="Q82" s="33">
        <v>2.5885873147823913E-2</v>
      </c>
      <c r="R82" s="33">
        <v>0</v>
      </c>
      <c r="S82" s="33">
        <v>0</v>
      </c>
      <c r="T82" s="33">
        <v>0</v>
      </c>
      <c r="U82" s="33">
        <v>0</v>
      </c>
      <c r="V82" s="33">
        <v>0</v>
      </c>
      <c r="W82" s="33">
        <v>0</v>
      </c>
      <c r="X82" s="33">
        <v>0</v>
      </c>
      <c r="Y82" s="33">
        <v>0</v>
      </c>
      <c r="Z82" s="33">
        <v>0</v>
      </c>
      <c r="AA82" s="33">
        <v>0</v>
      </c>
      <c r="AB82" s="33">
        <v>0</v>
      </c>
      <c r="AC82" s="33">
        <v>0</v>
      </c>
      <c r="AD82" s="33">
        <v>0</v>
      </c>
      <c r="AE82" s="33">
        <v>0</v>
      </c>
      <c r="AF82" s="33">
        <v>0</v>
      </c>
      <c r="AG82" s="33">
        <v>0</v>
      </c>
      <c r="AH82" s="33">
        <v>0</v>
      </c>
      <c r="AI82" s="33">
        <v>0</v>
      </c>
      <c r="AJ82" s="33">
        <v>0</v>
      </c>
      <c r="AK82" s="33">
        <v>0</v>
      </c>
      <c r="AL82" s="33">
        <v>0</v>
      </c>
      <c r="AM82" s="33">
        <v>0</v>
      </c>
      <c r="AN82" s="33">
        <v>0</v>
      </c>
      <c r="AO82" s="33">
        <v>0</v>
      </c>
      <c r="AP82" s="33">
        <v>0</v>
      </c>
    </row>
    <row r="83" spans="1:42" ht="15.75">
      <c r="A83" s="31" t="s">
        <v>37</v>
      </c>
      <c r="B83" s="31" t="s">
        <v>1</v>
      </c>
      <c r="C83" s="31" t="s">
        <v>42</v>
      </c>
      <c r="D83" s="31" t="s">
        <v>3</v>
      </c>
      <c r="E83" s="31" t="s">
        <v>5</v>
      </c>
      <c r="F83" s="31">
        <v>2012</v>
      </c>
      <c r="G83" s="33" t="s">
        <v>98</v>
      </c>
      <c r="H83" s="33"/>
      <c r="I83" s="33"/>
      <c r="J83" s="33"/>
      <c r="K83" s="33"/>
      <c r="L83" s="33"/>
      <c r="M83" s="33">
        <v>0</v>
      </c>
      <c r="N83" s="33">
        <v>7.3548999999999999E-4</v>
      </c>
      <c r="O83" s="33">
        <v>7.3548999999999999E-4</v>
      </c>
      <c r="P83" s="33">
        <v>7.3548999999999999E-4</v>
      </c>
      <c r="Q83" s="33">
        <v>7.3548999999999999E-4</v>
      </c>
      <c r="R83" s="33">
        <v>7.3548999999999999E-4</v>
      </c>
      <c r="S83" s="33">
        <v>7.3548999999999999E-4</v>
      </c>
      <c r="T83" s="33">
        <v>7.3548999999999999E-4</v>
      </c>
      <c r="U83" s="33">
        <v>7.3548999999999999E-4</v>
      </c>
      <c r="V83" s="33">
        <v>7.3548999999999999E-4</v>
      </c>
      <c r="W83" s="33">
        <v>7.3548999999999999E-4</v>
      </c>
      <c r="X83" s="33">
        <v>7.3548999999999999E-4</v>
      </c>
      <c r="Y83" s="33">
        <v>7.3548999999999999E-4</v>
      </c>
      <c r="Z83" s="33">
        <v>7.3548999999999999E-4</v>
      </c>
      <c r="AA83" s="33">
        <v>7.2862999999999997E-4</v>
      </c>
      <c r="AB83" s="33">
        <v>6.0661999999999999E-4</v>
      </c>
      <c r="AC83" s="33">
        <v>0</v>
      </c>
      <c r="AD83" s="33">
        <v>0</v>
      </c>
      <c r="AE83" s="33">
        <v>0</v>
      </c>
      <c r="AF83" s="33">
        <v>0</v>
      </c>
      <c r="AG83" s="33">
        <v>0</v>
      </c>
      <c r="AH83" s="33">
        <v>0</v>
      </c>
      <c r="AI83" s="33">
        <v>0</v>
      </c>
      <c r="AJ83" s="33">
        <v>0</v>
      </c>
      <c r="AK83" s="33">
        <v>0</v>
      </c>
      <c r="AL83" s="33">
        <v>0</v>
      </c>
      <c r="AM83" s="33">
        <v>0</v>
      </c>
      <c r="AN83" s="33">
        <v>0</v>
      </c>
      <c r="AO83" s="33">
        <v>0</v>
      </c>
      <c r="AP83" s="33">
        <v>0</v>
      </c>
    </row>
    <row r="84" spans="1:42" ht="15.75">
      <c r="A84" s="31" t="s">
        <v>37</v>
      </c>
      <c r="B84" s="31" t="s">
        <v>15</v>
      </c>
      <c r="C84" s="31" t="s">
        <v>19</v>
      </c>
      <c r="D84" s="31" t="s">
        <v>3</v>
      </c>
      <c r="E84" s="31" t="s">
        <v>5</v>
      </c>
      <c r="F84" s="31">
        <v>2012</v>
      </c>
      <c r="G84" s="33" t="s">
        <v>17</v>
      </c>
      <c r="H84" s="33"/>
      <c r="I84" s="33"/>
      <c r="J84" s="33"/>
      <c r="K84" s="33"/>
      <c r="L84" s="33"/>
      <c r="M84" s="33">
        <v>0</v>
      </c>
      <c r="N84" s="33">
        <v>9.361432367923507E-3</v>
      </c>
      <c r="O84" s="33">
        <v>9.361432367923507E-3</v>
      </c>
      <c r="P84" s="33">
        <v>9.361432367923507E-3</v>
      </c>
      <c r="Q84" s="33">
        <v>8.5854502475039632E-3</v>
      </c>
      <c r="R84" s="33">
        <v>0</v>
      </c>
      <c r="S84" s="33">
        <v>0</v>
      </c>
      <c r="T84" s="33">
        <v>0</v>
      </c>
      <c r="U84" s="33">
        <v>0</v>
      </c>
      <c r="V84" s="33">
        <v>0</v>
      </c>
      <c r="W84" s="33">
        <v>0</v>
      </c>
      <c r="X84" s="33">
        <v>0</v>
      </c>
      <c r="Y84" s="33">
        <v>0</v>
      </c>
      <c r="Z84" s="33">
        <v>0</v>
      </c>
      <c r="AA84" s="33">
        <v>0</v>
      </c>
      <c r="AB84" s="33">
        <v>0</v>
      </c>
      <c r="AC84" s="33">
        <v>0</v>
      </c>
      <c r="AD84" s="33">
        <v>0</v>
      </c>
      <c r="AE84" s="33">
        <v>0</v>
      </c>
      <c r="AF84" s="33">
        <v>0</v>
      </c>
      <c r="AG84" s="33">
        <v>0</v>
      </c>
      <c r="AH84" s="33">
        <v>0</v>
      </c>
      <c r="AI84" s="33">
        <v>0</v>
      </c>
      <c r="AJ84" s="33">
        <v>0</v>
      </c>
      <c r="AK84" s="33">
        <v>0</v>
      </c>
      <c r="AL84" s="33">
        <v>0</v>
      </c>
      <c r="AM84" s="33">
        <v>0</v>
      </c>
      <c r="AN84" s="33">
        <v>0</v>
      </c>
      <c r="AO84" s="33">
        <v>0</v>
      </c>
      <c r="AP84" s="33">
        <v>0</v>
      </c>
    </row>
    <row r="85" spans="1:42" ht="15.75">
      <c r="A85" s="31" t="s">
        <v>37</v>
      </c>
      <c r="B85" s="31" t="s">
        <v>15</v>
      </c>
      <c r="C85" s="31" t="s">
        <v>21</v>
      </c>
      <c r="D85" s="31" t="s">
        <v>3</v>
      </c>
      <c r="E85" s="31" t="s">
        <v>5</v>
      </c>
      <c r="F85" s="31">
        <v>2012</v>
      </c>
      <c r="G85" s="33" t="s">
        <v>17</v>
      </c>
      <c r="H85" s="33"/>
      <c r="I85" s="33"/>
      <c r="J85" s="33"/>
      <c r="K85" s="33"/>
      <c r="L85" s="33"/>
      <c r="M85" s="33">
        <v>0</v>
      </c>
      <c r="N85" s="33">
        <v>5.1037180188290392E-3</v>
      </c>
      <c r="O85" s="33">
        <v>5.1037180188290392E-3</v>
      </c>
      <c r="P85" s="33">
        <v>5.1037180188290392E-3</v>
      </c>
      <c r="Q85" s="33">
        <v>5.1037180188290392E-3</v>
      </c>
      <c r="R85" s="33">
        <v>2.8772237015347152E-3</v>
      </c>
      <c r="S85" s="33">
        <v>0</v>
      </c>
      <c r="T85" s="33">
        <v>0</v>
      </c>
      <c r="U85" s="33">
        <v>0</v>
      </c>
      <c r="V85" s="33">
        <v>0</v>
      </c>
      <c r="W85" s="33">
        <v>0</v>
      </c>
      <c r="X85" s="33">
        <v>0</v>
      </c>
      <c r="Y85" s="33">
        <v>0</v>
      </c>
      <c r="Z85" s="33">
        <v>0</v>
      </c>
      <c r="AA85" s="33">
        <v>0</v>
      </c>
      <c r="AB85" s="33">
        <v>0</v>
      </c>
      <c r="AC85" s="33">
        <v>0</v>
      </c>
      <c r="AD85" s="33">
        <v>0</v>
      </c>
      <c r="AE85" s="33">
        <v>0</v>
      </c>
      <c r="AF85" s="33">
        <v>0</v>
      </c>
      <c r="AG85" s="33">
        <v>0</v>
      </c>
      <c r="AH85" s="33">
        <v>0</v>
      </c>
      <c r="AI85" s="33">
        <v>0</v>
      </c>
      <c r="AJ85" s="33">
        <v>0</v>
      </c>
      <c r="AK85" s="33">
        <v>0</v>
      </c>
      <c r="AL85" s="33">
        <v>0</v>
      </c>
      <c r="AM85" s="33">
        <v>0</v>
      </c>
      <c r="AN85" s="33">
        <v>0</v>
      </c>
      <c r="AO85" s="33">
        <v>0</v>
      </c>
      <c r="AP85" s="33">
        <v>0</v>
      </c>
    </row>
    <row r="86" spans="1:42" ht="15.75">
      <c r="A86" s="31" t="s">
        <v>37</v>
      </c>
      <c r="B86" s="31" t="s">
        <v>15</v>
      </c>
      <c r="C86" s="31" t="s">
        <v>43</v>
      </c>
      <c r="D86" s="31" t="s">
        <v>3</v>
      </c>
      <c r="E86" s="31" t="s">
        <v>5</v>
      </c>
      <c r="F86" s="31">
        <v>2012</v>
      </c>
      <c r="G86" s="33" t="s">
        <v>17</v>
      </c>
      <c r="H86" s="33"/>
      <c r="I86" s="33"/>
      <c r="J86" s="33"/>
      <c r="K86" s="33"/>
      <c r="L86" s="33"/>
      <c r="M86" s="33">
        <v>0</v>
      </c>
      <c r="N86" s="33">
        <v>7.4202865281649492E-3</v>
      </c>
      <c r="O86" s="33">
        <v>7.4202865281649492E-3</v>
      </c>
      <c r="P86" s="33">
        <v>7.4202865281649492E-3</v>
      </c>
      <c r="Q86" s="33">
        <v>7.4202865281649492E-3</v>
      </c>
      <c r="R86" s="33">
        <v>6.7919315565284155E-3</v>
      </c>
      <c r="S86" s="33">
        <v>5.7475746556723412E-3</v>
      </c>
      <c r="T86" s="33">
        <v>4.3028235072494455E-3</v>
      </c>
      <c r="U86" s="33">
        <v>4.2869368937000583E-3</v>
      </c>
      <c r="V86" s="33">
        <v>4.2869368937000583E-3</v>
      </c>
      <c r="W86" s="33">
        <v>2.7646928861183463E-3</v>
      </c>
      <c r="X86" s="33">
        <v>1.0816562553620282E-3</v>
      </c>
      <c r="Y86" s="33">
        <v>1.0815612839661095E-3</v>
      </c>
      <c r="Z86" s="33">
        <v>1.0815612839661095E-3</v>
      </c>
      <c r="AA86" s="33">
        <v>1.0630008934500884E-3</v>
      </c>
      <c r="AB86" s="33">
        <v>1.0630008934500884E-3</v>
      </c>
      <c r="AC86" s="33">
        <v>1.0365899507272559E-3</v>
      </c>
      <c r="AD86" s="33">
        <v>2.9084714567998273E-4</v>
      </c>
      <c r="AE86" s="33">
        <v>2.9084714567998273E-4</v>
      </c>
      <c r="AF86" s="33">
        <v>2.9084714567998273E-4</v>
      </c>
      <c r="AG86" s="33">
        <v>2.9084714567998273E-4</v>
      </c>
      <c r="AH86" s="33">
        <v>0</v>
      </c>
      <c r="AI86" s="33">
        <v>0</v>
      </c>
      <c r="AJ86" s="33">
        <v>0</v>
      </c>
      <c r="AK86" s="33">
        <v>0</v>
      </c>
      <c r="AL86" s="33">
        <v>0</v>
      </c>
      <c r="AM86" s="33">
        <v>0</v>
      </c>
      <c r="AN86" s="33">
        <v>0</v>
      </c>
      <c r="AO86" s="33">
        <v>0</v>
      </c>
      <c r="AP86" s="33">
        <v>0</v>
      </c>
    </row>
    <row r="87" spans="1:42" ht="15.75">
      <c r="A87" s="31" t="s">
        <v>37</v>
      </c>
      <c r="B87" s="31" t="s">
        <v>15</v>
      </c>
      <c r="C87" s="31" t="s">
        <v>45</v>
      </c>
      <c r="D87" s="31" t="s">
        <v>3</v>
      </c>
      <c r="E87" s="31" t="s">
        <v>5</v>
      </c>
      <c r="F87" s="31">
        <v>2012</v>
      </c>
      <c r="G87" s="33" t="s">
        <v>17</v>
      </c>
      <c r="H87" s="33"/>
      <c r="I87" s="33"/>
      <c r="J87" s="33"/>
      <c r="K87" s="33"/>
      <c r="L87" s="33"/>
      <c r="M87" s="33">
        <v>0</v>
      </c>
      <c r="N87" s="33">
        <v>1.1552491382742643E-3</v>
      </c>
      <c r="O87" s="33">
        <v>1.1552491382742643E-3</v>
      </c>
      <c r="P87" s="33">
        <v>1.1552491382742643E-3</v>
      </c>
      <c r="Q87" s="33">
        <v>1.1552491382742643E-3</v>
      </c>
      <c r="R87" s="33">
        <v>1.1503725825611241E-3</v>
      </c>
      <c r="S87" s="33">
        <v>1.1503725825611241E-3</v>
      </c>
      <c r="T87" s="33">
        <v>9.8120824983549725E-4</v>
      </c>
      <c r="U87" s="33">
        <v>9.7915971282518154E-4</v>
      </c>
      <c r="V87" s="33">
        <v>9.7915971282518154E-4</v>
      </c>
      <c r="W87" s="33">
        <v>9.7915971282518154E-4</v>
      </c>
      <c r="X87" s="33">
        <v>1.8011337818279915E-5</v>
      </c>
      <c r="Y87" s="33">
        <v>1.7998933673902362E-5</v>
      </c>
      <c r="Z87" s="33">
        <v>1.7998933673902362E-5</v>
      </c>
      <c r="AA87" s="33">
        <v>1.7350808173443171E-5</v>
      </c>
      <c r="AB87" s="33">
        <v>1.7350808173443171E-5</v>
      </c>
      <c r="AC87" s="33">
        <v>1.6207027189383499E-5</v>
      </c>
      <c r="AD87" s="33">
        <v>0</v>
      </c>
      <c r="AE87" s="33">
        <v>0</v>
      </c>
      <c r="AF87" s="33">
        <v>0</v>
      </c>
      <c r="AG87" s="33">
        <v>0</v>
      </c>
      <c r="AH87" s="33">
        <v>0</v>
      </c>
      <c r="AI87" s="33">
        <v>0</v>
      </c>
      <c r="AJ87" s="33">
        <v>0</v>
      </c>
      <c r="AK87" s="33">
        <v>0</v>
      </c>
      <c r="AL87" s="33">
        <v>0</v>
      </c>
      <c r="AM87" s="33">
        <v>0</v>
      </c>
      <c r="AN87" s="33">
        <v>0</v>
      </c>
      <c r="AO87" s="33">
        <v>0</v>
      </c>
      <c r="AP87" s="33">
        <v>0</v>
      </c>
    </row>
    <row r="88" spans="1:42" ht="15.75">
      <c r="A88" s="31" t="s">
        <v>37</v>
      </c>
      <c r="B88" s="31" t="s">
        <v>15</v>
      </c>
      <c r="C88" s="31" t="s">
        <v>46</v>
      </c>
      <c r="D88" s="31" t="s">
        <v>3</v>
      </c>
      <c r="E88" s="31" t="s">
        <v>5</v>
      </c>
      <c r="F88" s="31">
        <v>2012</v>
      </c>
      <c r="G88" s="33" t="s">
        <v>17</v>
      </c>
      <c r="H88" s="33"/>
      <c r="I88" s="33"/>
      <c r="J88" s="33"/>
      <c r="K88" s="33"/>
      <c r="L88" s="33"/>
      <c r="M88" s="33">
        <v>0</v>
      </c>
      <c r="N88" s="33">
        <v>5.2903506202825884E-2</v>
      </c>
      <c r="O88" s="33">
        <v>5.2903506202825884E-2</v>
      </c>
      <c r="P88" s="33">
        <v>5.2903506202825884E-2</v>
      </c>
      <c r="Q88" s="33">
        <v>5.2903506202825884E-2</v>
      </c>
      <c r="R88" s="33">
        <v>5.2903506202825884E-2</v>
      </c>
      <c r="S88" s="33">
        <v>5.2903506202825884E-2</v>
      </c>
      <c r="T88" s="33">
        <v>5.2903506202825884E-2</v>
      </c>
      <c r="U88" s="33">
        <v>5.2903506202825884E-2</v>
      </c>
      <c r="V88" s="33">
        <v>5.2903506202825884E-2</v>
      </c>
      <c r="W88" s="33">
        <v>5.2903506202825884E-2</v>
      </c>
      <c r="X88" s="33">
        <v>5.2903506202825884E-2</v>
      </c>
      <c r="Y88" s="33">
        <v>5.2903506202825884E-2</v>
      </c>
      <c r="Z88" s="33">
        <v>5.2903506202825884E-2</v>
      </c>
      <c r="AA88" s="33">
        <v>5.2903506202825884E-2</v>
      </c>
      <c r="AB88" s="33">
        <v>5.2903506202825884E-2</v>
      </c>
      <c r="AC88" s="33">
        <v>5.2903506202825884E-2</v>
      </c>
      <c r="AD88" s="33">
        <v>5.2903506202825884E-2</v>
      </c>
      <c r="AE88" s="33">
        <v>5.2903506202825884E-2</v>
      </c>
      <c r="AF88" s="33">
        <v>4.6795541453567097E-2</v>
      </c>
      <c r="AG88" s="33">
        <v>0</v>
      </c>
      <c r="AH88" s="33">
        <v>0</v>
      </c>
      <c r="AI88" s="33">
        <v>0</v>
      </c>
      <c r="AJ88" s="33">
        <v>0</v>
      </c>
      <c r="AK88" s="33">
        <v>0</v>
      </c>
      <c r="AL88" s="33">
        <v>0</v>
      </c>
      <c r="AM88" s="33">
        <v>0</v>
      </c>
      <c r="AN88" s="33">
        <v>0</v>
      </c>
      <c r="AO88" s="33">
        <v>0</v>
      </c>
      <c r="AP88" s="33">
        <v>0</v>
      </c>
    </row>
    <row r="89" spans="1:42" ht="15.75">
      <c r="A89" s="31" t="s">
        <v>37</v>
      </c>
      <c r="B89" s="31" t="s">
        <v>48</v>
      </c>
      <c r="C89" s="31" t="s">
        <v>23</v>
      </c>
      <c r="D89" s="31" t="s">
        <v>3</v>
      </c>
      <c r="E89" s="31" t="s">
        <v>5</v>
      </c>
      <c r="F89" s="31">
        <v>2012</v>
      </c>
      <c r="G89" s="33" t="s">
        <v>17</v>
      </c>
      <c r="H89" s="33"/>
      <c r="I89" s="33"/>
      <c r="J89" s="33"/>
      <c r="K89" s="33"/>
      <c r="L89" s="33"/>
      <c r="M89" s="33">
        <v>0</v>
      </c>
      <c r="N89" s="33">
        <v>5.8680801645386964E-3</v>
      </c>
      <c r="O89" s="33">
        <v>5.740084510296584E-3</v>
      </c>
      <c r="P89" s="33">
        <v>5.740084510296584E-3</v>
      </c>
      <c r="Q89" s="33">
        <v>5.740084510296584E-3</v>
      </c>
      <c r="R89" s="33">
        <v>5.7348379353061342E-3</v>
      </c>
      <c r="S89" s="33">
        <v>5.7348379353061342E-3</v>
      </c>
      <c r="T89" s="33">
        <v>5.5974858012050391E-3</v>
      </c>
      <c r="U89" s="33">
        <v>5.5974858012050391E-3</v>
      </c>
      <c r="V89" s="33">
        <v>4.7108665630221369E-3</v>
      </c>
      <c r="W89" s="33">
        <v>4.4496073946356778E-3</v>
      </c>
      <c r="X89" s="33">
        <v>3.8620629180222748E-3</v>
      </c>
      <c r="Y89" s="33">
        <v>3.8620629180222748E-3</v>
      </c>
      <c r="Z89" s="33">
        <v>3.5703033376485111E-3</v>
      </c>
      <c r="AA89" s="33">
        <v>3.5703033376485111E-3</v>
      </c>
      <c r="AB89" s="33">
        <v>2.5357797909528017E-3</v>
      </c>
      <c r="AC89" s="33">
        <v>1.7523977309465409E-3</v>
      </c>
      <c r="AD89" s="33">
        <v>1.7523977309465409E-3</v>
      </c>
      <c r="AE89" s="33">
        <v>1.7523977309465409E-3</v>
      </c>
      <c r="AF89" s="33">
        <v>1.7523977309465409E-3</v>
      </c>
      <c r="AG89" s="33">
        <v>1.7523977309465409E-3</v>
      </c>
      <c r="AH89" s="33">
        <v>1.7172221839427949E-4</v>
      </c>
      <c r="AI89" s="33">
        <v>0</v>
      </c>
      <c r="AJ89" s="33">
        <v>0</v>
      </c>
      <c r="AK89" s="33">
        <v>0</v>
      </c>
      <c r="AL89" s="33">
        <v>0</v>
      </c>
      <c r="AM89" s="33">
        <v>0</v>
      </c>
      <c r="AN89" s="33">
        <v>0</v>
      </c>
      <c r="AO89" s="33">
        <v>0</v>
      </c>
      <c r="AP89" s="33">
        <v>0</v>
      </c>
    </row>
    <row r="90" spans="1:42" ht="15.75">
      <c r="A90" s="31" t="s">
        <v>37</v>
      </c>
      <c r="B90" s="31" t="s">
        <v>27</v>
      </c>
      <c r="C90" s="31" t="s">
        <v>49</v>
      </c>
      <c r="D90" s="31" t="s">
        <v>3</v>
      </c>
      <c r="E90" s="31" t="s">
        <v>9</v>
      </c>
      <c r="F90" s="31">
        <v>2012</v>
      </c>
      <c r="G90" s="33" t="s">
        <v>128</v>
      </c>
      <c r="H90" s="33"/>
      <c r="I90" s="33"/>
      <c r="J90" s="33"/>
      <c r="K90" s="33"/>
      <c r="L90" s="33"/>
      <c r="M90" s="33">
        <v>0</v>
      </c>
      <c r="N90" s="33">
        <v>0.34920435999999999</v>
      </c>
      <c r="O90" s="33">
        <v>0</v>
      </c>
      <c r="P90" s="33">
        <v>0</v>
      </c>
      <c r="Q90" s="33">
        <v>0</v>
      </c>
      <c r="R90" s="33">
        <v>0</v>
      </c>
      <c r="S90" s="33">
        <v>0</v>
      </c>
      <c r="T90" s="33">
        <v>0</v>
      </c>
      <c r="U90" s="33">
        <v>0</v>
      </c>
      <c r="V90" s="33">
        <v>0</v>
      </c>
      <c r="W90" s="33">
        <v>0</v>
      </c>
      <c r="X90" s="33">
        <v>0</v>
      </c>
      <c r="Y90" s="33">
        <v>0</v>
      </c>
      <c r="Z90" s="33">
        <v>0</v>
      </c>
      <c r="AA90" s="33">
        <v>0</v>
      </c>
      <c r="AB90" s="33">
        <v>0</v>
      </c>
      <c r="AC90" s="33">
        <v>0</v>
      </c>
      <c r="AD90" s="33">
        <v>0</v>
      </c>
      <c r="AE90" s="33">
        <v>0</v>
      </c>
      <c r="AF90" s="33">
        <v>0</v>
      </c>
      <c r="AG90" s="33">
        <v>0</v>
      </c>
      <c r="AH90" s="33">
        <v>0</v>
      </c>
      <c r="AI90" s="33">
        <v>0</v>
      </c>
      <c r="AJ90" s="33">
        <v>0</v>
      </c>
      <c r="AK90" s="33">
        <v>0</v>
      </c>
      <c r="AL90" s="33">
        <v>0</v>
      </c>
      <c r="AM90" s="33">
        <v>0</v>
      </c>
      <c r="AN90" s="33">
        <v>0</v>
      </c>
      <c r="AO90" s="33">
        <v>0</v>
      </c>
      <c r="AP90" s="33">
        <v>0</v>
      </c>
    </row>
    <row r="91" spans="1:42" ht="15.75">
      <c r="A91" s="31" t="s">
        <v>37</v>
      </c>
      <c r="B91" s="31" t="s">
        <v>50</v>
      </c>
      <c r="C91" s="31" t="s">
        <v>42</v>
      </c>
      <c r="D91" s="31" t="s">
        <v>3</v>
      </c>
      <c r="E91" s="31" t="s">
        <v>5</v>
      </c>
      <c r="F91" s="31">
        <v>2012</v>
      </c>
      <c r="G91" s="33" t="s">
        <v>57</v>
      </c>
      <c r="H91" s="33"/>
      <c r="I91" s="33"/>
      <c r="J91" s="33"/>
      <c r="K91" s="33"/>
      <c r="L91" s="33"/>
      <c r="M91" s="33">
        <v>0</v>
      </c>
      <c r="N91" s="33">
        <v>9.0391555267743048E-2</v>
      </c>
      <c r="O91" s="33">
        <v>9.0391555267743048E-2</v>
      </c>
      <c r="P91" s="33">
        <v>9.0391555267743048E-2</v>
      </c>
      <c r="Q91" s="33">
        <v>9.0391555267743048E-2</v>
      </c>
      <c r="R91" s="33">
        <v>9.0391555267743048E-2</v>
      </c>
      <c r="S91" s="33">
        <v>9.0391555267743048E-2</v>
      </c>
      <c r="T91" s="33">
        <v>9.0391555267743048E-2</v>
      </c>
      <c r="U91" s="33">
        <v>9.0391555267743048E-2</v>
      </c>
      <c r="V91" s="33">
        <v>9.0391555267743048E-2</v>
      </c>
      <c r="W91" s="33">
        <v>9.0391555267743048E-2</v>
      </c>
      <c r="X91" s="33">
        <v>9.0391555267743048E-2</v>
      </c>
      <c r="Y91" s="33">
        <v>9.0391555267743048E-2</v>
      </c>
      <c r="Z91" s="33">
        <v>0</v>
      </c>
      <c r="AA91" s="33">
        <v>0</v>
      </c>
      <c r="AB91" s="33">
        <v>0</v>
      </c>
      <c r="AC91" s="33">
        <v>0</v>
      </c>
      <c r="AD91" s="33">
        <v>0</v>
      </c>
      <c r="AE91" s="33">
        <v>0</v>
      </c>
      <c r="AF91" s="33">
        <v>0</v>
      </c>
      <c r="AG91" s="33">
        <v>0</v>
      </c>
      <c r="AH91" s="33">
        <v>0</v>
      </c>
      <c r="AI91" s="33">
        <v>0</v>
      </c>
      <c r="AJ91" s="33">
        <v>0</v>
      </c>
      <c r="AK91" s="33">
        <v>0</v>
      </c>
      <c r="AL91" s="33">
        <v>0</v>
      </c>
      <c r="AM91" s="33">
        <v>0</v>
      </c>
      <c r="AN91" s="33">
        <v>0</v>
      </c>
      <c r="AO91" s="33">
        <v>0</v>
      </c>
      <c r="AP91" s="33">
        <v>0</v>
      </c>
    </row>
    <row r="92" spans="1:42" ht="15.75">
      <c r="A92" s="31" t="s">
        <v>37</v>
      </c>
      <c r="B92" s="31" t="s">
        <v>1</v>
      </c>
      <c r="C92" s="31" t="s">
        <v>51</v>
      </c>
      <c r="D92" s="31" t="s">
        <v>3</v>
      </c>
      <c r="E92" s="31" t="s">
        <v>9</v>
      </c>
      <c r="F92" s="31">
        <v>2012</v>
      </c>
      <c r="G92" s="33" t="s">
        <v>128</v>
      </c>
      <c r="H92" s="33"/>
      <c r="I92" s="33"/>
      <c r="J92" s="33"/>
      <c r="K92" s="33"/>
      <c r="L92" s="33"/>
      <c r="M92" s="33">
        <v>0</v>
      </c>
      <c r="N92" s="33">
        <v>4.0302177390000002</v>
      </c>
      <c r="O92" s="33">
        <v>0</v>
      </c>
      <c r="P92" s="33">
        <v>0</v>
      </c>
      <c r="Q92" s="33">
        <v>0</v>
      </c>
      <c r="R92" s="33">
        <v>0</v>
      </c>
      <c r="S92" s="33">
        <v>0</v>
      </c>
      <c r="T92" s="33">
        <v>0</v>
      </c>
      <c r="U92" s="33">
        <v>0</v>
      </c>
      <c r="V92" s="33">
        <v>0</v>
      </c>
      <c r="W92" s="33">
        <v>0</v>
      </c>
      <c r="X92" s="33">
        <v>0</v>
      </c>
      <c r="Y92" s="33">
        <v>0</v>
      </c>
      <c r="Z92" s="33">
        <v>0</v>
      </c>
      <c r="AA92" s="33">
        <v>0</v>
      </c>
      <c r="AB92" s="33">
        <v>0</v>
      </c>
      <c r="AC92" s="33">
        <v>0</v>
      </c>
      <c r="AD92" s="33">
        <v>0</v>
      </c>
      <c r="AE92" s="33">
        <v>0</v>
      </c>
      <c r="AF92" s="33">
        <v>0</v>
      </c>
      <c r="AG92" s="33">
        <v>0</v>
      </c>
      <c r="AH92" s="33">
        <v>0</v>
      </c>
      <c r="AI92" s="33">
        <v>0</v>
      </c>
      <c r="AJ92" s="33">
        <v>0</v>
      </c>
      <c r="AK92" s="33">
        <v>0</v>
      </c>
      <c r="AL92" s="33">
        <v>0</v>
      </c>
      <c r="AM92" s="33">
        <v>0</v>
      </c>
      <c r="AN92" s="33">
        <v>0</v>
      </c>
      <c r="AO92" s="33">
        <v>0</v>
      </c>
      <c r="AP92" s="33">
        <v>0</v>
      </c>
    </row>
    <row r="93" spans="1:42" ht="15.75">
      <c r="A93" s="31" t="s">
        <v>52</v>
      </c>
      <c r="B93" s="31" t="s">
        <v>1</v>
      </c>
      <c r="C93" s="31" t="s">
        <v>12</v>
      </c>
      <c r="D93" s="31" t="s">
        <v>3</v>
      </c>
      <c r="E93" s="31" t="s">
        <v>5</v>
      </c>
      <c r="F93" s="31">
        <v>2011</v>
      </c>
      <c r="G93" s="33" t="s">
        <v>93</v>
      </c>
      <c r="H93" s="33"/>
      <c r="I93" s="33"/>
      <c r="J93" s="33"/>
      <c r="K93" s="33"/>
      <c r="L93" s="33"/>
      <c r="M93" s="33">
        <v>3.378154859751618E-3</v>
      </c>
      <c r="N93" s="33">
        <v>3.378154859751618E-3</v>
      </c>
      <c r="O93" s="33">
        <v>3.378154859751618E-3</v>
      </c>
      <c r="P93" s="33">
        <v>3.1507325252195365E-3</v>
      </c>
      <c r="Q93" s="33">
        <v>3.1507325252195365E-3</v>
      </c>
      <c r="R93" s="33">
        <v>3.1507325252195365E-3</v>
      </c>
      <c r="S93" s="33">
        <v>8.1429638321821318E-4</v>
      </c>
      <c r="T93" s="33">
        <v>8.1429638321821318E-4</v>
      </c>
      <c r="U93" s="33">
        <v>8.1429638321821318E-4</v>
      </c>
      <c r="V93" s="33">
        <v>8.1429638321821318E-4</v>
      </c>
      <c r="W93" s="33">
        <v>6.7051569755659322E-4</v>
      </c>
      <c r="X93" s="33">
        <v>6.7051569755659322E-4</v>
      </c>
      <c r="Y93" s="33">
        <v>0</v>
      </c>
      <c r="Z93" s="33">
        <v>0</v>
      </c>
      <c r="AA93" s="33">
        <v>0</v>
      </c>
      <c r="AB93" s="33">
        <v>0</v>
      </c>
      <c r="AC93" s="33">
        <v>0</v>
      </c>
      <c r="AD93" s="33">
        <v>0</v>
      </c>
      <c r="AE93" s="33">
        <v>0</v>
      </c>
      <c r="AF93" s="33">
        <v>0</v>
      </c>
      <c r="AG93" s="33">
        <v>0</v>
      </c>
      <c r="AH93" s="33">
        <v>0</v>
      </c>
      <c r="AI93" s="33">
        <v>0</v>
      </c>
      <c r="AJ93" s="33">
        <v>0</v>
      </c>
      <c r="AK93" s="33">
        <v>0</v>
      </c>
      <c r="AL93" s="33">
        <v>0</v>
      </c>
      <c r="AM93" s="33">
        <v>0</v>
      </c>
      <c r="AN93" s="33">
        <v>0</v>
      </c>
      <c r="AO93" s="33">
        <v>0</v>
      </c>
      <c r="AP93" s="33">
        <v>0</v>
      </c>
    </row>
    <row r="94" spans="1:42" ht="15.75">
      <c r="A94" s="31" t="s">
        <v>52</v>
      </c>
      <c r="B94" s="31" t="s">
        <v>1</v>
      </c>
      <c r="C94" s="31" t="s">
        <v>38</v>
      </c>
      <c r="D94" s="31" t="s">
        <v>3</v>
      </c>
      <c r="E94" s="31" t="s">
        <v>5</v>
      </c>
      <c r="F94" s="31">
        <v>2011</v>
      </c>
      <c r="G94" s="33" t="s">
        <v>92</v>
      </c>
      <c r="H94" s="33"/>
      <c r="I94" s="33"/>
      <c r="J94" s="33"/>
      <c r="K94" s="33"/>
      <c r="L94" s="33"/>
      <c r="M94" s="33">
        <v>5.4381765160506929E-3</v>
      </c>
      <c r="N94" s="33">
        <v>5.4381765160506929E-3</v>
      </c>
      <c r="O94" s="33">
        <v>5.4381765160506929E-3</v>
      </c>
      <c r="P94" s="33">
        <v>5.4381765160506929E-3</v>
      </c>
      <c r="Q94" s="33">
        <v>5.4381765160506929E-3</v>
      </c>
      <c r="R94" s="33">
        <v>5.4381765160506929E-3</v>
      </c>
      <c r="S94" s="33">
        <v>1.5335196912846338E-3</v>
      </c>
      <c r="T94" s="33">
        <v>1.5335196912846338E-3</v>
      </c>
      <c r="U94" s="33">
        <v>1.5335196912846338E-3</v>
      </c>
      <c r="V94" s="33">
        <v>1.5335196912846338E-3</v>
      </c>
      <c r="W94" s="33">
        <v>1.3779786256772517E-3</v>
      </c>
      <c r="X94" s="33">
        <v>1.3779786256772517E-3</v>
      </c>
      <c r="Y94" s="33">
        <v>0</v>
      </c>
      <c r="Z94" s="33">
        <v>0</v>
      </c>
      <c r="AA94" s="33">
        <v>0</v>
      </c>
      <c r="AB94" s="33">
        <v>0</v>
      </c>
      <c r="AC94" s="33">
        <v>0</v>
      </c>
      <c r="AD94" s="33">
        <v>0</v>
      </c>
      <c r="AE94" s="33">
        <v>0</v>
      </c>
      <c r="AF94" s="33">
        <v>0</v>
      </c>
      <c r="AG94" s="33">
        <v>0</v>
      </c>
      <c r="AH94" s="33">
        <v>0</v>
      </c>
      <c r="AI94" s="33">
        <v>0</v>
      </c>
      <c r="AJ94" s="33">
        <v>0</v>
      </c>
      <c r="AK94" s="33">
        <v>0</v>
      </c>
      <c r="AL94" s="33">
        <v>0</v>
      </c>
      <c r="AM94" s="33">
        <v>0</v>
      </c>
      <c r="AN94" s="33">
        <v>0</v>
      </c>
      <c r="AO94" s="33">
        <v>0</v>
      </c>
      <c r="AP94" s="33">
        <v>0</v>
      </c>
    </row>
    <row r="95" spans="1:42" ht="15.75">
      <c r="A95" s="31" t="s">
        <v>52</v>
      </c>
      <c r="B95" s="31" t="s">
        <v>1</v>
      </c>
      <c r="C95" s="31" t="s">
        <v>40</v>
      </c>
      <c r="D95" s="31" t="s">
        <v>3</v>
      </c>
      <c r="E95" s="31" t="s">
        <v>5</v>
      </c>
      <c r="F95" s="31">
        <v>2011</v>
      </c>
      <c r="G95" s="33" t="s">
        <v>94</v>
      </c>
      <c r="H95" s="33"/>
      <c r="I95" s="33"/>
      <c r="J95" s="33"/>
      <c r="K95" s="33"/>
      <c r="L95" s="33"/>
      <c r="M95" s="33">
        <v>1.0354349259129566E-2</v>
      </c>
      <c r="N95" s="33">
        <v>1.0354349259129566E-2</v>
      </c>
      <c r="O95" s="33">
        <v>1.0354349259129566E-2</v>
      </c>
      <c r="P95" s="33">
        <v>1.0354349259129566E-2</v>
      </c>
      <c r="Q95" s="33">
        <v>1.0354349259129566E-2</v>
      </c>
      <c r="R95" s="33">
        <v>0</v>
      </c>
      <c r="S95" s="33">
        <v>0</v>
      </c>
      <c r="T95" s="33">
        <v>0</v>
      </c>
      <c r="U95" s="33">
        <v>0</v>
      </c>
      <c r="V95" s="33">
        <v>0</v>
      </c>
      <c r="W95" s="33">
        <v>0</v>
      </c>
      <c r="X95" s="33">
        <v>0</v>
      </c>
      <c r="Y95" s="33">
        <v>0</v>
      </c>
      <c r="Z95" s="33">
        <v>0</v>
      </c>
      <c r="AA95" s="33">
        <v>0</v>
      </c>
      <c r="AB95" s="33">
        <v>0</v>
      </c>
      <c r="AC95" s="33">
        <v>0</v>
      </c>
      <c r="AD95" s="33">
        <v>0</v>
      </c>
      <c r="AE95" s="33">
        <v>0</v>
      </c>
      <c r="AF95" s="33">
        <v>0</v>
      </c>
      <c r="AG95" s="33">
        <v>0</v>
      </c>
      <c r="AH95" s="33">
        <v>0</v>
      </c>
      <c r="AI95" s="33">
        <v>0</v>
      </c>
      <c r="AJ95" s="33">
        <v>0</v>
      </c>
      <c r="AK95" s="33">
        <v>0</v>
      </c>
      <c r="AL95" s="33">
        <v>0</v>
      </c>
      <c r="AM95" s="33">
        <v>0</v>
      </c>
      <c r="AN95" s="33">
        <v>0</v>
      </c>
      <c r="AO95" s="33">
        <v>0</v>
      </c>
      <c r="AP95" s="33">
        <v>0</v>
      </c>
    </row>
    <row r="96" spans="1:42" ht="15.75">
      <c r="A96" s="31" t="s">
        <v>52</v>
      </c>
      <c r="B96" s="31" t="s">
        <v>50</v>
      </c>
      <c r="C96" s="31" t="s">
        <v>42</v>
      </c>
      <c r="D96" s="31" t="s">
        <v>3</v>
      </c>
      <c r="E96" s="31" t="s">
        <v>5</v>
      </c>
      <c r="F96" s="31">
        <v>2011</v>
      </c>
      <c r="G96" s="33" t="s">
        <v>57</v>
      </c>
      <c r="H96" s="33"/>
      <c r="I96" s="33"/>
      <c r="J96" s="33"/>
      <c r="K96" s="33"/>
      <c r="L96" s="33"/>
      <c r="M96" s="33">
        <v>8.6568548946215532E-2</v>
      </c>
      <c r="N96" s="33">
        <v>8.6568548946215532E-2</v>
      </c>
      <c r="O96" s="33">
        <v>8.6568548946215532E-2</v>
      </c>
      <c r="P96" s="33">
        <v>8.6568548946215532E-2</v>
      </c>
      <c r="Q96" s="33">
        <v>8.6568548946215504E-2</v>
      </c>
      <c r="R96" s="33">
        <v>8.6568548946215504E-2</v>
      </c>
      <c r="S96" s="33">
        <v>8.6568548946215504E-2</v>
      </c>
      <c r="T96" s="33">
        <v>8.6568548946215504E-2</v>
      </c>
      <c r="U96" s="33">
        <v>8.6568548946215504E-2</v>
      </c>
      <c r="V96" s="33">
        <v>8.6568548946215504E-2</v>
      </c>
      <c r="W96" s="33">
        <v>8.6568548946215504E-2</v>
      </c>
      <c r="X96" s="33">
        <v>8.6568548946215504E-2</v>
      </c>
      <c r="Y96" s="33">
        <v>8.6568548946215504E-2</v>
      </c>
      <c r="Z96" s="33">
        <v>8.6568548946215504E-2</v>
      </c>
      <c r="AA96" s="33">
        <v>8.6568548946215504E-2</v>
      </c>
      <c r="AB96" s="33">
        <v>0</v>
      </c>
      <c r="AC96" s="33">
        <v>0</v>
      </c>
      <c r="AD96" s="33">
        <v>0</v>
      </c>
      <c r="AE96" s="33">
        <v>0</v>
      </c>
      <c r="AF96" s="33">
        <v>0</v>
      </c>
      <c r="AG96" s="33">
        <v>0</v>
      </c>
      <c r="AH96" s="33">
        <v>0</v>
      </c>
      <c r="AI96" s="33">
        <v>0</v>
      </c>
      <c r="AJ96" s="33">
        <v>0</v>
      </c>
      <c r="AK96" s="33">
        <v>0</v>
      </c>
      <c r="AL96" s="33">
        <v>0</v>
      </c>
      <c r="AM96" s="33">
        <v>0</v>
      </c>
      <c r="AN96" s="33">
        <v>0</v>
      </c>
      <c r="AO96" s="33">
        <v>0</v>
      </c>
      <c r="AP96" s="33">
        <v>0</v>
      </c>
    </row>
    <row r="97" spans="1:42" ht="15.75">
      <c r="A97" s="31" t="s">
        <v>52</v>
      </c>
      <c r="B97" s="31" t="s">
        <v>15</v>
      </c>
      <c r="C97" s="31" t="s">
        <v>46</v>
      </c>
      <c r="D97" s="31" t="s">
        <v>3</v>
      </c>
      <c r="E97" s="31" t="s">
        <v>5</v>
      </c>
      <c r="F97" s="31">
        <v>2011</v>
      </c>
      <c r="G97" s="33" t="s">
        <v>17</v>
      </c>
      <c r="H97" s="33"/>
      <c r="I97" s="33"/>
      <c r="J97" s="33"/>
      <c r="K97" s="33"/>
      <c r="L97" s="33"/>
      <c r="M97" s="33">
        <v>-2.3685847270150318E-2</v>
      </c>
      <c r="N97" s="33">
        <v>-2.3685847270150318E-2</v>
      </c>
      <c r="O97" s="33">
        <v>-2.3685847270150318E-2</v>
      </c>
      <c r="P97" s="33">
        <v>-2.3685847270150318E-2</v>
      </c>
      <c r="Q97" s="33">
        <v>-2.3685847270150318E-2</v>
      </c>
      <c r="R97" s="33">
        <v>-2.3685847270150318E-2</v>
      </c>
      <c r="S97" s="33">
        <v>-2.3685847270150318E-2</v>
      </c>
      <c r="T97" s="33">
        <v>-2.3685847270150318E-2</v>
      </c>
      <c r="U97" s="33">
        <v>-2.3685847270150318E-2</v>
      </c>
      <c r="V97" s="33">
        <v>-2.3685847270150318E-2</v>
      </c>
      <c r="W97" s="33">
        <v>-2.3685847270150318E-2</v>
      </c>
      <c r="X97" s="33">
        <v>-2.3685847270150318E-2</v>
      </c>
      <c r="Y97" s="33">
        <v>-2.3685847270150318E-2</v>
      </c>
      <c r="Z97" s="33">
        <v>-2.3685847270150318E-2</v>
      </c>
      <c r="AA97" s="33">
        <v>-2.3685847270150318E-2</v>
      </c>
      <c r="AB97" s="33">
        <v>-2.3685847270150318E-2</v>
      </c>
      <c r="AC97" s="33">
        <v>-2.3685847270150318E-2</v>
      </c>
      <c r="AD97" s="33">
        <v>-2.3685847270150318E-2</v>
      </c>
      <c r="AE97" s="33">
        <v>-2.1446832855818238E-2</v>
      </c>
      <c r="AF97" s="33">
        <v>0</v>
      </c>
      <c r="AG97" s="33">
        <v>0</v>
      </c>
      <c r="AH97" s="33">
        <v>0</v>
      </c>
      <c r="AI97" s="33">
        <v>0</v>
      </c>
      <c r="AJ97" s="33">
        <v>0</v>
      </c>
      <c r="AK97" s="33">
        <v>0</v>
      </c>
      <c r="AL97" s="33">
        <v>0</v>
      </c>
      <c r="AM97" s="33">
        <v>0</v>
      </c>
      <c r="AN97" s="33">
        <v>0</v>
      </c>
      <c r="AO97" s="33">
        <v>0</v>
      </c>
      <c r="AP97" s="33">
        <v>0</v>
      </c>
    </row>
    <row r="98" spans="1:42" ht="15.75">
      <c r="A98" s="31" t="s">
        <v>52</v>
      </c>
      <c r="B98" s="31" t="s">
        <v>15</v>
      </c>
      <c r="C98" s="31" t="s">
        <v>43</v>
      </c>
      <c r="D98" s="31" t="s">
        <v>3</v>
      </c>
      <c r="E98" s="31" t="s">
        <v>5</v>
      </c>
      <c r="F98" s="31">
        <v>2011</v>
      </c>
      <c r="G98" s="33" t="s">
        <v>17</v>
      </c>
      <c r="H98" s="33"/>
      <c r="I98" s="33"/>
      <c r="J98" s="33"/>
      <c r="K98" s="33"/>
      <c r="L98" s="33"/>
      <c r="M98" s="33">
        <v>5.4080493656570279E-4</v>
      </c>
      <c r="N98" s="33">
        <v>5.4080493656570279E-4</v>
      </c>
      <c r="O98" s="33">
        <v>5.4080493656570279E-4</v>
      </c>
      <c r="P98" s="33">
        <v>5.4080493656570279E-4</v>
      </c>
      <c r="Q98" s="33">
        <v>5.4080493656570279E-4</v>
      </c>
      <c r="R98" s="33">
        <v>4.9453369266803601E-4</v>
      </c>
      <c r="S98" s="33">
        <v>2.8260324476133932E-4</v>
      </c>
      <c r="T98" s="33">
        <v>2.824783436041136E-4</v>
      </c>
      <c r="U98" s="33">
        <v>2.824783436041136E-4</v>
      </c>
      <c r="V98" s="33">
        <v>8.8700957299895782E-5</v>
      </c>
      <c r="W98" s="33">
        <v>3.6854148344642996E-5</v>
      </c>
      <c r="X98" s="33">
        <v>3.6844282817465873E-5</v>
      </c>
      <c r="Y98" s="33">
        <v>3.6844282817465873E-5</v>
      </c>
      <c r="Z98" s="33">
        <v>3.5150193788265586E-5</v>
      </c>
      <c r="AA98" s="33">
        <v>3.5150193788265586E-5</v>
      </c>
      <c r="AB98" s="33">
        <v>3.5072623649487696E-5</v>
      </c>
      <c r="AC98" s="33">
        <v>0</v>
      </c>
      <c r="AD98" s="33">
        <v>0</v>
      </c>
      <c r="AE98" s="33">
        <v>0</v>
      </c>
      <c r="AF98" s="33">
        <v>0</v>
      </c>
      <c r="AG98" s="33">
        <v>0</v>
      </c>
      <c r="AH98" s="33">
        <v>0</v>
      </c>
      <c r="AI98" s="33">
        <v>0</v>
      </c>
      <c r="AJ98" s="33">
        <v>0</v>
      </c>
      <c r="AK98" s="33">
        <v>0</v>
      </c>
      <c r="AL98" s="33">
        <v>0</v>
      </c>
      <c r="AM98" s="33">
        <v>0</v>
      </c>
      <c r="AN98" s="33">
        <v>0</v>
      </c>
      <c r="AO98" s="33">
        <v>0</v>
      </c>
      <c r="AP98" s="33">
        <v>0</v>
      </c>
    </row>
    <row r="99" spans="1:42" ht="15.75">
      <c r="A99" s="31" t="s">
        <v>52</v>
      </c>
      <c r="B99" s="31" t="s">
        <v>15</v>
      </c>
      <c r="C99" s="31" t="s">
        <v>45</v>
      </c>
      <c r="D99" s="31" t="s">
        <v>3</v>
      </c>
      <c r="E99" s="31" t="s">
        <v>5</v>
      </c>
      <c r="F99" s="31">
        <v>2011</v>
      </c>
      <c r="G99" s="33" t="s">
        <v>17</v>
      </c>
      <c r="H99" s="33"/>
      <c r="I99" s="33"/>
      <c r="J99" s="33"/>
      <c r="K99" s="33"/>
      <c r="L99" s="33"/>
      <c r="M99" s="33">
        <v>8.0716536029210186E-5</v>
      </c>
      <c r="N99" s="33">
        <v>8.0716536029210186E-5</v>
      </c>
      <c r="O99" s="33">
        <v>8.0716536029210186E-5</v>
      </c>
      <c r="P99" s="33">
        <v>8.0716536029210186E-5</v>
      </c>
      <c r="Q99" s="33">
        <v>8.0716536029210186E-5</v>
      </c>
      <c r="R99" s="33">
        <v>7.5192632285304986E-5</v>
      </c>
      <c r="S99" s="33">
        <v>5.2593472630295316E-5</v>
      </c>
      <c r="T99" s="33">
        <v>5.2473064996120374E-5</v>
      </c>
      <c r="U99" s="33">
        <v>5.2473064996120374E-5</v>
      </c>
      <c r="V99" s="33">
        <v>2.9339742017871936E-5</v>
      </c>
      <c r="W99" s="33">
        <v>3.8783157347381345E-6</v>
      </c>
      <c r="X99" s="33">
        <v>3.8742248453693084E-6</v>
      </c>
      <c r="Y99" s="33">
        <v>3.8742248453693084E-6</v>
      </c>
      <c r="Z99" s="33">
        <v>3.7736336550427315E-6</v>
      </c>
      <c r="AA99" s="33">
        <v>3.7736336550427315E-6</v>
      </c>
      <c r="AB99" s="33">
        <v>3.7046160849597967E-6</v>
      </c>
      <c r="AC99" s="33">
        <v>0</v>
      </c>
      <c r="AD99" s="33">
        <v>0</v>
      </c>
      <c r="AE99" s="33">
        <v>0</v>
      </c>
      <c r="AF99" s="33">
        <v>0</v>
      </c>
      <c r="AG99" s="33">
        <v>0</v>
      </c>
      <c r="AH99" s="33">
        <v>0</v>
      </c>
      <c r="AI99" s="33">
        <v>0</v>
      </c>
      <c r="AJ99" s="33">
        <v>0</v>
      </c>
      <c r="AK99" s="33">
        <v>0</v>
      </c>
      <c r="AL99" s="33">
        <v>0</v>
      </c>
      <c r="AM99" s="33">
        <v>0</v>
      </c>
      <c r="AN99" s="33">
        <v>0</v>
      </c>
      <c r="AO99" s="33">
        <v>0</v>
      </c>
      <c r="AP99" s="33">
        <v>0</v>
      </c>
    </row>
    <row r="100" spans="1:42" ht="15.75">
      <c r="A100" s="31" t="s">
        <v>0</v>
      </c>
      <c r="B100" s="31" t="s">
        <v>1</v>
      </c>
      <c r="C100" s="31" t="s">
        <v>2</v>
      </c>
      <c r="D100" s="31" t="s">
        <v>3</v>
      </c>
      <c r="E100" s="31" t="s">
        <v>5</v>
      </c>
      <c r="F100" s="31">
        <v>2012</v>
      </c>
      <c r="G100" s="33" t="s">
        <v>97</v>
      </c>
      <c r="H100" s="33"/>
      <c r="I100" s="33"/>
      <c r="J100" s="33"/>
      <c r="K100" s="33"/>
      <c r="L100" s="33"/>
      <c r="M100" s="33" t="s">
        <v>7</v>
      </c>
      <c r="N100" s="33">
        <v>1.0354349258999999E-2</v>
      </c>
      <c r="O100" s="33">
        <v>1.0354349258999999E-2</v>
      </c>
      <c r="P100" s="33">
        <v>1.0354349258999999E-2</v>
      </c>
      <c r="Q100" s="33">
        <v>1.0354349258999999E-2</v>
      </c>
      <c r="R100" s="33" t="s">
        <v>7</v>
      </c>
      <c r="S100" s="33" t="s">
        <v>7</v>
      </c>
      <c r="T100" s="33" t="s">
        <v>7</v>
      </c>
      <c r="U100" s="33" t="s">
        <v>7</v>
      </c>
      <c r="V100" s="33" t="s">
        <v>7</v>
      </c>
      <c r="W100" s="33" t="s">
        <v>7</v>
      </c>
      <c r="X100" s="33" t="s">
        <v>7</v>
      </c>
      <c r="Y100" s="33" t="s">
        <v>7</v>
      </c>
      <c r="Z100" s="33" t="s">
        <v>7</v>
      </c>
      <c r="AA100" s="33" t="s">
        <v>7</v>
      </c>
      <c r="AB100" s="33" t="s">
        <v>7</v>
      </c>
      <c r="AC100" s="33" t="s">
        <v>7</v>
      </c>
      <c r="AD100" s="33" t="s">
        <v>7</v>
      </c>
      <c r="AE100" s="33" t="s">
        <v>7</v>
      </c>
      <c r="AF100" s="33" t="s">
        <v>7</v>
      </c>
      <c r="AG100" s="33" t="s">
        <v>7</v>
      </c>
      <c r="AH100" s="33" t="s">
        <v>7</v>
      </c>
      <c r="AI100" s="33" t="s">
        <v>7</v>
      </c>
      <c r="AJ100" s="33" t="s">
        <v>7</v>
      </c>
      <c r="AK100" s="33" t="s">
        <v>7</v>
      </c>
      <c r="AL100" s="33" t="s">
        <v>7</v>
      </c>
      <c r="AM100" s="33" t="s">
        <v>7</v>
      </c>
      <c r="AN100" s="33" t="s">
        <v>7</v>
      </c>
      <c r="AO100" s="33" t="s">
        <v>7</v>
      </c>
      <c r="AP100" s="33" t="s">
        <v>7</v>
      </c>
    </row>
    <row r="101" spans="1:42" ht="15.75">
      <c r="A101" s="31" t="s">
        <v>0</v>
      </c>
      <c r="B101" s="31" t="s">
        <v>1</v>
      </c>
      <c r="C101" s="31" t="s">
        <v>2</v>
      </c>
      <c r="D101" s="31" t="s">
        <v>3</v>
      </c>
      <c r="E101" s="31" t="s">
        <v>5</v>
      </c>
      <c r="F101" s="31">
        <v>2013</v>
      </c>
      <c r="G101" s="33" t="s">
        <v>99</v>
      </c>
      <c r="H101" s="33"/>
      <c r="I101" s="33"/>
      <c r="J101" s="33"/>
      <c r="K101" s="33"/>
      <c r="L101" s="33"/>
      <c r="M101" s="33" t="s">
        <v>7</v>
      </c>
      <c r="N101" s="33" t="s">
        <v>7</v>
      </c>
      <c r="O101" s="33">
        <v>1.7625353245999998E-2</v>
      </c>
      <c r="P101" s="33">
        <v>1.7625353245999998E-2</v>
      </c>
      <c r="Q101" s="33">
        <v>1.7625353245999998E-2</v>
      </c>
      <c r="R101" s="33">
        <v>1.7625353245999998E-2</v>
      </c>
      <c r="S101" s="33" t="s">
        <v>7</v>
      </c>
      <c r="T101" s="33" t="s">
        <v>7</v>
      </c>
      <c r="U101" s="33" t="s">
        <v>7</v>
      </c>
      <c r="V101" s="33" t="s">
        <v>7</v>
      </c>
      <c r="W101" s="33" t="s">
        <v>7</v>
      </c>
      <c r="X101" s="33" t="s">
        <v>7</v>
      </c>
      <c r="Y101" s="33" t="s">
        <v>7</v>
      </c>
      <c r="Z101" s="33" t="s">
        <v>7</v>
      </c>
      <c r="AA101" s="33" t="s">
        <v>7</v>
      </c>
      <c r="AB101" s="33" t="s">
        <v>7</v>
      </c>
      <c r="AC101" s="33" t="s">
        <v>7</v>
      </c>
      <c r="AD101" s="33" t="s">
        <v>7</v>
      </c>
      <c r="AE101" s="33" t="s">
        <v>7</v>
      </c>
      <c r="AF101" s="33" t="s">
        <v>7</v>
      </c>
      <c r="AG101" s="33" t="s">
        <v>7</v>
      </c>
      <c r="AH101" s="33" t="s">
        <v>7</v>
      </c>
      <c r="AI101" s="33" t="s">
        <v>7</v>
      </c>
      <c r="AJ101" s="33" t="s">
        <v>7</v>
      </c>
      <c r="AK101" s="33" t="s">
        <v>7</v>
      </c>
      <c r="AL101" s="33" t="s">
        <v>7</v>
      </c>
      <c r="AM101" s="33" t="s">
        <v>7</v>
      </c>
      <c r="AN101" s="33" t="s">
        <v>7</v>
      </c>
      <c r="AO101" s="33" t="s">
        <v>7</v>
      </c>
      <c r="AP101" s="33" t="s">
        <v>7</v>
      </c>
    </row>
    <row r="102" spans="1:42" ht="15.75">
      <c r="A102" s="31" t="s">
        <v>0</v>
      </c>
      <c r="B102" s="31" t="s">
        <v>1</v>
      </c>
      <c r="C102" s="31" t="s">
        <v>8</v>
      </c>
      <c r="D102" s="31" t="s">
        <v>3</v>
      </c>
      <c r="E102" s="31" t="s">
        <v>9</v>
      </c>
      <c r="F102" s="31">
        <v>2013</v>
      </c>
      <c r="G102" s="33" t="s">
        <v>128</v>
      </c>
      <c r="H102" s="33"/>
      <c r="I102" s="33"/>
      <c r="J102" s="33"/>
      <c r="K102" s="33"/>
      <c r="L102" s="33"/>
      <c r="M102" s="33" t="s">
        <v>7</v>
      </c>
      <c r="N102" s="33" t="s">
        <v>7</v>
      </c>
      <c r="O102" s="33">
        <v>3.8944540000000001</v>
      </c>
      <c r="P102" s="33" t="s">
        <v>7</v>
      </c>
      <c r="Q102" s="33" t="s">
        <v>7</v>
      </c>
      <c r="R102" s="33" t="s">
        <v>7</v>
      </c>
      <c r="S102" s="33" t="s">
        <v>7</v>
      </c>
      <c r="T102" s="33" t="s">
        <v>7</v>
      </c>
      <c r="U102" s="33" t="s">
        <v>7</v>
      </c>
      <c r="V102" s="33" t="s">
        <v>7</v>
      </c>
      <c r="W102" s="33" t="s">
        <v>7</v>
      </c>
      <c r="X102" s="33" t="s">
        <v>7</v>
      </c>
      <c r="Y102" s="33" t="s">
        <v>7</v>
      </c>
      <c r="Z102" s="33" t="s">
        <v>7</v>
      </c>
      <c r="AA102" s="33" t="s">
        <v>7</v>
      </c>
      <c r="AB102" s="33" t="s">
        <v>7</v>
      </c>
      <c r="AC102" s="33" t="s">
        <v>7</v>
      </c>
      <c r="AD102" s="33" t="s">
        <v>7</v>
      </c>
      <c r="AE102" s="33" t="s">
        <v>7</v>
      </c>
      <c r="AF102" s="33" t="s">
        <v>7</v>
      </c>
      <c r="AG102" s="33" t="s">
        <v>7</v>
      </c>
      <c r="AH102" s="33" t="s">
        <v>7</v>
      </c>
      <c r="AI102" s="33" t="s">
        <v>7</v>
      </c>
      <c r="AJ102" s="33" t="s">
        <v>7</v>
      </c>
      <c r="AK102" s="33" t="s">
        <v>7</v>
      </c>
      <c r="AL102" s="33" t="s">
        <v>7</v>
      </c>
      <c r="AM102" s="33" t="s">
        <v>7</v>
      </c>
      <c r="AN102" s="33" t="s">
        <v>7</v>
      </c>
      <c r="AO102" s="33" t="s">
        <v>7</v>
      </c>
      <c r="AP102" s="33" t="s">
        <v>7</v>
      </c>
    </row>
    <row r="103" spans="1:42" ht="15.75">
      <c r="A103" s="31" t="s">
        <v>0</v>
      </c>
      <c r="B103" s="31" t="s">
        <v>1</v>
      </c>
      <c r="C103" s="31" t="s">
        <v>11</v>
      </c>
      <c r="D103" s="31" t="s">
        <v>3</v>
      </c>
      <c r="E103" s="31" t="s">
        <v>5</v>
      </c>
      <c r="F103" s="31">
        <v>2013</v>
      </c>
      <c r="G103" s="33" t="s">
        <v>100</v>
      </c>
      <c r="H103" s="33"/>
      <c r="I103" s="33"/>
      <c r="J103" s="33"/>
      <c r="K103" s="33"/>
      <c r="L103" s="33"/>
      <c r="M103" s="33" t="s">
        <v>7</v>
      </c>
      <c r="N103" s="33" t="s">
        <v>7</v>
      </c>
      <c r="O103" s="33">
        <v>2.1600000000000001E-2</v>
      </c>
      <c r="P103" s="33">
        <v>2.1600000000000001E-2</v>
      </c>
      <c r="Q103" s="33">
        <v>2.1600000000000001E-2</v>
      </c>
      <c r="R103" s="33">
        <v>2.1600000000000001E-2</v>
      </c>
      <c r="S103" s="33">
        <v>2.1600000000000001E-2</v>
      </c>
      <c r="T103" s="33">
        <v>2.1600000000000001E-2</v>
      </c>
      <c r="U103" s="33">
        <v>2.1600000000000001E-2</v>
      </c>
      <c r="V103" s="33">
        <v>2.1600000000000001E-2</v>
      </c>
      <c r="W103" s="33">
        <v>2.1600000000000001E-2</v>
      </c>
      <c r="X103" s="33">
        <v>2.1600000000000001E-2</v>
      </c>
      <c r="Y103" s="33">
        <v>2.1600000000000001E-2</v>
      </c>
      <c r="Z103" s="33">
        <v>2.1600000000000001E-2</v>
      </c>
      <c r="AA103" s="33">
        <v>2.1600000000000001E-2</v>
      </c>
      <c r="AB103" s="33">
        <v>2.1600000000000001E-2</v>
      </c>
      <c r="AC103" s="33">
        <v>2.1600000000000001E-2</v>
      </c>
      <c r="AD103" s="33">
        <v>0</v>
      </c>
      <c r="AE103" s="33">
        <v>0</v>
      </c>
      <c r="AF103" s="33">
        <v>0</v>
      </c>
      <c r="AG103" s="33">
        <v>0</v>
      </c>
      <c r="AH103" s="33">
        <v>0</v>
      </c>
      <c r="AI103" s="33">
        <v>0</v>
      </c>
      <c r="AJ103" s="33">
        <v>0</v>
      </c>
      <c r="AK103" s="33">
        <v>0</v>
      </c>
      <c r="AL103" s="33">
        <v>0</v>
      </c>
      <c r="AM103" s="33">
        <v>0</v>
      </c>
      <c r="AN103" s="33">
        <v>0</v>
      </c>
      <c r="AO103" s="33">
        <v>0</v>
      </c>
      <c r="AP103" s="33">
        <v>0</v>
      </c>
    </row>
    <row r="104" spans="1:42" ht="15.75">
      <c r="A104" s="31" t="s">
        <v>0</v>
      </c>
      <c r="B104" s="31" t="s">
        <v>1</v>
      </c>
      <c r="C104" s="31" t="s">
        <v>12</v>
      </c>
      <c r="D104" s="31" t="s">
        <v>3</v>
      </c>
      <c r="E104" s="31" t="s">
        <v>5</v>
      </c>
      <c r="F104" s="31">
        <v>2012</v>
      </c>
      <c r="G104" s="33" t="s">
        <v>96</v>
      </c>
      <c r="H104" s="33"/>
      <c r="I104" s="33"/>
      <c r="J104" s="33"/>
      <c r="K104" s="33"/>
      <c r="L104" s="33"/>
      <c r="M104" s="33" t="s">
        <v>7</v>
      </c>
      <c r="N104" s="33">
        <v>1.3515025522E-2</v>
      </c>
      <c r="O104" s="33">
        <v>1.3515025522E-2</v>
      </c>
      <c r="P104" s="33">
        <v>1.3515025522E-2</v>
      </c>
      <c r="Q104" s="33">
        <v>1.3515025522E-2</v>
      </c>
      <c r="R104" s="33">
        <v>1.3515025522E-2</v>
      </c>
      <c r="S104" s="33">
        <v>1.3515025522E-2</v>
      </c>
      <c r="T104" s="33">
        <v>1.3515025522E-2</v>
      </c>
      <c r="U104" s="33">
        <v>1.3515025522E-2</v>
      </c>
      <c r="V104" s="33">
        <v>1.3515025522E-2</v>
      </c>
      <c r="W104" s="33">
        <v>1.3515025522E-2</v>
      </c>
      <c r="X104" s="33">
        <v>1.3515025522E-2</v>
      </c>
      <c r="Y104" s="33">
        <v>1.3515025522E-2</v>
      </c>
      <c r="Z104" s="33">
        <v>1.3515025522E-2</v>
      </c>
      <c r="AA104" s="33">
        <v>1.3515025522E-2</v>
      </c>
      <c r="AB104" s="33">
        <v>1.3515025522E-2</v>
      </c>
      <c r="AC104" s="33">
        <v>9.6639943269999987E-3</v>
      </c>
      <c r="AD104" s="33">
        <v>0</v>
      </c>
      <c r="AE104" s="33">
        <v>0</v>
      </c>
      <c r="AF104" s="33">
        <v>0</v>
      </c>
      <c r="AG104" s="33">
        <v>0</v>
      </c>
      <c r="AH104" s="33">
        <v>0</v>
      </c>
      <c r="AI104" s="33">
        <v>0</v>
      </c>
      <c r="AJ104" s="33">
        <v>0</v>
      </c>
      <c r="AK104" s="33">
        <v>0</v>
      </c>
      <c r="AL104" s="33">
        <v>0</v>
      </c>
      <c r="AM104" s="33">
        <v>0</v>
      </c>
      <c r="AN104" s="33">
        <v>0</v>
      </c>
      <c r="AO104" s="33">
        <v>0</v>
      </c>
      <c r="AP104" s="33">
        <v>0</v>
      </c>
    </row>
    <row r="105" spans="1:42" ht="15.75">
      <c r="A105" s="31" t="s">
        <v>0</v>
      </c>
      <c r="B105" s="31" t="s">
        <v>1</v>
      </c>
      <c r="C105" s="31" t="s">
        <v>12</v>
      </c>
      <c r="D105" s="31" t="s">
        <v>3</v>
      </c>
      <c r="E105" s="31" t="s">
        <v>5</v>
      </c>
      <c r="F105" s="31">
        <v>2013</v>
      </c>
      <c r="G105" s="33" t="s">
        <v>101</v>
      </c>
      <c r="H105" s="33"/>
      <c r="I105" s="33"/>
      <c r="J105" s="33"/>
      <c r="K105" s="33"/>
      <c r="L105" s="33"/>
      <c r="M105" s="33" t="s">
        <v>7</v>
      </c>
      <c r="N105" s="33" t="s">
        <v>7</v>
      </c>
      <c r="O105" s="33">
        <v>0.240247059165</v>
      </c>
      <c r="P105" s="33">
        <v>0.240247059165</v>
      </c>
      <c r="Q105" s="33">
        <v>0.240247059165</v>
      </c>
      <c r="R105" s="33">
        <v>0.15139045493600001</v>
      </c>
      <c r="S105" s="33">
        <v>0.138290203567</v>
      </c>
      <c r="T105" s="33">
        <v>0.136043313458</v>
      </c>
      <c r="U105" s="33">
        <v>0.136043313458</v>
      </c>
      <c r="V105" s="33">
        <v>0.136043313458</v>
      </c>
      <c r="W105" s="33">
        <v>0.13564660698</v>
      </c>
      <c r="X105" s="33">
        <v>0.122835742931</v>
      </c>
      <c r="Y105" s="33">
        <v>0.10722446109</v>
      </c>
      <c r="Z105" s="33">
        <v>0.10722446109</v>
      </c>
      <c r="AA105" s="33">
        <v>6.8424480384000008E-2</v>
      </c>
      <c r="AB105" s="33">
        <v>6.8424480384000008E-2</v>
      </c>
      <c r="AC105" s="33">
        <v>6.8424480384000008E-2</v>
      </c>
      <c r="AD105" s="33">
        <v>5.9805434121999998E-2</v>
      </c>
      <c r="AE105" s="33">
        <v>2.3652452804999998E-2</v>
      </c>
      <c r="AF105" s="33">
        <v>2.3472398347E-2</v>
      </c>
      <c r="AG105" s="33">
        <v>2.3472398347E-2</v>
      </c>
      <c r="AH105" s="33">
        <v>2.3472398347E-2</v>
      </c>
      <c r="AI105" s="33">
        <v>0</v>
      </c>
      <c r="AJ105" s="33">
        <v>0</v>
      </c>
      <c r="AK105" s="33">
        <v>0</v>
      </c>
      <c r="AL105" s="33">
        <v>0</v>
      </c>
      <c r="AM105" s="33">
        <v>0</v>
      </c>
      <c r="AN105" s="33">
        <v>0</v>
      </c>
      <c r="AO105" s="33">
        <v>0</v>
      </c>
      <c r="AP105" s="33">
        <v>0</v>
      </c>
    </row>
    <row r="106" spans="1:42" ht="15.75">
      <c r="A106" s="31" t="s">
        <v>0</v>
      </c>
      <c r="B106" s="31" t="s">
        <v>1</v>
      </c>
      <c r="C106" s="31" t="s">
        <v>14</v>
      </c>
      <c r="D106" s="31" t="s">
        <v>3</v>
      </c>
      <c r="E106" s="31" t="s">
        <v>5</v>
      </c>
      <c r="F106" s="31">
        <v>2012</v>
      </c>
      <c r="G106" s="33" t="s">
        <v>95</v>
      </c>
      <c r="H106" s="33"/>
      <c r="I106" s="33"/>
      <c r="J106" s="33"/>
      <c r="K106" s="33"/>
      <c r="L106" s="33"/>
      <c r="M106" s="33" t="s">
        <v>7</v>
      </c>
      <c r="N106" s="33">
        <v>1.9581511959999999E-2</v>
      </c>
      <c r="O106" s="33">
        <v>1.9581511959999999E-2</v>
      </c>
      <c r="P106" s="33">
        <v>1.9581511959999999E-2</v>
      </c>
      <c r="Q106" s="33">
        <v>1.5990289335000001E-2</v>
      </c>
      <c r="R106" s="33">
        <v>1.5990289335000001E-2</v>
      </c>
      <c r="S106" s="33">
        <v>4.8894790290000007E-3</v>
      </c>
      <c r="T106" s="33">
        <v>4.8894790290000007E-3</v>
      </c>
      <c r="U106" s="33">
        <v>4.8894790290000007E-3</v>
      </c>
      <c r="V106" s="33">
        <v>4.8894790290000007E-3</v>
      </c>
      <c r="W106" s="33">
        <v>4.8894790290000007E-3</v>
      </c>
      <c r="X106" s="33">
        <v>4.2056494559999996E-3</v>
      </c>
      <c r="Y106" s="33">
        <v>4.2056494559999996E-3</v>
      </c>
      <c r="Z106" s="33">
        <v>0</v>
      </c>
      <c r="AA106" s="33">
        <v>0</v>
      </c>
      <c r="AB106" s="33">
        <v>0</v>
      </c>
      <c r="AC106" s="33">
        <v>0</v>
      </c>
      <c r="AD106" s="33">
        <v>0</v>
      </c>
      <c r="AE106" s="33">
        <v>0</v>
      </c>
      <c r="AF106" s="33">
        <v>0</v>
      </c>
      <c r="AG106" s="33">
        <v>0</v>
      </c>
      <c r="AH106" s="33">
        <v>0</v>
      </c>
      <c r="AI106" s="33">
        <v>0</v>
      </c>
      <c r="AJ106" s="33">
        <v>0</v>
      </c>
      <c r="AK106" s="33">
        <v>0</v>
      </c>
      <c r="AL106" s="33">
        <v>0</v>
      </c>
      <c r="AM106" s="33">
        <v>0</v>
      </c>
      <c r="AN106" s="33">
        <v>0</v>
      </c>
      <c r="AO106" s="33">
        <v>0</v>
      </c>
      <c r="AP106" s="33">
        <v>0</v>
      </c>
    </row>
    <row r="107" spans="1:42" ht="15.75">
      <c r="A107" s="31" t="s">
        <v>0</v>
      </c>
      <c r="B107" s="31" t="s">
        <v>1</v>
      </c>
      <c r="C107" s="31" t="s">
        <v>14</v>
      </c>
      <c r="D107" s="31" t="s">
        <v>3</v>
      </c>
      <c r="E107" s="31" t="s">
        <v>5</v>
      </c>
      <c r="F107" s="31">
        <v>2013</v>
      </c>
      <c r="G107" s="33" t="s">
        <v>102</v>
      </c>
      <c r="H107" s="33"/>
      <c r="I107" s="33"/>
      <c r="J107" s="33"/>
      <c r="K107" s="33"/>
      <c r="L107" s="33"/>
      <c r="M107" s="33" t="s">
        <v>7</v>
      </c>
      <c r="N107" s="33" t="s">
        <v>7</v>
      </c>
      <c r="O107" s="33">
        <v>6.4120936588000013E-2</v>
      </c>
      <c r="P107" s="33">
        <v>6.4120936588000013E-2</v>
      </c>
      <c r="Q107" s="33">
        <v>6.2021401407E-2</v>
      </c>
      <c r="R107" s="33">
        <v>4.8870097676E-2</v>
      </c>
      <c r="S107" s="33">
        <v>1.9300007295000001E-2</v>
      </c>
      <c r="T107" s="33">
        <v>1.9300007295000001E-2</v>
      </c>
      <c r="U107" s="33">
        <v>1.9300007295000001E-2</v>
      </c>
      <c r="V107" s="33">
        <v>1.9300007295000001E-2</v>
      </c>
      <c r="W107" s="33">
        <v>1.9300007295000001E-2</v>
      </c>
      <c r="X107" s="33">
        <v>1.9300007295000001E-2</v>
      </c>
      <c r="Y107" s="33">
        <v>1.7743160717999997E-2</v>
      </c>
      <c r="Z107" s="33">
        <v>1.5942877756E-2</v>
      </c>
      <c r="AA107" s="33">
        <v>0</v>
      </c>
      <c r="AB107" s="33">
        <v>0</v>
      </c>
      <c r="AC107" s="33">
        <v>0</v>
      </c>
      <c r="AD107" s="33">
        <v>0</v>
      </c>
      <c r="AE107" s="33">
        <v>0</v>
      </c>
      <c r="AF107" s="33">
        <v>0</v>
      </c>
      <c r="AG107" s="33">
        <v>0</v>
      </c>
      <c r="AH107" s="33">
        <v>0</v>
      </c>
      <c r="AI107" s="33">
        <v>0</v>
      </c>
      <c r="AJ107" s="33">
        <v>0</v>
      </c>
      <c r="AK107" s="33">
        <v>0</v>
      </c>
      <c r="AL107" s="33">
        <v>0</v>
      </c>
      <c r="AM107" s="33">
        <v>0</v>
      </c>
      <c r="AN107" s="33">
        <v>0</v>
      </c>
      <c r="AO107" s="33">
        <v>0</v>
      </c>
      <c r="AP107" s="33">
        <v>0</v>
      </c>
    </row>
    <row r="108" spans="1:42" ht="15.75">
      <c r="A108" s="31" t="s">
        <v>0</v>
      </c>
      <c r="B108" s="31" t="s">
        <v>15</v>
      </c>
      <c r="C108" s="31" t="s">
        <v>16</v>
      </c>
      <c r="D108" s="31" t="s">
        <v>3</v>
      </c>
      <c r="E108" s="31" t="s">
        <v>5</v>
      </c>
      <c r="F108" s="31">
        <v>2013</v>
      </c>
      <c r="G108" s="33" t="s">
        <v>17</v>
      </c>
      <c r="H108" s="33"/>
      <c r="I108" s="33"/>
      <c r="J108" s="33"/>
      <c r="K108" s="33"/>
      <c r="L108" s="33"/>
      <c r="M108" s="33">
        <v>0</v>
      </c>
      <c r="N108" s="33">
        <v>0</v>
      </c>
      <c r="O108" s="33">
        <v>2.5900391630000004E-3</v>
      </c>
      <c r="P108" s="33">
        <v>2.5900391630000004E-3</v>
      </c>
      <c r="Q108" s="33">
        <v>2.4965525639999999E-3</v>
      </c>
      <c r="R108" s="33">
        <v>2.140165062E-3</v>
      </c>
      <c r="S108" s="33">
        <v>2.140165062E-3</v>
      </c>
      <c r="T108" s="33">
        <v>2.140165062E-3</v>
      </c>
      <c r="U108" s="33">
        <v>2.140165062E-3</v>
      </c>
      <c r="V108" s="33">
        <v>2.1371703809999996E-3</v>
      </c>
      <c r="W108" s="33">
        <v>1.598479671E-3</v>
      </c>
      <c r="X108" s="33">
        <v>1.598479671E-3</v>
      </c>
      <c r="Y108" s="33">
        <v>1.2840042039999999E-3</v>
      </c>
      <c r="Z108" s="33">
        <v>1.2839682709999999E-3</v>
      </c>
      <c r="AA108" s="33">
        <v>1.2839682709999999E-3</v>
      </c>
      <c r="AB108" s="33">
        <v>1.2820541219999999E-3</v>
      </c>
      <c r="AC108" s="33">
        <v>1.2820541219999999E-3</v>
      </c>
      <c r="AD108" s="33">
        <v>1.2804860680000001E-3</v>
      </c>
      <c r="AE108" s="33">
        <v>1.2409174000000002E-3</v>
      </c>
      <c r="AF108" s="33">
        <v>7.2839098099999997E-4</v>
      </c>
      <c r="AG108" s="33">
        <v>7.2839098099999997E-4</v>
      </c>
      <c r="AH108" s="33">
        <v>7.2839098099999997E-4</v>
      </c>
      <c r="AI108" s="33">
        <v>0</v>
      </c>
      <c r="AJ108" s="33">
        <v>0</v>
      </c>
      <c r="AK108" s="33">
        <v>0</v>
      </c>
      <c r="AL108" s="33">
        <v>0</v>
      </c>
      <c r="AM108" s="33">
        <v>0</v>
      </c>
      <c r="AN108" s="33">
        <v>0</v>
      </c>
      <c r="AO108" s="33">
        <v>0</v>
      </c>
      <c r="AP108" s="33">
        <v>0</v>
      </c>
    </row>
    <row r="109" spans="1:42" ht="15.75">
      <c r="A109" s="31" t="s">
        <v>0</v>
      </c>
      <c r="B109" s="31" t="s">
        <v>15</v>
      </c>
      <c r="C109" s="31" t="s">
        <v>19</v>
      </c>
      <c r="D109" s="31" t="s">
        <v>3</v>
      </c>
      <c r="E109" s="31" t="s">
        <v>5</v>
      </c>
      <c r="F109" s="31">
        <v>2013</v>
      </c>
      <c r="G109" s="33" t="s">
        <v>17</v>
      </c>
      <c r="H109" s="33"/>
      <c r="I109" s="33"/>
      <c r="J109" s="33"/>
      <c r="K109" s="33"/>
      <c r="L109" s="33"/>
      <c r="M109" s="33" t="s">
        <v>7</v>
      </c>
      <c r="N109" s="33" t="s">
        <v>7</v>
      </c>
      <c r="O109" s="33">
        <v>1.4503586930000002E-3</v>
      </c>
      <c r="P109" s="33">
        <v>1.4503586930000002E-3</v>
      </c>
      <c r="Q109" s="33">
        <v>1.4503586930000002E-3</v>
      </c>
      <c r="R109" s="33">
        <v>1.4503586930000002E-3</v>
      </c>
      <c r="S109" s="33">
        <v>0</v>
      </c>
      <c r="T109" s="33">
        <v>0</v>
      </c>
      <c r="U109" s="33">
        <v>0</v>
      </c>
      <c r="V109" s="33">
        <v>0</v>
      </c>
      <c r="W109" s="33">
        <v>0</v>
      </c>
      <c r="X109" s="33">
        <v>0</v>
      </c>
      <c r="Y109" s="33">
        <v>0</v>
      </c>
      <c r="Z109" s="33">
        <v>0</v>
      </c>
      <c r="AA109" s="33">
        <v>0</v>
      </c>
      <c r="AB109" s="33">
        <v>0</v>
      </c>
      <c r="AC109" s="33">
        <v>0</v>
      </c>
      <c r="AD109" s="33">
        <v>0</v>
      </c>
      <c r="AE109" s="33">
        <v>0</v>
      </c>
      <c r="AF109" s="33">
        <v>0</v>
      </c>
      <c r="AG109" s="33">
        <v>0</v>
      </c>
      <c r="AH109" s="33">
        <v>0</v>
      </c>
      <c r="AI109" s="33">
        <v>0</v>
      </c>
      <c r="AJ109" s="33">
        <v>0</v>
      </c>
      <c r="AK109" s="33">
        <v>0</v>
      </c>
      <c r="AL109" s="33">
        <v>0</v>
      </c>
      <c r="AM109" s="33">
        <v>0</v>
      </c>
      <c r="AN109" s="33">
        <v>0</v>
      </c>
      <c r="AO109" s="33">
        <v>0</v>
      </c>
      <c r="AP109" s="33">
        <v>0</v>
      </c>
    </row>
    <row r="110" spans="1:42" ht="15.75">
      <c r="A110" s="31" t="s">
        <v>0</v>
      </c>
      <c r="B110" s="31" t="s">
        <v>15</v>
      </c>
      <c r="C110" s="31" t="s">
        <v>21</v>
      </c>
      <c r="D110" s="31" t="s">
        <v>3</v>
      </c>
      <c r="E110" s="31" t="s">
        <v>5</v>
      </c>
      <c r="F110" s="31">
        <v>2013</v>
      </c>
      <c r="G110" s="33" t="s">
        <v>17</v>
      </c>
      <c r="H110" s="33"/>
      <c r="I110" s="33"/>
      <c r="J110" s="33"/>
      <c r="K110" s="33"/>
      <c r="L110" s="33"/>
      <c r="M110" s="33" t="s">
        <v>7</v>
      </c>
      <c r="N110" s="33" t="s">
        <v>7</v>
      </c>
      <c r="O110" s="33">
        <v>3.0973453819999998E-3</v>
      </c>
      <c r="P110" s="33">
        <v>3.0973453819999998E-3</v>
      </c>
      <c r="Q110" s="33">
        <v>3.0973453819999998E-3</v>
      </c>
      <c r="R110" s="33">
        <v>2.9925613520000002E-3</v>
      </c>
      <c r="S110" s="33">
        <v>1.941960267E-3</v>
      </c>
      <c r="T110" s="33">
        <v>0</v>
      </c>
      <c r="U110" s="33">
        <v>0</v>
      </c>
      <c r="V110" s="33">
        <v>0</v>
      </c>
      <c r="W110" s="33">
        <v>0</v>
      </c>
      <c r="X110" s="33">
        <v>0</v>
      </c>
      <c r="Y110" s="33">
        <v>0</v>
      </c>
      <c r="Z110" s="33">
        <v>0</v>
      </c>
      <c r="AA110" s="33">
        <v>0</v>
      </c>
      <c r="AB110" s="33">
        <v>0</v>
      </c>
      <c r="AC110" s="33">
        <v>0</v>
      </c>
      <c r="AD110" s="33">
        <v>0</v>
      </c>
      <c r="AE110" s="33">
        <v>0</v>
      </c>
      <c r="AF110" s="33">
        <v>0</v>
      </c>
      <c r="AG110" s="33">
        <v>0</v>
      </c>
      <c r="AH110" s="33">
        <v>0</v>
      </c>
      <c r="AI110" s="33">
        <v>0</v>
      </c>
      <c r="AJ110" s="33">
        <v>0</v>
      </c>
      <c r="AK110" s="33">
        <v>0</v>
      </c>
      <c r="AL110" s="33">
        <v>0</v>
      </c>
      <c r="AM110" s="33">
        <v>0</v>
      </c>
      <c r="AN110" s="33">
        <v>0</v>
      </c>
      <c r="AO110" s="33">
        <v>0</v>
      </c>
      <c r="AP110" s="33">
        <v>0</v>
      </c>
    </row>
    <row r="111" spans="1:42" ht="15.75">
      <c r="A111" s="31" t="s">
        <v>0</v>
      </c>
      <c r="B111" s="31" t="s">
        <v>15</v>
      </c>
      <c r="C111" s="31" t="s">
        <v>22</v>
      </c>
      <c r="D111" s="31" t="s">
        <v>3</v>
      </c>
      <c r="E111" s="31" t="s">
        <v>5</v>
      </c>
      <c r="F111" s="31">
        <v>2013</v>
      </c>
      <c r="G111" s="33" t="s">
        <v>17</v>
      </c>
      <c r="H111" s="33"/>
      <c r="I111" s="33"/>
      <c r="J111" s="33"/>
      <c r="K111" s="33"/>
      <c r="L111" s="33"/>
      <c r="M111" s="33">
        <v>0</v>
      </c>
      <c r="N111" s="33">
        <v>0</v>
      </c>
      <c r="O111" s="33">
        <v>5.9345990720000002E-3</v>
      </c>
      <c r="P111" s="33">
        <v>5.9345990720000002E-3</v>
      </c>
      <c r="Q111" s="33">
        <v>5.6087923719999998E-3</v>
      </c>
      <c r="R111" s="33">
        <v>4.496896805E-3</v>
      </c>
      <c r="S111" s="33">
        <v>4.496896805E-3</v>
      </c>
      <c r="T111" s="33">
        <v>4.496896805E-3</v>
      </c>
      <c r="U111" s="33">
        <v>4.496896805E-3</v>
      </c>
      <c r="V111" s="33">
        <v>4.4883901749999998E-3</v>
      </c>
      <c r="W111" s="33">
        <v>3.8577274090000001E-3</v>
      </c>
      <c r="X111" s="33">
        <v>3.8577274090000001E-3</v>
      </c>
      <c r="Y111" s="33">
        <v>2.7992783100000002E-3</v>
      </c>
      <c r="Z111" s="33">
        <v>1.8081310680000001E-3</v>
      </c>
      <c r="AA111" s="33">
        <v>1.8081310680000001E-3</v>
      </c>
      <c r="AB111" s="33">
        <v>1.7725121669999999E-3</v>
      </c>
      <c r="AC111" s="33">
        <v>1.7725121669999999E-3</v>
      </c>
      <c r="AD111" s="33">
        <v>1.754238701E-3</v>
      </c>
      <c r="AE111" s="33">
        <v>1.5142027510000001E-3</v>
      </c>
      <c r="AF111" s="33">
        <v>8.8880281900000004E-4</v>
      </c>
      <c r="AG111" s="33">
        <v>8.8880281900000004E-4</v>
      </c>
      <c r="AH111" s="33">
        <v>8.8880281900000004E-4</v>
      </c>
      <c r="AI111" s="33">
        <v>0</v>
      </c>
      <c r="AJ111" s="33">
        <v>0</v>
      </c>
      <c r="AK111" s="33">
        <v>0</v>
      </c>
      <c r="AL111" s="33">
        <v>0</v>
      </c>
      <c r="AM111" s="33">
        <v>0</v>
      </c>
      <c r="AN111" s="33">
        <v>0</v>
      </c>
      <c r="AO111" s="33">
        <v>0</v>
      </c>
      <c r="AP111" s="33">
        <v>0</v>
      </c>
    </row>
    <row r="112" spans="1:42" ht="15.75">
      <c r="A112" s="31" t="s">
        <v>0</v>
      </c>
      <c r="B112" s="31" t="s">
        <v>15</v>
      </c>
      <c r="C112" s="31" t="s">
        <v>23</v>
      </c>
      <c r="D112" s="31" t="s">
        <v>3</v>
      </c>
      <c r="E112" s="31" t="s">
        <v>5</v>
      </c>
      <c r="F112" s="31">
        <v>2013</v>
      </c>
      <c r="G112" s="33" t="s">
        <v>17</v>
      </c>
      <c r="H112" s="33"/>
      <c r="I112" s="33"/>
      <c r="J112" s="33"/>
      <c r="K112" s="33"/>
      <c r="L112" s="33"/>
      <c r="M112" s="33">
        <v>0</v>
      </c>
      <c r="N112" s="33">
        <v>0</v>
      </c>
      <c r="O112" s="33">
        <v>2.6881332139E-2</v>
      </c>
      <c r="P112" s="33">
        <v>2.6594034959E-2</v>
      </c>
      <c r="Q112" s="33">
        <v>2.6498184522E-2</v>
      </c>
      <c r="R112" s="33">
        <v>2.5358590766999999E-2</v>
      </c>
      <c r="S112" s="33">
        <v>2.4864018113E-2</v>
      </c>
      <c r="T112" s="33">
        <v>2.4407409516000001E-2</v>
      </c>
      <c r="U112" s="33">
        <v>2.3978436115000001E-2</v>
      </c>
      <c r="V112" s="33">
        <v>2.3978436115000001E-2</v>
      </c>
      <c r="W112" s="33">
        <v>1.9200819296999998E-2</v>
      </c>
      <c r="X112" s="33">
        <v>1.8318592785000001E-2</v>
      </c>
      <c r="Y112" s="33">
        <v>1.7074210947000002E-2</v>
      </c>
      <c r="Z112" s="33">
        <v>1.7073214578000002E-2</v>
      </c>
      <c r="AA112" s="33">
        <v>1.4518080371000001E-2</v>
      </c>
      <c r="AB112" s="33">
        <v>1.4518080371000001E-2</v>
      </c>
      <c r="AC112" s="33">
        <v>5.8331719660000003E-3</v>
      </c>
      <c r="AD112" s="33">
        <v>4.5462213530000004E-3</v>
      </c>
      <c r="AE112" s="33">
        <v>4.5462213530000004E-3</v>
      </c>
      <c r="AF112" s="33">
        <v>4.5462213530000004E-3</v>
      </c>
      <c r="AG112" s="33">
        <v>4.5462213530000004E-3</v>
      </c>
      <c r="AH112" s="33">
        <v>4.5462213530000004E-3</v>
      </c>
      <c r="AI112" s="33">
        <v>2.4835860950000004E-3</v>
      </c>
      <c r="AJ112" s="33">
        <v>0</v>
      </c>
      <c r="AK112" s="33">
        <v>0</v>
      </c>
      <c r="AL112" s="33">
        <v>0</v>
      </c>
      <c r="AM112" s="33">
        <v>0</v>
      </c>
      <c r="AN112" s="33">
        <v>0</v>
      </c>
      <c r="AO112" s="33">
        <v>0</v>
      </c>
      <c r="AP112" s="33">
        <v>0</v>
      </c>
    </row>
    <row r="113" spans="1:42" ht="15.75">
      <c r="A113" s="31" t="s">
        <v>0</v>
      </c>
      <c r="B113" s="31" t="s">
        <v>15</v>
      </c>
      <c r="C113" s="31" t="s">
        <v>25</v>
      </c>
      <c r="D113" s="31" t="s">
        <v>3</v>
      </c>
      <c r="E113" s="31" t="s">
        <v>5</v>
      </c>
      <c r="F113" s="31">
        <v>2012</v>
      </c>
      <c r="G113" s="33" t="s">
        <v>17</v>
      </c>
      <c r="H113" s="33"/>
      <c r="I113" s="33"/>
      <c r="J113" s="33"/>
      <c r="K113" s="33"/>
      <c r="L113" s="33"/>
      <c r="M113" s="33" t="s">
        <v>7</v>
      </c>
      <c r="N113" s="33">
        <v>1.765202916E-3</v>
      </c>
      <c r="O113" s="33">
        <v>1.765202916E-3</v>
      </c>
      <c r="P113" s="33">
        <v>1.765202916E-3</v>
      </c>
      <c r="Q113" s="33">
        <v>1.765202916E-3</v>
      </c>
      <c r="R113" s="33">
        <v>1.765202916E-3</v>
      </c>
      <c r="S113" s="33">
        <v>1.765202916E-3</v>
      </c>
      <c r="T113" s="33">
        <v>1.765202916E-3</v>
      </c>
      <c r="U113" s="33">
        <v>1.765202916E-3</v>
      </c>
      <c r="V113" s="33">
        <v>1.765202916E-3</v>
      </c>
      <c r="W113" s="33">
        <v>1.765202916E-3</v>
      </c>
      <c r="X113" s="33">
        <v>1.765202916E-3</v>
      </c>
      <c r="Y113" s="33">
        <v>1.765202916E-3</v>
      </c>
      <c r="Z113" s="33">
        <v>1.765202916E-3</v>
      </c>
      <c r="AA113" s="33">
        <v>1.765202916E-3</v>
      </c>
      <c r="AB113" s="33">
        <v>1.765202916E-3</v>
      </c>
      <c r="AC113" s="33">
        <v>1.765202916E-3</v>
      </c>
      <c r="AD113" s="33">
        <v>1.765202916E-3</v>
      </c>
      <c r="AE113" s="33">
        <v>1.765202916E-3</v>
      </c>
      <c r="AF113" s="33">
        <v>1.765202916E-3</v>
      </c>
      <c r="AG113" s="33">
        <v>1.5037883720000001E-3</v>
      </c>
      <c r="AH113" s="33">
        <v>0</v>
      </c>
      <c r="AI113" s="33">
        <v>0</v>
      </c>
      <c r="AJ113" s="33">
        <v>0</v>
      </c>
      <c r="AK113" s="33">
        <v>0</v>
      </c>
      <c r="AL113" s="33">
        <v>0</v>
      </c>
      <c r="AM113" s="33">
        <v>0</v>
      </c>
      <c r="AN113" s="33">
        <v>0</v>
      </c>
      <c r="AO113" s="33">
        <v>0</v>
      </c>
      <c r="AP113" s="33">
        <v>0</v>
      </c>
    </row>
    <row r="114" spans="1:42" ht="15.75">
      <c r="A114" s="31" t="s">
        <v>0</v>
      </c>
      <c r="B114" s="31" t="s">
        <v>15</v>
      </c>
      <c r="C114" s="31" t="s">
        <v>25</v>
      </c>
      <c r="D114" s="31" t="s">
        <v>3</v>
      </c>
      <c r="E114" s="31" t="s">
        <v>5</v>
      </c>
      <c r="F114" s="31">
        <v>2013</v>
      </c>
      <c r="G114" s="33" t="s">
        <v>17</v>
      </c>
      <c r="H114" s="33"/>
      <c r="I114" s="33"/>
      <c r="J114" s="33"/>
      <c r="K114" s="33"/>
      <c r="L114" s="33"/>
      <c r="M114" s="33" t="s">
        <v>7</v>
      </c>
      <c r="N114" s="33" t="s">
        <v>7</v>
      </c>
      <c r="O114" s="33">
        <v>3.8167186908999999E-2</v>
      </c>
      <c r="P114" s="33">
        <v>3.8167186908999999E-2</v>
      </c>
      <c r="Q114" s="33">
        <v>3.8167186908999999E-2</v>
      </c>
      <c r="R114" s="33">
        <v>3.8167186908999999E-2</v>
      </c>
      <c r="S114" s="33">
        <v>3.8167186908999999E-2</v>
      </c>
      <c r="T114" s="33">
        <v>3.8167186908999999E-2</v>
      </c>
      <c r="U114" s="33">
        <v>3.8167186908999999E-2</v>
      </c>
      <c r="V114" s="33">
        <v>3.8167186908999999E-2</v>
      </c>
      <c r="W114" s="33">
        <v>3.8167186908999999E-2</v>
      </c>
      <c r="X114" s="33">
        <v>3.8167186908999999E-2</v>
      </c>
      <c r="Y114" s="33">
        <v>3.8167186908999999E-2</v>
      </c>
      <c r="Z114" s="33">
        <v>3.8167186908999999E-2</v>
      </c>
      <c r="AA114" s="33">
        <v>3.8167186908999999E-2</v>
      </c>
      <c r="AB114" s="33">
        <v>3.8167186908999999E-2</v>
      </c>
      <c r="AC114" s="33">
        <v>3.8167186908999999E-2</v>
      </c>
      <c r="AD114" s="33">
        <v>3.8167186908999999E-2</v>
      </c>
      <c r="AE114" s="33">
        <v>3.8167186908999999E-2</v>
      </c>
      <c r="AF114" s="33">
        <v>3.8167186908999999E-2</v>
      </c>
      <c r="AG114" s="33">
        <v>3.4181807161999998E-2</v>
      </c>
      <c r="AH114" s="33">
        <v>0</v>
      </c>
      <c r="AI114" s="33">
        <v>0</v>
      </c>
      <c r="AJ114" s="33">
        <v>0</v>
      </c>
      <c r="AK114" s="33">
        <v>0</v>
      </c>
      <c r="AL114" s="33">
        <v>0</v>
      </c>
      <c r="AM114" s="33">
        <v>0</v>
      </c>
      <c r="AN114" s="33">
        <v>0</v>
      </c>
      <c r="AO114" s="33">
        <v>0</v>
      </c>
      <c r="AP114" s="33">
        <v>0</v>
      </c>
    </row>
    <row r="115" spans="1:42" ht="15.75">
      <c r="A115" s="31" t="s">
        <v>0</v>
      </c>
      <c r="B115" s="31" t="s">
        <v>27</v>
      </c>
      <c r="C115" s="31" t="s">
        <v>8</v>
      </c>
      <c r="D115" s="31" t="s">
        <v>3</v>
      </c>
      <c r="E115" s="31" t="s">
        <v>9</v>
      </c>
      <c r="F115" s="31">
        <v>2013</v>
      </c>
      <c r="G115" s="33" t="s">
        <v>58</v>
      </c>
      <c r="H115" s="33"/>
      <c r="I115" s="33"/>
      <c r="J115" s="33"/>
      <c r="K115" s="33"/>
      <c r="L115" s="33"/>
      <c r="M115" s="33" t="s">
        <v>7</v>
      </c>
      <c r="N115" s="33" t="s">
        <v>7</v>
      </c>
      <c r="O115" s="33">
        <v>0.32550490000000004</v>
      </c>
      <c r="P115" s="33" t="s">
        <v>7</v>
      </c>
      <c r="Q115" s="33" t="s">
        <v>7</v>
      </c>
      <c r="R115" s="33" t="s">
        <v>7</v>
      </c>
      <c r="S115" s="33" t="s">
        <v>7</v>
      </c>
      <c r="T115" s="33" t="s">
        <v>7</v>
      </c>
      <c r="U115" s="33" t="s">
        <v>7</v>
      </c>
      <c r="V115" s="33" t="s">
        <v>7</v>
      </c>
      <c r="W115" s="33" t="s">
        <v>7</v>
      </c>
      <c r="X115" s="33" t="s">
        <v>7</v>
      </c>
      <c r="Y115" s="33" t="s">
        <v>7</v>
      </c>
      <c r="Z115" s="33" t="s">
        <v>7</v>
      </c>
      <c r="AA115" s="33" t="s">
        <v>7</v>
      </c>
      <c r="AB115" s="33" t="s">
        <v>7</v>
      </c>
      <c r="AC115" s="33" t="s">
        <v>7</v>
      </c>
      <c r="AD115" s="33" t="s">
        <v>7</v>
      </c>
      <c r="AE115" s="33" t="s">
        <v>7</v>
      </c>
      <c r="AF115" s="33" t="s">
        <v>7</v>
      </c>
      <c r="AG115" s="33" t="s">
        <v>7</v>
      </c>
      <c r="AH115" s="33" t="s">
        <v>7</v>
      </c>
      <c r="AI115" s="33" t="s">
        <v>7</v>
      </c>
      <c r="AJ115" s="33" t="s">
        <v>7</v>
      </c>
      <c r="AK115" s="33" t="s">
        <v>7</v>
      </c>
      <c r="AL115" s="33" t="s">
        <v>7</v>
      </c>
      <c r="AM115" s="33" t="s">
        <v>7</v>
      </c>
      <c r="AN115" s="33" t="s">
        <v>7</v>
      </c>
      <c r="AO115" s="33" t="s">
        <v>7</v>
      </c>
      <c r="AP115" s="33" t="s">
        <v>7</v>
      </c>
    </row>
    <row r="116" spans="1:42" ht="15.75">
      <c r="A116" s="29" t="s">
        <v>456</v>
      </c>
      <c r="B116" s="31" t="s">
        <v>1</v>
      </c>
      <c r="C116" s="31" t="s">
        <v>2</v>
      </c>
      <c r="D116" s="31" t="s">
        <v>3</v>
      </c>
      <c r="E116" s="29"/>
      <c r="F116" s="29">
        <v>2014</v>
      </c>
      <c r="G116" s="29" t="s">
        <v>104</v>
      </c>
      <c r="H116" s="29"/>
      <c r="I116" s="29"/>
      <c r="J116" s="29"/>
      <c r="K116" s="29"/>
      <c r="L116" s="29"/>
      <c r="M116" s="29"/>
      <c r="N116" s="29"/>
      <c r="O116" s="29"/>
      <c r="P116" s="433">
        <v>6.6834999999999992E-2</v>
      </c>
      <c r="Q116" s="433">
        <v>6.6834999999999992E-2</v>
      </c>
      <c r="R116" s="433">
        <v>6.6834999999999992E-2</v>
      </c>
      <c r="S116" s="433">
        <v>6.6834999999999992E-2</v>
      </c>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row>
    <row r="117" spans="1:42" ht="15.75">
      <c r="A117" s="29" t="s">
        <v>456</v>
      </c>
      <c r="B117" s="31" t="s">
        <v>1</v>
      </c>
      <c r="C117" s="31" t="s">
        <v>11</v>
      </c>
      <c r="D117" s="31" t="s">
        <v>3</v>
      </c>
      <c r="E117" s="29"/>
      <c r="F117" s="29">
        <v>2014</v>
      </c>
      <c r="G117" s="29" t="s">
        <v>105</v>
      </c>
      <c r="H117" s="29"/>
      <c r="I117" s="29"/>
      <c r="J117" s="29"/>
      <c r="K117" s="29"/>
      <c r="L117" s="29"/>
      <c r="M117" s="29"/>
      <c r="N117" s="29"/>
      <c r="O117" s="29"/>
      <c r="P117" s="433">
        <v>4.8905000000000004E-2</v>
      </c>
      <c r="Q117" s="29">
        <v>4.8905000000000004E-2</v>
      </c>
      <c r="R117" s="29">
        <v>4.8905000000000004E-2</v>
      </c>
      <c r="S117" s="29">
        <v>4.8905000000000004E-2</v>
      </c>
      <c r="T117" s="29">
        <v>4.8905000000000004E-2</v>
      </c>
      <c r="U117" s="29">
        <v>4.8905000000000004E-2</v>
      </c>
      <c r="V117" s="29">
        <v>4.8905000000000004E-2</v>
      </c>
      <c r="W117" s="29">
        <v>4.8905000000000004E-2</v>
      </c>
      <c r="X117" s="29">
        <v>4.8905000000000004E-2</v>
      </c>
      <c r="Y117" s="29">
        <v>4.8905000000000004E-2</v>
      </c>
      <c r="Z117" s="29">
        <v>4.8905000000000004E-2</v>
      </c>
      <c r="AA117" s="29">
        <v>4.8905000000000004E-2</v>
      </c>
      <c r="AB117" s="29">
        <v>4.8905000000000004E-2</v>
      </c>
      <c r="AC117" s="29">
        <v>4.8905000000000004E-2</v>
      </c>
      <c r="AD117" s="29">
        <v>4.8905000000000004E-2</v>
      </c>
      <c r="AE117" s="29"/>
      <c r="AF117" s="29"/>
      <c r="AG117" s="29"/>
      <c r="AH117" s="29"/>
      <c r="AI117" s="29"/>
      <c r="AJ117" s="29"/>
      <c r="AK117" s="29"/>
      <c r="AL117" s="29"/>
      <c r="AM117" s="29"/>
      <c r="AN117" s="29"/>
      <c r="AO117" s="29"/>
      <c r="AP117" s="29"/>
    </row>
    <row r="118" spans="1:42" ht="15.75">
      <c r="A118" s="29" t="s">
        <v>456</v>
      </c>
      <c r="B118" s="31" t="s">
        <v>1</v>
      </c>
      <c r="C118" s="31" t="s">
        <v>12</v>
      </c>
      <c r="D118" s="31" t="s">
        <v>3</v>
      </c>
      <c r="E118" s="29"/>
      <c r="F118" s="29">
        <v>2014</v>
      </c>
      <c r="G118" s="29" t="s">
        <v>103</v>
      </c>
      <c r="H118" s="29"/>
      <c r="I118" s="29"/>
      <c r="J118" s="29"/>
      <c r="K118" s="29"/>
      <c r="L118" s="29"/>
      <c r="M118" s="29"/>
      <c r="N118" s="29"/>
      <c r="O118" s="29"/>
      <c r="P118" s="433">
        <v>0.233043</v>
      </c>
      <c r="Q118" s="29">
        <v>0.233043</v>
      </c>
      <c r="R118" s="29">
        <v>0.233043</v>
      </c>
      <c r="S118" s="29">
        <v>0.14685085391792396</v>
      </c>
      <c r="T118" s="29">
        <v>0.13414342727804512</v>
      </c>
      <c r="U118" s="29">
        <v>0.13196391251731682</v>
      </c>
      <c r="V118" s="29">
        <v>0.13196391251731682</v>
      </c>
      <c r="W118" s="29">
        <v>0.13196391251731682</v>
      </c>
      <c r="X118" s="29">
        <v>0.13157910169768028</v>
      </c>
      <c r="Y118" s="29">
        <v>0.119152384796556</v>
      </c>
      <c r="Z118" s="29">
        <v>0.10400922355780161</v>
      </c>
      <c r="AA118" s="29">
        <v>0.10400922355780161</v>
      </c>
      <c r="AB118" s="29">
        <v>6.6372700825349212E-2</v>
      </c>
      <c r="AC118" s="29">
        <v>6.6372700825349212E-2</v>
      </c>
      <c r="AD118" s="29">
        <v>6.6372700825349212E-2</v>
      </c>
      <c r="AE118" s="29">
        <v>5.8012105673773309E-2</v>
      </c>
      <c r="AF118" s="29">
        <v>2.2943209287111341E-2</v>
      </c>
      <c r="AG118" s="29">
        <v>2.2768553950219681E-2</v>
      </c>
      <c r="AH118" s="29">
        <v>2.2768553950219681E-2</v>
      </c>
      <c r="AI118" s="29">
        <v>2.2768553950219681E-2</v>
      </c>
      <c r="AJ118" s="29"/>
      <c r="AK118" s="29"/>
      <c r="AL118" s="29"/>
      <c r="AM118" s="29"/>
      <c r="AN118" s="29"/>
      <c r="AO118" s="29"/>
      <c r="AP118" s="29"/>
    </row>
    <row r="119" spans="1:42" ht="15.75">
      <c r="A119" s="29" t="s">
        <v>456</v>
      </c>
      <c r="B119" s="31" t="s">
        <v>1</v>
      </c>
      <c r="C119" s="31" t="s">
        <v>14</v>
      </c>
      <c r="D119" s="31" t="s">
        <v>3</v>
      </c>
      <c r="E119" s="29"/>
      <c r="F119" s="29">
        <v>2014</v>
      </c>
      <c r="G119" s="29" t="s">
        <v>106</v>
      </c>
      <c r="H119" s="29"/>
      <c r="I119" s="29"/>
      <c r="J119" s="29"/>
      <c r="K119" s="29"/>
      <c r="L119" s="29"/>
      <c r="M119" s="29"/>
      <c r="N119" s="29"/>
      <c r="O119" s="29"/>
      <c r="P119" s="433">
        <v>9.3215999999999993E-2</v>
      </c>
      <c r="Q119" s="29">
        <v>9.3215999999999993E-2</v>
      </c>
      <c r="R119" s="29">
        <v>9.0163794560619001E-2</v>
      </c>
      <c r="S119" s="29">
        <v>7.1045048113326445E-2</v>
      </c>
      <c r="T119" s="29">
        <v>2.8057442322940249E-2</v>
      </c>
      <c r="U119" s="29">
        <v>2.8057442322940249E-2</v>
      </c>
      <c r="V119" s="29">
        <v>2.8057442322940249E-2</v>
      </c>
      <c r="W119" s="29">
        <v>2.8057442322940249E-2</v>
      </c>
      <c r="X119" s="29">
        <v>2.8057442322940249E-2</v>
      </c>
      <c r="Y119" s="29">
        <v>2.8057442322940249E-2</v>
      </c>
      <c r="Z119" s="29">
        <v>2.579417203644865E-2</v>
      </c>
      <c r="AA119" s="29">
        <v>2.3177005389865425E-2</v>
      </c>
      <c r="AB119" s="29">
        <v>0</v>
      </c>
      <c r="AC119" s="29"/>
      <c r="AD119" s="29"/>
      <c r="AE119" s="29"/>
      <c r="AF119" s="29"/>
      <c r="AG119" s="29"/>
      <c r="AH119" s="29"/>
      <c r="AI119" s="29"/>
      <c r="AJ119" s="29"/>
      <c r="AK119" s="29"/>
      <c r="AL119" s="29"/>
      <c r="AM119" s="29"/>
      <c r="AN119" s="29"/>
      <c r="AO119" s="29"/>
      <c r="AP119" s="29"/>
    </row>
    <row r="120" spans="1:42" ht="15.75">
      <c r="A120" s="29" t="s">
        <v>456</v>
      </c>
      <c r="B120" s="31" t="s">
        <v>15</v>
      </c>
      <c r="C120" s="31" t="s">
        <v>460</v>
      </c>
      <c r="D120" s="31" t="s">
        <v>3</v>
      </c>
      <c r="E120" s="29"/>
      <c r="F120" s="29">
        <v>2014</v>
      </c>
      <c r="G120" s="29" t="s">
        <v>17</v>
      </c>
      <c r="H120" s="29"/>
      <c r="I120" s="29"/>
      <c r="J120" s="29"/>
      <c r="K120" s="29"/>
      <c r="L120" s="29"/>
      <c r="M120" s="29"/>
      <c r="N120" s="29"/>
      <c r="O120" s="29"/>
      <c r="P120" s="433">
        <v>1.3194000000000001E-2</v>
      </c>
      <c r="Q120" s="29">
        <v>1.3194000000000001E-2</v>
      </c>
      <c r="R120" s="29">
        <v>1.2717766974327405E-2</v>
      </c>
      <c r="S120" s="29">
        <v>1.0902282186081368E-2</v>
      </c>
      <c r="T120" s="29">
        <v>1.0902282186081368E-2</v>
      </c>
      <c r="U120" s="29">
        <v>1.0902282186081368E-2</v>
      </c>
      <c r="V120" s="29">
        <v>1.0902282186081368E-2</v>
      </c>
      <c r="W120" s="29">
        <v>1.0887026887366796E-2</v>
      </c>
      <c r="X120" s="29">
        <v>8.142865590783345E-3</v>
      </c>
      <c r="Y120" s="29">
        <v>8.142865590783345E-3</v>
      </c>
      <c r="Z120" s="29">
        <v>6.5408862188606198E-3</v>
      </c>
      <c r="AA120" s="29">
        <v>6.5407031714346305E-3</v>
      </c>
      <c r="AB120" s="29">
        <v>6.5407031714346305E-3</v>
      </c>
      <c r="AC120" s="29">
        <v>6.5309522447819426E-3</v>
      </c>
      <c r="AD120" s="29">
        <v>6.5309522447819426E-3</v>
      </c>
      <c r="AE120" s="29">
        <v>6.522964371559194E-3</v>
      </c>
      <c r="AF120" s="29">
        <v>6.3213963748084056E-3</v>
      </c>
      <c r="AG120" s="29">
        <v>3.7105194163096892E-3</v>
      </c>
      <c r="AH120" s="29">
        <v>3.7105194163096892E-3</v>
      </c>
      <c r="AI120" s="29">
        <v>3.7105194163096892E-3</v>
      </c>
      <c r="AJ120" s="29"/>
      <c r="AK120" s="29"/>
      <c r="AL120" s="29"/>
      <c r="AM120" s="29"/>
      <c r="AN120" s="29"/>
      <c r="AO120" s="29"/>
      <c r="AP120" s="29"/>
    </row>
    <row r="121" spans="1:42" ht="15.75">
      <c r="A121" s="29" t="s">
        <v>456</v>
      </c>
      <c r="B121" s="31" t="s">
        <v>15</v>
      </c>
      <c r="C121" s="31" t="s">
        <v>19</v>
      </c>
      <c r="D121" s="31" t="s">
        <v>3</v>
      </c>
      <c r="E121" s="29"/>
      <c r="F121" s="29">
        <v>2014</v>
      </c>
      <c r="G121" s="29" t="s">
        <v>17</v>
      </c>
      <c r="H121" s="29"/>
      <c r="I121" s="29"/>
      <c r="J121" s="29"/>
      <c r="K121" s="29"/>
      <c r="L121" s="29"/>
      <c r="M121" s="29"/>
      <c r="N121" s="29"/>
      <c r="O121" s="29"/>
      <c r="P121" s="433">
        <v>8.4949999999999991E-3</v>
      </c>
      <c r="Q121" s="29">
        <v>8.4949999999999991E-3</v>
      </c>
      <c r="R121" s="29">
        <v>8.4949999999999991E-3</v>
      </c>
      <c r="S121" s="29">
        <v>8.4949999999999991E-3</v>
      </c>
      <c r="T121" s="29">
        <v>0</v>
      </c>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row>
    <row r="122" spans="1:42" ht="15.75">
      <c r="A122" s="29" t="s">
        <v>456</v>
      </c>
      <c r="B122" s="31" t="s">
        <v>15</v>
      </c>
      <c r="C122" s="31" t="s">
        <v>21</v>
      </c>
      <c r="D122" s="31" t="s">
        <v>3</v>
      </c>
      <c r="E122" s="29"/>
      <c r="F122" s="29">
        <v>2014</v>
      </c>
      <c r="G122" s="29" t="s">
        <v>17</v>
      </c>
      <c r="H122" s="29"/>
      <c r="I122" s="29"/>
      <c r="J122" s="29"/>
      <c r="K122" s="29"/>
      <c r="L122" s="29"/>
      <c r="M122" s="29"/>
      <c r="N122" s="29"/>
      <c r="O122" s="29"/>
      <c r="P122" s="433">
        <v>4.3179999999999998E-3</v>
      </c>
      <c r="Q122" s="29">
        <v>4.3179999999999998E-3</v>
      </c>
      <c r="R122" s="29">
        <v>4.3179999999999998E-3</v>
      </c>
      <c r="S122" s="29">
        <v>4.1719208949155548E-3</v>
      </c>
      <c r="T122" s="29">
        <v>2.7072810419002864E-3</v>
      </c>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row>
    <row r="123" spans="1:42" ht="15.75">
      <c r="A123" s="29" t="s">
        <v>456</v>
      </c>
      <c r="B123" s="31" t="s">
        <v>15</v>
      </c>
      <c r="C123" s="31" t="s">
        <v>22</v>
      </c>
      <c r="D123" s="31" t="s">
        <v>3</v>
      </c>
      <c r="E123" s="29"/>
      <c r="F123" s="29">
        <v>2014</v>
      </c>
      <c r="G123" s="29" t="s">
        <v>17</v>
      </c>
      <c r="H123" s="29"/>
      <c r="I123" s="29"/>
      <c r="J123" s="29"/>
      <c r="K123" s="29"/>
      <c r="L123" s="29"/>
      <c r="M123" s="29"/>
      <c r="N123" s="29"/>
      <c r="O123" s="29"/>
      <c r="P123" s="433">
        <v>4.0328000000000003E-2</v>
      </c>
      <c r="Q123" s="29">
        <v>4.0328000000000003E-2</v>
      </c>
      <c r="R123" s="29">
        <v>3.8114011752741365E-2</v>
      </c>
      <c r="S123" s="29">
        <v>3.0558231845462067E-2</v>
      </c>
      <c r="T123" s="29">
        <v>3.0558231845462067E-2</v>
      </c>
      <c r="U123" s="29">
        <v>3.0558231845462067E-2</v>
      </c>
      <c r="V123" s="29">
        <v>3.0558231845462067E-2</v>
      </c>
      <c r="W123" s="29">
        <v>3.0500425855457015E-2</v>
      </c>
      <c r="X123" s="29">
        <v>2.6214817389125223E-2</v>
      </c>
      <c r="Y123" s="29">
        <v>2.6214817389125223E-2</v>
      </c>
      <c r="Z123" s="29">
        <v>1.9022227839838816E-2</v>
      </c>
      <c r="AA123" s="29">
        <v>1.2286981618411172E-2</v>
      </c>
      <c r="AB123" s="29">
        <v>1.2286981618411172E-2</v>
      </c>
      <c r="AC123" s="29">
        <v>1.2044936785710466E-2</v>
      </c>
      <c r="AD123" s="29">
        <v>1.2044936785710466E-2</v>
      </c>
      <c r="AE123" s="29">
        <v>1.1920761196440264E-2</v>
      </c>
      <c r="AF123" s="29">
        <v>1.0289619871784996E-2</v>
      </c>
      <c r="AG123" s="29">
        <v>6.0397744902003043E-3</v>
      </c>
      <c r="AH123" s="29">
        <v>6.0397744902003043E-3</v>
      </c>
      <c r="AI123" s="29">
        <v>6.0397744902003043E-3</v>
      </c>
      <c r="AJ123" s="29"/>
      <c r="AK123" s="29"/>
      <c r="AL123" s="29"/>
      <c r="AM123" s="29"/>
      <c r="AN123" s="29"/>
      <c r="AO123" s="29"/>
      <c r="AP123" s="29"/>
    </row>
    <row r="124" spans="1:42" ht="15.75">
      <c r="A124" s="29" t="s">
        <v>456</v>
      </c>
      <c r="B124" s="31" t="s">
        <v>15</v>
      </c>
      <c r="C124" s="31" t="s">
        <v>23</v>
      </c>
      <c r="D124" s="31" t="s">
        <v>3</v>
      </c>
      <c r="E124" s="29"/>
      <c r="F124" s="29">
        <v>2014</v>
      </c>
      <c r="G124" s="29" t="s">
        <v>17</v>
      </c>
      <c r="H124" s="29"/>
      <c r="I124" s="29"/>
      <c r="J124" s="29"/>
      <c r="K124" s="29"/>
      <c r="L124" s="29"/>
      <c r="M124" s="29"/>
      <c r="N124" s="29"/>
      <c r="O124" s="29"/>
      <c r="P124" s="433">
        <v>7.6940000000000003E-3</v>
      </c>
      <c r="Q124" s="29">
        <v>7.6117695327192142E-3</v>
      </c>
      <c r="R124" s="29">
        <v>7.5843351310882004E-3</v>
      </c>
      <c r="S124" s="29">
        <v>7.2581595418119097E-3</v>
      </c>
      <c r="T124" s="29">
        <v>7.1166024947057786E-3</v>
      </c>
      <c r="U124" s="29">
        <v>6.9859115554639301E-3</v>
      </c>
      <c r="V124" s="29">
        <v>6.8631303878407103E-3</v>
      </c>
      <c r="W124" s="29">
        <v>6.8631303878407103E-3</v>
      </c>
      <c r="X124" s="29">
        <v>5.4956764384748117E-3</v>
      </c>
      <c r="Y124" s="29">
        <v>5.243164741947688E-3</v>
      </c>
      <c r="Z124" s="29">
        <v>4.8869966096518397E-3</v>
      </c>
      <c r="AA124" s="29">
        <v>4.8867114279857538E-3</v>
      </c>
      <c r="AB124" s="29">
        <v>4.1553785280013808E-3</v>
      </c>
      <c r="AC124" s="29">
        <v>4.1553785280013808E-3</v>
      </c>
      <c r="AD124" s="29">
        <v>1.6695759300295444E-3</v>
      </c>
      <c r="AE124" s="29">
        <v>1.3012237231812736E-3</v>
      </c>
      <c r="AF124" s="29">
        <v>1.3012237231812736E-3</v>
      </c>
      <c r="AG124" s="29">
        <v>1.3012237231812736E-3</v>
      </c>
      <c r="AH124" s="29">
        <v>1.3012237231812736E-3</v>
      </c>
      <c r="AI124" s="29">
        <v>1.3012237231812736E-3</v>
      </c>
      <c r="AJ124" s="29">
        <v>7.1085433252047385E-4</v>
      </c>
      <c r="AK124" s="29"/>
      <c r="AL124" s="29"/>
      <c r="AM124" s="29"/>
      <c r="AN124" s="29"/>
      <c r="AO124" s="29"/>
      <c r="AP124" s="29"/>
    </row>
    <row r="125" spans="1:42" ht="15.75">
      <c r="A125" s="29" t="s">
        <v>456</v>
      </c>
      <c r="B125" s="31" t="s">
        <v>15</v>
      </c>
      <c r="C125" s="31" t="s">
        <v>25</v>
      </c>
      <c r="D125" s="31" t="s">
        <v>3</v>
      </c>
      <c r="E125" s="29"/>
      <c r="F125" s="29">
        <v>2014</v>
      </c>
      <c r="G125" s="29" t="s">
        <v>17</v>
      </c>
      <c r="H125" s="29"/>
      <c r="I125" s="29"/>
      <c r="J125" s="29"/>
      <c r="K125" s="29"/>
      <c r="L125" s="29"/>
      <c r="M125" s="29"/>
      <c r="N125" s="29"/>
      <c r="O125" s="29"/>
      <c r="P125" s="433">
        <v>6.5462999999999993E-2</v>
      </c>
      <c r="Q125" s="29">
        <v>6.5462999999999993E-2</v>
      </c>
      <c r="R125" s="29">
        <v>6.5462999999999993E-2</v>
      </c>
      <c r="S125" s="29">
        <v>6.5462999999999993E-2</v>
      </c>
      <c r="T125" s="29">
        <v>6.5462999999999993E-2</v>
      </c>
      <c r="U125" s="29">
        <v>6.5462999999999993E-2</v>
      </c>
      <c r="V125" s="29">
        <v>6.5462999999999993E-2</v>
      </c>
      <c r="W125" s="29">
        <v>6.5462999999999993E-2</v>
      </c>
      <c r="X125" s="29">
        <v>6.5462999999999993E-2</v>
      </c>
      <c r="Y125" s="29">
        <v>6.5462999999999993E-2</v>
      </c>
      <c r="Z125" s="29">
        <v>6.5462999999999993E-2</v>
      </c>
      <c r="AA125" s="29">
        <v>6.5462999999999993E-2</v>
      </c>
      <c r="AB125" s="29">
        <v>6.5462999999999993E-2</v>
      </c>
      <c r="AC125" s="29">
        <v>6.5462999999999993E-2</v>
      </c>
      <c r="AD125" s="29">
        <v>6.5462999999999993E-2</v>
      </c>
      <c r="AE125" s="29">
        <v>6.5462999999999993E-2</v>
      </c>
      <c r="AF125" s="29">
        <v>6.5462999999999993E-2</v>
      </c>
      <c r="AG125" s="29">
        <v>6.5462999999999993E-2</v>
      </c>
      <c r="AH125" s="29">
        <v>5.8627418561946962E-2</v>
      </c>
      <c r="AI125" s="29">
        <v>0</v>
      </c>
      <c r="AJ125" s="29"/>
      <c r="AK125" s="29"/>
      <c r="AL125" s="29"/>
      <c r="AM125" s="29"/>
      <c r="AN125" s="29"/>
      <c r="AO125" s="29"/>
      <c r="AP125" s="29"/>
    </row>
    <row r="126" spans="1:42" ht="15.75">
      <c r="A126" s="29" t="s">
        <v>456</v>
      </c>
      <c r="B126" s="31" t="s">
        <v>15</v>
      </c>
      <c r="C126" s="31" t="s">
        <v>25</v>
      </c>
      <c r="D126" s="31" t="s">
        <v>3</v>
      </c>
      <c r="E126" s="29"/>
      <c r="F126" s="29">
        <v>2014</v>
      </c>
      <c r="G126" s="29"/>
      <c r="H126" s="29"/>
      <c r="I126" s="29"/>
      <c r="J126" s="29"/>
      <c r="K126" s="29"/>
      <c r="L126" s="29"/>
      <c r="M126" s="29"/>
      <c r="N126" s="29"/>
      <c r="O126" s="29"/>
      <c r="P126" s="433"/>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row>
    <row r="127" spans="1:42" ht="15.75">
      <c r="A127" s="29" t="s">
        <v>456</v>
      </c>
      <c r="B127" s="29" t="s">
        <v>15</v>
      </c>
      <c r="C127" s="29" t="s">
        <v>124</v>
      </c>
      <c r="D127" s="31" t="s">
        <v>3</v>
      </c>
      <c r="E127" s="29"/>
      <c r="F127" s="29">
        <v>2014</v>
      </c>
      <c r="G127" s="29" t="s">
        <v>17</v>
      </c>
      <c r="H127" s="29"/>
      <c r="I127" s="29"/>
      <c r="J127" s="29"/>
      <c r="K127" s="29"/>
      <c r="L127" s="29"/>
      <c r="M127" s="29"/>
      <c r="N127" s="29"/>
      <c r="O127" s="29"/>
      <c r="P127" s="433">
        <v>0</v>
      </c>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row>
    <row r="128" spans="1:42" ht="15.75">
      <c r="A128" s="29" t="s">
        <v>468</v>
      </c>
      <c r="B128" s="29" t="s">
        <v>1</v>
      </c>
      <c r="C128" s="29" t="s">
        <v>12</v>
      </c>
      <c r="D128" s="31" t="s">
        <v>3</v>
      </c>
      <c r="E128" s="29"/>
      <c r="F128" s="29" t="s">
        <v>481</v>
      </c>
      <c r="G128" s="29" t="s">
        <v>471</v>
      </c>
      <c r="H128" s="29"/>
      <c r="I128" s="29"/>
      <c r="J128" s="29"/>
      <c r="K128" s="29"/>
      <c r="L128" s="29"/>
      <c r="M128" s="29"/>
      <c r="N128" s="29"/>
      <c r="O128" s="29"/>
      <c r="P128" s="433"/>
      <c r="Q128" s="29">
        <v>0.4397411982388944</v>
      </c>
      <c r="R128" s="29">
        <v>0.95046664476836518</v>
      </c>
      <c r="S128" s="29">
        <v>1.5250063535209557</v>
      </c>
      <c r="T128" s="29">
        <v>2.1802734475058538</v>
      </c>
      <c r="U128" s="29">
        <v>2.91626792672306</v>
      </c>
      <c r="V128" s="29">
        <v>3.732989791172574</v>
      </c>
      <c r="W128" s="29">
        <v>3.732989791172574</v>
      </c>
      <c r="X128" s="29">
        <v>3.732989791172574</v>
      </c>
      <c r="Y128" s="29">
        <v>3.732989791172574</v>
      </c>
      <c r="Z128" s="29">
        <v>3.732989791172574</v>
      </c>
      <c r="AA128" s="29">
        <v>3.6817899551084823</v>
      </c>
      <c r="AB128" s="29">
        <v>3.1053631752938946</v>
      </c>
      <c r="AC128" s="29">
        <v>2.7424335843601928</v>
      </c>
      <c r="AD128" s="29">
        <v>2.3562174601787427</v>
      </c>
      <c r="AE128" s="29">
        <v>1.9298016797403545</v>
      </c>
      <c r="AF128" s="29">
        <v>1.5997191392159402</v>
      </c>
      <c r="AG128" s="29">
        <v>1.3460222940781166</v>
      </c>
      <c r="AH128" s="29">
        <v>1.1578732932132343</v>
      </c>
      <c r="AI128" s="29">
        <v>0.92919656337298129</v>
      </c>
      <c r="AJ128" s="29">
        <v>0.65999210455735791</v>
      </c>
      <c r="AK128" s="29">
        <v>0.3502599167663642</v>
      </c>
      <c r="AL128" s="29">
        <v>0</v>
      </c>
      <c r="AM128" s="29">
        <v>0</v>
      </c>
      <c r="AN128" s="29">
        <v>0</v>
      </c>
      <c r="AO128" s="29">
        <v>0</v>
      </c>
      <c r="AP128" s="29"/>
    </row>
    <row r="129" spans="1:42" ht="15.75">
      <c r="A129" s="29" t="s">
        <v>468</v>
      </c>
      <c r="B129" s="29" t="s">
        <v>15</v>
      </c>
      <c r="C129" s="29" t="s">
        <v>241</v>
      </c>
      <c r="D129" s="31" t="s">
        <v>3</v>
      </c>
      <c r="E129" s="29"/>
      <c r="F129" s="29" t="s">
        <v>481</v>
      </c>
      <c r="G129" s="29" t="s">
        <v>17</v>
      </c>
      <c r="H129" s="29"/>
      <c r="I129" s="29"/>
      <c r="J129" s="29"/>
      <c r="K129" s="29"/>
      <c r="L129" s="29"/>
      <c r="M129" s="29"/>
      <c r="N129" s="29"/>
      <c r="O129" s="29"/>
      <c r="P129" s="433"/>
      <c r="Q129" s="29">
        <v>7.6181012294899583E-2</v>
      </c>
      <c r="R129" s="29">
        <v>0.12398979831807605</v>
      </c>
      <c r="S129" s="29">
        <v>0.13461209392625403</v>
      </c>
      <c r="T129" s="29">
        <v>0.14523438953443205</v>
      </c>
      <c r="U129" s="29">
        <v>0.15585668514261003</v>
      </c>
      <c r="V129" s="29">
        <v>0.16647898075078801</v>
      </c>
      <c r="W129" s="29">
        <v>0.16647898075078801</v>
      </c>
      <c r="X129" s="29">
        <v>0.16647898075078801</v>
      </c>
      <c r="Y129" s="29">
        <v>0.16647898075078801</v>
      </c>
      <c r="Z129" s="29">
        <v>0.16647898075078801</v>
      </c>
      <c r="AA129" s="29">
        <v>0.16647898075078801</v>
      </c>
      <c r="AB129" s="29">
        <v>0.16647898075078801</v>
      </c>
      <c r="AC129" s="29">
        <v>0.16647898075078801</v>
      </c>
      <c r="AD129" s="29">
        <v>0.16647898075078801</v>
      </c>
      <c r="AE129" s="29">
        <v>0.16647898075078801</v>
      </c>
      <c r="AF129" s="29">
        <v>0.16647898075078801</v>
      </c>
      <c r="AG129" s="29">
        <v>0.16647898075078801</v>
      </c>
      <c r="AH129" s="29">
        <v>0.16647898075078801</v>
      </c>
      <c r="AI129" s="29">
        <v>0.12748445887088691</v>
      </c>
      <c r="AJ129" s="29">
        <v>8.380750511604361E-2</v>
      </c>
      <c r="AK129" s="29">
        <v>3.5998719092867164E-2</v>
      </c>
      <c r="AL129" s="29">
        <v>2.5376423484689162E-2</v>
      </c>
      <c r="AM129" s="29">
        <v>1.4754127876511161E-2</v>
      </c>
      <c r="AN129" s="29">
        <v>4.1318322683331606E-3</v>
      </c>
      <c r="AO129" s="29">
        <v>0</v>
      </c>
      <c r="AP129" s="29"/>
    </row>
    <row r="130" spans="1:42" ht="15.75">
      <c r="A130" s="29" t="s">
        <v>468</v>
      </c>
      <c r="B130" s="29" t="s">
        <v>15</v>
      </c>
      <c r="C130" s="29" t="s">
        <v>412</v>
      </c>
      <c r="D130" s="31" t="s">
        <v>3</v>
      </c>
      <c r="E130" s="29"/>
      <c r="F130" s="29" t="s">
        <v>481</v>
      </c>
      <c r="G130" s="29" t="s">
        <v>17</v>
      </c>
      <c r="H130" s="29"/>
      <c r="I130" s="29"/>
      <c r="J130" s="29"/>
      <c r="K130" s="29"/>
      <c r="L130" s="29"/>
      <c r="M130" s="29"/>
      <c r="N130" s="29"/>
      <c r="O130" s="29"/>
      <c r="P130" s="433"/>
      <c r="Q130" s="29">
        <v>1.7720404723722962E-2</v>
      </c>
      <c r="R130" s="29">
        <v>1.8311084881180391E-2</v>
      </c>
      <c r="S130" s="29">
        <v>1.8901765038637823E-2</v>
      </c>
      <c r="T130" s="29">
        <v>1.9492445196095255E-2</v>
      </c>
      <c r="U130" s="29">
        <v>2.0083125353552684E-2</v>
      </c>
      <c r="V130" s="29">
        <v>2.0673805511010116E-2</v>
      </c>
      <c r="W130" s="29">
        <v>2.0673805511010116E-2</v>
      </c>
      <c r="X130" s="29">
        <v>2.0673805511010116E-2</v>
      </c>
      <c r="Y130" s="29">
        <v>2.0673805511010116E-2</v>
      </c>
      <c r="Z130" s="29">
        <v>2.0673805511010116E-2</v>
      </c>
      <c r="AA130" s="29">
        <v>2.9534007872871601E-3</v>
      </c>
      <c r="AB130" s="29">
        <v>2.3627206298297283E-3</v>
      </c>
      <c r="AC130" s="29">
        <v>1.7720404723722961E-3</v>
      </c>
      <c r="AD130" s="29">
        <v>1.1813603149148642E-3</v>
      </c>
      <c r="AE130" s="29">
        <v>5.9068015745743208E-4</v>
      </c>
      <c r="AF130" s="29">
        <v>0</v>
      </c>
      <c r="AG130" s="29">
        <v>0</v>
      </c>
      <c r="AH130" s="29">
        <v>0</v>
      </c>
      <c r="AI130" s="29">
        <v>0</v>
      </c>
      <c r="AJ130" s="29">
        <v>0</v>
      </c>
      <c r="AK130" s="29">
        <v>0</v>
      </c>
      <c r="AL130" s="29">
        <v>0</v>
      </c>
      <c r="AM130" s="29">
        <v>0</v>
      </c>
      <c r="AN130" s="29">
        <v>0</v>
      </c>
      <c r="AO130" s="29">
        <v>0</v>
      </c>
      <c r="AP130" s="29"/>
    </row>
    <row r="131" spans="1:42" ht="15.75">
      <c r="A131" s="29" t="s">
        <v>468</v>
      </c>
      <c r="B131" s="29" t="s">
        <v>15</v>
      </c>
      <c r="C131" s="29" t="s">
        <v>23</v>
      </c>
      <c r="D131" s="31" t="s">
        <v>3</v>
      </c>
      <c r="E131" s="29"/>
      <c r="F131" s="29" t="s">
        <v>481</v>
      </c>
      <c r="G131" s="29" t="s">
        <v>17</v>
      </c>
      <c r="H131" s="29"/>
      <c r="I131" s="29"/>
      <c r="J131" s="29"/>
      <c r="K131" s="29"/>
      <c r="L131" s="29"/>
      <c r="M131" s="29"/>
      <c r="N131" s="29"/>
      <c r="O131" s="29"/>
      <c r="P131" s="433"/>
      <c r="Q131" s="29">
        <v>3.6634248921356694E-2</v>
      </c>
      <c r="R131" s="29">
        <v>7.3268497842713387E-2</v>
      </c>
      <c r="S131" s="29">
        <v>0.10990274676407009</v>
      </c>
      <c r="T131" s="29">
        <v>0.14653699568542677</v>
      </c>
      <c r="U131" s="29">
        <v>0.1831712446067835</v>
      </c>
      <c r="V131" s="29">
        <v>0.21980549352814019</v>
      </c>
      <c r="W131" s="29">
        <v>0.21980549352814019</v>
      </c>
      <c r="X131" s="29">
        <v>0.21980549352814019</v>
      </c>
      <c r="Y131" s="29">
        <v>0.21980549352814019</v>
      </c>
      <c r="Z131" s="29">
        <v>0.1831712446067835</v>
      </c>
      <c r="AA131" s="29">
        <v>0.14653699568542677</v>
      </c>
      <c r="AB131" s="29">
        <v>0.10990274676407009</v>
      </c>
      <c r="AC131" s="29">
        <v>7.3268497842713387E-2</v>
      </c>
      <c r="AD131" s="29">
        <v>3.6634248921356694E-2</v>
      </c>
      <c r="AE131" s="29">
        <v>0</v>
      </c>
      <c r="AF131" s="29">
        <v>0</v>
      </c>
      <c r="AG131" s="29">
        <v>0</v>
      </c>
      <c r="AH131" s="29">
        <v>0</v>
      </c>
      <c r="AI131" s="29">
        <v>0</v>
      </c>
      <c r="AJ131" s="29">
        <v>0</v>
      </c>
      <c r="AK131" s="29">
        <v>0</v>
      </c>
      <c r="AL131" s="29">
        <v>0</v>
      </c>
      <c r="AM131" s="29">
        <v>0</v>
      </c>
      <c r="AN131" s="29">
        <v>0</v>
      </c>
      <c r="AO131" s="29">
        <v>0</v>
      </c>
      <c r="AP131" s="29"/>
    </row>
    <row r="132" spans="1:42" ht="15.75">
      <c r="A132" s="29" t="s">
        <v>468</v>
      </c>
      <c r="B132" s="29" t="s">
        <v>1</v>
      </c>
      <c r="C132" s="29" t="s">
        <v>469</v>
      </c>
      <c r="D132" s="31" t="s">
        <v>3</v>
      </c>
      <c r="E132" s="29"/>
      <c r="F132" s="29" t="s">
        <v>481</v>
      </c>
      <c r="G132" s="29" t="s">
        <v>472</v>
      </c>
      <c r="H132" s="29"/>
      <c r="I132" s="29"/>
      <c r="J132" s="29"/>
      <c r="K132" s="29"/>
      <c r="L132" s="29"/>
      <c r="M132" s="29"/>
      <c r="N132" s="29"/>
      <c r="O132" s="29"/>
      <c r="P132" s="433"/>
      <c r="Q132" s="29">
        <v>0.11569634489222118</v>
      </c>
      <c r="R132" s="29">
        <v>0.23139296702899312</v>
      </c>
      <c r="S132" s="29">
        <v>0.3576074639054716</v>
      </c>
      <c r="T132" s="29">
        <v>0.49433983552165661</v>
      </c>
      <c r="U132" s="29">
        <v>0.64159008187754818</v>
      </c>
      <c r="V132" s="29">
        <v>0.79935820297314641</v>
      </c>
      <c r="W132" s="29">
        <v>0.79935820297314641</v>
      </c>
      <c r="X132" s="29">
        <v>0.79935820297314641</v>
      </c>
      <c r="Y132" s="29">
        <v>0.79935820297314641</v>
      </c>
      <c r="Z132" s="29">
        <v>0.68366185808092528</v>
      </c>
      <c r="AA132" s="29">
        <v>0.56796523594415327</v>
      </c>
      <c r="AB132" s="29">
        <v>0.44175073906767481</v>
      </c>
      <c r="AC132" s="29">
        <v>0.30501836745148975</v>
      </c>
      <c r="AD132" s="29">
        <v>0.15776812109559812</v>
      </c>
      <c r="AE132" s="29">
        <v>0</v>
      </c>
      <c r="AF132" s="29">
        <v>0</v>
      </c>
      <c r="AG132" s="29">
        <v>0</v>
      </c>
      <c r="AH132" s="29">
        <v>0</v>
      </c>
      <c r="AI132" s="29">
        <v>0</v>
      </c>
      <c r="AJ132" s="29">
        <v>0</v>
      </c>
      <c r="AK132" s="29">
        <v>0</v>
      </c>
      <c r="AL132" s="29">
        <v>0</v>
      </c>
      <c r="AM132" s="29">
        <v>0</v>
      </c>
      <c r="AN132" s="29">
        <v>0</v>
      </c>
      <c r="AO132" s="29">
        <v>0</v>
      </c>
      <c r="AP132" s="29"/>
    </row>
    <row r="133" spans="1:42" ht="15.75">
      <c r="A133" s="29" t="s">
        <v>468</v>
      </c>
      <c r="B133" s="29" t="s">
        <v>1</v>
      </c>
      <c r="C133" s="29" t="s">
        <v>151</v>
      </c>
      <c r="D133" s="31" t="s">
        <v>3</v>
      </c>
      <c r="E133" s="29"/>
      <c r="F133" s="29" t="s">
        <v>481</v>
      </c>
      <c r="G133" s="29" t="s">
        <v>473</v>
      </c>
      <c r="H133" s="29"/>
      <c r="I133" s="29"/>
      <c r="J133" s="29"/>
      <c r="K133" s="29"/>
      <c r="L133" s="29"/>
      <c r="M133" s="29"/>
      <c r="N133" s="29"/>
      <c r="O133" s="29"/>
      <c r="P133" s="433"/>
      <c r="Q133" s="29">
        <v>1.9207617595385685E-2</v>
      </c>
      <c r="R133" s="29">
        <v>5.5793555872310802E-2</v>
      </c>
      <c r="S133" s="29">
        <v>9.2379494149235922E-2</v>
      </c>
      <c r="T133" s="29">
        <v>0.12896543242616104</v>
      </c>
      <c r="U133" s="29">
        <v>0.16555137070308618</v>
      </c>
      <c r="V133" s="29">
        <v>0.20213730898001131</v>
      </c>
      <c r="W133" s="29">
        <v>0.20213730898001131</v>
      </c>
      <c r="X133" s="29">
        <v>0.20213730898001131</v>
      </c>
      <c r="Y133" s="29">
        <v>0.20213730898001131</v>
      </c>
      <c r="Z133" s="29">
        <v>0.20213730898001131</v>
      </c>
      <c r="AA133" s="29">
        <v>0.20213730898001131</v>
      </c>
      <c r="AB133" s="29">
        <v>0.20213730898001131</v>
      </c>
      <c r="AC133" s="29">
        <v>0.20213730898001131</v>
      </c>
      <c r="AD133" s="29">
        <v>0.20213730898001131</v>
      </c>
      <c r="AE133" s="29">
        <v>0.18292969138462561</v>
      </c>
      <c r="AF133" s="29">
        <v>0.14634375310770048</v>
      </c>
      <c r="AG133" s="29">
        <v>0.10975781483077536</v>
      </c>
      <c r="AH133" s="29">
        <v>7.317187655385024E-2</v>
      </c>
      <c r="AI133" s="29">
        <v>3.658593827692512E-2</v>
      </c>
      <c r="AJ133" s="29">
        <v>0</v>
      </c>
      <c r="AK133" s="29">
        <v>0</v>
      </c>
      <c r="AL133" s="29">
        <v>0</v>
      </c>
      <c r="AM133" s="29">
        <v>0</v>
      </c>
      <c r="AN133" s="29">
        <v>0</v>
      </c>
      <c r="AO133" s="29">
        <v>0</v>
      </c>
      <c r="AP133" s="29"/>
    </row>
    <row r="134" spans="1:42" ht="15.75">
      <c r="A134" s="29" t="s">
        <v>468</v>
      </c>
      <c r="B134" s="29" t="s">
        <v>1</v>
      </c>
      <c r="C134" s="29" t="s">
        <v>6</v>
      </c>
      <c r="D134" s="31" t="s">
        <v>3</v>
      </c>
      <c r="E134" s="29"/>
      <c r="F134" s="29" t="s">
        <v>481</v>
      </c>
      <c r="G134" s="29" t="s">
        <v>474</v>
      </c>
      <c r="H134" s="29"/>
      <c r="I134" s="29"/>
      <c r="J134" s="29"/>
      <c r="K134" s="29"/>
      <c r="L134" s="29"/>
      <c r="M134" s="29"/>
      <c r="N134" s="29"/>
      <c r="O134" s="29"/>
      <c r="P134" s="433"/>
      <c r="Q134" s="29">
        <v>1.7515828554380618E-2</v>
      </c>
      <c r="R134" s="29">
        <v>4.4054962727684582E-2</v>
      </c>
      <c r="S134" s="29">
        <v>7.0594096900988543E-2</v>
      </c>
      <c r="T134" s="29">
        <v>9.7133231074292517E-2</v>
      </c>
      <c r="U134" s="29">
        <v>0.10615653669321586</v>
      </c>
      <c r="V134" s="29">
        <v>0.10615653669321586</v>
      </c>
      <c r="W134" s="29">
        <v>7.9617402519911895E-2</v>
      </c>
      <c r="X134" s="29">
        <v>5.3078268346607928E-2</v>
      </c>
      <c r="Y134" s="29">
        <v>2.6539134173303964E-2</v>
      </c>
      <c r="Z134" s="29">
        <v>0</v>
      </c>
      <c r="AA134" s="29">
        <v>0</v>
      </c>
      <c r="AB134" s="29">
        <v>0</v>
      </c>
      <c r="AC134" s="29">
        <v>0</v>
      </c>
      <c r="AD134" s="29">
        <v>0</v>
      </c>
      <c r="AE134" s="29">
        <v>0</v>
      </c>
      <c r="AF134" s="29">
        <v>0</v>
      </c>
      <c r="AG134" s="29">
        <v>0</v>
      </c>
      <c r="AH134" s="29">
        <v>0</v>
      </c>
      <c r="AI134" s="29">
        <v>0</v>
      </c>
      <c r="AJ134" s="29">
        <v>0</v>
      </c>
      <c r="AK134" s="29">
        <v>0</v>
      </c>
      <c r="AL134" s="29">
        <v>0</v>
      </c>
      <c r="AM134" s="29">
        <v>0</v>
      </c>
      <c r="AN134" s="29">
        <v>0</v>
      </c>
      <c r="AO134" s="29">
        <v>0</v>
      </c>
      <c r="AP134" s="29"/>
    </row>
    <row r="135" spans="1:42" ht="15.75">
      <c r="A135" s="29" t="s">
        <v>468</v>
      </c>
      <c r="B135" s="29" t="s">
        <v>1</v>
      </c>
      <c r="C135" s="29" t="s">
        <v>478</v>
      </c>
      <c r="D135" s="31" t="s">
        <v>3</v>
      </c>
      <c r="E135" s="29"/>
      <c r="F135" s="29" t="s">
        <v>481</v>
      </c>
      <c r="G135" s="29" t="s">
        <v>57</v>
      </c>
      <c r="H135" s="29"/>
      <c r="I135" s="29"/>
      <c r="J135" s="29"/>
      <c r="K135" s="29"/>
      <c r="L135" s="29"/>
      <c r="M135" s="29"/>
      <c r="N135" s="29"/>
      <c r="O135" s="29"/>
      <c r="P135" s="433"/>
      <c r="Q135" s="29">
        <v>1.1435669721379271E-2</v>
      </c>
      <c r="R135" s="29">
        <v>1.1435669721379271E-2</v>
      </c>
      <c r="S135" s="29">
        <v>1.1435669721379271E-2</v>
      </c>
      <c r="T135" s="29">
        <v>1.1435669721379271E-2</v>
      </c>
      <c r="U135" s="29">
        <v>1.1435669721379271E-2</v>
      </c>
      <c r="V135" s="29">
        <v>1.1435669721379271E-2</v>
      </c>
      <c r="W135" s="29">
        <v>1.1435669721379271E-2</v>
      </c>
      <c r="X135" s="29">
        <v>1.1435669721379271E-2</v>
      </c>
      <c r="Y135" s="29">
        <v>1.1435669721379271E-2</v>
      </c>
      <c r="Z135" s="29">
        <v>1.1435669721379271E-2</v>
      </c>
      <c r="AA135" s="29">
        <v>0</v>
      </c>
      <c r="AB135" s="29">
        <v>0</v>
      </c>
      <c r="AC135" s="29">
        <v>0</v>
      </c>
      <c r="AD135" s="29">
        <v>0</v>
      </c>
      <c r="AE135" s="29">
        <v>0</v>
      </c>
      <c r="AF135" s="29">
        <v>0</v>
      </c>
      <c r="AG135" s="29">
        <v>0</v>
      </c>
      <c r="AH135" s="29">
        <v>0</v>
      </c>
      <c r="AI135" s="29">
        <v>0</v>
      </c>
      <c r="AJ135" s="29">
        <v>0</v>
      </c>
      <c r="AK135" s="29">
        <v>0</v>
      </c>
      <c r="AL135" s="29">
        <v>0</v>
      </c>
      <c r="AM135" s="29">
        <v>0</v>
      </c>
      <c r="AN135" s="29">
        <v>0</v>
      </c>
      <c r="AO135" s="29">
        <v>0</v>
      </c>
      <c r="AP135" s="29"/>
    </row>
    <row r="136" spans="1:42" ht="15.75">
      <c r="A136" s="29" t="s">
        <v>468</v>
      </c>
      <c r="B136" s="29" t="s">
        <v>1</v>
      </c>
      <c r="C136" s="29" t="s">
        <v>470</v>
      </c>
      <c r="D136" s="31" t="s">
        <v>3</v>
      </c>
      <c r="E136" s="29"/>
      <c r="F136" s="29" t="s">
        <v>481</v>
      </c>
      <c r="G136" s="29" t="s">
        <v>57</v>
      </c>
      <c r="H136" s="29"/>
      <c r="I136" s="29"/>
      <c r="J136" s="29"/>
      <c r="K136" s="29"/>
      <c r="L136" s="29"/>
      <c r="M136" s="29"/>
      <c r="N136" s="29"/>
      <c r="O136" s="29"/>
      <c r="P136" s="433"/>
      <c r="Q136" s="29">
        <v>0</v>
      </c>
      <c r="R136" s="29">
        <v>0.2267680859377747</v>
      </c>
      <c r="S136" s="29">
        <v>0.4535361718755494</v>
      </c>
      <c r="T136" s="29">
        <v>0.68030425781332415</v>
      </c>
      <c r="U136" s="29">
        <v>0.85038032226665505</v>
      </c>
      <c r="V136" s="29">
        <v>1.0204563867199861</v>
      </c>
      <c r="W136" s="29">
        <v>1.0204563867199861</v>
      </c>
      <c r="X136" s="29">
        <v>1.0204563867199861</v>
      </c>
      <c r="Y136" s="29">
        <v>1.0204563867199861</v>
      </c>
      <c r="Z136" s="29">
        <v>1.0204563867199861</v>
      </c>
      <c r="AA136" s="29">
        <v>1.0204563867199861</v>
      </c>
      <c r="AB136" s="29">
        <v>1.0204563867199861</v>
      </c>
      <c r="AC136" s="29">
        <v>1.0204563867199861</v>
      </c>
      <c r="AD136" s="29">
        <v>1.0204563867199861</v>
      </c>
      <c r="AE136" s="29">
        <v>1.0204563867199861</v>
      </c>
      <c r="AF136" s="29">
        <v>1.0204563867199861</v>
      </c>
      <c r="AG136" s="29">
        <v>1.0204563867199861</v>
      </c>
      <c r="AH136" s="29">
        <v>1.0204563867199861</v>
      </c>
      <c r="AI136" s="29">
        <v>1.0204563867199861</v>
      </c>
      <c r="AJ136" s="29">
        <v>1.0204563867199861</v>
      </c>
      <c r="AK136" s="29">
        <v>1.0204563867199861</v>
      </c>
      <c r="AL136" s="29">
        <v>0.79368830078221142</v>
      </c>
      <c r="AM136" s="29">
        <v>0.56692021484443667</v>
      </c>
      <c r="AN136" s="29">
        <v>0.34015212890666202</v>
      </c>
      <c r="AO136" s="29">
        <v>0.17007606445333101</v>
      </c>
      <c r="AP136" s="29"/>
    </row>
    <row r="137" spans="1:42" ht="15.75">
      <c r="A137" s="29" t="s">
        <v>468</v>
      </c>
      <c r="B137" s="29" t="s">
        <v>1</v>
      </c>
      <c r="C137" s="29" t="s">
        <v>470</v>
      </c>
      <c r="D137" s="31" t="s">
        <v>3</v>
      </c>
      <c r="E137" s="29"/>
      <c r="F137" s="29" t="s">
        <v>481</v>
      </c>
      <c r="G137" s="29" t="s">
        <v>571</v>
      </c>
      <c r="H137" s="29"/>
      <c r="I137" s="29"/>
      <c r="J137" s="29"/>
      <c r="K137" s="29"/>
      <c r="L137" s="29"/>
      <c r="M137" s="29"/>
      <c r="N137" s="29"/>
      <c r="O137" s="29"/>
      <c r="P137" s="433"/>
      <c r="Q137" s="29">
        <v>0</v>
      </c>
      <c r="R137" s="29">
        <v>0.2267680859377747</v>
      </c>
      <c r="S137" s="29">
        <v>0.4535361718755494</v>
      </c>
      <c r="T137" s="29">
        <v>0.68030425781332415</v>
      </c>
      <c r="U137" s="29">
        <v>0.85038032226665505</v>
      </c>
      <c r="V137" s="29">
        <v>1.0204563867199861</v>
      </c>
      <c r="W137" s="29">
        <v>1.0204563867199861</v>
      </c>
      <c r="X137" s="29">
        <v>1.0204563867199861</v>
      </c>
      <c r="Y137" s="29">
        <v>1.0204563867199861</v>
      </c>
      <c r="Z137" s="29">
        <v>1.0204563867199861</v>
      </c>
      <c r="AA137" s="29">
        <v>1.0204563867199861</v>
      </c>
      <c r="AB137" s="29">
        <v>1.0204563867199861</v>
      </c>
      <c r="AC137" s="29">
        <v>1.0204563867199861</v>
      </c>
      <c r="AD137" s="29">
        <v>1.0204563867199861</v>
      </c>
      <c r="AE137" s="29">
        <v>1.0204563867199861</v>
      </c>
      <c r="AF137" s="29">
        <v>1.0204563867199861</v>
      </c>
      <c r="AG137" s="29">
        <v>1.0204563867199861</v>
      </c>
      <c r="AH137" s="29">
        <v>1.0204563867199861</v>
      </c>
      <c r="AI137" s="29">
        <v>1.0204563867199861</v>
      </c>
      <c r="AJ137" s="29">
        <v>1.0204563867199861</v>
      </c>
      <c r="AK137" s="29">
        <v>1.0204563867199861</v>
      </c>
      <c r="AL137" s="29">
        <v>0.79368830078221142</v>
      </c>
      <c r="AM137" s="29">
        <v>0.56692021484443667</v>
      </c>
      <c r="AN137" s="29">
        <v>0.34015212890666202</v>
      </c>
      <c r="AO137" s="29">
        <v>0.17007606445333101</v>
      </c>
      <c r="AP137" s="29"/>
    </row>
    <row r="138" spans="1:42" ht="15.75">
      <c r="A138" s="29" t="s">
        <v>468</v>
      </c>
      <c r="B138" s="29" t="s">
        <v>1</v>
      </c>
      <c r="C138" s="461" t="s">
        <v>479</v>
      </c>
      <c r="D138" s="31" t="s">
        <v>3</v>
      </c>
      <c r="E138" s="29"/>
      <c r="F138" s="29" t="s">
        <v>481</v>
      </c>
      <c r="G138" s="29" t="s">
        <v>128</v>
      </c>
      <c r="H138" s="29"/>
      <c r="I138" s="29"/>
      <c r="J138" s="29"/>
      <c r="K138" s="29"/>
      <c r="L138" s="29"/>
      <c r="M138" s="29"/>
      <c r="N138" s="29"/>
      <c r="O138" s="29"/>
      <c r="P138" s="433"/>
      <c r="Q138" s="29">
        <v>0</v>
      </c>
      <c r="R138" s="29">
        <v>0.86001497924181647</v>
      </c>
      <c r="S138" s="29">
        <v>1.1605443837386027</v>
      </c>
      <c r="T138" s="29">
        <v>1.1605443837386027</v>
      </c>
      <c r="U138" s="29">
        <v>1.1605443837386027</v>
      </c>
      <c r="V138" s="29">
        <v>1.1605443837386027</v>
      </c>
      <c r="W138" s="29">
        <v>1.1605443837386027</v>
      </c>
      <c r="X138" s="29">
        <v>1.1605443837386027</v>
      </c>
      <c r="Y138" s="29">
        <v>1.1605443837386027</v>
      </c>
      <c r="Z138" s="29">
        <v>1.1605443837386027</v>
      </c>
      <c r="AA138" s="29">
        <v>1.1605443837386027</v>
      </c>
      <c r="AB138" s="29">
        <v>1.1605443837386027</v>
      </c>
      <c r="AC138" s="29">
        <v>1.1605443837386027</v>
      </c>
      <c r="AD138" s="29">
        <v>1.1605443837386027</v>
      </c>
      <c r="AE138" s="29">
        <v>1.1605443837386027</v>
      </c>
      <c r="AF138" s="29">
        <v>1.1605443837386027</v>
      </c>
      <c r="AG138" s="29">
        <v>1.1605443837386027</v>
      </c>
      <c r="AH138" s="29">
        <v>0.86001497924181647</v>
      </c>
      <c r="AI138" s="29">
        <v>0.86001497924181647</v>
      </c>
      <c r="AJ138" s="29">
        <v>0.86001497924181647</v>
      </c>
      <c r="AK138" s="29">
        <v>0.86001497924181647</v>
      </c>
      <c r="AL138" s="29">
        <v>0</v>
      </c>
      <c r="AM138" s="29">
        <v>0</v>
      </c>
      <c r="AN138" s="29">
        <v>0</v>
      </c>
      <c r="AO138" s="29">
        <v>0</v>
      </c>
      <c r="AP138" s="29"/>
    </row>
  </sheetData>
  <autoFilter ref="A1:AP138"/>
  <pageMargins left="0.7" right="0.7" top="0.75" bottom="0.75" header="0.3" footer="0.3"/>
  <pageSetup scale="13" orientation="portrait"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8"/>
  <sheetViews>
    <sheetView showGridLines="0" topLeftCell="A7" zoomScale="80" zoomScaleNormal="80" workbookViewId="0">
      <selection activeCell="P7" sqref="P7"/>
    </sheetView>
  </sheetViews>
  <sheetFormatPr defaultColWidth="9.140625" defaultRowHeight="15"/>
  <cols>
    <col min="1" max="1" width="4.7109375" style="41" customWidth="1"/>
    <col min="2" max="2" width="21.85546875" style="41" customWidth="1"/>
    <col min="3" max="5" width="26.7109375" style="41" customWidth="1"/>
    <col min="6" max="6" width="23.28515625" style="41" customWidth="1"/>
    <col min="7" max="13" width="6.7109375" style="41" customWidth="1"/>
    <col min="14" max="14" width="16.28515625" style="41" customWidth="1"/>
    <col min="15" max="25" width="15.7109375" style="41" customWidth="1"/>
    <col min="26" max="26" width="19.140625" style="41" customWidth="1"/>
    <col min="27" max="27" width="19.28515625" style="41" customWidth="1"/>
    <col min="28" max="16384" width="9.140625" style="41"/>
  </cols>
  <sheetData>
    <row r="1" spans="1:27" ht="23.25">
      <c r="A1" s="117" t="s">
        <v>199</v>
      </c>
      <c r="B1" s="117" t="s">
        <v>200</v>
      </c>
    </row>
    <row r="2" spans="1:27" ht="17.45" customHeight="1">
      <c r="A2" s="39"/>
      <c r="B2" s="779"/>
      <c r="C2" s="779"/>
      <c r="D2" s="779"/>
      <c r="E2" s="779"/>
      <c r="F2" s="118"/>
      <c r="G2" s="119"/>
      <c r="H2" s="40"/>
      <c r="I2" s="40"/>
      <c r="J2" s="40"/>
      <c r="K2" s="40"/>
      <c r="L2" s="40"/>
      <c r="M2" s="40"/>
      <c r="N2" s="39"/>
      <c r="O2" s="39"/>
      <c r="P2" s="39"/>
      <c r="Q2" s="39"/>
      <c r="R2" s="39"/>
      <c r="S2" s="39"/>
      <c r="T2" s="39"/>
      <c r="U2" s="39"/>
      <c r="V2" s="39"/>
      <c r="W2" s="39"/>
      <c r="X2" s="39"/>
      <c r="Y2" s="39"/>
      <c r="Z2" s="39"/>
      <c r="AA2" s="39"/>
    </row>
    <row r="3" spans="1:27" ht="21.6" customHeight="1">
      <c r="A3" s="39"/>
      <c r="B3" s="780" t="s">
        <v>201</v>
      </c>
      <c r="C3" s="781"/>
      <c r="D3" s="781"/>
      <c r="E3" s="781"/>
      <c r="F3" s="781"/>
      <c r="G3" s="781"/>
      <c r="H3" s="781"/>
      <c r="I3" s="781"/>
      <c r="J3" s="781"/>
      <c r="K3" s="781"/>
      <c r="L3" s="782"/>
      <c r="M3" s="39"/>
      <c r="N3" s="39"/>
      <c r="O3" s="39"/>
      <c r="P3" s="39"/>
      <c r="Q3" s="39"/>
      <c r="R3" s="39"/>
      <c r="S3" s="39"/>
      <c r="T3" s="39"/>
      <c r="U3" s="39"/>
      <c r="V3" s="39"/>
      <c r="W3" s="39"/>
      <c r="X3" s="39"/>
      <c r="Y3" s="39"/>
      <c r="Z3" s="39"/>
      <c r="AA3" s="39"/>
    </row>
    <row r="4" spans="1:27" ht="27.6" customHeight="1">
      <c r="A4" s="39"/>
      <c r="B4" s="120" t="s">
        <v>202</v>
      </c>
      <c r="C4" s="783" t="s">
        <v>203</v>
      </c>
      <c r="D4" s="784"/>
      <c r="E4" s="784"/>
      <c r="F4" s="784"/>
      <c r="G4" s="784"/>
      <c r="H4" s="784"/>
      <c r="I4" s="784"/>
      <c r="J4" s="784"/>
      <c r="K4" s="784"/>
      <c r="L4" s="785"/>
      <c r="M4" s="786"/>
      <c r="N4" s="787"/>
      <c r="O4" s="787"/>
      <c r="P4" s="787"/>
      <c r="Q4" s="787"/>
      <c r="R4" s="787"/>
      <c r="S4" s="787"/>
      <c r="T4" s="787"/>
      <c r="U4" s="787"/>
      <c r="V4" s="787"/>
      <c r="W4" s="39"/>
      <c r="X4" s="39"/>
      <c r="Y4" s="39"/>
      <c r="Z4" s="39"/>
      <c r="AA4" s="39"/>
    </row>
    <row r="5" spans="1:27" ht="43.9" customHeight="1">
      <c r="A5" s="39"/>
      <c r="B5" s="120" t="s">
        <v>204</v>
      </c>
      <c r="C5" s="784" t="s">
        <v>205</v>
      </c>
      <c r="D5" s="784"/>
      <c r="E5" s="784"/>
      <c r="F5" s="784"/>
      <c r="G5" s="784"/>
      <c r="H5" s="784"/>
      <c r="I5" s="784"/>
      <c r="J5" s="784"/>
      <c r="K5" s="784"/>
      <c r="L5" s="785"/>
      <c r="M5" s="786"/>
      <c r="N5" s="787"/>
      <c r="O5" s="787"/>
      <c r="P5" s="787"/>
      <c r="Q5" s="787"/>
      <c r="R5" s="787"/>
      <c r="S5" s="787"/>
      <c r="T5" s="787"/>
      <c r="U5" s="787"/>
      <c r="V5" s="787"/>
      <c r="W5" s="39"/>
      <c r="X5" s="39"/>
      <c r="Y5" s="39"/>
      <c r="Z5" s="39"/>
      <c r="AA5" s="39"/>
    </row>
    <row r="6" spans="1:27" ht="55.9" customHeight="1">
      <c r="A6" s="39"/>
      <c r="B6" s="121" t="s">
        <v>206</v>
      </c>
      <c r="C6" s="788" t="s">
        <v>207</v>
      </c>
      <c r="D6" s="789"/>
      <c r="E6" s="789"/>
      <c r="F6" s="789"/>
      <c r="G6" s="789"/>
      <c r="H6" s="789"/>
      <c r="I6" s="789"/>
      <c r="J6" s="789"/>
      <c r="K6" s="789"/>
      <c r="L6" s="790"/>
      <c r="M6" s="791"/>
      <c r="N6" s="792"/>
      <c r="O6" s="792"/>
      <c r="P6" s="792"/>
      <c r="Q6" s="792"/>
      <c r="R6" s="792"/>
      <c r="S6" s="792"/>
      <c r="T6" s="792"/>
      <c r="U6" s="792"/>
      <c r="V6" s="792"/>
      <c r="W6" s="39"/>
      <c r="X6" s="39"/>
      <c r="Y6" s="39"/>
      <c r="Z6" s="39"/>
      <c r="AA6" s="39"/>
    </row>
    <row r="7" spans="1:27" ht="41.45" customHeight="1">
      <c r="A7" s="39"/>
      <c r="B7" s="121" t="s">
        <v>208</v>
      </c>
      <c r="C7" s="793" t="s">
        <v>209</v>
      </c>
      <c r="D7" s="794"/>
      <c r="E7" s="794"/>
      <c r="F7" s="794"/>
      <c r="G7" s="794"/>
      <c r="H7" s="794"/>
      <c r="I7" s="794"/>
      <c r="J7" s="794"/>
      <c r="K7" s="794"/>
      <c r="L7" s="795"/>
      <c r="M7" s="122"/>
      <c r="N7" s="123"/>
      <c r="O7" s="123"/>
      <c r="P7" s="123"/>
      <c r="Q7" s="123"/>
      <c r="R7" s="123"/>
      <c r="S7" s="123"/>
      <c r="T7" s="123"/>
      <c r="U7" s="123"/>
      <c r="V7" s="123"/>
      <c r="W7" s="39"/>
      <c r="X7" s="39"/>
      <c r="Y7" s="39"/>
      <c r="Z7" s="39"/>
      <c r="AA7" s="39"/>
    </row>
    <row r="8" spans="1:27">
      <c r="A8" s="39"/>
      <c r="B8" s="39"/>
      <c r="C8" s="39"/>
      <c r="D8" s="39"/>
      <c r="E8" s="39"/>
      <c r="F8" s="39"/>
      <c r="G8" s="124"/>
      <c r="H8" s="39"/>
      <c r="I8" s="39"/>
      <c r="J8" s="39"/>
      <c r="K8" s="39"/>
      <c r="L8" s="39"/>
      <c r="M8" s="39"/>
      <c r="N8" s="39"/>
      <c r="O8" s="39"/>
      <c r="P8" s="39"/>
      <c r="Q8" s="39"/>
      <c r="R8" s="39"/>
      <c r="S8" s="39"/>
      <c r="T8" s="39"/>
      <c r="U8" s="39"/>
      <c r="V8" s="39"/>
      <c r="W8" s="39"/>
      <c r="X8" s="39"/>
      <c r="Y8" s="39"/>
      <c r="Z8" s="39"/>
      <c r="AA8" s="39"/>
    </row>
    <row r="9" spans="1:27" ht="18.75">
      <c r="A9" s="39"/>
      <c r="B9" s="120" t="s">
        <v>210</v>
      </c>
      <c r="C9" s="125" t="str">
        <f>IF('[8]A. General Information'!C13="","",'[8]A. General Information'!C13)</f>
        <v>Kingston Hydro Corporation</v>
      </c>
      <c r="D9" s="126"/>
      <c r="E9" s="39"/>
      <c r="F9" s="39"/>
      <c r="G9" s="124"/>
      <c r="H9" s="39"/>
      <c r="I9" s="39"/>
      <c r="J9" s="39"/>
      <c r="K9" s="39"/>
      <c r="L9" s="39"/>
      <c r="M9" s="39"/>
      <c r="N9" s="39"/>
      <c r="O9" s="39"/>
      <c r="P9" s="39"/>
      <c r="Q9" s="39"/>
      <c r="R9" s="39"/>
      <c r="S9" s="39"/>
      <c r="T9" s="39"/>
      <c r="U9" s="39"/>
      <c r="V9" s="39"/>
      <c r="W9" s="39"/>
      <c r="X9" s="39"/>
      <c r="Y9" s="39"/>
      <c r="Z9" s="39"/>
      <c r="AA9" s="39"/>
    </row>
    <row r="10" spans="1:27">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7" ht="25.15" customHeight="1">
      <c r="A11" s="39"/>
      <c r="B11" s="796" t="s">
        <v>211</v>
      </c>
      <c r="C11" s="797"/>
      <c r="D11" s="797"/>
      <c r="E11" s="797"/>
      <c r="F11" s="797"/>
      <c r="G11" s="797"/>
      <c r="H11" s="797"/>
      <c r="I11" s="797"/>
      <c r="J11" s="797"/>
      <c r="K11" s="797"/>
      <c r="L11" s="797"/>
      <c r="M11" s="797"/>
      <c r="N11" s="797"/>
      <c r="O11" s="797"/>
      <c r="P11" s="797"/>
      <c r="Q11" s="797"/>
      <c r="R11" s="797"/>
      <c r="S11" s="797"/>
      <c r="T11" s="797"/>
      <c r="U11" s="797"/>
      <c r="V11" s="797"/>
      <c r="W11" s="797"/>
      <c r="X11" s="797"/>
      <c r="Y11" s="797"/>
      <c r="Z11" s="797"/>
      <c r="AA11" s="797"/>
    </row>
    <row r="12" spans="1:27" ht="34.15" customHeight="1">
      <c r="A12" s="39"/>
      <c r="B12" s="798" t="s">
        <v>212</v>
      </c>
      <c r="C12" s="801" t="s">
        <v>213</v>
      </c>
      <c r="D12" s="801" t="s">
        <v>214</v>
      </c>
      <c r="E12" s="801" t="s">
        <v>215</v>
      </c>
      <c r="F12" s="801" t="s">
        <v>216</v>
      </c>
      <c r="G12" s="798" t="s">
        <v>217</v>
      </c>
      <c r="H12" s="804"/>
      <c r="I12" s="804"/>
      <c r="J12" s="804"/>
      <c r="K12" s="804"/>
      <c r="L12" s="804"/>
      <c r="M12" s="805"/>
      <c r="N12" s="808" t="s">
        <v>218</v>
      </c>
      <c r="O12" s="809"/>
      <c r="P12" s="809"/>
      <c r="Q12" s="809"/>
      <c r="R12" s="809"/>
      <c r="S12" s="809"/>
      <c r="T12" s="809"/>
      <c r="U12" s="809"/>
      <c r="V12" s="809"/>
      <c r="W12" s="809"/>
      <c r="X12" s="809"/>
      <c r="Y12" s="809"/>
      <c r="Z12" s="809"/>
      <c r="AA12" s="809"/>
    </row>
    <row r="13" spans="1:27" ht="67.900000000000006" customHeight="1">
      <c r="A13" s="39"/>
      <c r="B13" s="799"/>
      <c r="C13" s="802"/>
      <c r="D13" s="802"/>
      <c r="E13" s="802"/>
      <c r="F13" s="802"/>
      <c r="G13" s="800"/>
      <c r="H13" s="806"/>
      <c r="I13" s="806"/>
      <c r="J13" s="806"/>
      <c r="K13" s="806"/>
      <c r="L13" s="806"/>
      <c r="M13" s="807"/>
      <c r="N13" s="810">
        <v>2015</v>
      </c>
      <c r="O13" s="811"/>
      <c r="P13" s="814">
        <v>2016</v>
      </c>
      <c r="Q13" s="814"/>
      <c r="R13" s="810">
        <v>2017</v>
      </c>
      <c r="S13" s="811"/>
      <c r="T13" s="810">
        <v>2018</v>
      </c>
      <c r="U13" s="811"/>
      <c r="V13" s="810">
        <v>2019</v>
      </c>
      <c r="W13" s="811"/>
      <c r="X13" s="810">
        <v>2020</v>
      </c>
      <c r="Y13" s="811"/>
      <c r="Z13" s="816" t="s">
        <v>219</v>
      </c>
      <c r="AA13" s="817"/>
    </row>
    <row r="14" spans="1:27" ht="42" customHeight="1">
      <c r="A14" s="39"/>
      <c r="B14" s="799"/>
      <c r="C14" s="802"/>
      <c r="D14" s="802"/>
      <c r="E14" s="802"/>
      <c r="F14" s="802"/>
      <c r="G14" s="846" t="s">
        <v>17</v>
      </c>
      <c r="H14" s="848" t="s">
        <v>220</v>
      </c>
      <c r="I14" s="846" t="s">
        <v>221</v>
      </c>
      <c r="J14" s="826" t="s">
        <v>222</v>
      </c>
      <c r="K14" s="826" t="s">
        <v>223</v>
      </c>
      <c r="L14" s="826" t="s">
        <v>224</v>
      </c>
      <c r="M14" s="826" t="s">
        <v>27</v>
      </c>
      <c r="N14" s="812"/>
      <c r="O14" s="813"/>
      <c r="P14" s="815"/>
      <c r="Q14" s="815"/>
      <c r="R14" s="812"/>
      <c r="S14" s="813"/>
      <c r="T14" s="812"/>
      <c r="U14" s="813"/>
      <c r="V14" s="812"/>
      <c r="W14" s="813"/>
      <c r="X14" s="812"/>
      <c r="Y14" s="813"/>
      <c r="Z14" s="818"/>
      <c r="AA14" s="819"/>
    </row>
    <row r="15" spans="1:27" ht="78" customHeight="1">
      <c r="A15" s="39"/>
      <c r="B15" s="800"/>
      <c r="C15" s="803"/>
      <c r="D15" s="803"/>
      <c r="E15" s="803"/>
      <c r="F15" s="803"/>
      <c r="G15" s="847"/>
      <c r="H15" s="849"/>
      <c r="I15" s="847"/>
      <c r="J15" s="827"/>
      <c r="K15" s="827"/>
      <c r="L15" s="827"/>
      <c r="M15" s="827"/>
      <c r="N15" s="127" t="s">
        <v>225</v>
      </c>
      <c r="O15" s="127" t="s">
        <v>226</v>
      </c>
      <c r="P15" s="127" t="s">
        <v>225</v>
      </c>
      <c r="Q15" s="127" t="s">
        <v>226</v>
      </c>
      <c r="R15" s="127" t="s">
        <v>225</v>
      </c>
      <c r="S15" s="127" t="s">
        <v>226</v>
      </c>
      <c r="T15" s="127" t="s">
        <v>225</v>
      </c>
      <c r="U15" s="127" t="s">
        <v>226</v>
      </c>
      <c r="V15" s="127" t="s">
        <v>225</v>
      </c>
      <c r="W15" s="127" t="s">
        <v>226</v>
      </c>
      <c r="X15" s="127" t="s">
        <v>225</v>
      </c>
      <c r="Y15" s="127" t="s">
        <v>226</v>
      </c>
      <c r="Z15" s="127" t="s">
        <v>227</v>
      </c>
      <c r="AA15" s="127" t="s">
        <v>228</v>
      </c>
    </row>
    <row r="16" spans="1:27" ht="14.45" customHeight="1">
      <c r="B16" s="828" t="s">
        <v>229</v>
      </c>
      <c r="C16" s="128" t="s">
        <v>12</v>
      </c>
      <c r="D16" s="129"/>
      <c r="E16" s="129"/>
      <c r="F16" s="130" t="s">
        <v>230</v>
      </c>
      <c r="G16" s="131"/>
      <c r="H16" s="131"/>
      <c r="I16" s="131" t="s">
        <v>231</v>
      </c>
      <c r="J16" s="131" t="s">
        <v>231</v>
      </c>
      <c r="K16" s="131"/>
      <c r="L16" s="131" t="s">
        <v>231</v>
      </c>
      <c r="M16" s="131" t="s">
        <v>231</v>
      </c>
      <c r="N16" s="132"/>
      <c r="O16" s="133"/>
      <c r="P16" s="132">
        <v>681199.31441948796</v>
      </c>
      <c r="Q16" s="133">
        <v>2891.5873899999997</v>
      </c>
      <c r="R16" s="132">
        <v>761752.004278737</v>
      </c>
      <c r="S16" s="133">
        <v>3257.1689120000001</v>
      </c>
      <c r="T16" s="132">
        <v>837038.57899408287</v>
      </c>
      <c r="U16" s="133">
        <v>3708.1294339999999</v>
      </c>
      <c r="V16" s="132">
        <v>928349.61615384615</v>
      </c>
      <c r="W16" s="133">
        <v>4159.0899559999989</v>
      </c>
      <c r="X16" s="132">
        <v>1016779.736153846</v>
      </c>
      <c r="Y16" s="133">
        <v>4610.0504780000001</v>
      </c>
      <c r="Z16" s="134">
        <f>IF(SUM(N16,P16,R16,T16,V16,X16)=0,"",SUM(N16,P16,R16,T16,V16,X16))</f>
        <v>4225119.25</v>
      </c>
      <c r="AA16" s="135">
        <f>Q16+S16+U16+W16+Y16</f>
        <v>18626.026170000001</v>
      </c>
    </row>
    <row r="17" spans="2:27" ht="14.45" customHeight="1">
      <c r="B17" s="829"/>
      <c r="C17" s="128" t="s">
        <v>232</v>
      </c>
      <c r="D17" s="129" t="s">
        <v>126</v>
      </c>
      <c r="E17" s="129"/>
      <c r="F17" s="130" t="s">
        <v>230</v>
      </c>
      <c r="G17" s="131" t="s">
        <v>231</v>
      </c>
      <c r="H17" s="131"/>
      <c r="I17" s="131"/>
      <c r="J17" s="131"/>
      <c r="K17" s="131"/>
      <c r="L17" s="131"/>
      <c r="M17" s="131"/>
      <c r="N17" s="132"/>
      <c r="O17" s="133"/>
      <c r="P17" s="132">
        <v>246743.14386143698</v>
      </c>
      <c r="Q17" s="133">
        <v>103.45878061910437</v>
      </c>
      <c r="R17" s="132">
        <v>206833.07070660999</v>
      </c>
      <c r="S17" s="133">
        <v>11.559362689672248</v>
      </c>
      <c r="T17" s="132">
        <v>192375.1708934911</v>
      </c>
      <c r="U17" s="133">
        <v>11.559362689672248</v>
      </c>
      <c r="V17" s="132">
        <v>195544.17976923074</v>
      </c>
      <c r="W17" s="133">
        <v>11.559362689672248</v>
      </c>
      <c r="X17" s="132">
        <v>195544.17976923074</v>
      </c>
      <c r="Y17" s="133">
        <v>11.559362689672248</v>
      </c>
      <c r="Z17" s="134">
        <f t="shared" ref="Z17:Z46" si="0">IF(SUM(N17,P17,R17,T17,V17,X17)=0,"",SUM(N17,P17,R17,T17,V17,X17))</f>
        <v>1037039.7449999996</v>
      </c>
      <c r="AA17" s="135">
        <f t="shared" ref="AA17:AA23" si="1">Q17+S17+U17+W17+Y17</f>
        <v>149.69623137779334</v>
      </c>
    </row>
    <row r="18" spans="2:27">
      <c r="B18" s="829"/>
      <c r="C18" s="128" t="s">
        <v>233</v>
      </c>
      <c r="D18" s="129"/>
      <c r="E18" s="129"/>
      <c r="F18" s="130" t="s">
        <v>230</v>
      </c>
      <c r="G18" s="131" t="s">
        <v>231</v>
      </c>
      <c r="H18" s="131" t="s">
        <v>231</v>
      </c>
      <c r="I18" s="131" t="s">
        <v>231</v>
      </c>
      <c r="J18" s="131"/>
      <c r="K18" s="131"/>
      <c r="L18" s="131"/>
      <c r="M18" s="131"/>
      <c r="N18" s="132"/>
      <c r="O18" s="133"/>
      <c r="P18" s="132">
        <v>72551.597767795261</v>
      </c>
      <c r="Q18" s="133">
        <v>8.6760000000000002</v>
      </c>
      <c r="R18" s="132">
        <v>73617.025711494716</v>
      </c>
      <c r="S18" s="133">
        <v>8.6760000000000002</v>
      </c>
      <c r="T18" s="132">
        <v>68359.607597633134</v>
      </c>
      <c r="U18" s="133">
        <v>8.6760000000000002</v>
      </c>
      <c r="V18" s="132">
        <v>69511.974461538455</v>
      </c>
      <c r="W18" s="133">
        <v>8.6760000000000002</v>
      </c>
      <c r="X18" s="132">
        <v>69511.974461538455</v>
      </c>
      <c r="Y18" s="133">
        <v>8.6760000000000002</v>
      </c>
      <c r="Z18" s="134">
        <f t="shared" si="0"/>
        <v>353552.18000000005</v>
      </c>
      <c r="AA18" s="135">
        <f t="shared" si="1"/>
        <v>43.38</v>
      </c>
    </row>
    <row r="19" spans="2:27">
      <c r="B19" s="829"/>
      <c r="C19" s="128" t="s">
        <v>23</v>
      </c>
      <c r="D19" s="129"/>
      <c r="E19" s="129"/>
      <c r="F19" s="130" t="s">
        <v>230</v>
      </c>
      <c r="G19" s="131"/>
      <c r="H19" s="131" t="s">
        <v>231</v>
      </c>
      <c r="I19" s="131"/>
      <c r="J19" s="131"/>
      <c r="K19" s="131"/>
      <c r="L19" s="131"/>
      <c r="M19" s="131"/>
      <c r="N19" s="132"/>
      <c r="O19" s="133"/>
      <c r="P19" s="132">
        <v>107158.24720974406</v>
      </c>
      <c r="Q19" s="133">
        <v>31.375803333233922</v>
      </c>
      <c r="R19" s="132">
        <v>108490.03213936838</v>
      </c>
      <c r="S19" s="133">
        <v>31.375803333233922</v>
      </c>
      <c r="T19" s="132">
        <v>101918.25949704141</v>
      </c>
      <c r="U19" s="133">
        <v>31.375803333233922</v>
      </c>
      <c r="V19" s="132">
        <v>103358.71807692306</v>
      </c>
      <c r="W19" s="133">
        <v>31.375803333233922</v>
      </c>
      <c r="X19" s="132">
        <v>103358.71807692306</v>
      </c>
      <c r="Y19" s="133">
        <v>31.375803333233922</v>
      </c>
      <c r="Z19" s="134">
        <f t="shared" si="0"/>
        <v>524283.97499999998</v>
      </c>
      <c r="AA19" s="135">
        <f t="shared" si="1"/>
        <v>156.8790166661696</v>
      </c>
    </row>
    <row r="20" spans="2:27">
      <c r="B20" s="829"/>
      <c r="C20" s="128"/>
      <c r="D20" s="129"/>
      <c r="E20" s="129" t="s">
        <v>234</v>
      </c>
      <c r="F20" s="130" t="s">
        <v>230</v>
      </c>
      <c r="G20" s="131"/>
      <c r="H20" s="131"/>
      <c r="I20" s="131" t="s">
        <v>231</v>
      </c>
      <c r="J20" s="131" t="s">
        <v>231</v>
      </c>
      <c r="K20" s="131"/>
      <c r="L20" s="131" t="s">
        <v>231</v>
      </c>
      <c r="M20" s="131"/>
      <c r="N20" s="132"/>
      <c r="O20" s="133"/>
      <c r="P20" s="132">
        <v>224697.16576779526</v>
      </c>
      <c r="Q20" s="133">
        <v>396.21018800000002</v>
      </c>
      <c r="R20" s="132">
        <v>241352.5937114947</v>
      </c>
      <c r="S20" s="133">
        <v>432.22929600000003</v>
      </c>
      <c r="T20" s="132">
        <v>251685.17559763312</v>
      </c>
      <c r="U20" s="133">
        <v>468.24840400000005</v>
      </c>
      <c r="V20" s="132">
        <v>268427.54246153845</v>
      </c>
      <c r="W20" s="133">
        <v>504.26751200000001</v>
      </c>
      <c r="X20" s="132">
        <v>284017.54246153845</v>
      </c>
      <c r="Y20" s="133">
        <v>540.28661999999997</v>
      </c>
      <c r="Z20" s="134">
        <f t="shared" si="0"/>
        <v>1270180.02</v>
      </c>
      <c r="AA20" s="135">
        <f t="shared" si="1"/>
        <v>2341.2420199999997</v>
      </c>
    </row>
    <row r="21" spans="2:27" ht="28.5">
      <c r="B21" s="829"/>
      <c r="C21" s="128" t="s">
        <v>42</v>
      </c>
      <c r="D21" s="129"/>
      <c r="E21" s="129"/>
      <c r="F21" s="130" t="s">
        <v>230</v>
      </c>
      <c r="G21" s="131"/>
      <c r="H21" s="131"/>
      <c r="I21" s="131"/>
      <c r="J21" s="131" t="s">
        <v>231</v>
      </c>
      <c r="K21" s="131"/>
      <c r="L21" s="131" t="s">
        <v>231</v>
      </c>
      <c r="M21" s="131"/>
      <c r="N21" s="132"/>
      <c r="O21" s="133"/>
      <c r="P21" s="132">
        <v>50737.791441948815</v>
      </c>
      <c r="Q21" s="133">
        <v>113.99992920000001</v>
      </c>
      <c r="R21" s="132">
        <v>51004.148427873675</v>
      </c>
      <c r="S21" s="133">
        <v>113.99992920000001</v>
      </c>
      <c r="T21" s="132">
        <v>49689.79389940828</v>
      </c>
      <c r="U21" s="133">
        <v>113.99992920000001</v>
      </c>
      <c r="V21" s="132">
        <v>49977.885615384614</v>
      </c>
      <c r="W21" s="133">
        <v>113.99992920000001</v>
      </c>
      <c r="X21" s="132">
        <v>49977.885615384614</v>
      </c>
      <c r="Y21" s="133">
        <v>113.99992920000001</v>
      </c>
      <c r="Z21" s="134">
        <f t="shared" si="0"/>
        <v>251387.505</v>
      </c>
      <c r="AA21" s="135">
        <f t="shared" si="1"/>
        <v>569.9996460000001</v>
      </c>
    </row>
    <row r="22" spans="2:27">
      <c r="B22" s="829"/>
      <c r="C22" s="128" t="s">
        <v>235</v>
      </c>
      <c r="D22" s="129"/>
      <c r="E22" s="129"/>
      <c r="F22" s="130" t="s">
        <v>230</v>
      </c>
      <c r="G22" s="131"/>
      <c r="H22" s="131"/>
      <c r="I22" s="131" t="s">
        <v>231</v>
      </c>
      <c r="J22" s="131" t="s">
        <v>231</v>
      </c>
      <c r="K22" s="131"/>
      <c r="L22" s="131" t="s">
        <v>231</v>
      </c>
      <c r="M22" s="131"/>
      <c r="N22" s="132"/>
      <c r="O22" s="133"/>
      <c r="P22" s="132">
        <v>23956.331441948816</v>
      </c>
      <c r="Q22" s="133"/>
      <c r="R22" s="132">
        <v>24222.68842787368</v>
      </c>
      <c r="S22" s="133">
        <v>151.69999999999999</v>
      </c>
      <c r="T22" s="132">
        <v>22908.333899408284</v>
      </c>
      <c r="U22" s="133">
        <v>151.70705999999998</v>
      </c>
      <c r="V22" s="132">
        <v>23196.425615384618</v>
      </c>
      <c r="W22" s="133">
        <v>151.70705999999998</v>
      </c>
      <c r="X22" s="132">
        <v>23196.425615384618</v>
      </c>
      <c r="Y22" s="133">
        <v>151.70705999999998</v>
      </c>
      <c r="Z22" s="134">
        <f t="shared" si="0"/>
        <v>117480.20500000003</v>
      </c>
      <c r="AA22" s="135">
        <f t="shared" si="1"/>
        <v>606.82117999999991</v>
      </c>
    </row>
    <row r="23" spans="2:27" ht="28.5">
      <c r="B23" s="829"/>
      <c r="C23" s="128" t="s">
        <v>236</v>
      </c>
      <c r="D23" s="129"/>
      <c r="E23" s="129"/>
      <c r="F23" s="130" t="s">
        <v>230</v>
      </c>
      <c r="G23" s="131"/>
      <c r="H23" s="131"/>
      <c r="I23" s="131"/>
      <c r="J23" s="131" t="s">
        <v>231</v>
      </c>
      <c r="K23" s="131"/>
      <c r="L23" s="131" t="s">
        <v>231</v>
      </c>
      <c r="M23" s="131" t="s">
        <v>231</v>
      </c>
      <c r="N23" s="132"/>
      <c r="O23" s="133"/>
      <c r="P23" s="132">
        <v>309207.16576779529</v>
      </c>
      <c r="Q23" s="133">
        <v>7920.4600000000009</v>
      </c>
      <c r="R23" s="132">
        <v>294272.5937114947</v>
      </c>
      <c r="S23" s="133">
        <v>3028</v>
      </c>
      <c r="T23" s="132">
        <v>89015.175597633133</v>
      </c>
      <c r="U23" s="133">
        <v>400</v>
      </c>
      <c r="V23" s="132">
        <v>80167.542461538469</v>
      </c>
      <c r="W23" s="133">
        <v>300</v>
      </c>
      <c r="X23" s="132">
        <v>80167.542461538469</v>
      </c>
      <c r="Y23" s="133">
        <v>300</v>
      </c>
      <c r="Z23" s="134">
        <f t="shared" si="0"/>
        <v>852830.02</v>
      </c>
      <c r="AA23" s="135">
        <f t="shared" si="1"/>
        <v>11948.460000000001</v>
      </c>
    </row>
    <row r="24" spans="2:27">
      <c r="B24" s="829"/>
      <c r="C24" s="128"/>
      <c r="D24" s="129"/>
      <c r="E24" s="129"/>
      <c r="F24" s="130"/>
      <c r="G24" s="131"/>
      <c r="H24" s="131"/>
      <c r="I24" s="131"/>
      <c r="J24" s="131"/>
      <c r="K24" s="131"/>
      <c r="L24" s="131"/>
      <c r="M24" s="131"/>
      <c r="N24" s="132"/>
      <c r="O24" s="133"/>
      <c r="P24" s="132"/>
      <c r="Q24" s="133"/>
      <c r="R24" s="132"/>
      <c r="S24" s="133"/>
      <c r="T24" s="132"/>
      <c r="U24" s="133"/>
      <c r="V24" s="132"/>
      <c r="W24" s="133"/>
      <c r="X24" s="132"/>
      <c r="Y24" s="133"/>
      <c r="Z24" s="134" t="str">
        <f t="shared" si="0"/>
        <v/>
      </c>
      <c r="AA24" s="135"/>
    </row>
    <row r="25" spans="2:27">
      <c r="B25" s="829"/>
      <c r="C25" s="128"/>
      <c r="D25" s="129"/>
      <c r="E25" s="129"/>
      <c r="F25" s="130"/>
      <c r="G25" s="131"/>
      <c r="H25" s="131"/>
      <c r="I25" s="131"/>
      <c r="J25" s="131"/>
      <c r="K25" s="131"/>
      <c r="L25" s="131"/>
      <c r="M25" s="131"/>
      <c r="N25" s="132"/>
      <c r="O25" s="136"/>
      <c r="P25" s="132"/>
      <c r="Q25" s="136"/>
      <c r="R25" s="132"/>
      <c r="S25" s="136"/>
      <c r="T25" s="132"/>
      <c r="U25" s="136"/>
      <c r="V25" s="132"/>
      <c r="W25" s="136"/>
      <c r="X25" s="132"/>
      <c r="Y25" s="136"/>
      <c r="Z25" s="134" t="str">
        <f t="shared" si="0"/>
        <v/>
      </c>
      <c r="AA25" s="135"/>
    </row>
    <row r="26" spans="2:27">
      <c r="B26" s="829"/>
      <c r="C26" s="128"/>
      <c r="D26" s="129"/>
      <c r="E26" s="129"/>
      <c r="F26" s="137"/>
      <c r="G26" s="131"/>
      <c r="H26" s="131"/>
      <c r="I26" s="131"/>
      <c r="J26" s="131"/>
      <c r="K26" s="131"/>
      <c r="L26" s="131"/>
      <c r="M26" s="131"/>
      <c r="N26" s="132"/>
      <c r="O26" s="133"/>
      <c r="P26" s="132"/>
      <c r="Q26" s="133"/>
      <c r="R26" s="132"/>
      <c r="S26" s="133"/>
      <c r="T26" s="132"/>
      <c r="U26" s="133"/>
      <c r="V26" s="132"/>
      <c r="W26" s="133"/>
      <c r="X26" s="132"/>
      <c r="Y26" s="133"/>
      <c r="Z26" s="134" t="str">
        <f t="shared" si="0"/>
        <v/>
      </c>
      <c r="AA26" s="138"/>
    </row>
    <row r="27" spans="2:27">
      <c r="B27" s="829"/>
      <c r="C27" s="128"/>
      <c r="D27" s="129"/>
      <c r="E27" s="129"/>
      <c r="F27" s="137"/>
      <c r="G27" s="131"/>
      <c r="H27" s="131"/>
      <c r="I27" s="131"/>
      <c r="J27" s="131"/>
      <c r="K27" s="131"/>
      <c r="L27" s="131"/>
      <c r="M27" s="131"/>
      <c r="N27" s="132"/>
      <c r="O27" s="133"/>
      <c r="P27" s="132"/>
      <c r="Q27" s="133"/>
      <c r="R27" s="132"/>
      <c r="S27" s="133"/>
      <c r="T27" s="132"/>
      <c r="U27" s="133"/>
      <c r="V27" s="132"/>
      <c r="W27" s="133"/>
      <c r="X27" s="132"/>
      <c r="Y27" s="133"/>
      <c r="Z27" s="134" t="str">
        <f t="shared" si="0"/>
        <v/>
      </c>
      <c r="AA27" s="138"/>
    </row>
    <row r="28" spans="2:27">
      <c r="B28" s="829"/>
      <c r="C28" s="128"/>
      <c r="D28" s="129"/>
      <c r="E28" s="129"/>
      <c r="F28" s="137"/>
      <c r="G28" s="131"/>
      <c r="H28" s="131"/>
      <c r="I28" s="131"/>
      <c r="J28" s="131"/>
      <c r="K28" s="131"/>
      <c r="L28" s="131"/>
      <c r="M28" s="131"/>
      <c r="N28" s="132"/>
      <c r="O28" s="133"/>
      <c r="P28" s="132"/>
      <c r="Q28" s="133"/>
      <c r="R28" s="132"/>
      <c r="S28" s="133"/>
      <c r="T28" s="132"/>
      <c r="U28" s="133"/>
      <c r="V28" s="132"/>
      <c r="W28" s="133"/>
      <c r="X28" s="132"/>
      <c r="Y28" s="133"/>
      <c r="Z28" s="134" t="str">
        <f t="shared" si="0"/>
        <v/>
      </c>
      <c r="AA28" s="138"/>
    </row>
    <row r="29" spans="2:27">
      <c r="B29" s="829"/>
      <c r="C29" s="128"/>
      <c r="D29" s="129"/>
      <c r="E29" s="129"/>
      <c r="F29" s="137"/>
      <c r="G29" s="131"/>
      <c r="H29" s="131"/>
      <c r="I29" s="131"/>
      <c r="J29" s="131"/>
      <c r="K29" s="131"/>
      <c r="L29" s="131"/>
      <c r="M29" s="131"/>
      <c r="N29" s="132"/>
      <c r="O29" s="133"/>
      <c r="P29" s="132"/>
      <c r="Q29" s="133"/>
      <c r="R29" s="132"/>
      <c r="S29" s="133"/>
      <c r="T29" s="132"/>
      <c r="U29" s="133"/>
      <c r="V29" s="132"/>
      <c r="W29" s="133"/>
      <c r="X29" s="132"/>
      <c r="Y29" s="133"/>
      <c r="Z29" s="134" t="str">
        <f t="shared" si="0"/>
        <v/>
      </c>
      <c r="AA29" s="138"/>
    </row>
    <row r="30" spans="2:27">
      <c r="B30" s="829"/>
      <c r="C30" s="128"/>
      <c r="D30" s="129"/>
      <c r="E30" s="129"/>
      <c r="F30" s="137"/>
      <c r="G30" s="131"/>
      <c r="H30" s="131"/>
      <c r="I30" s="131"/>
      <c r="J30" s="131"/>
      <c r="K30" s="131"/>
      <c r="L30" s="131"/>
      <c r="M30" s="131"/>
      <c r="N30" s="132"/>
      <c r="O30" s="133"/>
      <c r="P30" s="132"/>
      <c r="Q30" s="133"/>
      <c r="R30" s="132"/>
      <c r="S30" s="133"/>
      <c r="T30" s="132"/>
      <c r="U30" s="133"/>
      <c r="V30" s="132"/>
      <c r="W30" s="133"/>
      <c r="X30" s="132"/>
      <c r="Y30" s="133"/>
      <c r="Z30" s="134" t="str">
        <f t="shared" si="0"/>
        <v/>
      </c>
      <c r="AA30" s="138"/>
    </row>
    <row r="31" spans="2:27">
      <c r="B31" s="829"/>
      <c r="C31" s="128"/>
      <c r="D31" s="129"/>
      <c r="E31" s="129"/>
      <c r="F31" s="137"/>
      <c r="G31" s="131"/>
      <c r="H31" s="131"/>
      <c r="I31" s="131"/>
      <c r="J31" s="131"/>
      <c r="K31" s="131"/>
      <c r="L31" s="131"/>
      <c r="M31" s="131"/>
      <c r="N31" s="132"/>
      <c r="O31" s="133"/>
      <c r="P31" s="132"/>
      <c r="Q31" s="133"/>
      <c r="R31" s="132"/>
      <c r="S31" s="133"/>
      <c r="T31" s="132"/>
      <c r="U31" s="133"/>
      <c r="V31" s="132"/>
      <c r="W31" s="133"/>
      <c r="X31" s="132"/>
      <c r="Y31" s="133"/>
      <c r="Z31" s="134" t="str">
        <f t="shared" si="0"/>
        <v/>
      </c>
      <c r="AA31" s="138"/>
    </row>
    <row r="32" spans="2:27">
      <c r="B32" s="829"/>
      <c r="C32" s="128"/>
      <c r="D32" s="129"/>
      <c r="E32" s="129"/>
      <c r="F32" s="137"/>
      <c r="G32" s="131"/>
      <c r="H32" s="131"/>
      <c r="I32" s="131"/>
      <c r="J32" s="131"/>
      <c r="K32" s="131"/>
      <c r="L32" s="131"/>
      <c r="M32" s="131"/>
      <c r="N32" s="132"/>
      <c r="O32" s="133"/>
      <c r="P32" s="132"/>
      <c r="Q32" s="133"/>
      <c r="R32" s="132"/>
      <c r="S32" s="133"/>
      <c r="T32" s="132"/>
      <c r="U32" s="133"/>
      <c r="V32" s="132"/>
      <c r="W32" s="133"/>
      <c r="X32" s="132"/>
      <c r="Y32" s="133"/>
      <c r="Z32" s="134" t="str">
        <f t="shared" si="0"/>
        <v/>
      </c>
      <c r="AA32" s="138"/>
    </row>
    <row r="33" spans="2:27">
      <c r="B33" s="829"/>
      <c r="C33" s="128"/>
      <c r="D33" s="129"/>
      <c r="E33" s="129"/>
      <c r="F33" s="137"/>
      <c r="G33" s="131"/>
      <c r="H33" s="131"/>
      <c r="I33" s="131"/>
      <c r="J33" s="131"/>
      <c r="K33" s="131"/>
      <c r="L33" s="131"/>
      <c r="M33" s="131"/>
      <c r="N33" s="132"/>
      <c r="O33" s="133"/>
      <c r="P33" s="132"/>
      <c r="Q33" s="133"/>
      <c r="R33" s="132"/>
      <c r="S33" s="133"/>
      <c r="T33" s="132"/>
      <c r="U33" s="133"/>
      <c r="V33" s="132"/>
      <c r="W33" s="133"/>
      <c r="X33" s="132"/>
      <c r="Y33" s="133"/>
      <c r="Z33" s="134" t="str">
        <f t="shared" si="0"/>
        <v/>
      </c>
      <c r="AA33" s="138"/>
    </row>
    <row r="34" spans="2:27">
      <c r="B34" s="829"/>
      <c r="C34" s="128"/>
      <c r="D34" s="129"/>
      <c r="E34" s="129"/>
      <c r="F34" s="137"/>
      <c r="G34" s="131"/>
      <c r="H34" s="131"/>
      <c r="I34" s="131"/>
      <c r="J34" s="131"/>
      <c r="K34" s="131"/>
      <c r="L34" s="131"/>
      <c r="M34" s="131"/>
      <c r="N34" s="132"/>
      <c r="O34" s="133"/>
      <c r="P34" s="132"/>
      <c r="Q34" s="133"/>
      <c r="R34" s="132"/>
      <c r="S34" s="133"/>
      <c r="T34" s="132"/>
      <c r="U34" s="133"/>
      <c r="V34" s="132"/>
      <c r="W34" s="133"/>
      <c r="X34" s="132"/>
      <c r="Y34" s="133"/>
      <c r="Z34" s="134" t="str">
        <f t="shared" si="0"/>
        <v/>
      </c>
      <c r="AA34" s="138"/>
    </row>
    <row r="35" spans="2:27">
      <c r="B35" s="829"/>
      <c r="C35" s="128"/>
      <c r="D35" s="129"/>
      <c r="E35" s="129"/>
      <c r="F35" s="137"/>
      <c r="G35" s="131"/>
      <c r="H35" s="131"/>
      <c r="I35" s="131"/>
      <c r="J35" s="131"/>
      <c r="K35" s="131"/>
      <c r="L35" s="131"/>
      <c r="M35" s="131"/>
      <c r="N35" s="132"/>
      <c r="O35" s="133"/>
      <c r="P35" s="132"/>
      <c r="Q35" s="133"/>
      <c r="R35" s="132"/>
      <c r="S35" s="133"/>
      <c r="T35" s="132"/>
      <c r="U35" s="133"/>
      <c r="V35" s="132"/>
      <c r="W35" s="133"/>
      <c r="X35" s="132"/>
      <c r="Y35" s="133"/>
      <c r="Z35" s="134" t="str">
        <f t="shared" si="0"/>
        <v/>
      </c>
      <c r="AA35" s="138"/>
    </row>
    <row r="36" spans="2:27">
      <c r="B36" s="829"/>
      <c r="C36" s="128"/>
      <c r="D36" s="129"/>
      <c r="E36" s="129"/>
      <c r="F36" s="137"/>
      <c r="G36" s="131"/>
      <c r="H36" s="131"/>
      <c r="I36" s="131"/>
      <c r="J36" s="131"/>
      <c r="K36" s="131"/>
      <c r="L36" s="131"/>
      <c r="M36" s="131"/>
      <c r="N36" s="132"/>
      <c r="O36" s="133"/>
      <c r="P36" s="132"/>
      <c r="Q36" s="133"/>
      <c r="R36" s="132"/>
      <c r="S36" s="133"/>
      <c r="T36" s="132"/>
      <c r="U36" s="133"/>
      <c r="V36" s="132"/>
      <c r="W36" s="133"/>
      <c r="X36" s="132"/>
      <c r="Y36" s="133"/>
      <c r="Z36" s="134" t="str">
        <f t="shared" si="0"/>
        <v/>
      </c>
      <c r="AA36" s="138"/>
    </row>
    <row r="37" spans="2:27">
      <c r="B37" s="829"/>
      <c r="C37" s="128"/>
      <c r="D37" s="129"/>
      <c r="E37" s="129"/>
      <c r="F37" s="137"/>
      <c r="G37" s="131"/>
      <c r="H37" s="131"/>
      <c r="I37" s="131"/>
      <c r="J37" s="131"/>
      <c r="K37" s="131"/>
      <c r="L37" s="131"/>
      <c r="M37" s="131"/>
      <c r="N37" s="132"/>
      <c r="O37" s="133"/>
      <c r="P37" s="132"/>
      <c r="Q37" s="133"/>
      <c r="R37" s="132"/>
      <c r="S37" s="133"/>
      <c r="T37" s="132"/>
      <c r="U37" s="133"/>
      <c r="V37" s="132"/>
      <c r="W37" s="133"/>
      <c r="X37" s="132"/>
      <c r="Y37" s="133"/>
      <c r="Z37" s="134" t="str">
        <f t="shared" si="0"/>
        <v/>
      </c>
      <c r="AA37" s="138"/>
    </row>
    <row r="38" spans="2:27">
      <c r="B38" s="829"/>
      <c r="C38" s="128"/>
      <c r="D38" s="129"/>
      <c r="E38" s="129"/>
      <c r="F38" s="137"/>
      <c r="G38" s="131"/>
      <c r="H38" s="131"/>
      <c r="I38" s="131"/>
      <c r="J38" s="131"/>
      <c r="K38" s="131"/>
      <c r="L38" s="131"/>
      <c r="M38" s="131"/>
      <c r="N38" s="132"/>
      <c r="O38" s="133"/>
      <c r="P38" s="132"/>
      <c r="Q38" s="133"/>
      <c r="R38" s="132"/>
      <c r="S38" s="133"/>
      <c r="T38" s="132"/>
      <c r="U38" s="133"/>
      <c r="V38" s="132"/>
      <c r="W38" s="133"/>
      <c r="X38" s="132"/>
      <c r="Y38" s="133"/>
      <c r="Z38" s="134" t="str">
        <f t="shared" si="0"/>
        <v/>
      </c>
      <c r="AA38" s="138"/>
    </row>
    <row r="39" spans="2:27">
      <c r="B39" s="829"/>
      <c r="C39" s="128"/>
      <c r="D39" s="129"/>
      <c r="E39" s="129"/>
      <c r="F39" s="137"/>
      <c r="G39" s="131"/>
      <c r="H39" s="131"/>
      <c r="I39" s="131"/>
      <c r="J39" s="131"/>
      <c r="K39" s="131"/>
      <c r="L39" s="131"/>
      <c r="M39" s="131"/>
      <c r="N39" s="132"/>
      <c r="O39" s="133"/>
      <c r="P39" s="132"/>
      <c r="Q39" s="133"/>
      <c r="R39" s="132"/>
      <c r="S39" s="133"/>
      <c r="T39" s="132"/>
      <c r="U39" s="133"/>
      <c r="V39" s="132"/>
      <c r="W39" s="133"/>
      <c r="X39" s="132"/>
      <c r="Y39" s="133"/>
      <c r="Z39" s="134" t="str">
        <f t="shared" si="0"/>
        <v/>
      </c>
      <c r="AA39" s="138"/>
    </row>
    <row r="40" spans="2:27">
      <c r="B40" s="829"/>
      <c r="C40" s="128"/>
      <c r="D40" s="129"/>
      <c r="E40" s="129"/>
      <c r="F40" s="137"/>
      <c r="G40" s="131"/>
      <c r="H40" s="131"/>
      <c r="I40" s="131"/>
      <c r="J40" s="131"/>
      <c r="K40" s="131"/>
      <c r="L40" s="131"/>
      <c r="M40" s="131"/>
      <c r="N40" s="132"/>
      <c r="O40" s="133"/>
      <c r="P40" s="132"/>
      <c r="Q40" s="133"/>
      <c r="R40" s="132"/>
      <c r="S40" s="133"/>
      <c r="T40" s="132"/>
      <c r="U40" s="133"/>
      <c r="V40" s="132"/>
      <c r="W40" s="133"/>
      <c r="X40" s="132"/>
      <c r="Y40" s="133"/>
      <c r="Z40" s="134" t="str">
        <f t="shared" si="0"/>
        <v/>
      </c>
      <c r="AA40" s="138"/>
    </row>
    <row r="41" spans="2:27">
      <c r="B41" s="829"/>
      <c r="C41" s="128"/>
      <c r="D41" s="129"/>
      <c r="E41" s="129"/>
      <c r="F41" s="137"/>
      <c r="G41" s="131"/>
      <c r="H41" s="131"/>
      <c r="I41" s="131"/>
      <c r="J41" s="131"/>
      <c r="K41" s="131"/>
      <c r="L41" s="131"/>
      <c r="M41" s="131"/>
      <c r="N41" s="132"/>
      <c r="O41" s="133"/>
      <c r="P41" s="132"/>
      <c r="Q41" s="133"/>
      <c r="R41" s="132"/>
      <c r="S41" s="133"/>
      <c r="T41" s="132"/>
      <c r="U41" s="133"/>
      <c r="V41" s="132"/>
      <c r="W41" s="133"/>
      <c r="X41" s="132"/>
      <c r="Y41" s="133"/>
      <c r="Z41" s="134" t="str">
        <f t="shared" si="0"/>
        <v/>
      </c>
      <c r="AA41" s="138"/>
    </row>
    <row r="42" spans="2:27">
      <c r="B42" s="829"/>
      <c r="C42" s="128"/>
      <c r="D42" s="129"/>
      <c r="E42" s="129"/>
      <c r="F42" s="137"/>
      <c r="G42" s="131"/>
      <c r="H42" s="131"/>
      <c r="I42" s="131"/>
      <c r="J42" s="131"/>
      <c r="K42" s="131"/>
      <c r="L42" s="131"/>
      <c r="M42" s="131"/>
      <c r="N42" s="132"/>
      <c r="O42" s="133"/>
      <c r="P42" s="132"/>
      <c r="Q42" s="133"/>
      <c r="R42" s="132"/>
      <c r="S42" s="133"/>
      <c r="T42" s="132"/>
      <c r="U42" s="133"/>
      <c r="V42" s="132"/>
      <c r="W42" s="133"/>
      <c r="X42" s="132"/>
      <c r="Y42" s="133"/>
      <c r="Z42" s="134" t="str">
        <f t="shared" si="0"/>
        <v/>
      </c>
      <c r="AA42" s="138"/>
    </row>
    <row r="43" spans="2:27">
      <c r="B43" s="829"/>
      <c r="C43" s="128"/>
      <c r="D43" s="129"/>
      <c r="E43" s="129"/>
      <c r="F43" s="137"/>
      <c r="G43" s="131"/>
      <c r="H43" s="131"/>
      <c r="I43" s="131"/>
      <c r="J43" s="131"/>
      <c r="K43" s="131"/>
      <c r="L43" s="131"/>
      <c r="M43" s="131"/>
      <c r="N43" s="132"/>
      <c r="O43" s="133"/>
      <c r="P43" s="132"/>
      <c r="Q43" s="133"/>
      <c r="R43" s="132"/>
      <c r="S43" s="133"/>
      <c r="T43" s="132"/>
      <c r="U43" s="133"/>
      <c r="V43" s="132"/>
      <c r="W43" s="133"/>
      <c r="X43" s="132"/>
      <c r="Y43" s="133"/>
      <c r="Z43" s="134" t="str">
        <f t="shared" si="0"/>
        <v/>
      </c>
      <c r="AA43" s="138"/>
    </row>
    <row r="44" spans="2:27">
      <c r="B44" s="829"/>
      <c r="C44" s="128"/>
      <c r="D44" s="129"/>
      <c r="E44" s="129"/>
      <c r="F44" s="137"/>
      <c r="G44" s="131"/>
      <c r="H44" s="131"/>
      <c r="I44" s="131"/>
      <c r="J44" s="131"/>
      <c r="K44" s="131"/>
      <c r="L44" s="131"/>
      <c r="M44" s="131"/>
      <c r="N44" s="132"/>
      <c r="O44" s="133"/>
      <c r="P44" s="132"/>
      <c r="Q44" s="133"/>
      <c r="R44" s="132"/>
      <c r="S44" s="133"/>
      <c r="T44" s="132"/>
      <c r="U44" s="133"/>
      <c r="V44" s="132"/>
      <c r="W44" s="133"/>
      <c r="X44" s="132"/>
      <c r="Y44" s="133"/>
      <c r="Z44" s="134" t="str">
        <f t="shared" si="0"/>
        <v/>
      </c>
      <c r="AA44" s="138"/>
    </row>
    <row r="45" spans="2:27">
      <c r="B45" s="829"/>
      <c r="C45" s="128"/>
      <c r="D45" s="129"/>
      <c r="E45" s="129"/>
      <c r="F45" s="137"/>
      <c r="G45" s="131"/>
      <c r="H45" s="131"/>
      <c r="I45" s="131"/>
      <c r="J45" s="131"/>
      <c r="K45" s="131"/>
      <c r="L45" s="131"/>
      <c r="M45" s="131"/>
      <c r="N45" s="132"/>
      <c r="O45" s="133"/>
      <c r="P45" s="132"/>
      <c r="Q45" s="133"/>
      <c r="R45" s="132"/>
      <c r="S45" s="133"/>
      <c r="T45" s="132"/>
      <c r="U45" s="133"/>
      <c r="V45" s="132"/>
      <c r="W45" s="133"/>
      <c r="X45" s="132"/>
      <c r="Y45" s="133"/>
      <c r="Z45" s="134" t="str">
        <f t="shared" si="0"/>
        <v/>
      </c>
      <c r="AA45" s="138"/>
    </row>
    <row r="46" spans="2:27">
      <c r="B46" s="830"/>
      <c r="C46" s="128"/>
      <c r="D46" s="129"/>
      <c r="E46" s="129"/>
      <c r="F46" s="137"/>
      <c r="G46" s="131"/>
      <c r="H46" s="131"/>
      <c r="I46" s="131"/>
      <c r="J46" s="131"/>
      <c r="K46" s="131"/>
      <c r="L46" s="131"/>
      <c r="M46" s="131"/>
      <c r="N46" s="132"/>
      <c r="O46" s="133"/>
      <c r="P46" s="132"/>
      <c r="Q46" s="133"/>
      <c r="R46" s="132"/>
      <c r="S46" s="133"/>
      <c r="T46" s="132"/>
      <c r="U46" s="133"/>
      <c r="V46" s="132"/>
      <c r="W46" s="133"/>
      <c r="X46" s="132"/>
      <c r="Y46" s="133"/>
      <c r="Z46" s="134" t="str">
        <f t="shared" si="0"/>
        <v/>
      </c>
      <c r="AA46" s="138"/>
    </row>
    <row r="47" spans="2:27" ht="22.9" customHeight="1">
      <c r="B47" s="139" t="s">
        <v>237</v>
      </c>
      <c r="C47" s="140"/>
      <c r="D47" s="140"/>
      <c r="E47" s="140"/>
      <c r="F47" s="140"/>
      <c r="G47" s="140"/>
      <c r="H47" s="140"/>
      <c r="I47" s="140"/>
      <c r="J47" s="140"/>
      <c r="K47" s="140"/>
      <c r="L47" s="140"/>
      <c r="M47" s="141"/>
      <c r="N47" s="134">
        <f>SUM(N16:N46)</f>
        <v>0</v>
      </c>
      <c r="O47" s="142">
        <f>SUM(O16:O46)</f>
        <v>0</v>
      </c>
      <c r="P47" s="134">
        <f>SUM(P16:P46)</f>
        <v>1716250.7576779523</v>
      </c>
      <c r="Q47" s="142">
        <f t="shared" ref="Q47:AA47" si="2">SUM(Q16:Q46)</f>
        <v>11465.768091152338</v>
      </c>
      <c r="R47" s="134">
        <f>SUM(R16:R46)</f>
        <v>1761544.1571149467</v>
      </c>
      <c r="S47" s="142">
        <f t="shared" si="2"/>
        <v>7034.7093032229059</v>
      </c>
      <c r="T47" s="134">
        <f t="shared" si="2"/>
        <v>1612990.0959763313</v>
      </c>
      <c r="U47" s="142">
        <f t="shared" si="2"/>
        <v>4893.6959932229056</v>
      </c>
      <c r="V47" s="134">
        <f t="shared" si="2"/>
        <v>1718533.8846153847</v>
      </c>
      <c r="W47" s="142">
        <f t="shared" si="2"/>
        <v>5280.6756232229063</v>
      </c>
      <c r="X47" s="134">
        <f t="shared" si="2"/>
        <v>1822554.0046153846</v>
      </c>
      <c r="Y47" s="142">
        <f t="shared" si="2"/>
        <v>5767.655253222907</v>
      </c>
      <c r="Z47" s="134">
        <f t="shared" si="2"/>
        <v>8631872.8999999985</v>
      </c>
      <c r="AA47" s="142">
        <f t="shared" si="2"/>
        <v>34442.504264043971</v>
      </c>
    </row>
    <row r="48" spans="2:27" s="145" customFormat="1" ht="15" customHeight="1">
      <c r="B48" s="143"/>
      <c r="C48" s="140"/>
      <c r="D48" s="140"/>
      <c r="E48" s="140"/>
      <c r="F48" s="140"/>
      <c r="G48" s="140"/>
      <c r="H48" s="140"/>
      <c r="I48" s="140"/>
      <c r="J48" s="140"/>
      <c r="K48" s="140"/>
      <c r="L48" s="140"/>
      <c r="M48" s="140"/>
      <c r="N48" s="144"/>
      <c r="O48" s="144"/>
      <c r="P48" s="144"/>
      <c r="Q48" s="144"/>
      <c r="R48" s="144"/>
      <c r="S48" s="144"/>
      <c r="T48" s="144"/>
      <c r="U48" s="144"/>
      <c r="V48" s="144"/>
      <c r="W48" s="144"/>
      <c r="X48" s="144"/>
      <c r="Y48" s="144"/>
      <c r="Z48" s="144"/>
      <c r="AA48" s="144"/>
    </row>
    <row r="49" spans="2:27" ht="15" customHeight="1">
      <c r="B49" s="828" t="s">
        <v>238</v>
      </c>
      <c r="C49" s="128"/>
      <c r="D49" s="129"/>
      <c r="E49" s="129"/>
      <c r="F49" s="137"/>
      <c r="G49" s="131"/>
      <c r="H49" s="131"/>
      <c r="I49" s="131"/>
      <c r="J49" s="131"/>
      <c r="K49" s="131"/>
      <c r="L49" s="131"/>
      <c r="M49" s="131"/>
      <c r="N49" s="132"/>
      <c r="O49" s="133"/>
      <c r="P49" s="132"/>
      <c r="Q49" s="133"/>
      <c r="R49" s="132"/>
      <c r="S49" s="133"/>
      <c r="T49" s="132"/>
      <c r="U49" s="133"/>
      <c r="V49" s="132"/>
      <c r="W49" s="133"/>
      <c r="X49" s="132"/>
      <c r="Y49" s="133"/>
      <c r="Z49" s="134" t="str">
        <f t="shared" ref="Z49:Z57" si="3">IF(SUM(N49,P49,R49,T49,V49,X49)=0,"",SUM(N49,P49,R49,T49,V49,X49))</f>
        <v/>
      </c>
      <c r="AA49" s="138"/>
    </row>
    <row r="50" spans="2:27">
      <c r="B50" s="829"/>
      <c r="C50" s="128"/>
      <c r="D50" s="129"/>
      <c r="E50" s="129"/>
      <c r="F50" s="137"/>
      <c r="G50" s="131"/>
      <c r="H50" s="131"/>
      <c r="I50" s="131"/>
      <c r="J50" s="131"/>
      <c r="K50" s="131"/>
      <c r="L50" s="131"/>
      <c r="M50" s="131"/>
      <c r="N50" s="132"/>
      <c r="O50" s="133"/>
      <c r="P50" s="132"/>
      <c r="Q50" s="133"/>
      <c r="R50" s="132"/>
      <c r="S50" s="133"/>
      <c r="T50" s="132"/>
      <c r="U50" s="133"/>
      <c r="V50" s="132"/>
      <c r="W50" s="133"/>
      <c r="X50" s="132"/>
      <c r="Y50" s="133"/>
      <c r="Z50" s="134" t="str">
        <f t="shared" si="3"/>
        <v/>
      </c>
      <c r="AA50" s="138"/>
    </row>
    <row r="51" spans="2:27">
      <c r="B51" s="829"/>
      <c r="C51" s="128"/>
      <c r="D51" s="129"/>
      <c r="E51" s="129"/>
      <c r="F51" s="137"/>
      <c r="G51" s="131"/>
      <c r="H51" s="131"/>
      <c r="I51" s="131"/>
      <c r="J51" s="131"/>
      <c r="K51" s="131"/>
      <c r="L51" s="131"/>
      <c r="M51" s="131"/>
      <c r="N51" s="132"/>
      <c r="O51" s="133"/>
      <c r="P51" s="132"/>
      <c r="Q51" s="133"/>
      <c r="R51" s="132"/>
      <c r="S51" s="133"/>
      <c r="T51" s="132"/>
      <c r="U51" s="133"/>
      <c r="V51" s="132"/>
      <c r="W51" s="133"/>
      <c r="X51" s="132"/>
      <c r="Y51" s="133"/>
      <c r="Z51" s="134" t="str">
        <f t="shared" si="3"/>
        <v/>
      </c>
      <c r="AA51" s="138"/>
    </row>
    <row r="52" spans="2:27">
      <c r="B52" s="829"/>
      <c r="C52" s="128"/>
      <c r="D52" s="129"/>
      <c r="E52" s="129"/>
      <c r="F52" s="137"/>
      <c r="G52" s="131"/>
      <c r="H52" s="131"/>
      <c r="I52" s="131"/>
      <c r="J52" s="131"/>
      <c r="K52" s="131"/>
      <c r="L52" s="131"/>
      <c r="M52" s="131"/>
      <c r="N52" s="132"/>
      <c r="O52" s="133"/>
      <c r="P52" s="132"/>
      <c r="Q52" s="133"/>
      <c r="R52" s="132"/>
      <c r="S52" s="133"/>
      <c r="T52" s="132"/>
      <c r="U52" s="133"/>
      <c r="V52" s="132"/>
      <c r="W52" s="133"/>
      <c r="X52" s="132"/>
      <c r="Y52" s="133"/>
      <c r="Z52" s="134" t="str">
        <f t="shared" si="3"/>
        <v/>
      </c>
      <c r="AA52" s="138"/>
    </row>
    <row r="53" spans="2:27">
      <c r="B53" s="829"/>
      <c r="C53" s="128"/>
      <c r="D53" s="129"/>
      <c r="E53" s="129"/>
      <c r="F53" s="137"/>
      <c r="G53" s="131"/>
      <c r="H53" s="131"/>
      <c r="I53" s="131"/>
      <c r="J53" s="131"/>
      <c r="K53" s="131"/>
      <c r="L53" s="131"/>
      <c r="M53" s="131"/>
      <c r="N53" s="132"/>
      <c r="O53" s="133"/>
      <c r="P53" s="132"/>
      <c r="Q53" s="133"/>
      <c r="R53" s="132"/>
      <c r="S53" s="133"/>
      <c r="T53" s="132"/>
      <c r="U53" s="133"/>
      <c r="V53" s="132"/>
      <c r="W53" s="133"/>
      <c r="X53" s="132"/>
      <c r="Y53" s="133"/>
      <c r="Z53" s="134" t="str">
        <f t="shared" si="3"/>
        <v/>
      </c>
      <c r="AA53" s="138"/>
    </row>
    <row r="54" spans="2:27">
      <c r="B54" s="829"/>
      <c r="C54" s="128"/>
      <c r="D54" s="129"/>
      <c r="E54" s="129"/>
      <c r="F54" s="137"/>
      <c r="G54" s="131"/>
      <c r="H54" s="131"/>
      <c r="I54" s="131"/>
      <c r="J54" s="131"/>
      <c r="K54" s="131"/>
      <c r="L54" s="131"/>
      <c r="M54" s="131"/>
      <c r="N54" s="132"/>
      <c r="O54" s="133"/>
      <c r="P54" s="132"/>
      <c r="Q54" s="133"/>
      <c r="R54" s="132"/>
      <c r="S54" s="133"/>
      <c r="T54" s="132"/>
      <c r="U54" s="133"/>
      <c r="V54" s="132"/>
      <c r="W54" s="133"/>
      <c r="X54" s="132"/>
      <c r="Y54" s="133"/>
      <c r="Z54" s="134" t="str">
        <f t="shared" si="3"/>
        <v/>
      </c>
      <c r="AA54" s="138"/>
    </row>
    <row r="55" spans="2:27">
      <c r="B55" s="829"/>
      <c r="C55" s="128"/>
      <c r="D55" s="129"/>
      <c r="E55" s="129"/>
      <c r="F55" s="137"/>
      <c r="G55" s="131"/>
      <c r="H55" s="131"/>
      <c r="I55" s="131"/>
      <c r="J55" s="131"/>
      <c r="K55" s="131"/>
      <c r="L55" s="131"/>
      <c r="M55" s="131"/>
      <c r="N55" s="132"/>
      <c r="O55" s="133"/>
      <c r="P55" s="132"/>
      <c r="Q55" s="133"/>
      <c r="R55" s="132"/>
      <c r="S55" s="133"/>
      <c r="T55" s="132"/>
      <c r="U55" s="133"/>
      <c r="V55" s="132"/>
      <c r="W55" s="133"/>
      <c r="X55" s="132"/>
      <c r="Y55" s="133"/>
      <c r="Z55" s="134" t="str">
        <f t="shared" si="3"/>
        <v/>
      </c>
      <c r="AA55" s="138"/>
    </row>
    <row r="56" spans="2:27">
      <c r="B56" s="829"/>
      <c r="C56" s="128"/>
      <c r="D56" s="129"/>
      <c r="E56" s="129"/>
      <c r="F56" s="137"/>
      <c r="G56" s="131"/>
      <c r="H56" s="131"/>
      <c r="I56" s="131"/>
      <c r="J56" s="131"/>
      <c r="K56" s="131"/>
      <c r="L56" s="131"/>
      <c r="M56" s="131"/>
      <c r="N56" s="132"/>
      <c r="O56" s="133"/>
      <c r="P56" s="132"/>
      <c r="Q56" s="133"/>
      <c r="R56" s="132"/>
      <c r="S56" s="133"/>
      <c r="T56" s="132"/>
      <c r="U56" s="133"/>
      <c r="V56" s="132"/>
      <c r="W56" s="133"/>
      <c r="X56" s="132"/>
      <c r="Y56" s="133"/>
      <c r="Z56" s="134" t="str">
        <f t="shared" si="3"/>
        <v/>
      </c>
      <c r="AA56" s="138"/>
    </row>
    <row r="57" spans="2:27">
      <c r="B57" s="830"/>
      <c r="C57" s="128"/>
      <c r="D57" s="129"/>
      <c r="E57" s="129"/>
      <c r="F57" s="137"/>
      <c r="G57" s="131"/>
      <c r="H57" s="131"/>
      <c r="I57" s="131"/>
      <c r="J57" s="131"/>
      <c r="K57" s="131"/>
      <c r="L57" s="131"/>
      <c r="M57" s="131"/>
      <c r="N57" s="132"/>
      <c r="O57" s="133"/>
      <c r="P57" s="132"/>
      <c r="Q57" s="133"/>
      <c r="R57" s="132"/>
      <c r="S57" s="133"/>
      <c r="T57" s="132"/>
      <c r="U57" s="133"/>
      <c r="V57" s="132"/>
      <c r="W57" s="133"/>
      <c r="X57" s="132"/>
      <c r="Y57" s="133"/>
      <c r="Z57" s="134" t="str">
        <f t="shared" si="3"/>
        <v/>
      </c>
      <c r="AA57" s="138"/>
    </row>
    <row r="58" spans="2:27" ht="22.9" customHeight="1">
      <c r="B58" s="831" t="s">
        <v>239</v>
      </c>
      <c r="C58" s="832"/>
      <c r="D58" s="832"/>
      <c r="E58" s="832"/>
      <c r="F58" s="832"/>
      <c r="G58" s="832"/>
      <c r="H58" s="832"/>
      <c r="I58" s="832"/>
      <c r="J58" s="832"/>
      <c r="K58" s="832"/>
      <c r="L58" s="832"/>
      <c r="M58" s="833"/>
      <c r="N58" s="134">
        <f t="shared" ref="N58:AA58" si="4">SUM(N49:N57)</f>
        <v>0</v>
      </c>
      <c r="O58" s="142">
        <f t="shared" si="4"/>
        <v>0</v>
      </c>
      <c r="P58" s="134">
        <f t="shared" si="4"/>
        <v>0</v>
      </c>
      <c r="Q58" s="142">
        <f t="shared" si="4"/>
        <v>0</v>
      </c>
      <c r="R58" s="134">
        <f t="shared" si="4"/>
        <v>0</v>
      </c>
      <c r="S58" s="142">
        <f t="shared" si="4"/>
        <v>0</v>
      </c>
      <c r="T58" s="134">
        <f t="shared" si="4"/>
        <v>0</v>
      </c>
      <c r="U58" s="142">
        <f t="shared" si="4"/>
        <v>0</v>
      </c>
      <c r="V58" s="134">
        <f t="shared" si="4"/>
        <v>0</v>
      </c>
      <c r="W58" s="142">
        <f t="shared" si="4"/>
        <v>0</v>
      </c>
      <c r="X58" s="134">
        <f t="shared" si="4"/>
        <v>0</v>
      </c>
      <c r="Y58" s="142">
        <f t="shared" si="4"/>
        <v>0</v>
      </c>
      <c r="Z58" s="134">
        <f t="shared" si="4"/>
        <v>0</v>
      </c>
      <c r="AA58" s="142">
        <f t="shared" si="4"/>
        <v>0</v>
      </c>
    </row>
    <row r="59" spans="2:27" s="145" customFormat="1" ht="15" customHeight="1">
      <c r="B59" s="146"/>
      <c r="C59" s="140"/>
      <c r="D59" s="140"/>
      <c r="E59" s="140"/>
      <c r="F59" s="140"/>
      <c r="G59" s="140"/>
      <c r="H59" s="140"/>
      <c r="I59" s="140"/>
      <c r="J59" s="140"/>
      <c r="K59" s="140"/>
      <c r="L59" s="140"/>
      <c r="M59" s="140"/>
      <c r="N59" s="144"/>
      <c r="O59" s="144"/>
      <c r="P59" s="144"/>
      <c r="Q59" s="144"/>
      <c r="R59" s="144"/>
      <c r="S59" s="144"/>
      <c r="T59" s="144"/>
      <c r="U59" s="144"/>
      <c r="V59" s="144"/>
      <c r="W59" s="144"/>
      <c r="X59" s="144"/>
      <c r="Y59" s="144"/>
      <c r="Z59" s="144"/>
      <c r="AA59" s="144"/>
    </row>
    <row r="60" spans="2:27">
      <c r="B60" s="834" t="s">
        <v>240</v>
      </c>
      <c r="C60" s="128" t="s">
        <v>12</v>
      </c>
      <c r="D60" s="837"/>
      <c r="E60" s="838"/>
      <c r="F60" s="838"/>
      <c r="G60" s="838"/>
      <c r="H60" s="838"/>
      <c r="I60" s="838"/>
      <c r="J60" s="838"/>
      <c r="K60" s="838"/>
      <c r="L60" s="838"/>
      <c r="M60" s="839"/>
      <c r="N60" s="147"/>
      <c r="O60" s="148">
        <v>2220</v>
      </c>
      <c r="P60" s="147"/>
      <c r="Q60" s="147"/>
      <c r="R60" s="147"/>
      <c r="S60" s="147"/>
      <c r="T60" s="147"/>
      <c r="U60" s="147"/>
      <c r="V60" s="147"/>
      <c r="W60" s="147"/>
      <c r="X60" s="147"/>
      <c r="Y60" s="147"/>
      <c r="Z60" s="149"/>
      <c r="AA60" s="148">
        <v>2220</v>
      </c>
    </row>
    <row r="61" spans="2:27">
      <c r="B61" s="835"/>
      <c r="C61" s="128" t="s">
        <v>241</v>
      </c>
      <c r="D61" s="840"/>
      <c r="E61" s="841"/>
      <c r="F61" s="841"/>
      <c r="G61" s="841"/>
      <c r="H61" s="841"/>
      <c r="I61" s="841"/>
      <c r="J61" s="841"/>
      <c r="K61" s="841"/>
      <c r="L61" s="841"/>
      <c r="M61" s="842"/>
      <c r="N61" s="147"/>
      <c r="O61" s="148">
        <v>100</v>
      </c>
      <c r="P61" s="147"/>
      <c r="Q61" s="147"/>
      <c r="R61" s="147"/>
      <c r="S61" s="147"/>
      <c r="T61" s="147"/>
      <c r="U61" s="147"/>
      <c r="V61" s="147"/>
      <c r="W61" s="147"/>
      <c r="X61" s="147"/>
      <c r="Y61" s="147"/>
      <c r="Z61" s="149"/>
      <c r="AA61" s="148">
        <v>100</v>
      </c>
    </row>
    <row r="62" spans="2:27" ht="28.5">
      <c r="B62" s="835"/>
      <c r="C62" s="128" t="s">
        <v>45</v>
      </c>
      <c r="D62" s="840"/>
      <c r="E62" s="841"/>
      <c r="F62" s="841"/>
      <c r="G62" s="841"/>
      <c r="H62" s="841"/>
      <c r="I62" s="841"/>
      <c r="J62" s="841"/>
      <c r="K62" s="841"/>
      <c r="L62" s="841"/>
      <c r="M62" s="842"/>
      <c r="N62" s="147"/>
      <c r="O62" s="148">
        <v>260</v>
      </c>
      <c r="P62" s="147"/>
      <c r="Q62" s="147"/>
      <c r="R62" s="147"/>
      <c r="S62" s="147"/>
      <c r="T62" s="147"/>
      <c r="U62" s="147"/>
      <c r="V62" s="147"/>
      <c r="W62" s="147"/>
      <c r="X62" s="147"/>
      <c r="Y62" s="147"/>
      <c r="Z62" s="149"/>
      <c r="AA62" s="148">
        <v>260</v>
      </c>
    </row>
    <row r="63" spans="2:27" ht="28.5">
      <c r="B63" s="835"/>
      <c r="C63" s="128" t="s">
        <v>242</v>
      </c>
      <c r="D63" s="840"/>
      <c r="E63" s="841"/>
      <c r="F63" s="841"/>
      <c r="G63" s="841"/>
      <c r="H63" s="841"/>
      <c r="I63" s="841"/>
      <c r="J63" s="841"/>
      <c r="K63" s="841"/>
      <c r="L63" s="841"/>
      <c r="M63" s="842"/>
      <c r="N63" s="147"/>
      <c r="O63" s="148">
        <v>60</v>
      </c>
      <c r="P63" s="147"/>
      <c r="Q63" s="147"/>
      <c r="R63" s="147"/>
      <c r="S63" s="147"/>
      <c r="T63" s="147"/>
      <c r="U63" s="147"/>
      <c r="V63" s="147"/>
      <c r="W63" s="147"/>
      <c r="X63" s="147"/>
      <c r="Y63" s="147"/>
      <c r="Z63" s="149"/>
      <c r="AA63" s="148">
        <v>60</v>
      </c>
    </row>
    <row r="64" spans="2:27">
      <c r="B64" s="835"/>
      <c r="C64" s="128" t="s">
        <v>243</v>
      </c>
      <c r="D64" s="840"/>
      <c r="E64" s="841"/>
      <c r="F64" s="841"/>
      <c r="G64" s="841"/>
      <c r="H64" s="841"/>
      <c r="I64" s="841"/>
      <c r="J64" s="841"/>
      <c r="K64" s="841"/>
      <c r="L64" s="841"/>
      <c r="M64" s="842"/>
      <c r="N64" s="147"/>
      <c r="O64" s="148"/>
      <c r="P64" s="147"/>
      <c r="Q64" s="147"/>
      <c r="R64" s="147"/>
      <c r="S64" s="147"/>
      <c r="T64" s="147"/>
      <c r="U64" s="147"/>
      <c r="V64" s="147"/>
      <c r="W64" s="147"/>
      <c r="X64" s="147"/>
      <c r="Y64" s="147"/>
      <c r="Z64" s="149"/>
      <c r="AA64" s="148"/>
    </row>
    <row r="65" spans="2:27" ht="28.5">
      <c r="B65" s="835"/>
      <c r="C65" s="128" t="s">
        <v>236</v>
      </c>
      <c r="D65" s="840"/>
      <c r="E65" s="841"/>
      <c r="F65" s="841"/>
      <c r="G65" s="841"/>
      <c r="H65" s="841"/>
      <c r="I65" s="841"/>
      <c r="J65" s="841"/>
      <c r="K65" s="841"/>
      <c r="L65" s="841"/>
      <c r="M65" s="842"/>
      <c r="N65" s="147"/>
      <c r="O65" s="148">
        <v>100</v>
      </c>
      <c r="P65" s="147"/>
      <c r="Q65" s="147"/>
      <c r="R65" s="147"/>
      <c r="S65" s="147"/>
      <c r="T65" s="147"/>
      <c r="U65" s="147"/>
      <c r="V65" s="147"/>
      <c r="W65" s="147"/>
      <c r="X65" s="147"/>
      <c r="Y65" s="147"/>
      <c r="Z65" s="149"/>
      <c r="AA65" s="148">
        <v>100</v>
      </c>
    </row>
    <row r="66" spans="2:27">
      <c r="B66" s="835"/>
      <c r="C66" s="128"/>
      <c r="D66" s="840"/>
      <c r="E66" s="841"/>
      <c r="F66" s="841"/>
      <c r="G66" s="841"/>
      <c r="H66" s="841"/>
      <c r="I66" s="841"/>
      <c r="J66" s="841"/>
      <c r="K66" s="841"/>
      <c r="L66" s="841"/>
      <c r="M66" s="842"/>
      <c r="N66" s="147"/>
      <c r="O66" s="148"/>
      <c r="P66" s="147"/>
      <c r="Q66" s="147"/>
      <c r="R66" s="147"/>
      <c r="S66" s="147"/>
      <c r="T66" s="147"/>
      <c r="U66" s="147"/>
      <c r="V66" s="147"/>
      <c r="W66" s="147"/>
      <c r="X66" s="147"/>
      <c r="Y66" s="147"/>
      <c r="Z66" s="149"/>
      <c r="AA66" s="138"/>
    </row>
    <row r="67" spans="2:27">
      <c r="B67" s="835"/>
      <c r="C67" s="128"/>
      <c r="D67" s="840"/>
      <c r="E67" s="841"/>
      <c r="F67" s="841"/>
      <c r="G67" s="841"/>
      <c r="H67" s="841"/>
      <c r="I67" s="841"/>
      <c r="J67" s="841"/>
      <c r="K67" s="841"/>
      <c r="L67" s="841"/>
      <c r="M67" s="842"/>
      <c r="N67" s="147"/>
      <c r="O67" s="148"/>
      <c r="P67" s="147"/>
      <c r="Q67" s="147"/>
      <c r="R67" s="147"/>
      <c r="S67" s="147"/>
      <c r="T67" s="147"/>
      <c r="U67" s="147"/>
      <c r="V67" s="147"/>
      <c r="W67" s="147"/>
      <c r="X67" s="147"/>
      <c r="Y67" s="147"/>
      <c r="Z67" s="149"/>
      <c r="AA67" s="138"/>
    </row>
    <row r="68" spans="2:27">
      <c r="B68" s="835"/>
      <c r="C68" s="128"/>
      <c r="D68" s="840"/>
      <c r="E68" s="841"/>
      <c r="F68" s="841"/>
      <c r="G68" s="841"/>
      <c r="H68" s="841"/>
      <c r="I68" s="841"/>
      <c r="J68" s="841"/>
      <c r="K68" s="841"/>
      <c r="L68" s="841"/>
      <c r="M68" s="842"/>
      <c r="N68" s="147"/>
      <c r="O68" s="148"/>
      <c r="P68" s="147"/>
      <c r="Q68" s="147"/>
      <c r="R68" s="147"/>
      <c r="S68" s="147"/>
      <c r="T68" s="147"/>
      <c r="U68" s="147"/>
      <c r="V68" s="147"/>
      <c r="W68" s="147"/>
      <c r="X68" s="147"/>
      <c r="Y68" s="147"/>
      <c r="Z68" s="149"/>
      <c r="AA68" s="138"/>
    </row>
    <row r="69" spans="2:27">
      <c r="B69" s="835"/>
      <c r="C69" s="128"/>
      <c r="D69" s="840"/>
      <c r="E69" s="841"/>
      <c r="F69" s="841"/>
      <c r="G69" s="841"/>
      <c r="H69" s="841"/>
      <c r="I69" s="841"/>
      <c r="J69" s="841"/>
      <c r="K69" s="841"/>
      <c r="L69" s="841"/>
      <c r="M69" s="842"/>
      <c r="N69" s="147"/>
      <c r="O69" s="148"/>
      <c r="P69" s="147"/>
      <c r="Q69" s="147"/>
      <c r="R69" s="147"/>
      <c r="S69" s="147"/>
      <c r="T69" s="147"/>
      <c r="U69" s="147"/>
      <c r="V69" s="147"/>
      <c r="W69" s="147"/>
      <c r="X69" s="147"/>
      <c r="Y69" s="147"/>
      <c r="Z69" s="149"/>
      <c r="AA69" s="138"/>
    </row>
    <row r="70" spans="2:27">
      <c r="B70" s="835"/>
      <c r="C70" s="128"/>
      <c r="D70" s="840"/>
      <c r="E70" s="841"/>
      <c r="F70" s="841"/>
      <c r="G70" s="841"/>
      <c r="H70" s="841"/>
      <c r="I70" s="841"/>
      <c r="J70" s="841"/>
      <c r="K70" s="841"/>
      <c r="L70" s="841"/>
      <c r="M70" s="842"/>
      <c r="N70" s="147"/>
      <c r="O70" s="148"/>
      <c r="P70" s="147"/>
      <c r="Q70" s="147"/>
      <c r="R70" s="147"/>
      <c r="S70" s="147"/>
      <c r="T70" s="147"/>
      <c r="U70" s="147"/>
      <c r="V70" s="147"/>
      <c r="W70" s="147"/>
      <c r="X70" s="147"/>
      <c r="Y70" s="147"/>
      <c r="Z70" s="149"/>
      <c r="AA70" s="138"/>
    </row>
    <row r="71" spans="2:27">
      <c r="B71" s="835"/>
      <c r="C71" s="128"/>
      <c r="D71" s="840"/>
      <c r="E71" s="841"/>
      <c r="F71" s="841"/>
      <c r="G71" s="841"/>
      <c r="H71" s="841"/>
      <c r="I71" s="841"/>
      <c r="J71" s="841"/>
      <c r="K71" s="841"/>
      <c r="L71" s="841"/>
      <c r="M71" s="842"/>
      <c r="N71" s="147"/>
      <c r="O71" s="133"/>
      <c r="P71" s="147"/>
      <c r="Q71" s="147"/>
      <c r="R71" s="147"/>
      <c r="S71" s="147"/>
      <c r="T71" s="147"/>
      <c r="U71" s="147"/>
      <c r="V71" s="147"/>
      <c r="W71" s="147"/>
      <c r="X71" s="147"/>
      <c r="Y71" s="147"/>
      <c r="Z71" s="149"/>
      <c r="AA71" s="138"/>
    </row>
    <row r="72" spans="2:27">
      <c r="B72" s="835"/>
      <c r="C72" s="128"/>
      <c r="D72" s="840"/>
      <c r="E72" s="841"/>
      <c r="F72" s="841"/>
      <c r="G72" s="841"/>
      <c r="H72" s="841"/>
      <c r="I72" s="841"/>
      <c r="J72" s="841"/>
      <c r="K72" s="841"/>
      <c r="L72" s="841"/>
      <c r="M72" s="842"/>
      <c r="N72" s="147"/>
      <c r="O72" s="133"/>
      <c r="P72" s="147"/>
      <c r="Q72" s="147"/>
      <c r="R72" s="147"/>
      <c r="S72" s="147"/>
      <c r="T72" s="147"/>
      <c r="U72" s="147"/>
      <c r="V72" s="147"/>
      <c r="W72" s="147"/>
      <c r="X72" s="147"/>
      <c r="Y72" s="147"/>
      <c r="Z72" s="149"/>
      <c r="AA72" s="138"/>
    </row>
    <row r="73" spans="2:27">
      <c r="B73" s="835"/>
      <c r="C73" s="128"/>
      <c r="D73" s="840"/>
      <c r="E73" s="841"/>
      <c r="F73" s="841"/>
      <c r="G73" s="841"/>
      <c r="H73" s="841"/>
      <c r="I73" s="841"/>
      <c r="J73" s="841"/>
      <c r="K73" s="841"/>
      <c r="L73" s="841"/>
      <c r="M73" s="842"/>
      <c r="N73" s="147"/>
      <c r="O73" s="133"/>
      <c r="P73" s="147"/>
      <c r="Q73" s="147"/>
      <c r="R73" s="147"/>
      <c r="S73" s="147"/>
      <c r="T73" s="147"/>
      <c r="U73" s="147"/>
      <c r="V73" s="147"/>
      <c r="W73" s="147"/>
      <c r="X73" s="147"/>
      <c r="Y73" s="147"/>
      <c r="Z73" s="149"/>
      <c r="AA73" s="138"/>
    </row>
    <row r="74" spans="2:27">
      <c r="B74" s="835"/>
      <c r="C74" s="128"/>
      <c r="D74" s="840"/>
      <c r="E74" s="841"/>
      <c r="F74" s="841"/>
      <c r="G74" s="841"/>
      <c r="H74" s="841"/>
      <c r="I74" s="841"/>
      <c r="J74" s="841"/>
      <c r="K74" s="841"/>
      <c r="L74" s="841"/>
      <c r="M74" s="842"/>
      <c r="N74" s="147"/>
      <c r="O74" s="133"/>
      <c r="P74" s="147"/>
      <c r="Q74" s="147"/>
      <c r="R74" s="147"/>
      <c r="S74" s="147"/>
      <c r="T74" s="147"/>
      <c r="U74" s="147"/>
      <c r="V74" s="147"/>
      <c r="W74" s="147"/>
      <c r="X74" s="147"/>
      <c r="Y74" s="147"/>
      <c r="Z74" s="149"/>
      <c r="AA74" s="138"/>
    </row>
    <row r="75" spans="2:27">
      <c r="B75" s="836"/>
      <c r="C75" s="128"/>
      <c r="D75" s="843"/>
      <c r="E75" s="844"/>
      <c r="F75" s="844"/>
      <c r="G75" s="844"/>
      <c r="H75" s="844"/>
      <c r="I75" s="844"/>
      <c r="J75" s="844"/>
      <c r="K75" s="844"/>
      <c r="L75" s="844"/>
      <c r="M75" s="845"/>
      <c r="N75" s="147"/>
      <c r="O75" s="133"/>
      <c r="P75" s="147"/>
      <c r="Q75" s="147"/>
      <c r="R75" s="147"/>
      <c r="S75" s="147"/>
      <c r="T75" s="147"/>
      <c r="U75" s="147"/>
      <c r="V75" s="147"/>
      <c r="W75" s="147"/>
      <c r="X75" s="147"/>
      <c r="Y75" s="147"/>
      <c r="Z75" s="149"/>
      <c r="AA75" s="138"/>
    </row>
    <row r="76" spans="2:27" ht="22.9" customHeight="1">
      <c r="B76" s="820" t="s">
        <v>244</v>
      </c>
      <c r="C76" s="821"/>
      <c r="D76" s="821"/>
      <c r="E76" s="821"/>
      <c r="F76" s="821"/>
      <c r="G76" s="821"/>
      <c r="H76" s="821"/>
      <c r="I76" s="821"/>
      <c r="J76" s="821"/>
      <c r="K76" s="821"/>
      <c r="L76" s="821"/>
      <c r="M76" s="822"/>
      <c r="N76" s="134">
        <f>SUM(N60:N75)</f>
        <v>0</v>
      </c>
      <c r="O76" s="142">
        <f>SUM(O60:O75)</f>
        <v>2740</v>
      </c>
      <c r="P76" s="147"/>
      <c r="Q76" s="147"/>
      <c r="R76" s="147"/>
      <c r="S76" s="147"/>
      <c r="T76" s="147"/>
      <c r="U76" s="147"/>
      <c r="V76" s="147"/>
      <c r="W76" s="147"/>
      <c r="X76" s="147"/>
      <c r="Y76" s="147"/>
      <c r="Z76" s="150">
        <f>SUM(Z60:Z75)</f>
        <v>0</v>
      </c>
      <c r="AA76" s="142">
        <f>SUM(AA60:AA75)</f>
        <v>2740</v>
      </c>
    </row>
    <row r="77" spans="2:27" ht="22.9" customHeight="1">
      <c r="B77" s="151"/>
      <c r="C77" s="151"/>
      <c r="D77" s="151"/>
      <c r="E77" s="151"/>
      <c r="F77" s="151"/>
      <c r="G77" s="151"/>
      <c r="H77" s="151"/>
      <c r="I77" s="151"/>
      <c r="J77" s="151"/>
      <c r="K77" s="151"/>
      <c r="L77" s="151"/>
      <c r="M77" s="151"/>
      <c r="N77" s="144"/>
      <c r="O77" s="144"/>
      <c r="P77" s="144"/>
      <c r="Q77" s="144"/>
      <c r="R77" s="144"/>
      <c r="S77" s="144"/>
      <c r="T77" s="144"/>
      <c r="U77" s="144"/>
      <c r="V77" s="144"/>
      <c r="W77" s="144"/>
      <c r="X77" s="144"/>
      <c r="Y77" s="144"/>
      <c r="Z77" s="144"/>
      <c r="AA77" s="144"/>
    </row>
    <row r="78" spans="2:27" ht="22.9" customHeight="1">
      <c r="B78" s="820" t="s">
        <v>245</v>
      </c>
      <c r="C78" s="821"/>
      <c r="D78" s="821"/>
      <c r="E78" s="821"/>
      <c r="F78" s="821"/>
      <c r="G78" s="821"/>
      <c r="H78" s="821"/>
      <c r="I78" s="821"/>
      <c r="J78" s="821"/>
      <c r="K78" s="821"/>
      <c r="L78" s="821"/>
      <c r="M78" s="822"/>
      <c r="N78" s="152"/>
      <c r="O78" s="133"/>
      <c r="P78" s="152"/>
      <c r="Q78" s="133"/>
      <c r="R78" s="152"/>
      <c r="S78" s="133"/>
      <c r="T78" s="152"/>
      <c r="U78" s="133"/>
      <c r="V78" s="152"/>
      <c r="W78" s="133"/>
      <c r="X78" s="152"/>
      <c r="Y78" s="133"/>
      <c r="Z78" s="150">
        <f>SUM(N78,P78,R78,T78,V78,X78)</f>
        <v>0</v>
      </c>
      <c r="AA78" s="152"/>
    </row>
    <row r="79" spans="2:27" s="42" customFormat="1">
      <c r="B79" s="153"/>
      <c r="C79" s="154"/>
      <c r="D79" s="154"/>
      <c r="E79" s="154"/>
      <c r="F79" s="154"/>
      <c r="G79" s="155"/>
      <c r="H79" s="155"/>
      <c r="I79" s="155"/>
      <c r="J79" s="155"/>
      <c r="K79" s="155"/>
      <c r="L79" s="155"/>
      <c r="M79" s="155"/>
      <c r="N79" s="156"/>
      <c r="O79" s="156"/>
      <c r="P79" s="156"/>
      <c r="Q79" s="156"/>
      <c r="R79" s="156"/>
      <c r="S79" s="156"/>
      <c r="T79" s="156"/>
      <c r="U79" s="156"/>
      <c r="V79" s="156"/>
      <c r="W79" s="156"/>
      <c r="X79" s="156"/>
      <c r="Y79" s="156"/>
      <c r="Z79" s="156"/>
      <c r="AA79" s="156"/>
    </row>
    <row r="80" spans="2:27" ht="24" customHeight="1">
      <c r="B80" s="823" t="s">
        <v>246</v>
      </c>
      <c r="C80" s="824"/>
      <c r="D80" s="824"/>
      <c r="E80" s="824"/>
      <c r="F80" s="824"/>
      <c r="G80" s="824"/>
      <c r="H80" s="824"/>
      <c r="I80" s="824"/>
      <c r="J80" s="824"/>
      <c r="K80" s="824"/>
      <c r="L80" s="824"/>
      <c r="M80" s="825"/>
      <c r="N80" s="134">
        <f>N78+N58+N47</f>
        <v>0</v>
      </c>
      <c r="O80" s="142">
        <f>O78+O76+O47+O58</f>
        <v>2740</v>
      </c>
      <c r="P80" s="134">
        <f>P78+P58+P47</f>
        <v>1716250.7576779523</v>
      </c>
      <c r="Q80" s="142">
        <f>Q78+Q47+Q58</f>
        <v>11465.768091152338</v>
      </c>
      <c r="R80" s="134">
        <f>R78+R58+R47</f>
        <v>1761544.1571149467</v>
      </c>
      <c r="S80" s="142">
        <f>S78+S47+S58</f>
        <v>7034.7093032229059</v>
      </c>
      <c r="T80" s="134">
        <f>T78+T58+T47</f>
        <v>1612990.0959763313</v>
      </c>
      <c r="U80" s="142">
        <f>U78+U47+U58</f>
        <v>4893.6959932229056</v>
      </c>
      <c r="V80" s="134">
        <f>V78+V58+V47</f>
        <v>1718533.8846153847</v>
      </c>
      <c r="W80" s="142">
        <f>W78+W47+W58</f>
        <v>5280.6756232229063</v>
      </c>
      <c r="X80" s="134">
        <f>X78+X58+X47</f>
        <v>1822554.0046153846</v>
      </c>
      <c r="Y80" s="142">
        <f>Y78+Y47+Y58</f>
        <v>5767.655253222907</v>
      </c>
      <c r="Z80" s="134">
        <f>Z78+Z58+Z47</f>
        <v>8631872.8999999985</v>
      </c>
      <c r="AA80" s="142">
        <f>AA78+AA76+AA47+AA58</f>
        <v>37182.504264043971</v>
      </c>
    </row>
    <row r="82" spans="2:25" ht="23.45" customHeight="1">
      <c r="B82" s="823" t="s">
        <v>247</v>
      </c>
      <c r="C82" s="824"/>
      <c r="D82" s="824"/>
      <c r="E82" s="824"/>
      <c r="F82" s="824"/>
      <c r="G82" s="824"/>
      <c r="H82" s="824"/>
      <c r="I82" s="824"/>
      <c r="J82" s="824"/>
      <c r="K82" s="824"/>
      <c r="L82" s="824"/>
      <c r="M82" s="825"/>
      <c r="O82" s="157" t="str">
        <f>IF($AA$80=0,"",IF((O80-O78)/$AA$80&gt;0.083,"True","False"))</f>
        <v>False</v>
      </c>
      <c r="Q82" s="157" t="str">
        <f>IF($AA$80=0,"",IF((Q80-Q78)/$AA$80&gt;0.083,"True","False"))</f>
        <v>True</v>
      </c>
      <c r="S82" s="157" t="str">
        <f>IF($AA$80=0,"",IF((S80-S78)/$AA$80&gt;0.083,"True","False"))</f>
        <v>True</v>
      </c>
      <c r="U82" s="157" t="str">
        <f>IF($AA$80=0,"",IF((U80-U78)/$AA$80&gt;0.083,"True","False"))</f>
        <v>True</v>
      </c>
      <c r="W82" s="157" t="str">
        <f>IF($AA$80=0,"",IF((W80-W78)/$AA$80&gt;0.083,"True","False"))</f>
        <v>True</v>
      </c>
      <c r="Y82" s="157" t="str">
        <f>IF($AA$80=0,"",IF((Y80-Y78)/$AA$80&gt;0.083,"True","False"))</f>
        <v>True</v>
      </c>
    </row>
    <row r="101" spans="2:7">
      <c r="B101" s="52" t="s">
        <v>248</v>
      </c>
      <c r="C101" s="45"/>
      <c r="D101" s="52" t="s">
        <v>249</v>
      </c>
      <c r="E101" s="45"/>
      <c r="F101" s="45"/>
      <c r="G101" s="45"/>
    </row>
    <row r="102" spans="2:7">
      <c r="B102" s="45" t="s">
        <v>231</v>
      </c>
      <c r="C102" s="45"/>
      <c r="D102" s="45" t="s">
        <v>250</v>
      </c>
      <c r="E102" s="45"/>
      <c r="F102" s="45"/>
      <c r="G102" s="45"/>
    </row>
    <row r="103" spans="2:7">
      <c r="B103" s="45" t="s">
        <v>251</v>
      </c>
      <c r="C103" s="45"/>
      <c r="D103" s="45" t="s">
        <v>252</v>
      </c>
      <c r="E103" s="45"/>
      <c r="F103" s="45"/>
      <c r="G103" s="45"/>
    </row>
    <row r="104" spans="2:7">
      <c r="B104" s="45"/>
      <c r="C104" s="45"/>
      <c r="D104" s="45" t="s">
        <v>253</v>
      </c>
      <c r="E104" s="45"/>
      <c r="F104" s="45"/>
      <c r="G104" s="45"/>
    </row>
    <row r="105" spans="2:7">
      <c r="B105" s="52" t="s">
        <v>254</v>
      </c>
      <c r="C105" s="45"/>
      <c r="D105" s="45"/>
      <c r="E105" s="45"/>
      <c r="F105" s="45"/>
      <c r="G105" s="45"/>
    </row>
    <row r="106" spans="2:7">
      <c r="B106" s="158" t="s">
        <v>119</v>
      </c>
      <c r="D106" s="159"/>
    </row>
    <row r="107" spans="2:7">
      <c r="B107" s="158" t="s">
        <v>243</v>
      </c>
      <c r="D107" s="159"/>
    </row>
    <row r="108" spans="2:7">
      <c r="B108" s="158" t="s">
        <v>43</v>
      </c>
      <c r="D108" s="159"/>
    </row>
    <row r="109" spans="2:7">
      <c r="B109" s="158" t="s">
        <v>45</v>
      </c>
      <c r="D109" s="159"/>
    </row>
    <row r="110" spans="2:7">
      <c r="B110" s="158" t="s">
        <v>255</v>
      </c>
      <c r="D110" s="159"/>
    </row>
    <row r="111" spans="2:7">
      <c r="B111" s="158" t="s">
        <v>256</v>
      </c>
      <c r="D111" s="159"/>
    </row>
    <row r="112" spans="2:7">
      <c r="B112" s="158" t="s">
        <v>257</v>
      </c>
      <c r="D112" s="159"/>
    </row>
    <row r="113" spans="2:4">
      <c r="B113" s="158" t="s">
        <v>258</v>
      </c>
      <c r="D113" s="159"/>
    </row>
    <row r="114" spans="2:4">
      <c r="B114" s="158" t="s">
        <v>242</v>
      </c>
      <c r="D114" s="159"/>
    </row>
    <row r="115" spans="2:4">
      <c r="B115" s="158" t="s">
        <v>259</v>
      </c>
      <c r="D115" s="159"/>
    </row>
    <row r="116" spans="2:4">
      <c r="B116" s="158" t="s">
        <v>260</v>
      </c>
      <c r="D116" s="159"/>
    </row>
    <row r="117" spans="2:4">
      <c r="B117" s="158" t="s">
        <v>123</v>
      </c>
      <c r="D117" s="159"/>
    </row>
    <row r="118" spans="2:4">
      <c r="B118" s="158" t="s">
        <v>261</v>
      </c>
      <c r="D118" s="159"/>
    </row>
    <row r="119" spans="2:4">
      <c r="B119" s="158" t="s">
        <v>236</v>
      </c>
      <c r="D119" s="159"/>
    </row>
    <row r="120" spans="2:4">
      <c r="B120" s="158" t="s">
        <v>124</v>
      </c>
      <c r="D120" s="159"/>
    </row>
    <row r="121" spans="2:4">
      <c r="B121" s="158" t="s">
        <v>262</v>
      </c>
      <c r="D121" s="159"/>
    </row>
    <row r="122" spans="2:4">
      <c r="B122" s="158" t="s">
        <v>263</v>
      </c>
      <c r="D122" s="159"/>
    </row>
    <row r="123" spans="2:4">
      <c r="D123" s="145"/>
    </row>
    <row r="124" spans="2:4">
      <c r="D124" s="145"/>
    </row>
    <row r="125" spans="2:4">
      <c r="D125" s="145"/>
    </row>
    <row r="126" spans="2:4">
      <c r="B126" s="160" t="s">
        <v>264</v>
      </c>
      <c r="D126" s="145"/>
    </row>
    <row r="127" spans="2:4">
      <c r="B127" s="161" t="s">
        <v>235</v>
      </c>
      <c r="D127" s="162"/>
    </row>
    <row r="128" spans="2:4">
      <c r="B128" s="161" t="s">
        <v>265</v>
      </c>
      <c r="D128" s="159"/>
    </row>
    <row r="129" spans="2:4">
      <c r="B129" s="161" t="s">
        <v>266</v>
      </c>
      <c r="D129" s="159"/>
    </row>
    <row r="130" spans="2:4">
      <c r="B130" s="161" t="s">
        <v>42</v>
      </c>
      <c r="D130" s="159"/>
    </row>
    <row r="131" spans="2:4">
      <c r="B131" s="161" t="s">
        <v>23</v>
      </c>
      <c r="D131" s="159"/>
    </row>
    <row r="132" spans="2:4">
      <c r="B132" s="161" t="s">
        <v>236</v>
      </c>
      <c r="D132" s="159"/>
    </row>
    <row r="133" spans="2:4">
      <c r="B133" s="161" t="s">
        <v>267</v>
      </c>
      <c r="D133" s="159"/>
    </row>
    <row r="134" spans="2:4">
      <c r="B134" s="161" t="s">
        <v>233</v>
      </c>
      <c r="D134" s="24"/>
    </row>
    <row r="135" spans="2:4">
      <c r="B135" s="161" t="s">
        <v>268</v>
      </c>
      <c r="D135" s="159"/>
    </row>
    <row r="136" spans="2:4">
      <c r="B136" s="161" t="s">
        <v>232</v>
      </c>
      <c r="D136" s="159"/>
    </row>
    <row r="137" spans="2:4">
      <c r="B137" s="161" t="s">
        <v>12</v>
      </c>
      <c r="D137" s="159"/>
    </row>
    <row r="138" spans="2:4">
      <c r="D138" s="159"/>
    </row>
  </sheetData>
  <sheetProtection password="F265" sheet="1" objects="1" scenarios="1" formatCells="0" insertColumns="0" insertRows="0" insertHyperlinks="0" deleteColumns="0" deleteRows="0" sort="0" autoFilter="0"/>
  <dataConsolidate/>
  <mergeCells count="40">
    <mergeCell ref="B82:M82"/>
    <mergeCell ref="M14:M15"/>
    <mergeCell ref="B16:B46"/>
    <mergeCell ref="B49:B57"/>
    <mergeCell ref="B58:M58"/>
    <mergeCell ref="B60:B75"/>
    <mergeCell ref="D60:M75"/>
    <mergeCell ref="G14:G15"/>
    <mergeCell ref="H14:H15"/>
    <mergeCell ref="I14:I15"/>
    <mergeCell ref="J14:J15"/>
    <mergeCell ref="K14:K15"/>
    <mergeCell ref="L14:L15"/>
    <mergeCell ref="X13:Y14"/>
    <mergeCell ref="Z13:AA14"/>
    <mergeCell ref="B76:M76"/>
    <mergeCell ref="B78:M78"/>
    <mergeCell ref="B80:M80"/>
    <mergeCell ref="C6:L6"/>
    <mergeCell ref="M6:V6"/>
    <mergeCell ref="C7:L7"/>
    <mergeCell ref="B11:AA11"/>
    <mergeCell ref="B12:B15"/>
    <mergeCell ref="C12:C15"/>
    <mergeCell ref="D12:D15"/>
    <mergeCell ref="E12:E15"/>
    <mergeCell ref="F12:F15"/>
    <mergeCell ref="G12:M13"/>
    <mergeCell ref="N12:AA12"/>
    <mergeCell ref="N13:O14"/>
    <mergeCell ref="P13:Q14"/>
    <mergeCell ref="R13:S14"/>
    <mergeCell ref="T13:U14"/>
    <mergeCell ref="V13:W14"/>
    <mergeCell ref="B2:E2"/>
    <mergeCell ref="B3:L3"/>
    <mergeCell ref="C4:L4"/>
    <mergeCell ref="M4:V4"/>
    <mergeCell ref="C5:L5"/>
    <mergeCell ref="M5:V5"/>
  </mergeCells>
  <conditionalFormatting sqref="O82 Q82 S82 U82 W82 Y82">
    <cfRule type="containsText" dxfId="1" priority="1" operator="containsText" text="TRUE">
      <formula>NOT(ISERROR(SEARCH("TRUE",O82)))</formula>
    </cfRule>
    <cfRule type="containsText" dxfId="0" priority="2" operator="containsText" text="FALSE">
      <formula>NOT(ISERROR(SEARCH("FALSE",O82)))</formula>
    </cfRule>
  </conditionalFormatting>
  <dataValidations count="26">
    <dataValidation allowBlank="1" showInputMessage="1" showErrorMessage="1" promptTitle="Criteria" prompt="Input total CDM Plan Target Gap" sqref="AA78"/>
    <dataValidation type="list" allowBlank="1" showInputMessage="1" showErrorMessage="1" promptTitle="Criteria" prompt="Select Program Name for each 2011-2014/15 Tier 1 Program for which projects will be completed in 2015." sqref="C60:C75">
      <formula1>$B$106:$B$123</formula1>
    </dataValidation>
    <dataValidation type="list" allowBlank="1" showInputMessage="1" showErrorMessage="1" sqref="C16:C46 C49">
      <formula1>$B$127:$B$139</formula1>
    </dataValidation>
    <dataValidation allowBlank="1" showInputMessage="1" showErrorMessage="1" promptTitle="Criteria" prompt="As per the CDM Plan Submission and Review Criteria Rules, a minimum incremental annual savings of 8.3% of total 2020 savings target is to be achieved in any year." sqref="B82:M82"/>
    <dataValidation allowBlank="1" showInputMessage="1" showErrorMessage="1" promptTitle="Criteria" prompt="For projects to be completed in 2015, yet funded from the 2011-2014 (and 2015 of 2011-2014 Master CDM Agreement) CDM Framework" sqref="B60:B75"/>
    <dataValidation type="list" allowBlank="1" showInputMessage="1" showErrorMessage="1" sqref="E59">
      <formula1>#REF!</formula1>
    </dataValidation>
    <dataValidation type="list" allowBlank="1" showInputMessage="1" showErrorMessage="1" sqref="C59 C50:C57">
      <formula1>$B$106:$B$124</formula1>
    </dataValidation>
    <dataValidation allowBlank="1" showInputMessage="1" showErrorMessage="1" promptTitle="Critera" prompt="Input programs by funding mechanism (Full Cost Recovery and Pay for Performance)" sqref="B12:B15"/>
    <dataValidation allowBlank="1" showInputMessage="1" showErrorMessage="1" promptTitle="Criteria" prompt="Select Program Name for each Approved Province Wide Program." sqref="C12:C15"/>
    <dataValidation allowBlank="1" showInputMessage="1" showErrorMessage="1" promptTitle="Criteria" prompt="Input Local, Regional or Pilot Program for which a business case has been approved by the IESO." sqref="D12:D15"/>
    <dataValidation allowBlank="1" showInputMessage="1" showErrorMessage="1" promptTitle="Criteria" prompt="Input estimated start date of Program (e.g., 01-Jan-2016)" sqref="F12:F15"/>
    <dataValidation allowBlank="1" showInputMessage="1" showErrorMessage="1" promptTitle="Criteria" prompt="Input proposed Program or Pilot name for which a business case has not been approved by the IESO and being considered by the LDC._x000a_" sqref="E12:E15"/>
    <dataValidation allowBlank="1" showInputMessage="1" showErrorMessage="1" promptTitle="Criteria" prompt="Portion of CDM Plan Target that the LDC reasonably expects, based on qualified independant advice as accepted by the OPA, could only be achieved with funding in addition to CDM Plan Budget. Refer to the CDM Plan Submission and Review Criteria Rules." sqref="B78:M78"/>
    <dataValidation allowBlank="1" showInputMessage="1" showErrorMessage="1" promptTitle="Criteria" prompt="Input estimated energy savings (MWh) for projects initiated in_x000a_the 2011-2014/2015 extension CDM framework which may be in-service between January 1, 2015 and January 31, 2015" sqref="O60:O75"/>
    <dataValidation type="list" allowBlank="1" showInputMessage="1" showErrorMessage="1" sqref="G16:M46 G49:M57">
      <formula1>$B$102:$B$102</formula1>
    </dataValidation>
    <dataValidation allowBlank="1" showInputMessage="1" showErrorMessage="1" promptTitle="Criteria:" prompt="Per the ECA and CDM Plan Submission and Criteria Rules, a minimum incremental annual savings of 8.3% of the total savings to be achieved by end December 31, 2020 is to be achieved in every year of the CDM Plan." sqref="S82 U82 W82 Y82 O82 Q82"/>
    <dataValidation type="list" allowBlank="1" showInputMessage="1" showErrorMessage="1" sqref="G59:M59 D59">
      <formula1>$B$102:$B$103</formula1>
    </dataValidation>
    <dataValidation allowBlank="1" showInputMessage="1" showErrorMessage="1" promptTitle="Criteria" prompt="Indicate segment(s) targetted by Program" sqref="G12:M13"/>
    <dataValidation allowBlank="1" showInputMessage="1" showErrorMessage="1" promptTitle="Note" prompt="Represents total savings from 2011-2014/15 CDM Framework which have in service dates after Jan 1, 2015" sqref="O76"/>
    <dataValidation allowBlank="1" showInputMessage="1" showErrorMessage="1" promptTitle="Criteria" prompt="Input total annual budget for Program.  Refer to Table 3 in CDM Cost Effectiveness Tool &quot;CDM Plan Summary&quot; tab." sqref="X15 V15 R15 N15 P15 T15"/>
    <dataValidation allowBlank="1" showInputMessage="1" showErrorMessage="1" promptTitle="Criteria" prompt="Input annual energy savings (MWh) for Program.  Refer to Table 3 in CDM Cost Effectiveness Tool &quot;CDM Plan Summary&quot; tab." sqref="Y15 W15 S15 O15 Q15 U15"/>
    <dataValidation allowBlank="1" showInputMessage="1" showErrorMessage="1" promptTitle="Criteria" prompt="Input annual Target Gap" sqref="X78 V78 R78 N78 P78 T78"/>
    <dataValidation allowBlank="1" showInputMessage="1" showErrorMessage="1" promptTitle="Criteria" prompt="Input additional annual funding requirements to acheive Target Gap" sqref="Y78 W78 S78 O78 Q78 U78"/>
    <dataValidation allowBlank="1" showInputMessage="1" showErrorMessage="1" promptTitle="Note" prompt="All funding should be part of the 2011-2014/2015 CDM Framework and not apply to the new 2015-2020 CDM Framwork" sqref="Z60:Z75 N60:N76"/>
    <dataValidation allowBlank="1" showInputMessage="1" showErrorMessage="1" promptTitle="Criteria" prompt="Input total persisting energy savings in 2020 for Program.  Refer to Table 3 in CDM Cost Effectiveness Tool &quot;CDM Plan Summary&quot; tab." sqref="AA15"/>
    <dataValidation allowBlank="1" showInputMessage="1" showErrorMessage="1" promptTitle="Criteria" prompt="Automatic summation of total 2015-2020 budget by Program." sqref="Z15"/>
  </dataValidations>
  <printOptions horizontalCentered="1" verticalCentered="1"/>
  <pageMargins left="0.70866141732283505" right="0.70866141732283505" top="0.51" bottom="0.54" header="0.25" footer="0.18"/>
  <pageSetup paperSize="5" scale="33" orientation="landscape" r:id="rId1"/>
  <headerFooter>
    <oddHeader>&amp;L&amp;"Times New Roman,Regular"&amp;12Conservation First Framework LDC Tool Kit&amp;R&amp;"Times New Roman,Regular"&amp;12Final v2 - January 30, 2015</oddHeader>
    <oddFooter>&amp;L&amp;G&amp;C&amp;"Times New Roman,Regular"&amp;12CDM Plan Template&amp;R&amp;"Times New Roman,Regular"&amp;12&amp;A
Page &amp;P of &amp;N</oddFoot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130"/>
  <sheetViews>
    <sheetView topLeftCell="BU1" zoomScaleNormal="100" workbookViewId="0">
      <selection activeCell="CX2" sqref="CX1:CX1048576"/>
    </sheetView>
  </sheetViews>
  <sheetFormatPr defaultRowHeight="15"/>
  <cols>
    <col min="1" max="1" width="12.140625" customWidth="1"/>
    <col min="2" max="2" width="36.85546875" bestFit="1" customWidth="1"/>
    <col min="3" max="3" width="40.5703125" bestFit="1" customWidth="1"/>
    <col min="7" max="7" width="10.42578125" bestFit="1" customWidth="1"/>
    <col min="39" max="59" width="11.42578125" bestFit="1" customWidth="1"/>
    <col min="60" max="63" width="10.42578125" bestFit="1" customWidth="1"/>
    <col min="64" max="94" width="5.42578125" bestFit="1" customWidth="1"/>
    <col min="102" max="102" width="8.7109375" customWidth="1"/>
  </cols>
  <sheetData>
    <row r="1" spans="1:114" s="388" customFormat="1">
      <c r="F1" s="384"/>
      <c r="G1" s="412"/>
      <c r="I1" s="413"/>
      <c r="J1" s="413"/>
      <c r="O1" s="459" t="s">
        <v>446</v>
      </c>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850" t="s">
        <v>447</v>
      </c>
      <c r="AO1" s="850"/>
      <c r="AP1" s="850"/>
      <c r="AQ1" s="850"/>
      <c r="AR1" s="850"/>
      <c r="AS1" s="850"/>
      <c r="AT1" s="850"/>
      <c r="AU1" s="850"/>
      <c r="AV1" s="850"/>
      <c r="AW1" s="850"/>
      <c r="AX1" s="850"/>
      <c r="AY1" s="850"/>
      <c r="AZ1" s="850"/>
      <c r="BA1" s="850"/>
      <c r="BB1" s="850"/>
      <c r="BC1" s="850"/>
      <c r="BD1" s="850"/>
      <c r="BE1" s="850"/>
      <c r="BF1" s="850"/>
      <c r="BG1" s="850"/>
      <c r="BH1" s="850"/>
      <c r="BI1" s="850"/>
      <c r="BJ1" s="850"/>
      <c r="BK1" s="850"/>
      <c r="BL1" s="850"/>
      <c r="BM1" s="850" t="s">
        <v>448</v>
      </c>
      <c r="BN1" s="850"/>
      <c r="BO1" s="850"/>
      <c r="BP1" s="850"/>
      <c r="BQ1" s="850"/>
      <c r="BR1" s="850"/>
      <c r="BS1" s="850"/>
      <c r="BT1" s="850"/>
      <c r="BU1" s="850"/>
      <c r="BV1" s="850"/>
      <c r="BW1" s="850"/>
      <c r="BX1" s="850"/>
      <c r="BY1" s="850"/>
      <c r="BZ1" s="850"/>
      <c r="CA1" s="850"/>
      <c r="CB1" s="850"/>
      <c r="CC1" s="850"/>
      <c r="CD1" s="850"/>
      <c r="CE1" s="850"/>
      <c r="CF1" s="850"/>
      <c r="CG1" s="850"/>
      <c r="CH1" s="850"/>
      <c r="CI1" s="850"/>
      <c r="CJ1" s="850"/>
      <c r="CK1" s="850"/>
      <c r="CL1" s="850" t="s">
        <v>449</v>
      </c>
      <c r="CM1" s="850"/>
      <c r="CN1" s="850"/>
      <c r="CO1" s="850"/>
      <c r="CP1" s="850"/>
      <c r="CQ1" s="850"/>
      <c r="CR1" s="850"/>
      <c r="CS1" s="850"/>
      <c r="CT1" s="850"/>
      <c r="CU1" s="850"/>
      <c r="CV1" s="850"/>
      <c r="CW1" s="850"/>
      <c r="CX1" s="850"/>
      <c r="CY1" s="850"/>
      <c r="CZ1" s="850"/>
      <c r="DA1" s="850"/>
      <c r="DB1" s="850"/>
      <c r="DC1" s="850"/>
      <c r="DD1" s="850"/>
      <c r="DE1" s="850"/>
      <c r="DF1" s="850"/>
      <c r="DG1" s="850"/>
      <c r="DH1" s="850"/>
      <c r="DI1" s="850"/>
      <c r="DJ1" s="850"/>
    </row>
    <row r="2" spans="1:114" s="388" customFormat="1" ht="102">
      <c r="A2" s="414" t="s">
        <v>327</v>
      </c>
      <c r="B2" s="414" t="s">
        <v>328</v>
      </c>
      <c r="C2" s="414" t="s">
        <v>331</v>
      </c>
      <c r="D2" s="415" t="s">
        <v>340</v>
      </c>
      <c r="E2" s="414" t="s">
        <v>334</v>
      </c>
      <c r="F2" s="416" t="s">
        <v>450</v>
      </c>
      <c r="G2" s="417" t="s">
        <v>451</v>
      </c>
      <c r="H2" s="414" t="s">
        <v>452</v>
      </c>
      <c r="I2" s="418" t="s">
        <v>341</v>
      </c>
      <c r="J2" s="418" t="s">
        <v>342</v>
      </c>
      <c r="K2" s="419" t="s">
        <v>453</v>
      </c>
      <c r="L2" s="419" t="s">
        <v>454</v>
      </c>
      <c r="M2" s="419" t="s">
        <v>455</v>
      </c>
      <c r="N2" s="419" t="s">
        <v>477</v>
      </c>
      <c r="O2" s="420">
        <v>2015</v>
      </c>
      <c r="P2" s="420">
        <v>2016</v>
      </c>
      <c r="Q2" s="420">
        <v>2017</v>
      </c>
      <c r="R2" s="420">
        <v>2018</v>
      </c>
      <c r="S2" s="420">
        <v>2019</v>
      </c>
      <c r="T2" s="420">
        <v>2020</v>
      </c>
      <c r="U2" s="420">
        <v>2021</v>
      </c>
      <c r="V2" s="420">
        <v>2022</v>
      </c>
      <c r="W2" s="420">
        <v>2023</v>
      </c>
      <c r="X2" s="420">
        <v>2024</v>
      </c>
      <c r="Y2" s="420">
        <v>2025</v>
      </c>
      <c r="Z2" s="420">
        <v>2026</v>
      </c>
      <c r="AA2" s="420">
        <v>2027</v>
      </c>
      <c r="AB2" s="420">
        <v>2028</v>
      </c>
      <c r="AC2" s="420">
        <v>2029</v>
      </c>
      <c r="AD2" s="420">
        <v>2030</v>
      </c>
      <c r="AE2" s="420">
        <v>2031</v>
      </c>
      <c r="AF2" s="420">
        <v>2032</v>
      </c>
      <c r="AG2" s="420">
        <v>2033</v>
      </c>
      <c r="AH2" s="420">
        <v>2034</v>
      </c>
      <c r="AI2" s="420">
        <v>2035</v>
      </c>
      <c r="AJ2" s="420">
        <v>2036</v>
      </c>
      <c r="AK2" s="420">
        <v>2037</v>
      </c>
      <c r="AL2" s="420">
        <v>2038</v>
      </c>
      <c r="AM2" s="420">
        <v>2039</v>
      </c>
      <c r="AN2" s="420">
        <v>2015</v>
      </c>
      <c r="AO2" s="420">
        <v>2016</v>
      </c>
      <c r="AP2" s="420">
        <v>2017</v>
      </c>
      <c r="AQ2" s="420">
        <v>2018</v>
      </c>
      <c r="AR2" s="420">
        <v>2019</v>
      </c>
      <c r="AS2" s="420">
        <v>2020</v>
      </c>
      <c r="AT2" s="420">
        <v>2021</v>
      </c>
      <c r="AU2" s="420">
        <v>2022</v>
      </c>
      <c r="AV2" s="420">
        <v>2023</v>
      </c>
      <c r="AW2" s="420">
        <v>2024</v>
      </c>
      <c r="AX2" s="420">
        <v>2025</v>
      </c>
      <c r="AY2" s="420">
        <v>2026</v>
      </c>
      <c r="AZ2" s="420">
        <v>2027</v>
      </c>
      <c r="BA2" s="420">
        <v>2028</v>
      </c>
      <c r="BB2" s="420">
        <v>2029</v>
      </c>
      <c r="BC2" s="420">
        <v>2030</v>
      </c>
      <c r="BD2" s="420">
        <v>2031</v>
      </c>
      <c r="BE2" s="420">
        <v>2032</v>
      </c>
      <c r="BF2" s="420">
        <v>2033</v>
      </c>
      <c r="BG2" s="420">
        <v>2034</v>
      </c>
      <c r="BH2" s="420">
        <v>2035</v>
      </c>
      <c r="BI2" s="420">
        <v>2036</v>
      </c>
      <c r="BJ2" s="420">
        <v>2037</v>
      </c>
      <c r="BK2" s="420">
        <v>2038</v>
      </c>
      <c r="BL2" s="420">
        <v>2039</v>
      </c>
      <c r="BM2" s="420">
        <v>2015</v>
      </c>
      <c r="BN2" s="420">
        <v>2016</v>
      </c>
      <c r="BO2" s="420">
        <v>2017</v>
      </c>
      <c r="BP2" s="420">
        <v>2018</v>
      </c>
      <c r="BQ2" s="420">
        <v>2019</v>
      </c>
      <c r="BR2" s="420">
        <v>2020</v>
      </c>
      <c r="BS2" s="420">
        <v>2021</v>
      </c>
      <c r="BT2" s="420">
        <v>2022</v>
      </c>
      <c r="BU2" s="420">
        <v>2023</v>
      </c>
      <c r="BV2" s="420">
        <v>2024</v>
      </c>
      <c r="BW2" s="420">
        <v>2025</v>
      </c>
      <c r="BX2" s="420">
        <v>2026</v>
      </c>
      <c r="BY2" s="420">
        <v>2027</v>
      </c>
      <c r="BZ2" s="420">
        <v>2028</v>
      </c>
      <c r="CA2" s="420">
        <v>2029</v>
      </c>
      <c r="CB2" s="420">
        <v>2030</v>
      </c>
      <c r="CC2" s="420">
        <v>2031</v>
      </c>
      <c r="CD2" s="420">
        <v>2032</v>
      </c>
      <c r="CE2" s="420">
        <v>2033</v>
      </c>
      <c r="CF2" s="420">
        <v>2034</v>
      </c>
      <c r="CG2" s="420">
        <v>2035</v>
      </c>
      <c r="CH2" s="420">
        <v>2036</v>
      </c>
      <c r="CI2" s="420">
        <v>2037</v>
      </c>
      <c r="CJ2" s="420">
        <v>2038</v>
      </c>
      <c r="CK2" s="420">
        <v>2039</v>
      </c>
      <c r="CL2" s="420">
        <v>2015</v>
      </c>
      <c r="CM2" s="420">
        <v>2016</v>
      </c>
      <c r="CN2" s="420">
        <v>2017</v>
      </c>
      <c r="CO2" s="420">
        <v>2018</v>
      </c>
      <c r="CP2" s="420">
        <v>2019</v>
      </c>
      <c r="CQ2" s="420">
        <v>2020</v>
      </c>
      <c r="CR2" s="420">
        <v>2021</v>
      </c>
      <c r="CS2" s="420">
        <v>2022</v>
      </c>
      <c r="CT2" s="420">
        <v>2023</v>
      </c>
      <c r="CU2" s="420">
        <v>2024</v>
      </c>
      <c r="CV2" s="420">
        <v>2025</v>
      </c>
      <c r="CW2" s="420">
        <v>2026</v>
      </c>
      <c r="CX2" s="420"/>
      <c r="CY2" s="420"/>
      <c r="CZ2" s="420"/>
      <c r="DA2" s="420"/>
      <c r="DB2" s="420"/>
      <c r="DC2" s="420"/>
      <c r="DD2" s="420"/>
      <c r="DE2" s="420"/>
      <c r="DF2" s="420"/>
      <c r="DG2" s="420"/>
      <c r="DH2" s="420"/>
      <c r="DI2" s="420"/>
      <c r="DJ2" s="420"/>
    </row>
    <row r="3" spans="1:114" s="388" customFormat="1">
      <c r="A3" s="421" t="s">
        <v>370</v>
      </c>
      <c r="B3" s="421" t="s">
        <v>12</v>
      </c>
      <c r="C3" s="421" t="s">
        <v>373</v>
      </c>
      <c r="D3" s="422" t="s">
        <v>376</v>
      </c>
      <c r="E3" s="422">
        <v>2015</v>
      </c>
      <c r="F3" s="423">
        <v>10.976010430247717</v>
      </c>
      <c r="G3" s="424">
        <v>54941.441441441435</v>
      </c>
      <c r="H3" s="422">
        <v>11</v>
      </c>
      <c r="I3" s="425">
        <v>0.77700000000000002</v>
      </c>
      <c r="J3" s="425">
        <v>0.76700000000000002</v>
      </c>
      <c r="K3" s="422">
        <v>0</v>
      </c>
      <c r="L3" s="422">
        <v>0</v>
      </c>
      <c r="M3" s="422">
        <v>0</v>
      </c>
      <c r="N3" s="426">
        <v>52</v>
      </c>
      <c r="O3" s="426">
        <v>469.20385852090033</v>
      </c>
      <c r="P3" s="426">
        <v>469.20385852090033</v>
      </c>
      <c r="Q3" s="426">
        <v>469.20385852090033</v>
      </c>
      <c r="R3" s="426">
        <v>469.20385852090033</v>
      </c>
      <c r="S3" s="426">
        <v>469.20385852090033</v>
      </c>
      <c r="T3" s="426">
        <v>469.20385852090033</v>
      </c>
      <c r="U3" s="426">
        <v>469.20385852090033</v>
      </c>
      <c r="V3" s="426">
        <v>469.20385852090033</v>
      </c>
      <c r="W3" s="426">
        <v>469.20385852090033</v>
      </c>
      <c r="X3" s="426">
        <v>469.20385852090033</v>
      </c>
      <c r="Y3" s="426">
        <v>469.20385852090033</v>
      </c>
      <c r="Z3" s="426">
        <v>0</v>
      </c>
      <c r="AA3" s="426">
        <v>0</v>
      </c>
      <c r="AB3" s="426">
        <v>0</v>
      </c>
      <c r="AC3" s="426">
        <v>0</v>
      </c>
      <c r="AD3" s="426">
        <v>0</v>
      </c>
      <c r="AE3" s="426">
        <v>0</v>
      </c>
      <c r="AF3" s="426">
        <v>0</v>
      </c>
      <c r="AG3" s="426">
        <v>0</v>
      </c>
      <c r="AH3" s="426">
        <v>0</v>
      </c>
      <c r="AI3" s="426">
        <v>0</v>
      </c>
      <c r="AJ3" s="426">
        <v>0</v>
      </c>
      <c r="AK3" s="426">
        <v>0</v>
      </c>
      <c r="AL3" s="426">
        <v>0</v>
      </c>
      <c r="AM3" s="427">
        <v>0</v>
      </c>
      <c r="AN3" s="427">
        <v>2379264.7374062161</v>
      </c>
      <c r="AO3" s="427">
        <v>2379264.7374062161</v>
      </c>
      <c r="AP3" s="427">
        <v>2379264.7374062161</v>
      </c>
      <c r="AQ3" s="427">
        <v>2379264.7374062161</v>
      </c>
      <c r="AR3" s="427">
        <v>2379264.7374062161</v>
      </c>
      <c r="AS3" s="427">
        <v>2379264.7374062161</v>
      </c>
      <c r="AT3" s="427">
        <v>2379264.7374062161</v>
      </c>
      <c r="AU3" s="427">
        <v>2379264.7374062161</v>
      </c>
      <c r="AV3" s="427">
        <v>2379264.7374062161</v>
      </c>
      <c r="AW3" s="427">
        <v>2379264.7374062161</v>
      </c>
      <c r="AX3" s="427">
        <v>2379264.7374062161</v>
      </c>
      <c r="AY3" s="427">
        <v>0</v>
      </c>
      <c r="AZ3" s="427">
        <v>0</v>
      </c>
      <c r="BA3" s="427">
        <v>0</v>
      </c>
      <c r="BB3" s="427">
        <v>0</v>
      </c>
      <c r="BC3" s="427">
        <v>0</v>
      </c>
      <c r="BD3" s="427">
        <v>0</v>
      </c>
      <c r="BE3" s="427">
        <v>0</v>
      </c>
      <c r="BF3" s="427">
        <v>0</v>
      </c>
      <c r="BG3" s="427">
        <v>0</v>
      </c>
      <c r="BH3" s="427">
        <v>0</v>
      </c>
      <c r="BI3" s="427">
        <v>0</v>
      </c>
      <c r="BJ3" s="427">
        <v>0</v>
      </c>
      <c r="BK3" s="427">
        <v>0</v>
      </c>
      <c r="BL3" s="427">
        <v>0</v>
      </c>
      <c r="BM3" s="427">
        <v>0</v>
      </c>
      <c r="BN3" s="427">
        <v>0</v>
      </c>
      <c r="BO3" s="427">
        <v>0</v>
      </c>
      <c r="BP3" s="427">
        <v>0</v>
      </c>
      <c r="BQ3" s="427">
        <v>0</v>
      </c>
      <c r="BR3" s="427">
        <v>0</v>
      </c>
      <c r="BS3" s="427">
        <v>0</v>
      </c>
      <c r="BT3" s="427">
        <v>0</v>
      </c>
      <c r="BU3" s="427">
        <v>0</v>
      </c>
      <c r="BV3" s="427">
        <v>0</v>
      </c>
      <c r="BW3" s="427">
        <v>0</v>
      </c>
      <c r="BX3" s="427">
        <v>0</v>
      </c>
      <c r="BY3" s="427">
        <v>0</v>
      </c>
      <c r="BZ3" s="427">
        <v>0</v>
      </c>
      <c r="CA3" s="427">
        <v>0</v>
      </c>
      <c r="CB3" s="427">
        <v>0</v>
      </c>
      <c r="CC3" s="427">
        <v>0</v>
      </c>
      <c r="CD3" s="427">
        <v>0</v>
      </c>
      <c r="CE3" s="427">
        <v>0</v>
      </c>
      <c r="CF3" s="427">
        <v>0</v>
      </c>
      <c r="CG3" s="427">
        <v>0</v>
      </c>
      <c r="CH3" s="427">
        <v>0</v>
      </c>
      <c r="CI3" s="427">
        <v>0</v>
      </c>
      <c r="CJ3" s="427">
        <v>0</v>
      </c>
      <c r="CK3" s="428">
        <v>0</v>
      </c>
      <c r="CL3" s="428">
        <v>0</v>
      </c>
      <c r="CM3" s="428">
        <v>0</v>
      </c>
      <c r="CN3" s="428">
        <v>0</v>
      </c>
      <c r="CO3" s="428">
        <v>0</v>
      </c>
      <c r="CP3" s="428">
        <v>0</v>
      </c>
      <c r="CQ3" s="428">
        <v>0</v>
      </c>
      <c r="CR3" s="428">
        <v>0</v>
      </c>
      <c r="CS3" s="428">
        <v>0</v>
      </c>
      <c r="CT3" s="428">
        <v>0</v>
      </c>
      <c r="CU3" s="428">
        <v>0</v>
      </c>
      <c r="CV3" s="428">
        <v>0</v>
      </c>
      <c r="CW3" s="428">
        <v>0</v>
      </c>
      <c r="CX3" s="428"/>
      <c r="CY3" s="428"/>
      <c r="CZ3" s="428"/>
      <c r="DA3" s="428"/>
      <c r="DB3" s="428"/>
      <c r="DC3" s="428"/>
      <c r="DD3" s="428"/>
      <c r="DE3" s="428"/>
      <c r="DF3" s="428"/>
      <c r="DG3" s="428"/>
      <c r="DH3" s="428"/>
      <c r="DI3" s="428"/>
    </row>
    <row r="4" spans="1:114" s="388" customFormat="1">
      <c r="A4" s="421" t="s">
        <v>370</v>
      </c>
      <c r="B4" s="421" t="s">
        <v>12</v>
      </c>
      <c r="C4" s="421" t="s">
        <v>373</v>
      </c>
      <c r="D4" s="422" t="s">
        <v>376</v>
      </c>
      <c r="E4" s="422">
        <v>2016</v>
      </c>
      <c r="F4" s="423">
        <v>10.976010430247717</v>
      </c>
      <c r="G4" s="424">
        <v>54941.441441441435</v>
      </c>
      <c r="H4" s="422">
        <v>11</v>
      </c>
      <c r="I4" s="425">
        <v>0.77700000000000002</v>
      </c>
      <c r="J4" s="425">
        <v>0.76700000000000002</v>
      </c>
      <c r="K4" s="422">
        <v>0</v>
      </c>
      <c r="L4" s="422">
        <v>0</v>
      </c>
      <c r="M4" s="422">
        <v>0</v>
      </c>
      <c r="N4" s="426">
        <v>24</v>
      </c>
      <c r="O4" s="426">
        <v>0</v>
      </c>
      <c r="P4" s="426">
        <v>216.55562700964632</v>
      </c>
      <c r="Q4" s="426">
        <v>216.55562700964632</v>
      </c>
      <c r="R4" s="426">
        <v>216.55562700964632</v>
      </c>
      <c r="S4" s="426">
        <v>216.55562700964632</v>
      </c>
      <c r="T4" s="426">
        <v>216.55562700964632</v>
      </c>
      <c r="U4" s="426">
        <v>216.55562700964632</v>
      </c>
      <c r="V4" s="426">
        <v>216.55562700964632</v>
      </c>
      <c r="W4" s="426">
        <v>216.55562700964632</v>
      </c>
      <c r="X4" s="426">
        <v>216.55562700964632</v>
      </c>
      <c r="Y4" s="426">
        <v>216.55562700964632</v>
      </c>
      <c r="Z4" s="426">
        <v>216.55562700964632</v>
      </c>
      <c r="AA4" s="426">
        <v>0</v>
      </c>
      <c r="AB4" s="426">
        <v>0</v>
      </c>
      <c r="AC4" s="426">
        <v>0</v>
      </c>
      <c r="AD4" s="426">
        <v>0</v>
      </c>
      <c r="AE4" s="426">
        <v>0</v>
      </c>
      <c r="AF4" s="426">
        <v>0</v>
      </c>
      <c r="AG4" s="426">
        <v>0</v>
      </c>
      <c r="AH4" s="426">
        <v>0</v>
      </c>
      <c r="AI4" s="426">
        <v>0</v>
      </c>
      <c r="AJ4" s="426">
        <v>0</v>
      </c>
      <c r="AK4" s="426">
        <v>0</v>
      </c>
      <c r="AL4" s="426">
        <v>0</v>
      </c>
      <c r="AM4" s="427">
        <v>0</v>
      </c>
      <c r="AN4" s="427">
        <v>0</v>
      </c>
      <c r="AO4" s="427">
        <v>1098122.1864951765</v>
      </c>
      <c r="AP4" s="427">
        <v>1098122.1864951765</v>
      </c>
      <c r="AQ4" s="427">
        <v>1098122.1864951765</v>
      </c>
      <c r="AR4" s="427">
        <v>1098122.1864951765</v>
      </c>
      <c r="AS4" s="427">
        <v>1098122.1864951765</v>
      </c>
      <c r="AT4" s="427">
        <v>1098122.1864951765</v>
      </c>
      <c r="AU4" s="427">
        <v>1098122.1864951765</v>
      </c>
      <c r="AV4" s="427">
        <v>1098122.1864951765</v>
      </c>
      <c r="AW4" s="427">
        <v>1098122.1864951765</v>
      </c>
      <c r="AX4" s="427">
        <v>1098122.1864951765</v>
      </c>
      <c r="AY4" s="427">
        <v>1098122.1864951765</v>
      </c>
      <c r="AZ4" s="427">
        <v>0</v>
      </c>
      <c r="BA4" s="427">
        <v>0</v>
      </c>
      <c r="BB4" s="427">
        <v>0</v>
      </c>
      <c r="BC4" s="427">
        <v>0</v>
      </c>
      <c r="BD4" s="427">
        <v>0</v>
      </c>
      <c r="BE4" s="427">
        <v>0</v>
      </c>
      <c r="BF4" s="427">
        <v>0</v>
      </c>
      <c r="BG4" s="427">
        <v>0</v>
      </c>
      <c r="BH4" s="427">
        <v>0</v>
      </c>
      <c r="BI4" s="427">
        <v>0</v>
      </c>
      <c r="BJ4" s="427">
        <v>0</v>
      </c>
      <c r="BK4" s="427">
        <v>0</v>
      </c>
      <c r="BL4" s="427">
        <v>0</v>
      </c>
      <c r="BM4" s="427">
        <v>0</v>
      </c>
      <c r="BN4" s="427">
        <v>0</v>
      </c>
      <c r="BO4" s="427">
        <v>0</v>
      </c>
      <c r="BP4" s="427">
        <v>0</v>
      </c>
      <c r="BQ4" s="427">
        <v>0</v>
      </c>
      <c r="BR4" s="427">
        <v>0</v>
      </c>
      <c r="BS4" s="427">
        <v>0</v>
      </c>
      <c r="BT4" s="427">
        <v>0</v>
      </c>
      <c r="BU4" s="427">
        <v>0</v>
      </c>
      <c r="BV4" s="427">
        <v>0</v>
      </c>
      <c r="BW4" s="427">
        <v>0</v>
      </c>
      <c r="BX4" s="427">
        <v>0</v>
      </c>
      <c r="BY4" s="427">
        <v>0</v>
      </c>
      <c r="BZ4" s="427">
        <v>0</v>
      </c>
      <c r="CA4" s="427">
        <v>0</v>
      </c>
      <c r="CB4" s="427">
        <v>0</v>
      </c>
      <c r="CC4" s="427">
        <v>0</v>
      </c>
      <c r="CD4" s="427">
        <v>0</v>
      </c>
      <c r="CE4" s="427">
        <v>0</v>
      </c>
      <c r="CF4" s="427">
        <v>0</v>
      </c>
      <c r="CG4" s="427">
        <v>0</v>
      </c>
      <c r="CH4" s="427">
        <v>0</v>
      </c>
      <c r="CI4" s="427">
        <v>0</v>
      </c>
      <c r="CJ4" s="427">
        <v>0</v>
      </c>
      <c r="CK4" s="428">
        <v>0</v>
      </c>
      <c r="CL4" s="428">
        <v>0</v>
      </c>
      <c r="CM4" s="428">
        <v>0</v>
      </c>
      <c r="CN4" s="428">
        <v>0</v>
      </c>
      <c r="CO4" s="428">
        <v>0</v>
      </c>
      <c r="CP4" s="428">
        <v>0</v>
      </c>
      <c r="CQ4" s="428">
        <v>0</v>
      </c>
      <c r="CR4" s="428">
        <v>0</v>
      </c>
      <c r="CS4" s="428">
        <v>0</v>
      </c>
      <c r="CT4" s="428">
        <v>0</v>
      </c>
      <c r="CU4" s="428">
        <v>0</v>
      </c>
      <c r="CV4" s="428">
        <v>0</v>
      </c>
      <c r="CW4" s="428">
        <v>0</v>
      </c>
      <c r="CX4" s="428"/>
      <c r="CY4" s="428"/>
      <c r="CZ4" s="428"/>
      <c r="DA4" s="428"/>
      <c r="DB4" s="428"/>
      <c r="DC4" s="428"/>
      <c r="DD4" s="428"/>
      <c r="DE4" s="428"/>
      <c r="DF4" s="428"/>
      <c r="DG4" s="428"/>
      <c r="DH4" s="428"/>
      <c r="DI4" s="428"/>
    </row>
    <row r="5" spans="1:114" s="388" customFormat="1">
      <c r="A5" s="421" t="s">
        <v>370</v>
      </c>
      <c r="B5" s="421" t="s">
        <v>12</v>
      </c>
      <c r="C5" s="421" t="s">
        <v>373</v>
      </c>
      <c r="D5" s="422" t="s">
        <v>376</v>
      </c>
      <c r="E5" s="422">
        <v>2017</v>
      </c>
      <c r="F5" s="423">
        <v>10.976010430247717</v>
      </c>
      <c r="G5" s="424">
        <v>54941.441441441435</v>
      </c>
      <c r="H5" s="422">
        <v>11</v>
      </c>
      <c r="I5" s="425">
        <v>0.77700000000000002</v>
      </c>
      <c r="J5" s="425">
        <v>0.76700000000000002</v>
      </c>
      <c r="K5" s="422">
        <v>0</v>
      </c>
      <c r="L5" s="422">
        <v>0</v>
      </c>
      <c r="M5" s="422">
        <v>0</v>
      </c>
      <c r="N5" s="426">
        <v>24</v>
      </c>
      <c r="O5" s="426">
        <v>0</v>
      </c>
      <c r="P5" s="426">
        <v>0</v>
      </c>
      <c r="Q5" s="426">
        <v>216.55562700964632</v>
      </c>
      <c r="R5" s="426">
        <v>216.55562700964632</v>
      </c>
      <c r="S5" s="426">
        <v>216.55562700964632</v>
      </c>
      <c r="T5" s="426">
        <v>216.55562700964632</v>
      </c>
      <c r="U5" s="426">
        <v>216.55562700964632</v>
      </c>
      <c r="V5" s="426">
        <v>216.55562700964632</v>
      </c>
      <c r="W5" s="426">
        <v>216.55562700964632</v>
      </c>
      <c r="X5" s="426">
        <v>216.55562700964632</v>
      </c>
      <c r="Y5" s="426">
        <v>216.55562700964632</v>
      </c>
      <c r="Z5" s="426">
        <v>216.55562700964632</v>
      </c>
      <c r="AA5" s="426">
        <v>216.55562700964632</v>
      </c>
      <c r="AB5" s="426">
        <v>0</v>
      </c>
      <c r="AC5" s="426">
        <v>0</v>
      </c>
      <c r="AD5" s="426">
        <v>0</v>
      </c>
      <c r="AE5" s="426">
        <v>0</v>
      </c>
      <c r="AF5" s="426">
        <v>0</v>
      </c>
      <c r="AG5" s="426">
        <v>0</v>
      </c>
      <c r="AH5" s="426">
        <v>0</v>
      </c>
      <c r="AI5" s="426">
        <v>0</v>
      </c>
      <c r="AJ5" s="426">
        <v>0</v>
      </c>
      <c r="AK5" s="426">
        <v>0</v>
      </c>
      <c r="AL5" s="426">
        <v>0</v>
      </c>
      <c r="AM5" s="427">
        <v>0</v>
      </c>
      <c r="AN5" s="427">
        <v>0</v>
      </c>
      <c r="AO5" s="427">
        <v>0</v>
      </c>
      <c r="AP5" s="427">
        <v>1098122.1864951765</v>
      </c>
      <c r="AQ5" s="427">
        <v>1098122.1864951765</v>
      </c>
      <c r="AR5" s="427">
        <v>1098122.1864951765</v>
      </c>
      <c r="AS5" s="427">
        <v>1098122.1864951765</v>
      </c>
      <c r="AT5" s="427">
        <v>1098122.1864951765</v>
      </c>
      <c r="AU5" s="427">
        <v>1098122.1864951765</v>
      </c>
      <c r="AV5" s="427">
        <v>1098122.1864951765</v>
      </c>
      <c r="AW5" s="427">
        <v>1098122.1864951765</v>
      </c>
      <c r="AX5" s="427">
        <v>1098122.1864951765</v>
      </c>
      <c r="AY5" s="427">
        <v>1098122.1864951765</v>
      </c>
      <c r="AZ5" s="427">
        <v>1098122.1864951765</v>
      </c>
      <c r="BA5" s="427">
        <v>0</v>
      </c>
      <c r="BB5" s="427">
        <v>0</v>
      </c>
      <c r="BC5" s="427">
        <v>0</v>
      </c>
      <c r="BD5" s="427">
        <v>0</v>
      </c>
      <c r="BE5" s="427">
        <v>0</v>
      </c>
      <c r="BF5" s="427">
        <v>0</v>
      </c>
      <c r="BG5" s="427">
        <v>0</v>
      </c>
      <c r="BH5" s="427">
        <v>0</v>
      </c>
      <c r="BI5" s="427">
        <v>0</v>
      </c>
      <c r="BJ5" s="427">
        <v>0</v>
      </c>
      <c r="BK5" s="427">
        <v>0</v>
      </c>
      <c r="BL5" s="427">
        <v>0</v>
      </c>
      <c r="BM5" s="427">
        <v>0</v>
      </c>
      <c r="BN5" s="427">
        <v>0</v>
      </c>
      <c r="BO5" s="427">
        <v>0</v>
      </c>
      <c r="BP5" s="427">
        <v>0</v>
      </c>
      <c r="BQ5" s="427">
        <v>0</v>
      </c>
      <c r="BR5" s="427">
        <v>0</v>
      </c>
      <c r="BS5" s="427">
        <v>0</v>
      </c>
      <c r="BT5" s="427">
        <v>0</v>
      </c>
      <c r="BU5" s="427">
        <v>0</v>
      </c>
      <c r="BV5" s="427">
        <v>0</v>
      </c>
      <c r="BW5" s="427">
        <v>0</v>
      </c>
      <c r="BX5" s="427">
        <v>0</v>
      </c>
      <c r="BY5" s="427">
        <v>0</v>
      </c>
      <c r="BZ5" s="427">
        <v>0</v>
      </c>
      <c r="CA5" s="427">
        <v>0</v>
      </c>
      <c r="CB5" s="427">
        <v>0</v>
      </c>
      <c r="CC5" s="427">
        <v>0</v>
      </c>
      <c r="CD5" s="427">
        <v>0</v>
      </c>
      <c r="CE5" s="427">
        <v>0</v>
      </c>
      <c r="CF5" s="427">
        <v>0</v>
      </c>
      <c r="CG5" s="427">
        <v>0</v>
      </c>
      <c r="CH5" s="427">
        <v>0</v>
      </c>
      <c r="CI5" s="427">
        <v>0</v>
      </c>
      <c r="CJ5" s="427">
        <v>0</v>
      </c>
      <c r="CK5" s="428">
        <v>0</v>
      </c>
      <c r="CL5" s="428">
        <v>0</v>
      </c>
      <c r="CM5" s="428">
        <v>0</v>
      </c>
      <c r="CN5" s="428">
        <v>0</v>
      </c>
      <c r="CO5" s="428">
        <v>0</v>
      </c>
      <c r="CP5" s="428">
        <v>0</v>
      </c>
      <c r="CQ5" s="428">
        <v>0</v>
      </c>
      <c r="CR5" s="428">
        <v>0</v>
      </c>
      <c r="CS5" s="428">
        <v>0</v>
      </c>
      <c r="CT5" s="428">
        <v>0</v>
      </c>
      <c r="CU5" s="428">
        <v>0</v>
      </c>
      <c r="CV5" s="428">
        <v>0</v>
      </c>
      <c r="CW5" s="428">
        <v>0</v>
      </c>
      <c r="CX5" s="428"/>
      <c r="CY5" s="428"/>
      <c r="CZ5" s="428"/>
      <c r="DA5" s="428"/>
      <c r="DB5" s="428"/>
      <c r="DC5" s="428"/>
      <c r="DD5" s="428"/>
      <c r="DE5" s="428"/>
      <c r="DF5" s="428"/>
      <c r="DG5" s="428"/>
      <c r="DH5" s="428"/>
      <c r="DI5" s="428"/>
    </row>
    <row r="6" spans="1:114" s="388" customFormat="1">
      <c r="A6" s="421" t="s">
        <v>370</v>
      </c>
      <c r="B6" s="421" t="s">
        <v>12</v>
      </c>
      <c r="C6" s="421" t="s">
        <v>373</v>
      </c>
      <c r="D6" s="422" t="s">
        <v>376</v>
      </c>
      <c r="E6" s="422">
        <v>2018</v>
      </c>
      <c r="F6" s="423">
        <v>10.976010430247717</v>
      </c>
      <c r="G6" s="424">
        <v>54941.441441441435</v>
      </c>
      <c r="H6" s="422">
        <v>11</v>
      </c>
      <c r="I6" s="425">
        <v>0.77700000000000002</v>
      </c>
      <c r="J6" s="425">
        <v>0.76700000000000002</v>
      </c>
      <c r="K6" s="422">
        <v>0</v>
      </c>
      <c r="L6" s="422">
        <v>0</v>
      </c>
      <c r="M6" s="422">
        <v>0</v>
      </c>
      <c r="N6" s="426">
        <v>26</v>
      </c>
      <c r="O6" s="426">
        <v>0</v>
      </c>
      <c r="P6" s="426">
        <v>0</v>
      </c>
      <c r="Q6" s="426">
        <v>0</v>
      </c>
      <c r="R6" s="426">
        <v>234.60192926045016</v>
      </c>
      <c r="S6" s="426">
        <v>234.60192926045016</v>
      </c>
      <c r="T6" s="426">
        <v>234.60192926045016</v>
      </c>
      <c r="U6" s="426">
        <v>234.60192926045016</v>
      </c>
      <c r="V6" s="426">
        <v>234.60192926045016</v>
      </c>
      <c r="W6" s="426">
        <v>234.60192926045016</v>
      </c>
      <c r="X6" s="426">
        <v>234.60192926045016</v>
      </c>
      <c r="Y6" s="426">
        <v>234.60192926045016</v>
      </c>
      <c r="Z6" s="426">
        <v>234.60192926045016</v>
      </c>
      <c r="AA6" s="426">
        <v>234.60192926045016</v>
      </c>
      <c r="AB6" s="426">
        <v>234.60192926045016</v>
      </c>
      <c r="AC6" s="426">
        <v>0</v>
      </c>
      <c r="AD6" s="426">
        <v>0</v>
      </c>
      <c r="AE6" s="426">
        <v>0</v>
      </c>
      <c r="AF6" s="426">
        <v>0</v>
      </c>
      <c r="AG6" s="426">
        <v>0</v>
      </c>
      <c r="AH6" s="426">
        <v>0</v>
      </c>
      <c r="AI6" s="426">
        <v>0</v>
      </c>
      <c r="AJ6" s="426">
        <v>0</v>
      </c>
      <c r="AK6" s="426">
        <v>0</v>
      </c>
      <c r="AL6" s="426">
        <v>0</v>
      </c>
      <c r="AM6" s="427">
        <v>0</v>
      </c>
      <c r="AN6" s="427">
        <v>0</v>
      </c>
      <c r="AO6" s="427">
        <v>0</v>
      </c>
      <c r="AP6" s="427">
        <v>0</v>
      </c>
      <c r="AQ6" s="427">
        <v>1189632.368703108</v>
      </c>
      <c r="AR6" s="427">
        <v>1189632.368703108</v>
      </c>
      <c r="AS6" s="427">
        <v>1189632.368703108</v>
      </c>
      <c r="AT6" s="427">
        <v>1189632.368703108</v>
      </c>
      <c r="AU6" s="427">
        <v>1189632.368703108</v>
      </c>
      <c r="AV6" s="427">
        <v>1189632.368703108</v>
      </c>
      <c r="AW6" s="427">
        <v>1189632.368703108</v>
      </c>
      <c r="AX6" s="427">
        <v>1189632.368703108</v>
      </c>
      <c r="AY6" s="427">
        <v>1189632.368703108</v>
      </c>
      <c r="AZ6" s="427">
        <v>1189632.368703108</v>
      </c>
      <c r="BA6" s="427">
        <v>1189632.368703108</v>
      </c>
      <c r="BB6" s="427">
        <v>0</v>
      </c>
      <c r="BC6" s="427">
        <v>0</v>
      </c>
      <c r="BD6" s="427">
        <v>0</v>
      </c>
      <c r="BE6" s="427">
        <v>0</v>
      </c>
      <c r="BF6" s="427">
        <v>0</v>
      </c>
      <c r="BG6" s="427">
        <v>0</v>
      </c>
      <c r="BH6" s="427">
        <v>0</v>
      </c>
      <c r="BI6" s="427">
        <v>0</v>
      </c>
      <c r="BJ6" s="427">
        <v>0</v>
      </c>
      <c r="BK6" s="427">
        <v>0</v>
      </c>
      <c r="BL6" s="427">
        <v>0</v>
      </c>
      <c r="BM6" s="427">
        <v>0</v>
      </c>
      <c r="BN6" s="427">
        <v>0</v>
      </c>
      <c r="BO6" s="427">
        <v>0</v>
      </c>
      <c r="BP6" s="427">
        <v>0</v>
      </c>
      <c r="BQ6" s="427">
        <v>0</v>
      </c>
      <c r="BR6" s="427">
        <v>0</v>
      </c>
      <c r="BS6" s="427">
        <v>0</v>
      </c>
      <c r="BT6" s="427">
        <v>0</v>
      </c>
      <c r="BU6" s="427">
        <v>0</v>
      </c>
      <c r="BV6" s="427">
        <v>0</v>
      </c>
      <c r="BW6" s="427">
        <v>0</v>
      </c>
      <c r="BX6" s="427">
        <v>0</v>
      </c>
      <c r="BY6" s="427">
        <v>0</v>
      </c>
      <c r="BZ6" s="427">
        <v>0</v>
      </c>
      <c r="CA6" s="427">
        <v>0</v>
      </c>
      <c r="CB6" s="427">
        <v>0</v>
      </c>
      <c r="CC6" s="427">
        <v>0</v>
      </c>
      <c r="CD6" s="427">
        <v>0</v>
      </c>
      <c r="CE6" s="427">
        <v>0</v>
      </c>
      <c r="CF6" s="427">
        <v>0</v>
      </c>
      <c r="CG6" s="427">
        <v>0</v>
      </c>
      <c r="CH6" s="427">
        <v>0</v>
      </c>
      <c r="CI6" s="427">
        <v>0</v>
      </c>
      <c r="CJ6" s="427">
        <v>0</v>
      </c>
      <c r="CK6" s="428">
        <v>0</v>
      </c>
      <c r="CL6" s="428">
        <v>0</v>
      </c>
      <c r="CM6" s="428">
        <v>0</v>
      </c>
      <c r="CN6" s="428">
        <v>0</v>
      </c>
      <c r="CO6" s="428">
        <v>0</v>
      </c>
      <c r="CP6" s="428">
        <v>0</v>
      </c>
      <c r="CQ6" s="428">
        <v>0</v>
      </c>
      <c r="CR6" s="428">
        <v>0</v>
      </c>
      <c r="CS6" s="428">
        <v>0</v>
      </c>
      <c r="CT6" s="428">
        <v>0</v>
      </c>
      <c r="CU6" s="428">
        <v>0</v>
      </c>
      <c r="CV6" s="428">
        <v>0</v>
      </c>
      <c r="CW6" s="428">
        <v>0</v>
      </c>
      <c r="CX6" s="428"/>
      <c r="CY6" s="428"/>
      <c r="CZ6" s="428"/>
      <c r="DA6" s="428"/>
      <c r="DB6" s="428"/>
      <c r="DC6" s="428"/>
      <c r="DD6" s="428"/>
      <c r="DE6" s="428"/>
      <c r="DF6" s="428"/>
      <c r="DG6" s="428"/>
      <c r="DH6" s="428"/>
      <c r="DI6" s="428"/>
    </row>
    <row r="7" spans="1:114" s="388" customFormat="1">
      <c r="A7" s="421" t="s">
        <v>370</v>
      </c>
      <c r="B7" s="421" t="s">
        <v>12</v>
      </c>
      <c r="C7" s="421" t="s">
        <v>373</v>
      </c>
      <c r="D7" s="422" t="s">
        <v>376</v>
      </c>
      <c r="E7" s="422">
        <v>2019</v>
      </c>
      <c r="F7" s="423">
        <v>10.976010430247717</v>
      </c>
      <c r="G7" s="424">
        <v>54941.441441441435</v>
      </c>
      <c r="H7" s="422">
        <v>11</v>
      </c>
      <c r="I7" s="425">
        <v>0.77700000000000002</v>
      </c>
      <c r="J7" s="425">
        <v>0.76700000000000002</v>
      </c>
      <c r="K7" s="422">
        <v>0</v>
      </c>
      <c r="L7" s="422">
        <v>0</v>
      </c>
      <c r="M7" s="422">
        <v>0</v>
      </c>
      <c r="N7" s="426">
        <v>28</v>
      </c>
      <c r="O7" s="426">
        <v>0</v>
      </c>
      <c r="P7" s="426">
        <v>0</v>
      </c>
      <c r="Q7" s="426">
        <v>0</v>
      </c>
      <c r="R7" s="426">
        <v>0</v>
      </c>
      <c r="S7" s="426">
        <v>252.64823151125401</v>
      </c>
      <c r="T7" s="426">
        <v>252.64823151125401</v>
      </c>
      <c r="U7" s="426">
        <v>252.64823151125401</v>
      </c>
      <c r="V7" s="426">
        <v>252.64823151125401</v>
      </c>
      <c r="W7" s="426">
        <v>252.64823151125401</v>
      </c>
      <c r="X7" s="426">
        <v>252.64823151125401</v>
      </c>
      <c r="Y7" s="426">
        <v>252.64823151125401</v>
      </c>
      <c r="Z7" s="426">
        <v>252.64823151125401</v>
      </c>
      <c r="AA7" s="426">
        <v>252.64823151125401</v>
      </c>
      <c r="AB7" s="426">
        <v>252.64823151125401</v>
      </c>
      <c r="AC7" s="426">
        <v>252.64823151125401</v>
      </c>
      <c r="AD7" s="426">
        <v>0</v>
      </c>
      <c r="AE7" s="426">
        <v>0</v>
      </c>
      <c r="AF7" s="426">
        <v>0</v>
      </c>
      <c r="AG7" s="426">
        <v>0</v>
      </c>
      <c r="AH7" s="426">
        <v>0</v>
      </c>
      <c r="AI7" s="426">
        <v>0</v>
      </c>
      <c r="AJ7" s="426">
        <v>0</v>
      </c>
      <c r="AK7" s="426">
        <v>0</v>
      </c>
      <c r="AL7" s="426">
        <v>0</v>
      </c>
      <c r="AM7" s="427">
        <v>0</v>
      </c>
      <c r="AN7" s="427">
        <v>0</v>
      </c>
      <c r="AO7" s="427">
        <v>0</v>
      </c>
      <c r="AP7" s="427">
        <v>0</v>
      </c>
      <c r="AQ7" s="427">
        <v>0</v>
      </c>
      <c r="AR7" s="427">
        <v>1281142.5509110393</v>
      </c>
      <c r="AS7" s="427">
        <v>1281142.5509110393</v>
      </c>
      <c r="AT7" s="427">
        <v>1281142.5509110393</v>
      </c>
      <c r="AU7" s="427">
        <v>1281142.5509110393</v>
      </c>
      <c r="AV7" s="427">
        <v>1281142.5509110393</v>
      </c>
      <c r="AW7" s="427">
        <v>1281142.5509110393</v>
      </c>
      <c r="AX7" s="427">
        <v>1281142.5509110393</v>
      </c>
      <c r="AY7" s="427">
        <v>1281142.5509110393</v>
      </c>
      <c r="AZ7" s="427">
        <v>1281142.5509110393</v>
      </c>
      <c r="BA7" s="427">
        <v>1281142.5509110393</v>
      </c>
      <c r="BB7" s="427">
        <v>1281142.5509110393</v>
      </c>
      <c r="BC7" s="427">
        <v>0</v>
      </c>
      <c r="BD7" s="427">
        <v>0</v>
      </c>
      <c r="BE7" s="427">
        <v>0</v>
      </c>
      <c r="BF7" s="427">
        <v>0</v>
      </c>
      <c r="BG7" s="427">
        <v>0</v>
      </c>
      <c r="BH7" s="427">
        <v>0</v>
      </c>
      <c r="BI7" s="427">
        <v>0</v>
      </c>
      <c r="BJ7" s="427">
        <v>0</v>
      </c>
      <c r="BK7" s="427">
        <v>0</v>
      </c>
      <c r="BL7" s="427">
        <v>0</v>
      </c>
      <c r="BM7" s="427">
        <v>0</v>
      </c>
      <c r="BN7" s="427">
        <v>0</v>
      </c>
      <c r="BO7" s="427">
        <v>0</v>
      </c>
      <c r="BP7" s="427">
        <v>0</v>
      </c>
      <c r="BQ7" s="427">
        <v>0</v>
      </c>
      <c r="BR7" s="427">
        <v>0</v>
      </c>
      <c r="BS7" s="427">
        <v>0</v>
      </c>
      <c r="BT7" s="427">
        <v>0</v>
      </c>
      <c r="BU7" s="427">
        <v>0</v>
      </c>
      <c r="BV7" s="427">
        <v>0</v>
      </c>
      <c r="BW7" s="427">
        <v>0</v>
      </c>
      <c r="BX7" s="427">
        <v>0</v>
      </c>
      <c r="BY7" s="427">
        <v>0</v>
      </c>
      <c r="BZ7" s="427">
        <v>0</v>
      </c>
      <c r="CA7" s="427">
        <v>0</v>
      </c>
      <c r="CB7" s="427">
        <v>0</v>
      </c>
      <c r="CC7" s="427">
        <v>0</v>
      </c>
      <c r="CD7" s="427">
        <v>0</v>
      </c>
      <c r="CE7" s="427">
        <v>0</v>
      </c>
      <c r="CF7" s="427">
        <v>0</v>
      </c>
      <c r="CG7" s="427">
        <v>0</v>
      </c>
      <c r="CH7" s="427">
        <v>0</v>
      </c>
      <c r="CI7" s="427">
        <v>0</v>
      </c>
      <c r="CJ7" s="427">
        <v>0</v>
      </c>
      <c r="CK7" s="428">
        <v>0</v>
      </c>
      <c r="CL7" s="428">
        <v>0</v>
      </c>
      <c r="CM7" s="428">
        <v>0</v>
      </c>
      <c r="CN7" s="428">
        <v>0</v>
      </c>
      <c r="CO7" s="428">
        <v>0</v>
      </c>
      <c r="CP7" s="428">
        <v>0</v>
      </c>
      <c r="CQ7" s="428">
        <v>0</v>
      </c>
      <c r="CR7" s="428">
        <v>0</v>
      </c>
      <c r="CS7" s="428">
        <v>0</v>
      </c>
      <c r="CT7" s="428">
        <v>0</v>
      </c>
      <c r="CU7" s="428">
        <v>0</v>
      </c>
      <c r="CV7" s="428">
        <v>0</v>
      </c>
      <c r="CW7" s="428">
        <v>0</v>
      </c>
      <c r="CX7" s="428"/>
      <c r="CY7" s="428"/>
      <c r="CZ7" s="428"/>
      <c r="DA7" s="428"/>
      <c r="DB7" s="428"/>
      <c r="DC7" s="428"/>
      <c r="DD7" s="428"/>
      <c r="DE7" s="428"/>
      <c r="DF7" s="428"/>
      <c r="DG7" s="428"/>
      <c r="DH7" s="428"/>
      <c r="DI7" s="428"/>
    </row>
    <row r="8" spans="1:114" s="388" customFormat="1">
      <c r="A8" s="421" t="s">
        <v>370</v>
      </c>
      <c r="B8" s="421" t="s">
        <v>12</v>
      </c>
      <c r="C8" s="421" t="s">
        <v>373</v>
      </c>
      <c r="D8" s="422" t="s">
        <v>376</v>
      </c>
      <c r="E8" s="422">
        <v>2020</v>
      </c>
      <c r="F8" s="423">
        <v>10.976010430247717</v>
      </c>
      <c r="G8" s="424">
        <v>54941.441441441435</v>
      </c>
      <c r="H8" s="422">
        <v>11</v>
      </c>
      <c r="I8" s="425">
        <v>0.77700000000000002</v>
      </c>
      <c r="J8" s="425">
        <v>0.76700000000000002</v>
      </c>
      <c r="K8" s="422">
        <v>0</v>
      </c>
      <c r="L8" s="422">
        <v>0</v>
      </c>
      <c r="M8" s="422">
        <v>0</v>
      </c>
      <c r="N8" s="426">
        <v>30</v>
      </c>
      <c r="O8" s="426">
        <v>0</v>
      </c>
      <c r="P8" s="426">
        <v>0</v>
      </c>
      <c r="Q8" s="426">
        <v>0</v>
      </c>
      <c r="R8" s="426">
        <v>0</v>
      </c>
      <c r="S8" s="426">
        <v>0</v>
      </c>
      <c r="T8" s="426">
        <v>270.69453376205786</v>
      </c>
      <c r="U8" s="426">
        <v>270.69453376205786</v>
      </c>
      <c r="V8" s="426">
        <v>270.69453376205786</v>
      </c>
      <c r="W8" s="426">
        <v>270.69453376205786</v>
      </c>
      <c r="X8" s="426">
        <v>270.69453376205786</v>
      </c>
      <c r="Y8" s="426">
        <v>270.69453376205786</v>
      </c>
      <c r="Z8" s="426">
        <v>270.69453376205786</v>
      </c>
      <c r="AA8" s="426">
        <v>270.69453376205786</v>
      </c>
      <c r="AB8" s="426">
        <v>270.69453376205786</v>
      </c>
      <c r="AC8" s="426">
        <v>270.69453376205786</v>
      </c>
      <c r="AD8" s="426">
        <v>270.69453376205786</v>
      </c>
      <c r="AE8" s="426">
        <v>0</v>
      </c>
      <c r="AF8" s="426">
        <v>0</v>
      </c>
      <c r="AG8" s="426">
        <v>0</v>
      </c>
      <c r="AH8" s="426">
        <v>0</v>
      </c>
      <c r="AI8" s="426">
        <v>0</v>
      </c>
      <c r="AJ8" s="426">
        <v>0</v>
      </c>
      <c r="AK8" s="426">
        <v>0</v>
      </c>
      <c r="AL8" s="426">
        <v>0</v>
      </c>
      <c r="AM8" s="427">
        <v>0</v>
      </c>
      <c r="AN8" s="427">
        <v>0</v>
      </c>
      <c r="AO8" s="427">
        <v>0</v>
      </c>
      <c r="AP8" s="427">
        <v>0</v>
      </c>
      <c r="AQ8" s="427">
        <v>0</v>
      </c>
      <c r="AR8" s="427">
        <v>0</v>
      </c>
      <c r="AS8" s="427">
        <v>1372652.7331189709</v>
      </c>
      <c r="AT8" s="427">
        <v>1372652.7331189709</v>
      </c>
      <c r="AU8" s="427">
        <v>1372652.7331189709</v>
      </c>
      <c r="AV8" s="427">
        <v>1372652.7331189709</v>
      </c>
      <c r="AW8" s="427">
        <v>1372652.7331189709</v>
      </c>
      <c r="AX8" s="427">
        <v>1372652.7331189709</v>
      </c>
      <c r="AY8" s="427">
        <v>1372652.7331189709</v>
      </c>
      <c r="AZ8" s="427">
        <v>1372652.7331189709</v>
      </c>
      <c r="BA8" s="427">
        <v>1372652.7331189709</v>
      </c>
      <c r="BB8" s="427">
        <v>1372652.7331189709</v>
      </c>
      <c r="BC8" s="427">
        <v>1372652.7331189709</v>
      </c>
      <c r="BD8" s="427">
        <v>0</v>
      </c>
      <c r="BE8" s="427">
        <v>0</v>
      </c>
      <c r="BF8" s="427">
        <v>0</v>
      </c>
      <c r="BG8" s="427">
        <v>0</v>
      </c>
      <c r="BH8" s="427">
        <v>0</v>
      </c>
      <c r="BI8" s="427">
        <v>0</v>
      </c>
      <c r="BJ8" s="427">
        <v>0</v>
      </c>
      <c r="BK8" s="427">
        <v>0</v>
      </c>
      <c r="BL8" s="427">
        <v>0</v>
      </c>
      <c r="BM8" s="427">
        <v>0</v>
      </c>
      <c r="BN8" s="427">
        <v>0</v>
      </c>
      <c r="BO8" s="427">
        <v>0</v>
      </c>
      <c r="BP8" s="427">
        <v>0</v>
      </c>
      <c r="BQ8" s="427">
        <v>0</v>
      </c>
      <c r="BR8" s="427">
        <v>0</v>
      </c>
      <c r="BS8" s="427">
        <v>0</v>
      </c>
      <c r="BT8" s="427">
        <v>0</v>
      </c>
      <c r="BU8" s="427">
        <v>0</v>
      </c>
      <c r="BV8" s="427">
        <v>0</v>
      </c>
      <c r="BW8" s="427">
        <v>0</v>
      </c>
      <c r="BX8" s="427">
        <v>0</v>
      </c>
      <c r="BY8" s="427">
        <v>0</v>
      </c>
      <c r="BZ8" s="427">
        <v>0</v>
      </c>
      <c r="CA8" s="427">
        <v>0</v>
      </c>
      <c r="CB8" s="427">
        <v>0</v>
      </c>
      <c r="CC8" s="427">
        <v>0</v>
      </c>
      <c r="CD8" s="427">
        <v>0</v>
      </c>
      <c r="CE8" s="427">
        <v>0</v>
      </c>
      <c r="CF8" s="427">
        <v>0</v>
      </c>
      <c r="CG8" s="427">
        <v>0</v>
      </c>
      <c r="CH8" s="427">
        <v>0</v>
      </c>
      <c r="CI8" s="427">
        <v>0</v>
      </c>
      <c r="CJ8" s="427">
        <v>0</v>
      </c>
      <c r="CK8" s="428">
        <v>0</v>
      </c>
      <c r="CL8" s="428">
        <v>0</v>
      </c>
      <c r="CM8" s="428">
        <v>0</v>
      </c>
      <c r="CN8" s="428">
        <v>0</v>
      </c>
      <c r="CO8" s="428">
        <v>0</v>
      </c>
      <c r="CP8" s="428">
        <v>0</v>
      </c>
      <c r="CQ8" s="428">
        <v>0</v>
      </c>
      <c r="CR8" s="428">
        <v>0</v>
      </c>
      <c r="CS8" s="428">
        <v>0</v>
      </c>
      <c r="CT8" s="428">
        <v>0</v>
      </c>
      <c r="CU8" s="428">
        <v>0</v>
      </c>
      <c r="CV8" s="428">
        <v>0</v>
      </c>
      <c r="CW8" s="428">
        <v>0</v>
      </c>
      <c r="CX8" s="428"/>
      <c r="CY8" s="428"/>
      <c r="CZ8" s="428"/>
      <c r="DA8" s="428"/>
      <c r="DB8" s="428"/>
      <c r="DC8" s="428"/>
      <c r="DD8" s="428"/>
      <c r="DE8" s="428"/>
      <c r="DF8" s="428"/>
      <c r="DG8" s="428"/>
      <c r="DH8" s="428"/>
      <c r="DI8" s="428"/>
    </row>
    <row r="9" spans="1:114" s="388" customFormat="1">
      <c r="A9" s="421" t="s">
        <v>370</v>
      </c>
      <c r="B9" s="421" t="s">
        <v>12</v>
      </c>
      <c r="C9" s="421" t="s">
        <v>379</v>
      </c>
      <c r="D9" s="422" t="s">
        <v>376</v>
      </c>
      <c r="E9" s="422">
        <v>2015</v>
      </c>
      <c r="F9" s="423">
        <v>4.8563583815028899</v>
      </c>
      <c r="G9" s="424">
        <v>11585.973607038122</v>
      </c>
      <c r="H9" s="422">
        <v>16</v>
      </c>
      <c r="I9" s="425">
        <v>0.68200000000000005</v>
      </c>
      <c r="J9" s="425">
        <v>0.69199999999999995</v>
      </c>
      <c r="K9" s="422">
        <v>0</v>
      </c>
      <c r="L9" s="422">
        <v>0</v>
      </c>
      <c r="M9" s="422">
        <v>0</v>
      </c>
      <c r="N9" s="426">
        <v>0</v>
      </c>
      <c r="O9" s="426">
        <v>0</v>
      </c>
      <c r="P9" s="426">
        <v>0</v>
      </c>
      <c r="Q9" s="426">
        <v>0</v>
      </c>
      <c r="R9" s="426">
        <v>0</v>
      </c>
      <c r="S9" s="426">
        <v>0</v>
      </c>
      <c r="T9" s="426">
        <v>0</v>
      </c>
      <c r="U9" s="426">
        <v>0</v>
      </c>
      <c r="V9" s="426">
        <v>0</v>
      </c>
      <c r="W9" s="426">
        <v>0</v>
      </c>
      <c r="X9" s="426">
        <v>0</v>
      </c>
      <c r="Y9" s="426">
        <v>0</v>
      </c>
      <c r="Z9" s="426">
        <v>0</v>
      </c>
      <c r="AA9" s="426">
        <v>0</v>
      </c>
      <c r="AB9" s="426">
        <v>0</v>
      </c>
      <c r="AC9" s="426">
        <v>0</v>
      </c>
      <c r="AD9" s="426">
        <v>0</v>
      </c>
      <c r="AE9" s="426">
        <v>0</v>
      </c>
      <c r="AF9" s="426">
        <v>0</v>
      </c>
      <c r="AG9" s="426">
        <v>0</v>
      </c>
      <c r="AH9" s="426">
        <v>0</v>
      </c>
      <c r="AI9" s="426">
        <v>0</v>
      </c>
      <c r="AJ9" s="426">
        <v>0</v>
      </c>
      <c r="AK9" s="426">
        <v>0</v>
      </c>
      <c r="AL9" s="426">
        <v>0</v>
      </c>
      <c r="AM9" s="427">
        <v>0</v>
      </c>
      <c r="AN9" s="427">
        <v>0</v>
      </c>
      <c r="AO9" s="427">
        <v>0</v>
      </c>
      <c r="AP9" s="427">
        <v>0</v>
      </c>
      <c r="AQ9" s="427">
        <v>0</v>
      </c>
      <c r="AR9" s="427">
        <v>0</v>
      </c>
      <c r="AS9" s="427">
        <v>0</v>
      </c>
      <c r="AT9" s="427">
        <v>0</v>
      </c>
      <c r="AU9" s="427">
        <v>0</v>
      </c>
      <c r="AV9" s="427">
        <v>0</v>
      </c>
      <c r="AW9" s="427">
        <v>0</v>
      </c>
      <c r="AX9" s="427">
        <v>0</v>
      </c>
      <c r="AY9" s="427">
        <v>0</v>
      </c>
      <c r="AZ9" s="427">
        <v>0</v>
      </c>
      <c r="BA9" s="427">
        <v>0</v>
      </c>
      <c r="BB9" s="427">
        <v>0</v>
      </c>
      <c r="BC9" s="427">
        <v>0</v>
      </c>
      <c r="BD9" s="427">
        <v>0</v>
      </c>
      <c r="BE9" s="427">
        <v>0</v>
      </c>
      <c r="BF9" s="427">
        <v>0</v>
      </c>
      <c r="BG9" s="427">
        <v>0</v>
      </c>
      <c r="BH9" s="427">
        <v>0</v>
      </c>
      <c r="BI9" s="427">
        <v>0</v>
      </c>
      <c r="BJ9" s="427">
        <v>0</v>
      </c>
      <c r="BK9" s="427">
        <v>0</v>
      </c>
      <c r="BL9" s="427">
        <v>0</v>
      </c>
      <c r="BM9" s="427">
        <v>0</v>
      </c>
      <c r="BN9" s="427">
        <v>0</v>
      </c>
      <c r="BO9" s="427">
        <v>0</v>
      </c>
      <c r="BP9" s="427">
        <v>0</v>
      </c>
      <c r="BQ9" s="427">
        <v>0</v>
      </c>
      <c r="BR9" s="427">
        <v>0</v>
      </c>
      <c r="BS9" s="427">
        <v>0</v>
      </c>
      <c r="BT9" s="427">
        <v>0</v>
      </c>
      <c r="BU9" s="427">
        <v>0</v>
      </c>
      <c r="BV9" s="427">
        <v>0</v>
      </c>
      <c r="BW9" s="427">
        <v>0</v>
      </c>
      <c r="BX9" s="427">
        <v>0</v>
      </c>
      <c r="BY9" s="427">
        <v>0</v>
      </c>
      <c r="BZ9" s="427">
        <v>0</v>
      </c>
      <c r="CA9" s="427">
        <v>0</v>
      </c>
      <c r="CB9" s="427">
        <v>0</v>
      </c>
      <c r="CC9" s="427">
        <v>0</v>
      </c>
      <c r="CD9" s="427">
        <v>0</v>
      </c>
      <c r="CE9" s="427">
        <v>0</v>
      </c>
      <c r="CF9" s="427">
        <v>0</v>
      </c>
      <c r="CG9" s="427">
        <v>0</v>
      </c>
      <c r="CH9" s="427">
        <v>0</v>
      </c>
      <c r="CI9" s="427">
        <v>0</v>
      </c>
      <c r="CJ9" s="427">
        <v>0</v>
      </c>
      <c r="CK9" s="428">
        <v>0</v>
      </c>
      <c r="CL9" s="428">
        <v>0</v>
      </c>
      <c r="CM9" s="428">
        <v>0</v>
      </c>
      <c r="CN9" s="428">
        <v>0</v>
      </c>
      <c r="CO9" s="428">
        <v>0</v>
      </c>
      <c r="CP9" s="428">
        <v>0</v>
      </c>
      <c r="CQ9" s="428">
        <v>0</v>
      </c>
      <c r="CR9" s="428">
        <v>0</v>
      </c>
      <c r="CS9" s="428">
        <v>0</v>
      </c>
      <c r="CT9" s="428">
        <v>0</v>
      </c>
      <c r="CU9" s="428">
        <v>0</v>
      </c>
      <c r="CV9" s="428">
        <v>0</v>
      </c>
      <c r="CW9" s="428">
        <v>0</v>
      </c>
      <c r="CX9" s="428"/>
      <c r="CY9" s="428"/>
      <c r="CZ9" s="428"/>
      <c r="DA9" s="428"/>
      <c r="DB9" s="428"/>
      <c r="DC9" s="428"/>
      <c r="DD9" s="428"/>
      <c r="DE9" s="428"/>
      <c r="DF9" s="428"/>
      <c r="DG9" s="428"/>
      <c r="DH9" s="428"/>
      <c r="DI9" s="428"/>
    </row>
    <row r="10" spans="1:114" s="388" customFormat="1">
      <c r="A10" s="421" t="s">
        <v>370</v>
      </c>
      <c r="B10" s="421" t="s">
        <v>12</v>
      </c>
      <c r="C10" s="421" t="s">
        <v>379</v>
      </c>
      <c r="D10" s="422" t="s">
        <v>376</v>
      </c>
      <c r="E10" s="422">
        <v>2016</v>
      </c>
      <c r="F10" s="423">
        <v>4.8563583815028899</v>
      </c>
      <c r="G10" s="424">
        <v>11585.973607038122</v>
      </c>
      <c r="H10" s="422">
        <v>16</v>
      </c>
      <c r="I10" s="425">
        <v>0.68200000000000005</v>
      </c>
      <c r="J10" s="425">
        <v>0.69199999999999995</v>
      </c>
      <c r="K10" s="422">
        <v>0</v>
      </c>
      <c r="L10" s="422">
        <v>0</v>
      </c>
      <c r="M10" s="422">
        <v>0</v>
      </c>
      <c r="N10" s="426">
        <v>10</v>
      </c>
      <c r="O10" s="426">
        <v>0</v>
      </c>
      <c r="P10" s="426">
        <v>36.019292604501601</v>
      </c>
      <c r="Q10" s="426">
        <v>36.019292604501601</v>
      </c>
      <c r="R10" s="426">
        <v>36.019292604501601</v>
      </c>
      <c r="S10" s="426">
        <v>36.019292604501601</v>
      </c>
      <c r="T10" s="426">
        <v>36.019292604501601</v>
      </c>
      <c r="U10" s="426">
        <v>36.019292604501601</v>
      </c>
      <c r="V10" s="426">
        <v>36.019292604501601</v>
      </c>
      <c r="W10" s="426">
        <v>36.019292604501601</v>
      </c>
      <c r="X10" s="426">
        <v>36.019292604501601</v>
      </c>
      <c r="Y10" s="426">
        <v>36.019292604501601</v>
      </c>
      <c r="Z10" s="426">
        <v>36.019292604501601</v>
      </c>
      <c r="AA10" s="426">
        <v>36.019292604501601</v>
      </c>
      <c r="AB10" s="426">
        <v>36.019292604501601</v>
      </c>
      <c r="AC10" s="426">
        <v>36.019292604501601</v>
      </c>
      <c r="AD10" s="426">
        <v>36.019292604501601</v>
      </c>
      <c r="AE10" s="426">
        <v>36.019292604501601</v>
      </c>
      <c r="AF10" s="426">
        <v>0</v>
      </c>
      <c r="AG10" s="426">
        <v>0</v>
      </c>
      <c r="AH10" s="426">
        <v>0</v>
      </c>
      <c r="AI10" s="426">
        <v>0</v>
      </c>
      <c r="AJ10" s="426">
        <v>0</v>
      </c>
      <c r="AK10" s="426">
        <v>0</v>
      </c>
      <c r="AL10" s="426">
        <v>0</v>
      </c>
      <c r="AM10" s="427">
        <v>0</v>
      </c>
      <c r="AN10" s="427">
        <v>0</v>
      </c>
      <c r="AO10" s="427">
        <v>84690.610932475887</v>
      </c>
      <c r="AP10" s="427">
        <v>84690.610932475887</v>
      </c>
      <c r="AQ10" s="427">
        <v>84690.610932475887</v>
      </c>
      <c r="AR10" s="427">
        <v>84690.610932475887</v>
      </c>
      <c r="AS10" s="427">
        <v>84690.610932475887</v>
      </c>
      <c r="AT10" s="427">
        <v>84690.610932475887</v>
      </c>
      <c r="AU10" s="427">
        <v>84690.610932475887</v>
      </c>
      <c r="AV10" s="427">
        <v>84690.610932475887</v>
      </c>
      <c r="AW10" s="427">
        <v>84690.610932475887</v>
      </c>
      <c r="AX10" s="427">
        <v>84690.610932475887</v>
      </c>
      <c r="AY10" s="427">
        <v>84690.610932475887</v>
      </c>
      <c r="AZ10" s="427">
        <v>84690.610932475887</v>
      </c>
      <c r="BA10" s="427">
        <v>84690.610932475887</v>
      </c>
      <c r="BB10" s="427">
        <v>84690.610932475887</v>
      </c>
      <c r="BC10" s="427">
        <v>84690.610932475887</v>
      </c>
      <c r="BD10" s="427">
        <v>84690.610932475887</v>
      </c>
      <c r="BE10" s="427">
        <v>0</v>
      </c>
      <c r="BF10" s="427">
        <v>0</v>
      </c>
      <c r="BG10" s="427">
        <v>0</v>
      </c>
      <c r="BH10" s="427">
        <v>0</v>
      </c>
      <c r="BI10" s="427">
        <v>0</v>
      </c>
      <c r="BJ10" s="427">
        <v>0</v>
      </c>
      <c r="BK10" s="427">
        <v>0</v>
      </c>
      <c r="BL10" s="427">
        <v>0</v>
      </c>
      <c r="BM10" s="427">
        <v>0</v>
      </c>
      <c r="BN10" s="427">
        <v>0</v>
      </c>
      <c r="BO10" s="427">
        <v>0</v>
      </c>
      <c r="BP10" s="427">
        <v>0</v>
      </c>
      <c r="BQ10" s="427">
        <v>0</v>
      </c>
      <c r="BR10" s="427">
        <v>0</v>
      </c>
      <c r="BS10" s="427">
        <v>0</v>
      </c>
      <c r="BT10" s="427">
        <v>0</v>
      </c>
      <c r="BU10" s="427">
        <v>0</v>
      </c>
      <c r="BV10" s="427">
        <v>0</v>
      </c>
      <c r="BW10" s="427">
        <v>0</v>
      </c>
      <c r="BX10" s="427">
        <v>0</v>
      </c>
      <c r="BY10" s="427">
        <v>0</v>
      </c>
      <c r="BZ10" s="427">
        <v>0</v>
      </c>
      <c r="CA10" s="427">
        <v>0</v>
      </c>
      <c r="CB10" s="427">
        <v>0</v>
      </c>
      <c r="CC10" s="427">
        <v>0</v>
      </c>
      <c r="CD10" s="427">
        <v>0</v>
      </c>
      <c r="CE10" s="427">
        <v>0</v>
      </c>
      <c r="CF10" s="427">
        <v>0</v>
      </c>
      <c r="CG10" s="427">
        <v>0</v>
      </c>
      <c r="CH10" s="427">
        <v>0</v>
      </c>
      <c r="CI10" s="427">
        <v>0</v>
      </c>
      <c r="CJ10" s="427">
        <v>0</v>
      </c>
      <c r="CK10" s="428">
        <v>0</v>
      </c>
      <c r="CL10" s="428">
        <v>0</v>
      </c>
      <c r="CM10" s="428">
        <v>0</v>
      </c>
      <c r="CN10" s="428">
        <v>0</v>
      </c>
      <c r="CO10" s="428">
        <v>0</v>
      </c>
      <c r="CP10" s="428">
        <v>0</v>
      </c>
      <c r="CQ10" s="428">
        <v>0</v>
      </c>
      <c r="CR10" s="428">
        <v>0</v>
      </c>
      <c r="CS10" s="428">
        <v>0</v>
      </c>
      <c r="CT10" s="428">
        <v>0</v>
      </c>
      <c r="CU10" s="428">
        <v>0</v>
      </c>
      <c r="CV10" s="428">
        <v>0</v>
      </c>
      <c r="CW10" s="428">
        <v>0</v>
      </c>
      <c r="CX10" s="428"/>
      <c r="CY10" s="428"/>
      <c r="CZ10" s="428"/>
      <c r="DA10" s="428"/>
      <c r="DB10" s="428"/>
      <c r="DC10" s="428"/>
      <c r="DD10" s="428"/>
      <c r="DE10" s="428"/>
      <c r="DF10" s="428"/>
      <c r="DG10" s="428"/>
      <c r="DH10" s="428"/>
      <c r="DI10" s="428"/>
    </row>
    <row r="11" spans="1:114" s="388" customFormat="1">
      <c r="A11" s="421" t="s">
        <v>370</v>
      </c>
      <c r="B11" s="421" t="s">
        <v>12</v>
      </c>
      <c r="C11" s="421" t="s">
        <v>379</v>
      </c>
      <c r="D11" s="422" t="s">
        <v>376</v>
      </c>
      <c r="E11" s="422">
        <v>2017</v>
      </c>
      <c r="F11" s="423">
        <v>4.8563583815028899</v>
      </c>
      <c r="G11" s="424">
        <v>11585.973607038122</v>
      </c>
      <c r="H11" s="422">
        <v>16</v>
      </c>
      <c r="I11" s="425">
        <v>0.68200000000000005</v>
      </c>
      <c r="J11" s="425">
        <v>0.69199999999999995</v>
      </c>
      <c r="K11" s="422">
        <v>0</v>
      </c>
      <c r="L11" s="422">
        <v>0</v>
      </c>
      <c r="M11" s="422">
        <v>0</v>
      </c>
      <c r="N11" s="426">
        <v>12</v>
      </c>
      <c r="O11" s="426">
        <v>0</v>
      </c>
      <c r="P11" s="426">
        <v>0</v>
      </c>
      <c r="Q11" s="426">
        <v>43.22315112540192</v>
      </c>
      <c r="R11" s="426">
        <v>43.22315112540192</v>
      </c>
      <c r="S11" s="426">
        <v>43.22315112540192</v>
      </c>
      <c r="T11" s="426">
        <v>43.22315112540192</v>
      </c>
      <c r="U11" s="426">
        <v>43.22315112540192</v>
      </c>
      <c r="V11" s="426">
        <v>43.22315112540192</v>
      </c>
      <c r="W11" s="426">
        <v>43.22315112540192</v>
      </c>
      <c r="X11" s="426">
        <v>43.22315112540192</v>
      </c>
      <c r="Y11" s="426">
        <v>43.22315112540192</v>
      </c>
      <c r="Z11" s="426">
        <v>43.22315112540192</v>
      </c>
      <c r="AA11" s="426">
        <v>43.22315112540192</v>
      </c>
      <c r="AB11" s="426">
        <v>43.22315112540192</v>
      </c>
      <c r="AC11" s="426">
        <v>43.22315112540192</v>
      </c>
      <c r="AD11" s="426">
        <v>43.22315112540192</v>
      </c>
      <c r="AE11" s="426">
        <v>43.22315112540192</v>
      </c>
      <c r="AF11" s="426">
        <v>43.22315112540192</v>
      </c>
      <c r="AG11" s="426">
        <v>0</v>
      </c>
      <c r="AH11" s="426">
        <v>0</v>
      </c>
      <c r="AI11" s="426">
        <v>0</v>
      </c>
      <c r="AJ11" s="426">
        <v>0</v>
      </c>
      <c r="AK11" s="426">
        <v>0</v>
      </c>
      <c r="AL11" s="426">
        <v>0</v>
      </c>
      <c r="AM11" s="427">
        <v>0</v>
      </c>
      <c r="AN11" s="427">
        <v>0</v>
      </c>
      <c r="AO11" s="427">
        <v>0</v>
      </c>
      <c r="AP11" s="427">
        <v>101628.73311897107</v>
      </c>
      <c r="AQ11" s="427">
        <v>101628.73311897107</v>
      </c>
      <c r="AR11" s="427">
        <v>101628.73311897107</v>
      </c>
      <c r="AS11" s="427">
        <v>101628.73311897107</v>
      </c>
      <c r="AT11" s="427">
        <v>101628.73311897107</v>
      </c>
      <c r="AU11" s="427">
        <v>101628.73311897107</v>
      </c>
      <c r="AV11" s="427">
        <v>101628.73311897107</v>
      </c>
      <c r="AW11" s="427">
        <v>101628.73311897107</v>
      </c>
      <c r="AX11" s="427">
        <v>101628.73311897107</v>
      </c>
      <c r="AY11" s="427">
        <v>101628.73311897107</v>
      </c>
      <c r="AZ11" s="427">
        <v>101628.73311897107</v>
      </c>
      <c r="BA11" s="427">
        <v>101628.73311897107</v>
      </c>
      <c r="BB11" s="427">
        <v>101628.73311897107</v>
      </c>
      <c r="BC11" s="427">
        <v>101628.73311897107</v>
      </c>
      <c r="BD11" s="427">
        <v>101628.73311897107</v>
      </c>
      <c r="BE11" s="427">
        <v>101628.73311897107</v>
      </c>
      <c r="BF11" s="427">
        <v>0</v>
      </c>
      <c r="BG11" s="427">
        <v>0</v>
      </c>
      <c r="BH11" s="427">
        <v>0</v>
      </c>
      <c r="BI11" s="427">
        <v>0</v>
      </c>
      <c r="BJ11" s="427">
        <v>0</v>
      </c>
      <c r="BK11" s="427">
        <v>0</v>
      </c>
      <c r="BL11" s="427">
        <v>0</v>
      </c>
      <c r="BM11" s="427">
        <v>0</v>
      </c>
      <c r="BN11" s="427">
        <v>0</v>
      </c>
      <c r="BO11" s="427">
        <v>0</v>
      </c>
      <c r="BP11" s="427">
        <v>0</v>
      </c>
      <c r="BQ11" s="427">
        <v>0</v>
      </c>
      <c r="BR11" s="427">
        <v>0</v>
      </c>
      <c r="BS11" s="427">
        <v>0</v>
      </c>
      <c r="BT11" s="427">
        <v>0</v>
      </c>
      <c r="BU11" s="427">
        <v>0</v>
      </c>
      <c r="BV11" s="427">
        <v>0</v>
      </c>
      <c r="BW11" s="427">
        <v>0</v>
      </c>
      <c r="BX11" s="427">
        <v>0</v>
      </c>
      <c r="BY11" s="427">
        <v>0</v>
      </c>
      <c r="BZ11" s="427">
        <v>0</v>
      </c>
      <c r="CA11" s="427">
        <v>0</v>
      </c>
      <c r="CB11" s="427">
        <v>0</v>
      </c>
      <c r="CC11" s="427">
        <v>0</v>
      </c>
      <c r="CD11" s="427">
        <v>0</v>
      </c>
      <c r="CE11" s="427">
        <v>0</v>
      </c>
      <c r="CF11" s="427">
        <v>0</v>
      </c>
      <c r="CG11" s="427">
        <v>0</v>
      </c>
      <c r="CH11" s="427">
        <v>0</v>
      </c>
      <c r="CI11" s="427">
        <v>0</v>
      </c>
      <c r="CJ11" s="427">
        <v>0</v>
      </c>
      <c r="CK11" s="428">
        <v>0</v>
      </c>
      <c r="CL11" s="428">
        <v>0</v>
      </c>
      <c r="CM11" s="428">
        <v>0</v>
      </c>
      <c r="CN11" s="428">
        <v>0</v>
      </c>
      <c r="CO11" s="428">
        <v>0</v>
      </c>
      <c r="CP11" s="428">
        <v>0</v>
      </c>
      <c r="CQ11" s="428">
        <v>0</v>
      </c>
      <c r="CR11" s="428">
        <v>0</v>
      </c>
      <c r="CS11" s="428">
        <v>0</v>
      </c>
      <c r="CT11" s="428">
        <v>0</v>
      </c>
      <c r="CU11" s="428">
        <v>0</v>
      </c>
      <c r="CV11" s="428">
        <v>0</v>
      </c>
      <c r="CW11" s="428">
        <v>0</v>
      </c>
      <c r="CX11" s="428"/>
      <c r="CY11" s="428"/>
      <c r="CZ11" s="428"/>
      <c r="DA11" s="428"/>
      <c r="DB11" s="428"/>
      <c r="DC11" s="428"/>
      <c r="DD11" s="428"/>
      <c r="DE11" s="428"/>
      <c r="DF11" s="428"/>
      <c r="DG11" s="428"/>
      <c r="DH11" s="428"/>
      <c r="DI11" s="428"/>
    </row>
    <row r="12" spans="1:114" s="388" customFormat="1">
      <c r="A12" s="421" t="s">
        <v>370</v>
      </c>
      <c r="B12" s="421" t="s">
        <v>12</v>
      </c>
      <c r="C12" s="421" t="s">
        <v>379</v>
      </c>
      <c r="D12" s="422" t="s">
        <v>376</v>
      </c>
      <c r="E12" s="422">
        <v>2018</v>
      </c>
      <c r="F12" s="423">
        <v>4.8563583815028899</v>
      </c>
      <c r="G12" s="424">
        <v>11585.973607038122</v>
      </c>
      <c r="H12" s="422">
        <v>16</v>
      </c>
      <c r="I12" s="425">
        <v>0.68200000000000005</v>
      </c>
      <c r="J12" s="425">
        <v>0.69199999999999995</v>
      </c>
      <c r="K12" s="422">
        <v>0</v>
      </c>
      <c r="L12" s="422">
        <v>0</v>
      </c>
      <c r="M12" s="422">
        <v>0</v>
      </c>
      <c r="N12" s="426">
        <v>14</v>
      </c>
      <c r="O12" s="426">
        <v>0</v>
      </c>
      <c r="P12" s="426">
        <v>0</v>
      </c>
      <c r="Q12" s="426">
        <v>0</v>
      </c>
      <c r="R12" s="426">
        <v>50.427009646302245</v>
      </c>
      <c r="S12" s="426">
        <v>50.427009646302245</v>
      </c>
      <c r="T12" s="426">
        <v>50.427009646302245</v>
      </c>
      <c r="U12" s="426">
        <v>50.427009646302245</v>
      </c>
      <c r="V12" s="426">
        <v>50.427009646302245</v>
      </c>
      <c r="W12" s="426">
        <v>50.427009646302245</v>
      </c>
      <c r="X12" s="426">
        <v>50.427009646302245</v>
      </c>
      <c r="Y12" s="426">
        <v>50.427009646302245</v>
      </c>
      <c r="Z12" s="426">
        <v>50.427009646302245</v>
      </c>
      <c r="AA12" s="426">
        <v>50.427009646302245</v>
      </c>
      <c r="AB12" s="426">
        <v>50.427009646302245</v>
      </c>
      <c r="AC12" s="426">
        <v>50.427009646302245</v>
      </c>
      <c r="AD12" s="426">
        <v>50.427009646302245</v>
      </c>
      <c r="AE12" s="426">
        <v>50.427009646302245</v>
      </c>
      <c r="AF12" s="426">
        <v>50.427009646302245</v>
      </c>
      <c r="AG12" s="426">
        <v>50.427009646302245</v>
      </c>
      <c r="AH12" s="426">
        <v>0</v>
      </c>
      <c r="AI12" s="426">
        <v>0</v>
      </c>
      <c r="AJ12" s="426">
        <v>0</v>
      </c>
      <c r="AK12" s="426">
        <v>0</v>
      </c>
      <c r="AL12" s="426">
        <v>0</v>
      </c>
      <c r="AM12" s="427">
        <v>0</v>
      </c>
      <c r="AN12" s="427">
        <v>0</v>
      </c>
      <c r="AO12" s="427">
        <v>0</v>
      </c>
      <c r="AP12" s="427">
        <v>0</v>
      </c>
      <c r="AQ12" s="427">
        <v>118566.85530546625</v>
      </c>
      <c r="AR12" s="427">
        <v>118566.85530546625</v>
      </c>
      <c r="AS12" s="427">
        <v>118566.85530546625</v>
      </c>
      <c r="AT12" s="427">
        <v>118566.85530546625</v>
      </c>
      <c r="AU12" s="427">
        <v>118566.85530546625</v>
      </c>
      <c r="AV12" s="427">
        <v>118566.85530546625</v>
      </c>
      <c r="AW12" s="427">
        <v>118566.85530546625</v>
      </c>
      <c r="AX12" s="427">
        <v>118566.85530546625</v>
      </c>
      <c r="AY12" s="427">
        <v>118566.85530546625</v>
      </c>
      <c r="AZ12" s="427">
        <v>118566.85530546625</v>
      </c>
      <c r="BA12" s="427">
        <v>118566.85530546625</v>
      </c>
      <c r="BB12" s="427">
        <v>118566.85530546625</v>
      </c>
      <c r="BC12" s="427">
        <v>118566.85530546625</v>
      </c>
      <c r="BD12" s="427">
        <v>118566.85530546625</v>
      </c>
      <c r="BE12" s="427">
        <v>118566.85530546625</v>
      </c>
      <c r="BF12" s="427">
        <v>118566.85530546625</v>
      </c>
      <c r="BG12" s="427">
        <v>0</v>
      </c>
      <c r="BH12" s="427">
        <v>0</v>
      </c>
      <c r="BI12" s="427">
        <v>0</v>
      </c>
      <c r="BJ12" s="427">
        <v>0</v>
      </c>
      <c r="BK12" s="427">
        <v>0</v>
      </c>
      <c r="BL12" s="427">
        <v>0</v>
      </c>
      <c r="BM12" s="427">
        <v>0</v>
      </c>
      <c r="BN12" s="427">
        <v>0</v>
      </c>
      <c r="BO12" s="427">
        <v>0</v>
      </c>
      <c r="BP12" s="427">
        <v>0</v>
      </c>
      <c r="BQ12" s="427">
        <v>0</v>
      </c>
      <c r="BR12" s="427">
        <v>0</v>
      </c>
      <c r="BS12" s="427">
        <v>0</v>
      </c>
      <c r="BT12" s="427">
        <v>0</v>
      </c>
      <c r="BU12" s="427">
        <v>0</v>
      </c>
      <c r="BV12" s="427">
        <v>0</v>
      </c>
      <c r="BW12" s="427">
        <v>0</v>
      </c>
      <c r="BX12" s="427">
        <v>0</v>
      </c>
      <c r="BY12" s="427">
        <v>0</v>
      </c>
      <c r="BZ12" s="427">
        <v>0</v>
      </c>
      <c r="CA12" s="427">
        <v>0</v>
      </c>
      <c r="CB12" s="427">
        <v>0</v>
      </c>
      <c r="CC12" s="427">
        <v>0</v>
      </c>
      <c r="CD12" s="427">
        <v>0</v>
      </c>
      <c r="CE12" s="427">
        <v>0</v>
      </c>
      <c r="CF12" s="427">
        <v>0</v>
      </c>
      <c r="CG12" s="427">
        <v>0</v>
      </c>
      <c r="CH12" s="427">
        <v>0</v>
      </c>
      <c r="CI12" s="427">
        <v>0</v>
      </c>
      <c r="CJ12" s="427">
        <v>0</v>
      </c>
      <c r="CK12" s="428">
        <v>0</v>
      </c>
      <c r="CL12" s="428">
        <v>0</v>
      </c>
      <c r="CM12" s="428">
        <v>0</v>
      </c>
      <c r="CN12" s="428">
        <v>0</v>
      </c>
      <c r="CO12" s="428">
        <v>0</v>
      </c>
      <c r="CP12" s="428">
        <v>0</v>
      </c>
      <c r="CQ12" s="428">
        <v>0</v>
      </c>
      <c r="CR12" s="428">
        <v>0</v>
      </c>
      <c r="CS12" s="428">
        <v>0</v>
      </c>
      <c r="CT12" s="428">
        <v>0</v>
      </c>
      <c r="CU12" s="428">
        <v>0</v>
      </c>
      <c r="CV12" s="428">
        <v>0</v>
      </c>
      <c r="CW12" s="428">
        <v>0</v>
      </c>
      <c r="CX12" s="428"/>
      <c r="CY12" s="428"/>
      <c r="CZ12" s="428"/>
      <c r="DA12" s="428"/>
      <c r="DB12" s="428"/>
      <c r="DC12" s="428"/>
      <c r="DD12" s="428"/>
      <c r="DE12" s="428"/>
      <c r="DF12" s="428"/>
      <c r="DG12" s="428"/>
      <c r="DH12" s="428"/>
      <c r="DI12" s="428"/>
    </row>
    <row r="13" spans="1:114" s="388" customFormat="1">
      <c r="A13" s="421" t="s">
        <v>370</v>
      </c>
      <c r="B13" s="421" t="s">
        <v>12</v>
      </c>
      <c r="C13" s="421" t="s">
        <v>379</v>
      </c>
      <c r="D13" s="422" t="s">
        <v>376</v>
      </c>
      <c r="E13" s="422">
        <v>2019</v>
      </c>
      <c r="F13" s="423">
        <v>4.8563583815028899</v>
      </c>
      <c r="G13" s="424">
        <v>11585.973607038122</v>
      </c>
      <c r="H13" s="422">
        <v>16</v>
      </c>
      <c r="I13" s="425">
        <v>0.68200000000000005</v>
      </c>
      <c r="J13" s="425">
        <v>0.69199999999999995</v>
      </c>
      <c r="K13" s="422">
        <v>0</v>
      </c>
      <c r="L13" s="422">
        <v>0</v>
      </c>
      <c r="M13" s="422">
        <v>0</v>
      </c>
      <c r="N13" s="426">
        <v>16</v>
      </c>
      <c r="O13" s="426">
        <v>0</v>
      </c>
      <c r="P13" s="426">
        <v>0</v>
      </c>
      <c r="Q13" s="426">
        <v>0</v>
      </c>
      <c r="R13" s="426">
        <v>0</v>
      </c>
      <c r="S13" s="426">
        <v>57.630868167202564</v>
      </c>
      <c r="T13" s="426">
        <v>57.630868167202564</v>
      </c>
      <c r="U13" s="426">
        <v>57.630868167202564</v>
      </c>
      <c r="V13" s="426">
        <v>57.630868167202564</v>
      </c>
      <c r="W13" s="426">
        <v>57.630868167202564</v>
      </c>
      <c r="X13" s="426">
        <v>57.630868167202564</v>
      </c>
      <c r="Y13" s="426">
        <v>57.630868167202564</v>
      </c>
      <c r="Z13" s="426">
        <v>57.630868167202564</v>
      </c>
      <c r="AA13" s="426">
        <v>57.630868167202564</v>
      </c>
      <c r="AB13" s="426">
        <v>57.630868167202564</v>
      </c>
      <c r="AC13" s="426">
        <v>57.630868167202564</v>
      </c>
      <c r="AD13" s="426">
        <v>57.630868167202564</v>
      </c>
      <c r="AE13" s="426">
        <v>57.630868167202564</v>
      </c>
      <c r="AF13" s="426">
        <v>57.630868167202564</v>
      </c>
      <c r="AG13" s="426">
        <v>57.630868167202564</v>
      </c>
      <c r="AH13" s="426">
        <v>57.630868167202564</v>
      </c>
      <c r="AI13" s="426">
        <v>0</v>
      </c>
      <c r="AJ13" s="426">
        <v>0</v>
      </c>
      <c r="AK13" s="426">
        <v>0</v>
      </c>
      <c r="AL13" s="426">
        <v>0</v>
      </c>
      <c r="AM13" s="427">
        <v>0</v>
      </c>
      <c r="AN13" s="427">
        <v>0</v>
      </c>
      <c r="AO13" s="427">
        <v>0</v>
      </c>
      <c r="AP13" s="427">
        <v>0</v>
      </c>
      <c r="AQ13" s="427">
        <v>0</v>
      </c>
      <c r="AR13" s="427">
        <v>135504.97749196141</v>
      </c>
      <c r="AS13" s="427">
        <v>135504.97749196141</v>
      </c>
      <c r="AT13" s="427">
        <v>135504.97749196141</v>
      </c>
      <c r="AU13" s="427">
        <v>135504.97749196141</v>
      </c>
      <c r="AV13" s="427">
        <v>135504.97749196141</v>
      </c>
      <c r="AW13" s="427">
        <v>135504.97749196141</v>
      </c>
      <c r="AX13" s="427">
        <v>135504.97749196141</v>
      </c>
      <c r="AY13" s="427">
        <v>135504.97749196141</v>
      </c>
      <c r="AZ13" s="427">
        <v>135504.97749196141</v>
      </c>
      <c r="BA13" s="427">
        <v>135504.97749196141</v>
      </c>
      <c r="BB13" s="427">
        <v>135504.97749196141</v>
      </c>
      <c r="BC13" s="427">
        <v>135504.97749196141</v>
      </c>
      <c r="BD13" s="427">
        <v>135504.97749196141</v>
      </c>
      <c r="BE13" s="427">
        <v>135504.97749196141</v>
      </c>
      <c r="BF13" s="427">
        <v>135504.97749196141</v>
      </c>
      <c r="BG13" s="427">
        <v>135504.97749196141</v>
      </c>
      <c r="BH13" s="427">
        <v>0</v>
      </c>
      <c r="BI13" s="427">
        <v>0</v>
      </c>
      <c r="BJ13" s="427">
        <v>0</v>
      </c>
      <c r="BK13" s="427">
        <v>0</v>
      </c>
      <c r="BL13" s="427">
        <v>0</v>
      </c>
      <c r="BM13" s="427">
        <v>0</v>
      </c>
      <c r="BN13" s="427">
        <v>0</v>
      </c>
      <c r="BO13" s="427">
        <v>0</v>
      </c>
      <c r="BP13" s="427">
        <v>0</v>
      </c>
      <c r="BQ13" s="427">
        <v>0</v>
      </c>
      <c r="BR13" s="427">
        <v>0</v>
      </c>
      <c r="BS13" s="427">
        <v>0</v>
      </c>
      <c r="BT13" s="427">
        <v>0</v>
      </c>
      <c r="BU13" s="427">
        <v>0</v>
      </c>
      <c r="BV13" s="427">
        <v>0</v>
      </c>
      <c r="BW13" s="427">
        <v>0</v>
      </c>
      <c r="BX13" s="427">
        <v>0</v>
      </c>
      <c r="BY13" s="427">
        <v>0</v>
      </c>
      <c r="BZ13" s="427">
        <v>0</v>
      </c>
      <c r="CA13" s="427">
        <v>0</v>
      </c>
      <c r="CB13" s="427">
        <v>0</v>
      </c>
      <c r="CC13" s="427">
        <v>0</v>
      </c>
      <c r="CD13" s="427">
        <v>0</v>
      </c>
      <c r="CE13" s="427">
        <v>0</v>
      </c>
      <c r="CF13" s="427">
        <v>0</v>
      </c>
      <c r="CG13" s="427">
        <v>0</v>
      </c>
      <c r="CH13" s="427">
        <v>0</v>
      </c>
      <c r="CI13" s="427">
        <v>0</v>
      </c>
      <c r="CJ13" s="427">
        <v>0</v>
      </c>
      <c r="CK13" s="428">
        <v>0</v>
      </c>
      <c r="CL13" s="428">
        <v>0</v>
      </c>
      <c r="CM13" s="428">
        <v>0</v>
      </c>
      <c r="CN13" s="428">
        <v>0</v>
      </c>
      <c r="CO13" s="428">
        <v>0</v>
      </c>
      <c r="CP13" s="428">
        <v>0</v>
      </c>
      <c r="CQ13" s="428">
        <v>0</v>
      </c>
      <c r="CR13" s="428">
        <v>0</v>
      </c>
      <c r="CS13" s="428">
        <v>0</v>
      </c>
      <c r="CT13" s="428">
        <v>0</v>
      </c>
      <c r="CU13" s="428">
        <v>0</v>
      </c>
      <c r="CV13" s="428">
        <v>0</v>
      </c>
      <c r="CW13" s="428">
        <v>0</v>
      </c>
      <c r="CX13" s="428"/>
      <c r="CY13" s="428"/>
      <c r="CZ13" s="428"/>
      <c r="DA13" s="428"/>
      <c r="DB13" s="428"/>
      <c r="DC13" s="428"/>
      <c r="DD13" s="428"/>
      <c r="DE13" s="428"/>
      <c r="DF13" s="428"/>
      <c r="DG13" s="428"/>
      <c r="DH13" s="428"/>
      <c r="DI13" s="428"/>
    </row>
    <row r="14" spans="1:114" s="388" customFormat="1">
      <c r="A14" s="421" t="s">
        <v>370</v>
      </c>
      <c r="B14" s="421" t="s">
        <v>12</v>
      </c>
      <c r="C14" s="421" t="s">
        <v>379</v>
      </c>
      <c r="D14" s="422" t="s">
        <v>376</v>
      </c>
      <c r="E14" s="422">
        <v>2020</v>
      </c>
      <c r="F14" s="423">
        <v>4.8563583815028899</v>
      </c>
      <c r="G14" s="424">
        <v>11585.973607038122</v>
      </c>
      <c r="H14" s="422">
        <v>16</v>
      </c>
      <c r="I14" s="425">
        <v>0.68200000000000005</v>
      </c>
      <c r="J14" s="425">
        <v>0.69199999999999995</v>
      </c>
      <c r="K14" s="422">
        <v>0</v>
      </c>
      <c r="L14" s="422">
        <v>0</v>
      </c>
      <c r="M14" s="422">
        <v>0</v>
      </c>
      <c r="N14" s="426">
        <v>18</v>
      </c>
      <c r="O14" s="426">
        <v>0</v>
      </c>
      <c r="P14" s="426">
        <v>0</v>
      </c>
      <c r="Q14" s="426">
        <v>0</v>
      </c>
      <c r="R14" s="426">
        <v>0</v>
      </c>
      <c r="S14" s="426">
        <v>0</v>
      </c>
      <c r="T14" s="426">
        <v>64.834726688102876</v>
      </c>
      <c r="U14" s="426">
        <v>64.834726688102876</v>
      </c>
      <c r="V14" s="426">
        <v>64.834726688102876</v>
      </c>
      <c r="W14" s="426">
        <v>64.834726688102876</v>
      </c>
      <c r="X14" s="426">
        <v>64.834726688102876</v>
      </c>
      <c r="Y14" s="426">
        <v>64.834726688102876</v>
      </c>
      <c r="Z14" s="426">
        <v>64.834726688102876</v>
      </c>
      <c r="AA14" s="426">
        <v>64.834726688102876</v>
      </c>
      <c r="AB14" s="426">
        <v>64.834726688102876</v>
      </c>
      <c r="AC14" s="426">
        <v>64.834726688102876</v>
      </c>
      <c r="AD14" s="426">
        <v>64.834726688102876</v>
      </c>
      <c r="AE14" s="426">
        <v>64.834726688102876</v>
      </c>
      <c r="AF14" s="426">
        <v>64.834726688102876</v>
      </c>
      <c r="AG14" s="426">
        <v>64.834726688102876</v>
      </c>
      <c r="AH14" s="426">
        <v>64.834726688102876</v>
      </c>
      <c r="AI14" s="426">
        <v>64.834726688102876</v>
      </c>
      <c r="AJ14" s="426">
        <v>0</v>
      </c>
      <c r="AK14" s="426">
        <v>0</v>
      </c>
      <c r="AL14" s="426">
        <v>0</v>
      </c>
      <c r="AM14" s="427">
        <v>0</v>
      </c>
      <c r="AN14" s="427">
        <v>0</v>
      </c>
      <c r="AO14" s="427">
        <v>0</v>
      </c>
      <c r="AP14" s="427">
        <v>0</v>
      </c>
      <c r="AQ14" s="427">
        <v>0</v>
      </c>
      <c r="AR14" s="427">
        <v>0</v>
      </c>
      <c r="AS14" s="427">
        <v>152443.09967845661</v>
      </c>
      <c r="AT14" s="427">
        <v>152443.09967845661</v>
      </c>
      <c r="AU14" s="427">
        <v>152443.09967845661</v>
      </c>
      <c r="AV14" s="427">
        <v>152443.09967845661</v>
      </c>
      <c r="AW14" s="427">
        <v>152443.09967845661</v>
      </c>
      <c r="AX14" s="427">
        <v>152443.09967845661</v>
      </c>
      <c r="AY14" s="427">
        <v>152443.09967845661</v>
      </c>
      <c r="AZ14" s="427">
        <v>152443.09967845661</v>
      </c>
      <c r="BA14" s="427">
        <v>152443.09967845661</v>
      </c>
      <c r="BB14" s="427">
        <v>152443.09967845661</v>
      </c>
      <c r="BC14" s="427">
        <v>152443.09967845661</v>
      </c>
      <c r="BD14" s="427">
        <v>152443.09967845661</v>
      </c>
      <c r="BE14" s="427">
        <v>152443.09967845661</v>
      </c>
      <c r="BF14" s="427">
        <v>152443.09967845661</v>
      </c>
      <c r="BG14" s="427">
        <v>152443.09967845661</v>
      </c>
      <c r="BH14" s="427">
        <v>152443.09967845661</v>
      </c>
      <c r="BI14" s="427">
        <v>0</v>
      </c>
      <c r="BJ14" s="427">
        <v>0</v>
      </c>
      <c r="BK14" s="427">
        <v>0</v>
      </c>
      <c r="BL14" s="427">
        <v>0</v>
      </c>
      <c r="BM14" s="427">
        <v>0</v>
      </c>
      <c r="BN14" s="427">
        <v>0</v>
      </c>
      <c r="BO14" s="427">
        <v>0</v>
      </c>
      <c r="BP14" s="427">
        <v>0</v>
      </c>
      <c r="BQ14" s="427">
        <v>0</v>
      </c>
      <c r="BR14" s="427">
        <v>0</v>
      </c>
      <c r="BS14" s="427">
        <v>0</v>
      </c>
      <c r="BT14" s="427">
        <v>0</v>
      </c>
      <c r="BU14" s="427">
        <v>0</v>
      </c>
      <c r="BV14" s="427">
        <v>0</v>
      </c>
      <c r="BW14" s="427">
        <v>0</v>
      </c>
      <c r="BX14" s="427">
        <v>0</v>
      </c>
      <c r="BY14" s="427">
        <v>0</v>
      </c>
      <c r="BZ14" s="427">
        <v>0</v>
      </c>
      <c r="CA14" s="427">
        <v>0</v>
      </c>
      <c r="CB14" s="427">
        <v>0</v>
      </c>
      <c r="CC14" s="427">
        <v>0</v>
      </c>
      <c r="CD14" s="427">
        <v>0</v>
      </c>
      <c r="CE14" s="427">
        <v>0</v>
      </c>
      <c r="CF14" s="427">
        <v>0</v>
      </c>
      <c r="CG14" s="427">
        <v>0</v>
      </c>
      <c r="CH14" s="427">
        <v>0</v>
      </c>
      <c r="CI14" s="427">
        <v>0</v>
      </c>
      <c r="CJ14" s="427">
        <v>0</v>
      </c>
      <c r="CK14" s="428">
        <v>0</v>
      </c>
      <c r="CL14" s="428">
        <v>0</v>
      </c>
      <c r="CM14" s="428">
        <v>0</v>
      </c>
      <c r="CN14" s="428">
        <v>0</v>
      </c>
      <c r="CO14" s="428">
        <v>0</v>
      </c>
      <c r="CP14" s="428">
        <v>0</v>
      </c>
      <c r="CQ14" s="428">
        <v>0</v>
      </c>
      <c r="CR14" s="428">
        <v>0</v>
      </c>
      <c r="CS14" s="428">
        <v>0</v>
      </c>
      <c r="CT14" s="428">
        <v>0</v>
      </c>
      <c r="CU14" s="428">
        <v>0</v>
      </c>
      <c r="CV14" s="428">
        <v>0</v>
      </c>
      <c r="CW14" s="428">
        <v>0</v>
      </c>
      <c r="CX14" s="428"/>
      <c r="CY14" s="428"/>
      <c r="CZ14" s="428"/>
      <c r="DA14" s="428"/>
      <c r="DB14" s="428"/>
      <c r="DC14" s="428"/>
      <c r="DD14" s="428"/>
      <c r="DE14" s="428"/>
      <c r="DF14" s="428"/>
      <c r="DG14" s="428"/>
      <c r="DH14" s="428"/>
      <c r="DI14" s="428"/>
    </row>
    <row r="15" spans="1:114" s="388" customFormat="1">
      <c r="A15" s="421" t="s">
        <v>370</v>
      </c>
      <c r="B15" s="421" t="s">
        <v>12</v>
      </c>
      <c r="C15" s="421" t="s">
        <v>382</v>
      </c>
      <c r="D15" s="422" t="s">
        <v>376</v>
      </c>
      <c r="E15" s="422">
        <v>2015</v>
      </c>
      <c r="F15" s="423">
        <v>11.998587570621469</v>
      </c>
      <c r="G15" s="424">
        <v>72377.938440492479</v>
      </c>
      <c r="H15" s="422">
        <v>9</v>
      </c>
      <c r="I15" s="425">
        <v>0.73099999999999998</v>
      </c>
      <c r="J15" s="425">
        <v>0.70799999999999996</v>
      </c>
      <c r="K15" s="422">
        <v>0</v>
      </c>
      <c r="L15" s="422">
        <v>0</v>
      </c>
      <c r="M15" s="422">
        <v>0</v>
      </c>
      <c r="N15" s="426">
        <v>0</v>
      </c>
      <c r="O15" s="426">
        <v>0</v>
      </c>
      <c r="P15" s="426">
        <v>0</v>
      </c>
      <c r="Q15" s="426">
        <v>0</v>
      </c>
      <c r="R15" s="426">
        <v>0</v>
      </c>
      <c r="S15" s="426">
        <v>0</v>
      </c>
      <c r="T15" s="426">
        <v>0</v>
      </c>
      <c r="U15" s="426">
        <v>0</v>
      </c>
      <c r="V15" s="426">
        <v>0</v>
      </c>
      <c r="W15" s="426">
        <v>0</v>
      </c>
      <c r="X15" s="426">
        <v>0</v>
      </c>
      <c r="Y15" s="426">
        <v>0</v>
      </c>
      <c r="Z15" s="426">
        <v>0</v>
      </c>
      <c r="AA15" s="426">
        <v>0</v>
      </c>
      <c r="AB15" s="426">
        <v>0</v>
      </c>
      <c r="AC15" s="426">
        <v>0</v>
      </c>
      <c r="AD15" s="426">
        <v>0</v>
      </c>
      <c r="AE15" s="426">
        <v>0</v>
      </c>
      <c r="AF15" s="426">
        <v>0</v>
      </c>
      <c r="AG15" s="426">
        <v>0</v>
      </c>
      <c r="AH15" s="426">
        <v>0</v>
      </c>
      <c r="AI15" s="426">
        <v>0</v>
      </c>
      <c r="AJ15" s="426">
        <v>0</v>
      </c>
      <c r="AK15" s="426">
        <v>0</v>
      </c>
      <c r="AL15" s="426">
        <v>0</v>
      </c>
      <c r="AM15" s="427">
        <v>0</v>
      </c>
      <c r="AN15" s="427">
        <v>0</v>
      </c>
      <c r="AO15" s="427">
        <v>0</v>
      </c>
      <c r="AP15" s="427">
        <v>0</v>
      </c>
      <c r="AQ15" s="427">
        <v>0</v>
      </c>
      <c r="AR15" s="427">
        <v>0</v>
      </c>
      <c r="AS15" s="427">
        <v>0</v>
      </c>
      <c r="AT15" s="427">
        <v>0</v>
      </c>
      <c r="AU15" s="427">
        <v>0</v>
      </c>
      <c r="AV15" s="427">
        <v>0</v>
      </c>
      <c r="AW15" s="427">
        <v>0</v>
      </c>
      <c r="AX15" s="427">
        <v>0</v>
      </c>
      <c r="AY15" s="427">
        <v>0</v>
      </c>
      <c r="AZ15" s="427">
        <v>0</v>
      </c>
      <c r="BA15" s="427">
        <v>0</v>
      </c>
      <c r="BB15" s="427">
        <v>0</v>
      </c>
      <c r="BC15" s="427">
        <v>0</v>
      </c>
      <c r="BD15" s="427">
        <v>0</v>
      </c>
      <c r="BE15" s="427">
        <v>0</v>
      </c>
      <c r="BF15" s="427">
        <v>0</v>
      </c>
      <c r="BG15" s="427">
        <v>0</v>
      </c>
      <c r="BH15" s="427">
        <v>0</v>
      </c>
      <c r="BI15" s="427">
        <v>0</v>
      </c>
      <c r="BJ15" s="427">
        <v>0</v>
      </c>
      <c r="BK15" s="427">
        <v>0</v>
      </c>
      <c r="BL15" s="427">
        <v>0</v>
      </c>
      <c r="BM15" s="427">
        <v>0</v>
      </c>
      <c r="BN15" s="427">
        <v>0</v>
      </c>
      <c r="BO15" s="427">
        <v>0</v>
      </c>
      <c r="BP15" s="427">
        <v>0</v>
      </c>
      <c r="BQ15" s="427">
        <v>0</v>
      </c>
      <c r="BR15" s="427">
        <v>0</v>
      </c>
      <c r="BS15" s="427">
        <v>0</v>
      </c>
      <c r="BT15" s="427">
        <v>0</v>
      </c>
      <c r="BU15" s="427">
        <v>0</v>
      </c>
      <c r="BV15" s="427">
        <v>0</v>
      </c>
      <c r="BW15" s="427">
        <v>0</v>
      </c>
      <c r="BX15" s="427">
        <v>0</v>
      </c>
      <c r="BY15" s="427">
        <v>0</v>
      </c>
      <c r="BZ15" s="427">
        <v>0</v>
      </c>
      <c r="CA15" s="427">
        <v>0</v>
      </c>
      <c r="CB15" s="427">
        <v>0</v>
      </c>
      <c r="CC15" s="427">
        <v>0</v>
      </c>
      <c r="CD15" s="427">
        <v>0</v>
      </c>
      <c r="CE15" s="427">
        <v>0</v>
      </c>
      <c r="CF15" s="427">
        <v>0</v>
      </c>
      <c r="CG15" s="427">
        <v>0</v>
      </c>
      <c r="CH15" s="427">
        <v>0</v>
      </c>
      <c r="CI15" s="427">
        <v>0</v>
      </c>
      <c r="CJ15" s="427">
        <v>0</v>
      </c>
      <c r="CK15" s="428">
        <v>0</v>
      </c>
      <c r="CL15" s="428">
        <v>0</v>
      </c>
      <c r="CM15" s="428">
        <v>0</v>
      </c>
      <c r="CN15" s="428">
        <v>0</v>
      </c>
      <c r="CO15" s="428">
        <v>0</v>
      </c>
      <c r="CP15" s="428">
        <v>0</v>
      </c>
      <c r="CQ15" s="428">
        <v>0</v>
      </c>
      <c r="CR15" s="428">
        <v>0</v>
      </c>
      <c r="CS15" s="428">
        <v>0</v>
      </c>
      <c r="CT15" s="428">
        <v>0</v>
      </c>
      <c r="CU15" s="428">
        <v>0</v>
      </c>
      <c r="CV15" s="428">
        <v>0</v>
      </c>
      <c r="CW15" s="428">
        <v>0</v>
      </c>
      <c r="CX15" s="428"/>
      <c r="CY15" s="428"/>
      <c r="CZ15" s="428"/>
      <c r="DA15" s="428"/>
      <c r="DB15" s="428"/>
      <c r="DC15" s="428"/>
      <c r="DD15" s="428"/>
      <c r="DE15" s="428"/>
      <c r="DF15" s="428"/>
      <c r="DG15" s="428"/>
      <c r="DH15" s="428"/>
      <c r="DI15" s="428"/>
    </row>
    <row r="16" spans="1:114" s="388" customFormat="1">
      <c r="A16" s="421" t="s">
        <v>370</v>
      </c>
      <c r="B16" s="421" t="s">
        <v>12</v>
      </c>
      <c r="C16" s="421" t="s">
        <v>382</v>
      </c>
      <c r="D16" s="422" t="s">
        <v>376</v>
      </c>
      <c r="E16" s="422">
        <v>2016</v>
      </c>
      <c r="F16" s="423">
        <v>11.998587570621469</v>
      </c>
      <c r="G16" s="424">
        <v>72377.938440492479</v>
      </c>
      <c r="H16" s="422">
        <v>9</v>
      </c>
      <c r="I16" s="425">
        <v>0.73099999999999998</v>
      </c>
      <c r="J16" s="425">
        <v>0.70799999999999996</v>
      </c>
      <c r="K16" s="422">
        <v>0</v>
      </c>
      <c r="L16" s="422">
        <v>0</v>
      </c>
      <c r="M16" s="422">
        <v>0</v>
      </c>
      <c r="N16" s="426">
        <v>6</v>
      </c>
      <c r="O16" s="426">
        <v>0</v>
      </c>
      <c r="P16" s="426">
        <v>54.630225080385856</v>
      </c>
      <c r="Q16" s="426">
        <v>54.630225080385856</v>
      </c>
      <c r="R16" s="426">
        <v>54.630225080385856</v>
      </c>
      <c r="S16" s="426">
        <v>54.630225080385856</v>
      </c>
      <c r="T16" s="426">
        <v>54.630225080385856</v>
      </c>
      <c r="U16" s="426">
        <v>54.630225080385856</v>
      </c>
      <c r="V16" s="426">
        <v>54.630225080385856</v>
      </c>
      <c r="W16" s="426">
        <v>54.630225080385856</v>
      </c>
      <c r="X16" s="426">
        <v>54.630225080385856</v>
      </c>
      <c r="Y16" s="426">
        <v>0</v>
      </c>
      <c r="Z16" s="426">
        <v>0</v>
      </c>
      <c r="AA16" s="426">
        <v>0</v>
      </c>
      <c r="AB16" s="426">
        <v>0</v>
      </c>
      <c r="AC16" s="426">
        <v>0</v>
      </c>
      <c r="AD16" s="426">
        <v>0</v>
      </c>
      <c r="AE16" s="426">
        <v>0</v>
      </c>
      <c r="AF16" s="426">
        <v>0</v>
      </c>
      <c r="AG16" s="426">
        <v>0</v>
      </c>
      <c r="AH16" s="426">
        <v>0</v>
      </c>
      <c r="AI16" s="426">
        <v>0</v>
      </c>
      <c r="AJ16" s="426">
        <v>0</v>
      </c>
      <c r="AK16" s="426">
        <v>0</v>
      </c>
      <c r="AL16" s="426">
        <v>0</v>
      </c>
      <c r="AM16" s="427">
        <v>0</v>
      </c>
      <c r="AN16" s="427">
        <v>0</v>
      </c>
      <c r="AO16" s="427">
        <v>340246.1286173634</v>
      </c>
      <c r="AP16" s="427">
        <v>340246.1286173634</v>
      </c>
      <c r="AQ16" s="427">
        <v>340246.1286173634</v>
      </c>
      <c r="AR16" s="427">
        <v>340246.1286173634</v>
      </c>
      <c r="AS16" s="427">
        <v>340246.1286173634</v>
      </c>
      <c r="AT16" s="427">
        <v>340246.1286173634</v>
      </c>
      <c r="AU16" s="427">
        <v>340246.1286173634</v>
      </c>
      <c r="AV16" s="427">
        <v>340246.1286173634</v>
      </c>
      <c r="AW16" s="427">
        <v>340246.1286173634</v>
      </c>
      <c r="AX16" s="427">
        <v>0</v>
      </c>
      <c r="AY16" s="427">
        <v>0</v>
      </c>
      <c r="AZ16" s="427">
        <v>0</v>
      </c>
      <c r="BA16" s="427">
        <v>0</v>
      </c>
      <c r="BB16" s="427">
        <v>0</v>
      </c>
      <c r="BC16" s="427">
        <v>0</v>
      </c>
      <c r="BD16" s="427">
        <v>0</v>
      </c>
      <c r="BE16" s="427">
        <v>0</v>
      </c>
      <c r="BF16" s="427">
        <v>0</v>
      </c>
      <c r="BG16" s="427">
        <v>0</v>
      </c>
      <c r="BH16" s="427">
        <v>0</v>
      </c>
      <c r="BI16" s="427">
        <v>0</v>
      </c>
      <c r="BJ16" s="427">
        <v>0</v>
      </c>
      <c r="BK16" s="427">
        <v>0</v>
      </c>
      <c r="BL16" s="427">
        <v>0</v>
      </c>
      <c r="BM16" s="427">
        <v>0</v>
      </c>
      <c r="BN16" s="427">
        <v>0</v>
      </c>
      <c r="BO16" s="427">
        <v>0</v>
      </c>
      <c r="BP16" s="427">
        <v>0</v>
      </c>
      <c r="BQ16" s="427">
        <v>0</v>
      </c>
      <c r="BR16" s="427">
        <v>0</v>
      </c>
      <c r="BS16" s="427">
        <v>0</v>
      </c>
      <c r="BT16" s="427">
        <v>0</v>
      </c>
      <c r="BU16" s="427">
        <v>0</v>
      </c>
      <c r="BV16" s="427">
        <v>0</v>
      </c>
      <c r="BW16" s="427">
        <v>0</v>
      </c>
      <c r="BX16" s="427">
        <v>0</v>
      </c>
      <c r="BY16" s="427">
        <v>0</v>
      </c>
      <c r="BZ16" s="427">
        <v>0</v>
      </c>
      <c r="CA16" s="427">
        <v>0</v>
      </c>
      <c r="CB16" s="427">
        <v>0</v>
      </c>
      <c r="CC16" s="427">
        <v>0</v>
      </c>
      <c r="CD16" s="427">
        <v>0</v>
      </c>
      <c r="CE16" s="427">
        <v>0</v>
      </c>
      <c r="CF16" s="427">
        <v>0</v>
      </c>
      <c r="CG16" s="427">
        <v>0</v>
      </c>
      <c r="CH16" s="427">
        <v>0</v>
      </c>
      <c r="CI16" s="427">
        <v>0</v>
      </c>
      <c r="CJ16" s="427">
        <v>0</v>
      </c>
      <c r="CK16" s="428">
        <v>0</v>
      </c>
      <c r="CL16" s="428">
        <v>0</v>
      </c>
      <c r="CM16" s="428">
        <v>0</v>
      </c>
      <c r="CN16" s="428">
        <v>0</v>
      </c>
      <c r="CO16" s="428">
        <v>0</v>
      </c>
      <c r="CP16" s="428">
        <v>0</v>
      </c>
      <c r="CQ16" s="428">
        <v>0</v>
      </c>
      <c r="CR16" s="428">
        <v>0</v>
      </c>
      <c r="CS16" s="428">
        <v>0</v>
      </c>
      <c r="CT16" s="428">
        <v>0</v>
      </c>
      <c r="CU16" s="428">
        <v>0</v>
      </c>
      <c r="CV16" s="428">
        <v>0</v>
      </c>
      <c r="CW16" s="428">
        <v>0</v>
      </c>
      <c r="CX16" s="428"/>
      <c r="CY16" s="428"/>
      <c r="CZ16" s="428"/>
      <c r="DA16" s="428"/>
      <c r="DB16" s="428"/>
      <c r="DC16" s="428"/>
      <c r="DD16" s="428"/>
      <c r="DE16" s="428"/>
      <c r="DF16" s="428"/>
      <c r="DG16" s="428"/>
      <c r="DH16" s="428"/>
      <c r="DI16" s="428"/>
    </row>
    <row r="17" spans="1:113" s="388" customFormat="1">
      <c r="A17" s="421" t="s">
        <v>370</v>
      </c>
      <c r="B17" s="421" t="s">
        <v>12</v>
      </c>
      <c r="C17" s="421" t="s">
        <v>382</v>
      </c>
      <c r="D17" s="422" t="s">
        <v>376</v>
      </c>
      <c r="E17" s="422">
        <v>2017</v>
      </c>
      <c r="F17" s="423">
        <v>11.998587570621469</v>
      </c>
      <c r="G17" s="424">
        <v>72377.938440492479</v>
      </c>
      <c r="H17" s="422">
        <v>9</v>
      </c>
      <c r="I17" s="425">
        <v>0.73099999999999998</v>
      </c>
      <c r="J17" s="425">
        <v>0.70799999999999996</v>
      </c>
      <c r="K17" s="422">
        <v>0</v>
      </c>
      <c r="L17" s="422">
        <v>0</v>
      </c>
      <c r="M17" s="422">
        <v>0</v>
      </c>
      <c r="N17" s="426">
        <v>8</v>
      </c>
      <c r="O17" s="426">
        <v>0</v>
      </c>
      <c r="P17" s="426">
        <v>0</v>
      </c>
      <c r="Q17" s="426">
        <v>72.840300107181136</v>
      </c>
      <c r="R17" s="426">
        <v>72.840300107181136</v>
      </c>
      <c r="S17" s="426">
        <v>72.840300107181136</v>
      </c>
      <c r="T17" s="426">
        <v>72.840300107181136</v>
      </c>
      <c r="U17" s="426">
        <v>72.840300107181136</v>
      </c>
      <c r="V17" s="426">
        <v>72.840300107181136</v>
      </c>
      <c r="W17" s="426">
        <v>72.840300107181136</v>
      </c>
      <c r="X17" s="426">
        <v>72.840300107181136</v>
      </c>
      <c r="Y17" s="426">
        <v>72.840300107181136</v>
      </c>
      <c r="Z17" s="426">
        <v>0</v>
      </c>
      <c r="AA17" s="426">
        <v>0</v>
      </c>
      <c r="AB17" s="426">
        <v>0</v>
      </c>
      <c r="AC17" s="426">
        <v>0</v>
      </c>
      <c r="AD17" s="426">
        <v>0</v>
      </c>
      <c r="AE17" s="426">
        <v>0</v>
      </c>
      <c r="AF17" s="426">
        <v>0</v>
      </c>
      <c r="AG17" s="426">
        <v>0</v>
      </c>
      <c r="AH17" s="426">
        <v>0</v>
      </c>
      <c r="AI17" s="426">
        <v>0</v>
      </c>
      <c r="AJ17" s="426">
        <v>0</v>
      </c>
      <c r="AK17" s="426">
        <v>0</v>
      </c>
      <c r="AL17" s="426">
        <v>0</v>
      </c>
      <c r="AM17" s="427">
        <v>0</v>
      </c>
      <c r="AN17" s="427">
        <v>0</v>
      </c>
      <c r="AO17" s="427">
        <v>0</v>
      </c>
      <c r="AP17" s="427">
        <v>453661.50482315116</v>
      </c>
      <c r="AQ17" s="427">
        <v>453661.50482315116</v>
      </c>
      <c r="AR17" s="427">
        <v>453661.50482315116</v>
      </c>
      <c r="AS17" s="427">
        <v>453661.50482315116</v>
      </c>
      <c r="AT17" s="427">
        <v>453661.50482315116</v>
      </c>
      <c r="AU17" s="427">
        <v>453661.50482315116</v>
      </c>
      <c r="AV17" s="427">
        <v>453661.50482315116</v>
      </c>
      <c r="AW17" s="427">
        <v>453661.50482315116</v>
      </c>
      <c r="AX17" s="427">
        <v>453661.50482315116</v>
      </c>
      <c r="AY17" s="427">
        <v>0</v>
      </c>
      <c r="AZ17" s="427">
        <v>0</v>
      </c>
      <c r="BA17" s="427">
        <v>0</v>
      </c>
      <c r="BB17" s="427">
        <v>0</v>
      </c>
      <c r="BC17" s="427">
        <v>0</v>
      </c>
      <c r="BD17" s="427">
        <v>0</v>
      </c>
      <c r="BE17" s="427">
        <v>0</v>
      </c>
      <c r="BF17" s="427">
        <v>0</v>
      </c>
      <c r="BG17" s="427">
        <v>0</v>
      </c>
      <c r="BH17" s="427">
        <v>0</v>
      </c>
      <c r="BI17" s="427">
        <v>0</v>
      </c>
      <c r="BJ17" s="427">
        <v>0</v>
      </c>
      <c r="BK17" s="427">
        <v>0</v>
      </c>
      <c r="BL17" s="427">
        <v>0</v>
      </c>
      <c r="BM17" s="427">
        <v>0</v>
      </c>
      <c r="BN17" s="427">
        <v>0</v>
      </c>
      <c r="BO17" s="427">
        <v>0</v>
      </c>
      <c r="BP17" s="427">
        <v>0</v>
      </c>
      <c r="BQ17" s="427">
        <v>0</v>
      </c>
      <c r="BR17" s="427">
        <v>0</v>
      </c>
      <c r="BS17" s="427">
        <v>0</v>
      </c>
      <c r="BT17" s="427">
        <v>0</v>
      </c>
      <c r="BU17" s="427">
        <v>0</v>
      </c>
      <c r="BV17" s="427">
        <v>0</v>
      </c>
      <c r="BW17" s="427">
        <v>0</v>
      </c>
      <c r="BX17" s="427">
        <v>0</v>
      </c>
      <c r="BY17" s="427">
        <v>0</v>
      </c>
      <c r="BZ17" s="427">
        <v>0</v>
      </c>
      <c r="CA17" s="427">
        <v>0</v>
      </c>
      <c r="CB17" s="427">
        <v>0</v>
      </c>
      <c r="CC17" s="427">
        <v>0</v>
      </c>
      <c r="CD17" s="427">
        <v>0</v>
      </c>
      <c r="CE17" s="427">
        <v>0</v>
      </c>
      <c r="CF17" s="427">
        <v>0</v>
      </c>
      <c r="CG17" s="427">
        <v>0</v>
      </c>
      <c r="CH17" s="427">
        <v>0</v>
      </c>
      <c r="CI17" s="427">
        <v>0</v>
      </c>
      <c r="CJ17" s="427">
        <v>0</v>
      </c>
      <c r="CK17" s="428">
        <v>0</v>
      </c>
      <c r="CL17" s="428">
        <v>0</v>
      </c>
      <c r="CM17" s="428">
        <v>0</v>
      </c>
      <c r="CN17" s="428">
        <v>0</v>
      </c>
      <c r="CO17" s="428">
        <v>0</v>
      </c>
      <c r="CP17" s="428">
        <v>0</v>
      </c>
      <c r="CQ17" s="428">
        <v>0</v>
      </c>
      <c r="CR17" s="428">
        <v>0</v>
      </c>
      <c r="CS17" s="428">
        <v>0</v>
      </c>
      <c r="CT17" s="428">
        <v>0</v>
      </c>
      <c r="CU17" s="428">
        <v>0</v>
      </c>
      <c r="CV17" s="428">
        <v>0</v>
      </c>
      <c r="CW17" s="428">
        <v>0</v>
      </c>
      <c r="CX17" s="428"/>
      <c r="CY17" s="428"/>
      <c r="CZ17" s="428"/>
      <c r="DA17" s="428"/>
      <c r="DB17" s="428"/>
      <c r="DC17" s="428"/>
      <c r="DD17" s="428"/>
      <c r="DE17" s="428"/>
      <c r="DF17" s="428"/>
      <c r="DG17" s="428"/>
      <c r="DH17" s="428"/>
      <c r="DI17" s="428"/>
    </row>
    <row r="18" spans="1:113" s="388" customFormat="1">
      <c r="A18" s="421" t="s">
        <v>370</v>
      </c>
      <c r="B18" s="421" t="s">
        <v>12</v>
      </c>
      <c r="C18" s="421" t="s">
        <v>382</v>
      </c>
      <c r="D18" s="422" t="s">
        <v>376</v>
      </c>
      <c r="E18" s="422">
        <v>2018</v>
      </c>
      <c r="F18" s="423">
        <v>11.998587570621469</v>
      </c>
      <c r="G18" s="424">
        <v>72377.938440492479</v>
      </c>
      <c r="H18" s="422">
        <v>9</v>
      </c>
      <c r="I18" s="425">
        <v>0.73099999999999998</v>
      </c>
      <c r="J18" s="425">
        <v>0.70799999999999996</v>
      </c>
      <c r="K18" s="422">
        <v>0</v>
      </c>
      <c r="L18" s="422">
        <v>0</v>
      </c>
      <c r="M18" s="422">
        <v>0</v>
      </c>
      <c r="N18" s="426">
        <v>10</v>
      </c>
      <c r="O18" s="426">
        <v>0</v>
      </c>
      <c r="P18" s="426">
        <v>0</v>
      </c>
      <c r="Q18" s="426">
        <v>0</v>
      </c>
      <c r="R18" s="426">
        <v>91.050375133976416</v>
      </c>
      <c r="S18" s="426">
        <v>91.050375133976416</v>
      </c>
      <c r="T18" s="426">
        <v>91.050375133976416</v>
      </c>
      <c r="U18" s="426">
        <v>91.050375133976416</v>
      </c>
      <c r="V18" s="426">
        <v>91.050375133976416</v>
      </c>
      <c r="W18" s="426">
        <v>91.050375133976416</v>
      </c>
      <c r="X18" s="426">
        <v>91.050375133976416</v>
      </c>
      <c r="Y18" s="426">
        <v>91.050375133976416</v>
      </c>
      <c r="Z18" s="426">
        <v>91.050375133976416</v>
      </c>
      <c r="AA18" s="426">
        <v>0</v>
      </c>
      <c r="AB18" s="426">
        <v>0</v>
      </c>
      <c r="AC18" s="426">
        <v>0</v>
      </c>
      <c r="AD18" s="426">
        <v>0</v>
      </c>
      <c r="AE18" s="426">
        <v>0</v>
      </c>
      <c r="AF18" s="426">
        <v>0</v>
      </c>
      <c r="AG18" s="426">
        <v>0</v>
      </c>
      <c r="AH18" s="426">
        <v>0</v>
      </c>
      <c r="AI18" s="426">
        <v>0</v>
      </c>
      <c r="AJ18" s="426">
        <v>0</v>
      </c>
      <c r="AK18" s="426">
        <v>0</v>
      </c>
      <c r="AL18" s="426">
        <v>0</v>
      </c>
      <c r="AM18" s="427">
        <v>0</v>
      </c>
      <c r="AN18" s="427">
        <v>0</v>
      </c>
      <c r="AO18" s="427">
        <v>0</v>
      </c>
      <c r="AP18" s="427">
        <v>0</v>
      </c>
      <c r="AQ18" s="427">
        <v>567076.88102893892</v>
      </c>
      <c r="AR18" s="427">
        <v>567076.88102893892</v>
      </c>
      <c r="AS18" s="427">
        <v>567076.88102893892</v>
      </c>
      <c r="AT18" s="427">
        <v>567076.88102893892</v>
      </c>
      <c r="AU18" s="427">
        <v>567076.88102893892</v>
      </c>
      <c r="AV18" s="427">
        <v>567076.88102893892</v>
      </c>
      <c r="AW18" s="427">
        <v>567076.88102893892</v>
      </c>
      <c r="AX18" s="427">
        <v>567076.88102893892</v>
      </c>
      <c r="AY18" s="427">
        <v>567076.88102893892</v>
      </c>
      <c r="AZ18" s="427">
        <v>0</v>
      </c>
      <c r="BA18" s="427">
        <v>0</v>
      </c>
      <c r="BB18" s="427">
        <v>0</v>
      </c>
      <c r="BC18" s="427">
        <v>0</v>
      </c>
      <c r="BD18" s="427">
        <v>0</v>
      </c>
      <c r="BE18" s="427">
        <v>0</v>
      </c>
      <c r="BF18" s="427">
        <v>0</v>
      </c>
      <c r="BG18" s="427">
        <v>0</v>
      </c>
      <c r="BH18" s="427">
        <v>0</v>
      </c>
      <c r="BI18" s="427">
        <v>0</v>
      </c>
      <c r="BJ18" s="427">
        <v>0</v>
      </c>
      <c r="BK18" s="427">
        <v>0</v>
      </c>
      <c r="BL18" s="427">
        <v>0</v>
      </c>
      <c r="BM18" s="427">
        <v>0</v>
      </c>
      <c r="BN18" s="427">
        <v>0</v>
      </c>
      <c r="BO18" s="427">
        <v>0</v>
      </c>
      <c r="BP18" s="427">
        <v>0</v>
      </c>
      <c r="BQ18" s="427">
        <v>0</v>
      </c>
      <c r="BR18" s="427">
        <v>0</v>
      </c>
      <c r="BS18" s="427">
        <v>0</v>
      </c>
      <c r="BT18" s="427">
        <v>0</v>
      </c>
      <c r="BU18" s="427">
        <v>0</v>
      </c>
      <c r="BV18" s="427">
        <v>0</v>
      </c>
      <c r="BW18" s="427">
        <v>0</v>
      </c>
      <c r="BX18" s="427">
        <v>0</v>
      </c>
      <c r="BY18" s="427">
        <v>0</v>
      </c>
      <c r="BZ18" s="427">
        <v>0</v>
      </c>
      <c r="CA18" s="427">
        <v>0</v>
      </c>
      <c r="CB18" s="427">
        <v>0</v>
      </c>
      <c r="CC18" s="427">
        <v>0</v>
      </c>
      <c r="CD18" s="427">
        <v>0</v>
      </c>
      <c r="CE18" s="427">
        <v>0</v>
      </c>
      <c r="CF18" s="427">
        <v>0</v>
      </c>
      <c r="CG18" s="427">
        <v>0</v>
      </c>
      <c r="CH18" s="427">
        <v>0</v>
      </c>
      <c r="CI18" s="427">
        <v>0</v>
      </c>
      <c r="CJ18" s="427">
        <v>0</v>
      </c>
      <c r="CK18" s="428">
        <v>0</v>
      </c>
      <c r="CL18" s="428">
        <v>0</v>
      </c>
      <c r="CM18" s="428">
        <v>0</v>
      </c>
      <c r="CN18" s="428">
        <v>0</v>
      </c>
      <c r="CO18" s="428">
        <v>0</v>
      </c>
      <c r="CP18" s="428">
        <v>0</v>
      </c>
      <c r="CQ18" s="428">
        <v>0</v>
      </c>
      <c r="CR18" s="428">
        <v>0</v>
      </c>
      <c r="CS18" s="428">
        <v>0</v>
      </c>
      <c r="CT18" s="428">
        <v>0</v>
      </c>
      <c r="CU18" s="428">
        <v>0</v>
      </c>
      <c r="CV18" s="428">
        <v>0</v>
      </c>
      <c r="CW18" s="428">
        <v>0</v>
      </c>
      <c r="CX18" s="428"/>
      <c r="CY18" s="428"/>
      <c r="CZ18" s="428"/>
      <c r="DA18" s="428"/>
      <c r="DB18" s="428"/>
      <c r="DC18" s="428"/>
      <c r="DD18" s="428"/>
      <c r="DE18" s="428"/>
      <c r="DF18" s="428"/>
      <c r="DG18" s="428"/>
      <c r="DH18" s="428"/>
      <c r="DI18" s="428"/>
    </row>
    <row r="19" spans="1:113" s="388" customFormat="1">
      <c r="A19" s="421" t="s">
        <v>370</v>
      </c>
      <c r="B19" s="421" t="s">
        <v>12</v>
      </c>
      <c r="C19" s="421" t="s">
        <v>382</v>
      </c>
      <c r="D19" s="422" t="s">
        <v>376</v>
      </c>
      <c r="E19" s="422">
        <v>2019</v>
      </c>
      <c r="F19" s="423">
        <v>11.998587570621469</v>
      </c>
      <c r="G19" s="424">
        <v>72377.938440492479</v>
      </c>
      <c r="H19" s="422">
        <v>9</v>
      </c>
      <c r="I19" s="425">
        <v>0.73099999999999998</v>
      </c>
      <c r="J19" s="425">
        <v>0.70799999999999996</v>
      </c>
      <c r="K19" s="422">
        <v>0</v>
      </c>
      <c r="L19" s="422">
        <v>0</v>
      </c>
      <c r="M19" s="422">
        <v>0</v>
      </c>
      <c r="N19" s="426">
        <v>12</v>
      </c>
      <c r="O19" s="426">
        <v>0</v>
      </c>
      <c r="P19" s="426">
        <v>0</v>
      </c>
      <c r="Q19" s="426">
        <v>0</v>
      </c>
      <c r="R19" s="426">
        <v>0</v>
      </c>
      <c r="S19" s="426">
        <v>109.26045016077171</v>
      </c>
      <c r="T19" s="426">
        <v>109.26045016077171</v>
      </c>
      <c r="U19" s="426">
        <v>109.26045016077171</v>
      </c>
      <c r="V19" s="426">
        <v>109.26045016077171</v>
      </c>
      <c r="W19" s="426">
        <v>109.26045016077171</v>
      </c>
      <c r="X19" s="426">
        <v>109.26045016077171</v>
      </c>
      <c r="Y19" s="426">
        <v>109.26045016077171</v>
      </c>
      <c r="Z19" s="426">
        <v>109.26045016077171</v>
      </c>
      <c r="AA19" s="426">
        <v>109.26045016077171</v>
      </c>
      <c r="AB19" s="426">
        <v>0</v>
      </c>
      <c r="AC19" s="426">
        <v>0</v>
      </c>
      <c r="AD19" s="426">
        <v>0</v>
      </c>
      <c r="AE19" s="426">
        <v>0</v>
      </c>
      <c r="AF19" s="426">
        <v>0</v>
      </c>
      <c r="AG19" s="426">
        <v>0</v>
      </c>
      <c r="AH19" s="426">
        <v>0</v>
      </c>
      <c r="AI19" s="426">
        <v>0</v>
      </c>
      <c r="AJ19" s="426">
        <v>0</v>
      </c>
      <c r="AK19" s="426">
        <v>0</v>
      </c>
      <c r="AL19" s="426">
        <v>0</v>
      </c>
      <c r="AM19" s="427">
        <v>0</v>
      </c>
      <c r="AN19" s="427">
        <v>0</v>
      </c>
      <c r="AO19" s="427">
        <v>0</v>
      </c>
      <c r="AP19" s="427">
        <v>0</v>
      </c>
      <c r="AQ19" s="427">
        <v>0</v>
      </c>
      <c r="AR19" s="427">
        <v>680492.2572347268</v>
      </c>
      <c r="AS19" s="427">
        <v>680492.2572347268</v>
      </c>
      <c r="AT19" s="427">
        <v>680492.2572347268</v>
      </c>
      <c r="AU19" s="427">
        <v>680492.2572347268</v>
      </c>
      <c r="AV19" s="427">
        <v>680492.2572347268</v>
      </c>
      <c r="AW19" s="427">
        <v>680492.2572347268</v>
      </c>
      <c r="AX19" s="427">
        <v>680492.2572347268</v>
      </c>
      <c r="AY19" s="427">
        <v>680492.2572347268</v>
      </c>
      <c r="AZ19" s="427">
        <v>680492.2572347268</v>
      </c>
      <c r="BA19" s="427">
        <v>0</v>
      </c>
      <c r="BB19" s="427">
        <v>0</v>
      </c>
      <c r="BC19" s="427">
        <v>0</v>
      </c>
      <c r="BD19" s="427">
        <v>0</v>
      </c>
      <c r="BE19" s="427">
        <v>0</v>
      </c>
      <c r="BF19" s="427">
        <v>0</v>
      </c>
      <c r="BG19" s="427">
        <v>0</v>
      </c>
      <c r="BH19" s="427">
        <v>0</v>
      </c>
      <c r="BI19" s="427">
        <v>0</v>
      </c>
      <c r="BJ19" s="427">
        <v>0</v>
      </c>
      <c r="BK19" s="427">
        <v>0</v>
      </c>
      <c r="BL19" s="427">
        <v>0</v>
      </c>
      <c r="BM19" s="427">
        <v>0</v>
      </c>
      <c r="BN19" s="427">
        <v>0</v>
      </c>
      <c r="BO19" s="427">
        <v>0</v>
      </c>
      <c r="BP19" s="427">
        <v>0</v>
      </c>
      <c r="BQ19" s="427">
        <v>0</v>
      </c>
      <c r="BR19" s="427">
        <v>0</v>
      </c>
      <c r="BS19" s="427">
        <v>0</v>
      </c>
      <c r="BT19" s="427">
        <v>0</v>
      </c>
      <c r="BU19" s="427">
        <v>0</v>
      </c>
      <c r="BV19" s="427">
        <v>0</v>
      </c>
      <c r="BW19" s="427">
        <v>0</v>
      </c>
      <c r="BX19" s="427">
        <v>0</v>
      </c>
      <c r="BY19" s="427">
        <v>0</v>
      </c>
      <c r="BZ19" s="427">
        <v>0</v>
      </c>
      <c r="CA19" s="427">
        <v>0</v>
      </c>
      <c r="CB19" s="427">
        <v>0</v>
      </c>
      <c r="CC19" s="427">
        <v>0</v>
      </c>
      <c r="CD19" s="427">
        <v>0</v>
      </c>
      <c r="CE19" s="427">
        <v>0</v>
      </c>
      <c r="CF19" s="427">
        <v>0</v>
      </c>
      <c r="CG19" s="427">
        <v>0</v>
      </c>
      <c r="CH19" s="427">
        <v>0</v>
      </c>
      <c r="CI19" s="427">
        <v>0</v>
      </c>
      <c r="CJ19" s="427">
        <v>0</v>
      </c>
      <c r="CK19" s="428">
        <v>0</v>
      </c>
      <c r="CL19" s="428">
        <v>0</v>
      </c>
      <c r="CM19" s="428">
        <v>0</v>
      </c>
      <c r="CN19" s="428">
        <v>0</v>
      </c>
      <c r="CO19" s="428">
        <v>0</v>
      </c>
      <c r="CP19" s="428">
        <v>0</v>
      </c>
      <c r="CQ19" s="428">
        <v>0</v>
      </c>
      <c r="CR19" s="428">
        <v>0</v>
      </c>
      <c r="CS19" s="428">
        <v>0</v>
      </c>
      <c r="CT19" s="428">
        <v>0</v>
      </c>
      <c r="CU19" s="428">
        <v>0</v>
      </c>
      <c r="CV19" s="428">
        <v>0</v>
      </c>
      <c r="CW19" s="428">
        <v>0</v>
      </c>
      <c r="CX19" s="428"/>
      <c r="CY19" s="428"/>
      <c r="CZ19" s="428"/>
      <c r="DA19" s="428"/>
      <c r="DB19" s="428"/>
      <c r="DC19" s="428"/>
      <c r="DD19" s="428"/>
      <c r="DE19" s="428"/>
      <c r="DF19" s="428"/>
      <c r="DG19" s="428"/>
      <c r="DH19" s="428"/>
      <c r="DI19" s="428"/>
    </row>
    <row r="20" spans="1:113" s="388" customFormat="1">
      <c r="A20" s="421" t="s">
        <v>370</v>
      </c>
      <c r="B20" s="421" t="s">
        <v>12</v>
      </c>
      <c r="C20" s="421" t="s">
        <v>382</v>
      </c>
      <c r="D20" s="422" t="s">
        <v>376</v>
      </c>
      <c r="E20" s="422">
        <v>2020</v>
      </c>
      <c r="F20" s="423">
        <v>11.998587570621469</v>
      </c>
      <c r="G20" s="424">
        <v>72377.938440492479</v>
      </c>
      <c r="H20" s="422">
        <v>9</v>
      </c>
      <c r="I20" s="425">
        <v>0.73099999999999998</v>
      </c>
      <c r="J20" s="425">
        <v>0.70799999999999996</v>
      </c>
      <c r="K20" s="422">
        <v>0</v>
      </c>
      <c r="L20" s="422">
        <v>0</v>
      </c>
      <c r="M20" s="422">
        <v>0</v>
      </c>
      <c r="N20" s="426">
        <v>14</v>
      </c>
      <c r="O20" s="426">
        <v>0</v>
      </c>
      <c r="P20" s="426">
        <v>0</v>
      </c>
      <c r="Q20" s="426">
        <v>0</v>
      </c>
      <c r="R20" s="426">
        <v>0</v>
      </c>
      <c r="S20" s="426">
        <v>0</v>
      </c>
      <c r="T20" s="426">
        <v>127.47052518756698</v>
      </c>
      <c r="U20" s="426">
        <v>127.47052518756698</v>
      </c>
      <c r="V20" s="426">
        <v>127.47052518756698</v>
      </c>
      <c r="W20" s="426">
        <v>127.47052518756698</v>
      </c>
      <c r="X20" s="426">
        <v>127.47052518756698</v>
      </c>
      <c r="Y20" s="426">
        <v>127.47052518756698</v>
      </c>
      <c r="Z20" s="426">
        <v>127.47052518756698</v>
      </c>
      <c r="AA20" s="426">
        <v>127.47052518756698</v>
      </c>
      <c r="AB20" s="426">
        <v>127.47052518756698</v>
      </c>
      <c r="AC20" s="426">
        <v>0</v>
      </c>
      <c r="AD20" s="426">
        <v>0</v>
      </c>
      <c r="AE20" s="426">
        <v>0</v>
      </c>
      <c r="AF20" s="426">
        <v>0</v>
      </c>
      <c r="AG20" s="426">
        <v>0</v>
      </c>
      <c r="AH20" s="426">
        <v>0</v>
      </c>
      <c r="AI20" s="426">
        <v>0</v>
      </c>
      <c r="AJ20" s="426">
        <v>0</v>
      </c>
      <c r="AK20" s="426">
        <v>0</v>
      </c>
      <c r="AL20" s="426">
        <v>0</v>
      </c>
      <c r="AM20" s="427">
        <v>0</v>
      </c>
      <c r="AN20" s="427">
        <v>0</v>
      </c>
      <c r="AO20" s="427">
        <v>0</v>
      </c>
      <c r="AP20" s="427">
        <v>0</v>
      </c>
      <c r="AQ20" s="427">
        <v>0</v>
      </c>
      <c r="AR20" s="427">
        <v>0</v>
      </c>
      <c r="AS20" s="427">
        <v>793907.63344051456</v>
      </c>
      <c r="AT20" s="427">
        <v>793907.63344051456</v>
      </c>
      <c r="AU20" s="427">
        <v>793907.63344051456</v>
      </c>
      <c r="AV20" s="427">
        <v>793907.63344051456</v>
      </c>
      <c r="AW20" s="427">
        <v>793907.63344051456</v>
      </c>
      <c r="AX20" s="427">
        <v>793907.63344051456</v>
      </c>
      <c r="AY20" s="427">
        <v>793907.63344051456</v>
      </c>
      <c r="AZ20" s="427">
        <v>793907.63344051456</v>
      </c>
      <c r="BA20" s="427">
        <v>793907.63344051456</v>
      </c>
      <c r="BB20" s="427">
        <v>0</v>
      </c>
      <c r="BC20" s="427">
        <v>0</v>
      </c>
      <c r="BD20" s="427">
        <v>0</v>
      </c>
      <c r="BE20" s="427">
        <v>0</v>
      </c>
      <c r="BF20" s="427">
        <v>0</v>
      </c>
      <c r="BG20" s="427">
        <v>0</v>
      </c>
      <c r="BH20" s="427">
        <v>0</v>
      </c>
      <c r="BI20" s="427">
        <v>0</v>
      </c>
      <c r="BJ20" s="427">
        <v>0</v>
      </c>
      <c r="BK20" s="427">
        <v>0</v>
      </c>
      <c r="BL20" s="427">
        <v>0</v>
      </c>
      <c r="BM20" s="427">
        <v>0</v>
      </c>
      <c r="BN20" s="427">
        <v>0</v>
      </c>
      <c r="BO20" s="427">
        <v>0</v>
      </c>
      <c r="BP20" s="427">
        <v>0</v>
      </c>
      <c r="BQ20" s="427">
        <v>0</v>
      </c>
      <c r="BR20" s="427">
        <v>0</v>
      </c>
      <c r="BS20" s="427">
        <v>0</v>
      </c>
      <c r="BT20" s="427">
        <v>0</v>
      </c>
      <c r="BU20" s="427">
        <v>0</v>
      </c>
      <c r="BV20" s="427">
        <v>0</v>
      </c>
      <c r="BW20" s="427">
        <v>0</v>
      </c>
      <c r="BX20" s="427">
        <v>0</v>
      </c>
      <c r="BY20" s="427">
        <v>0</v>
      </c>
      <c r="BZ20" s="427">
        <v>0</v>
      </c>
      <c r="CA20" s="427">
        <v>0</v>
      </c>
      <c r="CB20" s="427">
        <v>0</v>
      </c>
      <c r="CC20" s="427">
        <v>0</v>
      </c>
      <c r="CD20" s="427">
        <v>0</v>
      </c>
      <c r="CE20" s="427">
        <v>0</v>
      </c>
      <c r="CF20" s="427">
        <v>0</v>
      </c>
      <c r="CG20" s="427">
        <v>0</v>
      </c>
      <c r="CH20" s="427">
        <v>0</v>
      </c>
      <c r="CI20" s="427">
        <v>0</v>
      </c>
      <c r="CJ20" s="427">
        <v>0</v>
      </c>
      <c r="CK20" s="428">
        <v>0</v>
      </c>
      <c r="CL20" s="428">
        <v>0</v>
      </c>
      <c r="CM20" s="428">
        <v>0</v>
      </c>
      <c r="CN20" s="428">
        <v>0</v>
      </c>
      <c r="CO20" s="428">
        <v>0</v>
      </c>
      <c r="CP20" s="428">
        <v>0</v>
      </c>
      <c r="CQ20" s="428">
        <v>0</v>
      </c>
      <c r="CR20" s="428">
        <v>0</v>
      </c>
      <c r="CS20" s="428">
        <v>0</v>
      </c>
      <c r="CT20" s="428">
        <v>0</v>
      </c>
      <c r="CU20" s="428">
        <v>0</v>
      </c>
      <c r="CV20" s="428">
        <v>0</v>
      </c>
      <c r="CW20" s="428">
        <v>0</v>
      </c>
      <c r="CX20" s="428"/>
      <c r="CY20" s="428"/>
      <c r="CZ20" s="428"/>
      <c r="DA20" s="428"/>
      <c r="DB20" s="428"/>
      <c r="DC20" s="428"/>
      <c r="DD20" s="428"/>
      <c r="DE20" s="428"/>
      <c r="DF20" s="428"/>
      <c r="DG20" s="428"/>
      <c r="DH20" s="428"/>
      <c r="DI20" s="428"/>
    </row>
    <row r="21" spans="1:113" s="388" customFormat="1">
      <c r="A21" s="421" t="s">
        <v>370</v>
      </c>
      <c r="B21" s="421" t="s">
        <v>12</v>
      </c>
      <c r="C21" s="421" t="s">
        <v>384</v>
      </c>
      <c r="D21" s="422" t="s">
        <v>376</v>
      </c>
      <c r="E21" s="422">
        <v>2015</v>
      </c>
      <c r="F21" s="423">
        <v>4.6920821114369504</v>
      </c>
      <c r="G21" s="424">
        <v>18019.101283880173</v>
      </c>
      <c r="H21" s="422">
        <v>16</v>
      </c>
      <c r="I21" s="425">
        <v>0.70099999999999996</v>
      </c>
      <c r="J21" s="425">
        <v>0.68200000000000005</v>
      </c>
      <c r="K21" s="422">
        <v>0</v>
      </c>
      <c r="L21" s="422">
        <v>0</v>
      </c>
      <c r="M21" s="422">
        <v>0</v>
      </c>
      <c r="N21" s="426">
        <v>0</v>
      </c>
      <c r="O21" s="426">
        <v>0</v>
      </c>
      <c r="P21" s="426">
        <v>0</v>
      </c>
      <c r="Q21" s="426">
        <v>0</v>
      </c>
      <c r="R21" s="426">
        <v>0</v>
      </c>
      <c r="S21" s="426">
        <v>0</v>
      </c>
      <c r="T21" s="426">
        <v>0</v>
      </c>
      <c r="U21" s="426">
        <v>0</v>
      </c>
      <c r="V21" s="426">
        <v>0</v>
      </c>
      <c r="W21" s="426">
        <v>0</v>
      </c>
      <c r="X21" s="426">
        <v>0</v>
      </c>
      <c r="Y21" s="426">
        <v>0</v>
      </c>
      <c r="Z21" s="426">
        <v>0</v>
      </c>
      <c r="AA21" s="426">
        <v>0</v>
      </c>
      <c r="AB21" s="426">
        <v>0</v>
      </c>
      <c r="AC21" s="426">
        <v>0</v>
      </c>
      <c r="AD21" s="426">
        <v>0</v>
      </c>
      <c r="AE21" s="426">
        <v>0</v>
      </c>
      <c r="AF21" s="426">
        <v>0</v>
      </c>
      <c r="AG21" s="426">
        <v>0</v>
      </c>
      <c r="AH21" s="426">
        <v>0</v>
      </c>
      <c r="AI21" s="426">
        <v>0</v>
      </c>
      <c r="AJ21" s="426">
        <v>0</v>
      </c>
      <c r="AK21" s="426">
        <v>0</v>
      </c>
      <c r="AL21" s="426">
        <v>0</v>
      </c>
      <c r="AM21" s="427">
        <v>0</v>
      </c>
      <c r="AN21" s="427">
        <v>0</v>
      </c>
      <c r="AO21" s="427">
        <v>0</v>
      </c>
      <c r="AP21" s="427">
        <v>0</v>
      </c>
      <c r="AQ21" s="427">
        <v>0</v>
      </c>
      <c r="AR21" s="427">
        <v>0</v>
      </c>
      <c r="AS21" s="427">
        <v>0</v>
      </c>
      <c r="AT21" s="427">
        <v>0</v>
      </c>
      <c r="AU21" s="427">
        <v>0</v>
      </c>
      <c r="AV21" s="427">
        <v>0</v>
      </c>
      <c r="AW21" s="427">
        <v>0</v>
      </c>
      <c r="AX21" s="427">
        <v>0</v>
      </c>
      <c r="AY21" s="427">
        <v>0</v>
      </c>
      <c r="AZ21" s="427">
        <v>0</v>
      </c>
      <c r="BA21" s="427">
        <v>0</v>
      </c>
      <c r="BB21" s="427">
        <v>0</v>
      </c>
      <c r="BC21" s="427">
        <v>0</v>
      </c>
      <c r="BD21" s="427">
        <v>0</v>
      </c>
      <c r="BE21" s="427">
        <v>0</v>
      </c>
      <c r="BF21" s="427">
        <v>0</v>
      </c>
      <c r="BG21" s="427">
        <v>0</v>
      </c>
      <c r="BH21" s="427">
        <v>0</v>
      </c>
      <c r="BI21" s="427">
        <v>0</v>
      </c>
      <c r="BJ21" s="427">
        <v>0</v>
      </c>
      <c r="BK21" s="427">
        <v>0</v>
      </c>
      <c r="BL21" s="427">
        <v>0</v>
      </c>
      <c r="BM21" s="427">
        <v>0</v>
      </c>
      <c r="BN21" s="427">
        <v>0</v>
      </c>
      <c r="BO21" s="427">
        <v>0</v>
      </c>
      <c r="BP21" s="427">
        <v>0</v>
      </c>
      <c r="BQ21" s="427">
        <v>0</v>
      </c>
      <c r="BR21" s="427">
        <v>0</v>
      </c>
      <c r="BS21" s="427">
        <v>0</v>
      </c>
      <c r="BT21" s="427">
        <v>0</v>
      </c>
      <c r="BU21" s="427">
        <v>0</v>
      </c>
      <c r="BV21" s="427">
        <v>0</v>
      </c>
      <c r="BW21" s="427">
        <v>0</v>
      </c>
      <c r="BX21" s="427">
        <v>0</v>
      </c>
      <c r="BY21" s="427">
        <v>0</v>
      </c>
      <c r="BZ21" s="427">
        <v>0</v>
      </c>
      <c r="CA21" s="427">
        <v>0</v>
      </c>
      <c r="CB21" s="427">
        <v>0</v>
      </c>
      <c r="CC21" s="427">
        <v>0</v>
      </c>
      <c r="CD21" s="427">
        <v>0</v>
      </c>
      <c r="CE21" s="427">
        <v>0</v>
      </c>
      <c r="CF21" s="427">
        <v>0</v>
      </c>
      <c r="CG21" s="427">
        <v>0</v>
      </c>
      <c r="CH21" s="427">
        <v>0</v>
      </c>
      <c r="CI21" s="427">
        <v>0</v>
      </c>
      <c r="CJ21" s="427">
        <v>0</v>
      </c>
      <c r="CK21" s="428">
        <v>0</v>
      </c>
      <c r="CL21" s="428">
        <v>0</v>
      </c>
      <c r="CM21" s="428">
        <v>0</v>
      </c>
      <c r="CN21" s="428">
        <v>0</v>
      </c>
      <c r="CO21" s="428">
        <v>0</v>
      </c>
      <c r="CP21" s="428">
        <v>0</v>
      </c>
      <c r="CQ21" s="428">
        <v>0</v>
      </c>
      <c r="CR21" s="428">
        <v>0</v>
      </c>
      <c r="CS21" s="428">
        <v>0</v>
      </c>
      <c r="CT21" s="428">
        <v>0</v>
      </c>
      <c r="CU21" s="428">
        <v>0</v>
      </c>
      <c r="CV21" s="428">
        <v>0</v>
      </c>
      <c r="CW21" s="428">
        <v>0</v>
      </c>
      <c r="CX21" s="428"/>
      <c r="CY21" s="428"/>
      <c r="CZ21" s="428"/>
      <c r="DA21" s="428"/>
      <c r="DB21" s="428"/>
      <c r="DC21" s="428"/>
      <c r="DD21" s="428"/>
      <c r="DE21" s="428"/>
      <c r="DF21" s="428"/>
      <c r="DG21" s="428"/>
      <c r="DH21" s="428"/>
      <c r="DI21" s="428"/>
    </row>
    <row r="22" spans="1:113" s="388" customFormat="1">
      <c r="A22" s="421" t="s">
        <v>370</v>
      </c>
      <c r="B22" s="421" t="s">
        <v>12</v>
      </c>
      <c r="C22" s="421" t="s">
        <v>384</v>
      </c>
      <c r="D22" s="422" t="s">
        <v>376</v>
      </c>
      <c r="E22" s="422">
        <v>2016</v>
      </c>
      <c r="F22" s="423">
        <v>4.6920821114369504</v>
      </c>
      <c r="G22" s="424">
        <v>18019.101283880173</v>
      </c>
      <c r="H22" s="422">
        <v>16</v>
      </c>
      <c r="I22" s="425">
        <v>0.70099999999999996</v>
      </c>
      <c r="J22" s="425">
        <v>0.68200000000000005</v>
      </c>
      <c r="K22" s="422">
        <v>0</v>
      </c>
      <c r="L22" s="422">
        <v>0</v>
      </c>
      <c r="M22" s="422">
        <v>0</v>
      </c>
      <c r="N22" s="426">
        <v>14</v>
      </c>
      <c r="O22" s="426">
        <v>0</v>
      </c>
      <c r="P22" s="426">
        <v>48.017148981779222</v>
      </c>
      <c r="Q22" s="426">
        <v>48.017148981779222</v>
      </c>
      <c r="R22" s="426">
        <v>48.017148981779222</v>
      </c>
      <c r="S22" s="426">
        <v>48.017148981779222</v>
      </c>
      <c r="T22" s="426">
        <v>48.017148981779222</v>
      </c>
      <c r="U22" s="426">
        <v>48.017148981779222</v>
      </c>
      <c r="V22" s="426">
        <v>48.017148981779222</v>
      </c>
      <c r="W22" s="426">
        <v>48.017148981779222</v>
      </c>
      <c r="X22" s="426">
        <v>48.017148981779222</v>
      </c>
      <c r="Y22" s="426">
        <v>48.017148981779222</v>
      </c>
      <c r="Z22" s="426">
        <v>48.017148981779222</v>
      </c>
      <c r="AA22" s="426">
        <v>48.017148981779222</v>
      </c>
      <c r="AB22" s="426">
        <v>48.017148981779222</v>
      </c>
      <c r="AC22" s="426">
        <v>48.017148981779222</v>
      </c>
      <c r="AD22" s="426">
        <v>48.017148981779222</v>
      </c>
      <c r="AE22" s="426">
        <v>48.017148981779222</v>
      </c>
      <c r="AF22" s="426">
        <v>0</v>
      </c>
      <c r="AG22" s="426">
        <v>0</v>
      </c>
      <c r="AH22" s="426">
        <v>0</v>
      </c>
      <c r="AI22" s="426">
        <v>0</v>
      </c>
      <c r="AJ22" s="426">
        <v>0</v>
      </c>
      <c r="AK22" s="426">
        <v>0</v>
      </c>
      <c r="AL22" s="426">
        <v>0</v>
      </c>
      <c r="AM22" s="427">
        <v>0</v>
      </c>
      <c r="AN22" s="427">
        <v>0</v>
      </c>
      <c r="AO22" s="427">
        <v>189538.54233654877</v>
      </c>
      <c r="AP22" s="427">
        <v>189538.54233654877</v>
      </c>
      <c r="AQ22" s="427">
        <v>189538.54233654877</v>
      </c>
      <c r="AR22" s="427">
        <v>189538.54233654877</v>
      </c>
      <c r="AS22" s="427">
        <v>189538.54233654877</v>
      </c>
      <c r="AT22" s="427">
        <v>189538.54233654877</v>
      </c>
      <c r="AU22" s="427">
        <v>189538.54233654877</v>
      </c>
      <c r="AV22" s="427">
        <v>189538.54233654877</v>
      </c>
      <c r="AW22" s="427">
        <v>189538.54233654877</v>
      </c>
      <c r="AX22" s="427">
        <v>189538.54233654877</v>
      </c>
      <c r="AY22" s="427">
        <v>189538.54233654877</v>
      </c>
      <c r="AZ22" s="427">
        <v>189538.54233654877</v>
      </c>
      <c r="BA22" s="427">
        <v>189538.54233654877</v>
      </c>
      <c r="BB22" s="427">
        <v>189538.54233654877</v>
      </c>
      <c r="BC22" s="427">
        <v>189538.54233654877</v>
      </c>
      <c r="BD22" s="427">
        <v>189538.54233654877</v>
      </c>
      <c r="BE22" s="427">
        <v>0</v>
      </c>
      <c r="BF22" s="427">
        <v>0</v>
      </c>
      <c r="BG22" s="427">
        <v>0</v>
      </c>
      <c r="BH22" s="427">
        <v>0</v>
      </c>
      <c r="BI22" s="427">
        <v>0</v>
      </c>
      <c r="BJ22" s="427">
        <v>0</v>
      </c>
      <c r="BK22" s="427">
        <v>0</v>
      </c>
      <c r="BL22" s="427">
        <v>0</v>
      </c>
      <c r="BM22" s="427">
        <v>0</v>
      </c>
      <c r="BN22" s="427">
        <v>0</v>
      </c>
      <c r="BO22" s="427">
        <v>0</v>
      </c>
      <c r="BP22" s="427">
        <v>0</v>
      </c>
      <c r="BQ22" s="427">
        <v>0</v>
      </c>
      <c r="BR22" s="427">
        <v>0</v>
      </c>
      <c r="BS22" s="427">
        <v>0</v>
      </c>
      <c r="BT22" s="427">
        <v>0</v>
      </c>
      <c r="BU22" s="427">
        <v>0</v>
      </c>
      <c r="BV22" s="427">
        <v>0</v>
      </c>
      <c r="BW22" s="427">
        <v>0</v>
      </c>
      <c r="BX22" s="427">
        <v>0</v>
      </c>
      <c r="BY22" s="427">
        <v>0</v>
      </c>
      <c r="BZ22" s="427">
        <v>0</v>
      </c>
      <c r="CA22" s="427">
        <v>0</v>
      </c>
      <c r="CB22" s="427">
        <v>0</v>
      </c>
      <c r="CC22" s="427">
        <v>0</v>
      </c>
      <c r="CD22" s="427">
        <v>0</v>
      </c>
      <c r="CE22" s="427">
        <v>0</v>
      </c>
      <c r="CF22" s="427">
        <v>0</v>
      </c>
      <c r="CG22" s="427">
        <v>0</v>
      </c>
      <c r="CH22" s="427">
        <v>0</v>
      </c>
      <c r="CI22" s="427">
        <v>0</v>
      </c>
      <c r="CJ22" s="427">
        <v>0</v>
      </c>
      <c r="CK22" s="428">
        <v>0</v>
      </c>
      <c r="CL22" s="428">
        <v>0</v>
      </c>
      <c r="CM22" s="428">
        <v>0</v>
      </c>
      <c r="CN22" s="428">
        <v>0</v>
      </c>
      <c r="CO22" s="428">
        <v>0</v>
      </c>
      <c r="CP22" s="428">
        <v>0</v>
      </c>
      <c r="CQ22" s="428">
        <v>0</v>
      </c>
      <c r="CR22" s="428">
        <v>0</v>
      </c>
      <c r="CS22" s="428">
        <v>0</v>
      </c>
      <c r="CT22" s="428">
        <v>0</v>
      </c>
      <c r="CU22" s="428">
        <v>0</v>
      </c>
      <c r="CV22" s="428">
        <v>0</v>
      </c>
      <c r="CW22" s="428">
        <v>0</v>
      </c>
      <c r="CX22" s="428"/>
      <c r="CY22" s="428"/>
      <c r="CZ22" s="428"/>
      <c r="DA22" s="428"/>
      <c r="DB22" s="428"/>
      <c r="DC22" s="428"/>
      <c r="DD22" s="428"/>
      <c r="DE22" s="428"/>
      <c r="DF22" s="428"/>
      <c r="DG22" s="428"/>
      <c r="DH22" s="428"/>
      <c r="DI22" s="428"/>
    </row>
    <row r="23" spans="1:113" s="388" customFormat="1">
      <c r="A23" s="421" t="s">
        <v>370</v>
      </c>
      <c r="B23" s="421" t="s">
        <v>12</v>
      </c>
      <c r="C23" s="421" t="s">
        <v>384</v>
      </c>
      <c r="D23" s="422" t="s">
        <v>376</v>
      </c>
      <c r="E23" s="422">
        <v>2017</v>
      </c>
      <c r="F23" s="423">
        <v>4.6920821114369504</v>
      </c>
      <c r="G23" s="424">
        <v>18019.101283880173</v>
      </c>
      <c r="H23" s="422">
        <v>16</v>
      </c>
      <c r="I23" s="425">
        <v>0.70099999999999996</v>
      </c>
      <c r="J23" s="425">
        <v>0.68200000000000005</v>
      </c>
      <c r="K23" s="422">
        <v>0</v>
      </c>
      <c r="L23" s="422">
        <v>0</v>
      </c>
      <c r="M23" s="422">
        <v>0</v>
      </c>
      <c r="N23" s="426">
        <v>16</v>
      </c>
      <c r="O23" s="426">
        <v>0</v>
      </c>
      <c r="P23" s="426">
        <v>0</v>
      </c>
      <c r="Q23" s="426">
        <v>54.876741693461966</v>
      </c>
      <c r="R23" s="426">
        <v>54.876741693461966</v>
      </c>
      <c r="S23" s="426">
        <v>54.876741693461966</v>
      </c>
      <c r="T23" s="426">
        <v>54.876741693461966</v>
      </c>
      <c r="U23" s="426">
        <v>54.876741693461966</v>
      </c>
      <c r="V23" s="426">
        <v>54.876741693461966</v>
      </c>
      <c r="W23" s="426">
        <v>54.876741693461966</v>
      </c>
      <c r="X23" s="426">
        <v>54.876741693461966</v>
      </c>
      <c r="Y23" s="426">
        <v>54.876741693461966</v>
      </c>
      <c r="Z23" s="426">
        <v>54.876741693461966</v>
      </c>
      <c r="AA23" s="426">
        <v>54.876741693461966</v>
      </c>
      <c r="AB23" s="426">
        <v>54.876741693461966</v>
      </c>
      <c r="AC23" s="426">
        <v>54.876741693461966</v>
      </c>
      <c r="AD23" s="426">
        <v>54.876741693461966</v>
      </c>
      <c r="AE23" s="426">
        <v>54.876741693461966</v>
      </c>
      <c r="AF23" s="426">
        <v>54.876741693461966</v>
      </c>
      <c r="AG23" s="426">
        <v>0</v>
      </c>
      <c r="AH23" s="426">
        <v>0</v>
      </c>
      <c r="AI23" s="426">
        <v>0</v>
      </c>
      <c r="AJ23" s="426">
        <v>0</v>
      </c>
      <c r="AK23" s="426">
        <v>0</v>
      </c>
      <c r="AL23" s="426">
        <v>0</v>
      </c>
      <c r="AM23" s="427">
        <v>0</v>
      </c>
      <c r="AN23" s="427">
        <v>0</v>
      </c>
      <c r="AO23" s="427">
        <v>0</v>
      </c>
      <c r="AP23" s="427">
        <v>216615.47695605573</v>
      </c>
      <c r="AQ23" s="427">
        <v>216615.47695605573</v>
      </c>
      <c r="AR23" s="427">
        <v>216615.47695605573</v>
      </c>
      <c r="AS23" s="427">
        <v>216615.47695605573</v>
      </c>
      <c r="AT23" s="427">
        <v>216615.47695605573</v>
      </c>
      <c r="AU23" s="427">
        <v>216615.47695605573</v>
      </c>
      <c r="AV23" s="427">
        <v>216615.47695605573</v>
      </c>
      <c r="AW23" s="427">
        <v>216615.47695605573</v>
      </c>
      <c r="AX23" s="427">
        <v>216615.47695605573</v>
      </c>
      <c r="AY23" s="427">
        <v>216615.47695605573</v>
      </c>
      <c r="AZ23" s="427">
        <v>216615.47695605573</v>
      </c>
      <c r="BA23" s="427">
        <v>216615.47695605573</v>
      </c>
      <c r="BB23" s="427">
        <v>216615.47695605573</v>
      </c>
      <c r="BC23" s="427">
        <v>216615.47695605573</v>
      </c>
      <c r="BD23" s="427">
        <v>216615.47695605573</v>
      </c>
      <c r="BE23" s="427">
        <v>216615.47695605573</v>
      </c>
      <c r="BF23" s="427">
        <v>0</v>
      </c>
      <c r="BG23" s="427">
        <v>0</v>
      </c>
      <c r="BH23" s="427">
        <v>0</v>
      </c>
      <c r="BI23" s="427">
        <v>0</v>
      </c>
      <c r="BJ23" s="427">
        <v>0</v>
      </c>
      <c r="BK23" s="427">
        <v>0</v>
      </c>
      <c r="BL23" s="427">
        <v>0</v>
      </c>
      <c r="BM23" s="427">
        <v>0</v>
      </c>
      <c r="BN23" s="427">
        <v>0</v>
      </c>
      <c r="BO23" s="427">
        <v>0</v>
      </c>
      <c r="BP23" s="427">
        <v>0</v>
      </c>
      <c r="BQ23" s="427">
        <v>0</v>
      </c>
      <c r="BR23" s="427">
        <v>0</v>
      </c>
      <c r="BS23" s="427">
        <v>0</v>
      </c>
      <c r="BT23" s="427">
        <v>0</v>
      </c>
      <c r="BU23" s="427">
        <v>0</v>
      </c>
      <c r="BV23" s="427">
        <v>0</v>
      </c>
      <c r="BW23" s="427">
        <v>0</v>
      </c>
      <c r="BX23" s="427">
        <v>0</v>
      </c>
      <c r="BY23" s="427">
        <v>0</v>
      </c>
      <c r="BZ23" s="427">
        <v>0</v>
      </c>
      <c r="CA23" s="427">
        <v>0</v>
      </c>
      <c r="CB23" s="427">
        <v>0</v>
      </c>
      <c r="CC23" s="427">
        <v>0</v>
      </c>
      <c r="CD23" s="427">
        <v>0</v>
      </c>
      <c r="CE23" s="427">
        <v>0</v>
      </c>
      <c r="CF23" s="427">
        <v>0</v>
      </c>
      <c r="CG23" s="427">
        <v>0</v>
      </c>
      <c r="CH23" s="427">
        <v>0</v>
      </c>
      <c r="CI23" s="427">
        <v>0</v>
      </c>
      <c r="CJ23" s="427">
        <v>0</v>
      </c>
      <c r="CK23" s="428">
        <v>0</v>
      </c>
      <c r="CL23" s="428">
        <v>0</v>
      </c>
      <c r="CM23" s="428">
        <v>0</v>
      </c>
      <c r="CN23" s="428">
        <v>0</v>
      </c>
      <c r="CO23" s="428">
        <v>0</v>
      </c>
      <c r="CP23" s="428">
        <v>0</v>
      </c>
      <c r="CQ23" s="428">
        <v>0</v>
      </c>
      <c r="CR23" s="428">
        <v>0</v>
      </c>
      <c r="CS23" s="428">
        <v>0</v>
      </c>
      <c r="CT23" s="428">
        <v>0</v>
      </c>
      <c r="CU23" s="428">
        <v>0</v>
      </c>
      <c r="CV23" s="428">
        <v>0</v>
      </c>
      <c r="CW23" s="428">
        <v>0</v>
      </c>
      <c r="CX23" s="428"/>
      <c r="CY23" s="428"/>
      <c r="CZ23" s="428"/>
      <c r="DA23" s="428"/>
      <c r="DB23" s="428"/>
      <c r="DC23" s="428"/>
      <c r="DD23" s="428"/>
      <c r="DE23" s="428"/>
      <c r="DF23" s="428"/>
      <c r="DG23" s="428"/>
      <c r="DH23" s="428"/>
      <c r="DI23" s="428"/>
    </row>
    <row r="24" spans="1:113" s="388" customFormat="1">
      <c r="A24" s="421" t="s">
        <v>370</v>
      </c>
      <c r="B24" s="421" t="s">
        <v>12</v>
      </c>
      <c r="C24" s="421" t="s">
        <v>384</v>
      </c>
      <c r="D24" s="422" t="s">
        <v>376</v>
      </c>
      <c r="E24" s="422">
        <v>2018</v>
      </c>
      <c r="F24" s="423">
        <v>4.6920821114369504</v>
      </c>
      <c r="G24" s="424">
        <v>18019.101283880173</v>
      </c>
      <c r="H24" s="422">
        <v>16</v>
      </c>
      <c r="I24" s="425">
        <v>0.70099999999999996</v>
      </c>
      <c r="J24" s="425">
        <v>0.68200000000000005</v>
      </c>
      <c r="K24" s="422">
        <v>0</v>
      </c>
      <c r="L24" s="422">
        <v>0</v>
      </c>
      <c r="M24" s="422">
        <v>0</v>
      </c>
      <c r="N24" s="426">
        <v>18</v>
      </c>
      <c r="O24" s="426">
        <v>0</v>
      </c>
      <c r="P24" s="426">
        <v>0</v>
      </c>
      <c r="Q24" s="426">
        <v>0</v>
      </c>
      <c r="R24" s="426">
        <v>61.736334405144703</v>
      </c>
      <c r="S24" s="426">
        <v>61.736334405144703</v>
      </c>
      <c r="T24" s="426">
        <v>61.736334405144703</v>
      </c>
      <c r="U24" s="426">
        <v>61.736334405144703</v>
      </c>
      <c r="V24" s="426">
        <v>61.736334405144703</v>
      </c>
      <c r="W24" s="426">
        <v>61.736334405144703</v>
      </c>
      <c r="X24" s="426">
        <v>61.736334405144703</v>
      </c>
      <c r="Y24" s="426">
        <v>61.736334405144703</v>
      </c>
      <c r="Z24" s="426">
        <v>61.736334405144703</v>
      </c>
      <c r="AA24" s="426">
        <v>61.736334405144703</v>
      </c>
      <c r="AB24" s="426">
        <v>61.736334405144703</v>
      </c>
      <c r="AC24" s="426">
        <v>61.736334405144703</v>
      </c>
      <c r="AD24" s="426">
        <v>61.736334405144703</v>
      </c>
      <c r="AE24" s="426">
        <v>61.736334405144703</v>
      </c>
      <c r="AF24" s="426">
        <v>61.736334405144703</v>
      </c>
      <c r="AG24" s="426">
        <v>61.736334405144703</v>
      </c>
      <c r="AH24" s="426">
        <v>0</v>
      </c>
      <c r="AI24" s="426">
        <v>0</v>
      </c>
      <c r="AJ24" s="426">
        <v>0</v>
      </c>
      <c r="AK24" s="426">
        <v>0</v>
      </c>
      <c r="AL24" s="426">
        <v>0</v>
      </c>
      <c r="AM24" s="427">
        <v>0</v>
      </c>
      <c r="AN24" s="427">
        <v>0</v>
      </c>
      <c r="AO24" s="427">
        <v>0</v>
      </c>
      <c r="AP24" s="427">
        <v>0</v>
      </c>
      <c r="AQ24" s="427">
        <v>243692.4115755627</v>
      </c>
      <c r="AR24" s="427">
        <v>243692.4115755627</v>
      </c>
      <c r="AS24" s="427">
        <v>243692.4115755627</v>
      </c>
      <c r="AT24" s="427">
        <v>243692.4115755627</v>
      </c>
      <c r="AU24" s="427">
        <v>243692.4115755627</v>
      </c>
      <c r="AV24" s="427">
        <v>243692.4115755627</v>
      </c>
      <c r="AW24" s="427">
        <v>243692.4115755627</v>
      </c>
      <c r="AX24" s="427">
        <v>243692.4115755627</v>
      </c>
      <c r="AY24" s="427">
        <v>243692.4115755627</v>
      </c>
      <c r="AZ24" s="427">
        <v>243692.4115755627</v>
      </c>
      <c r="BA24" s="427">
        <v>243692.4115755627</v>
      </c>
      <c r="BB24" s="427">
        <v>243692.4115755627</v>
      </c>
      <c r="BC24" s="427">
        <v>243692.4115755627</v>
      </c>
      <c r="BD24" s="427">
        <v>243692.4115755627</v>
      </c>
      <c r="BE24" s="427">
        <v>243692.4115755627</v>
      </c>
      <c r="BF24" s="427">
        <v>243692.4115755627</v>
      </c>
      <c r="BG24" s="427">
        <v>0</v>
      </c>
      <c r="BH24" s="427">
        <v>0</v>
      </c>
      <c r="BI24" s="427">
        <v>0</v>
      </c>
      <c r="BJ24" s="427">
        <v>0</v>
      </c>
      <c r="BK24" s="427">
        <v>0</v>
      </c>
      <c r="BL24" s="427">
        <v>0</v>
      </c>
      <c r="BM24" s="427">
        <v>0</v>
      </c>
      <c r="BN24" s="427">
        <v>0</v>
      </c>
      <c r="BO24" s="427">
        <v>0</v>
      </c>
      <c r="BP24" s="427">
        <v>0</v>
      </c>
      <c r="BQ24" s="427">
        <v>0</v>
      </c>
      <c r="BR24" s="427">
        <v>0</v>
      </c>
      <c r="BS24" s="427">
        <v>0</v>
      </c>
      <c r="BT24" s="427">
        <v>0</v>
      </c>
      <c r="BU24" s="427">
        <v>0</v>
      </c>
      <c r="BV24" s="427">
        <v>0</v>
      </c>
      <c r="BW24" s="427">
        <v>0</v>
      </c>
      <c r="BX24" s="427">
        <v>0</v>
      </c>
      <c r="BY24" s="427">
        <v>0</v>
      </c>
      <c r="BZ24" s="427">
        <v>0</v>
      </c>
      <c r="CA24" s="427">
        <v>0</v>
      </c>
      <c r="CB24" s="427">
        <v>0</v>
      </c>
      <c r="CC24" s="427">
        <v>0</v>
      </c>
      <c r="CD24" s="427">
        <v>0</v>
      </c>
      <c r="CE24" s="427">
        <v>0</v>
      </c>
      <c r="CF24" s="427">
        <v>0</v>
      </c>
      <c r="CG24" s="427">
        <v>0</v>
      </c>
      <c r="CH24" s="427">
        <v>0</v>
      </c>
      <c r="CI24" s="427">
        <v>0</v>
      </c>
      <c r="CJ24" s="427">
        <v>0</v>
      </c>
      <c r="CK24" s="428">
        <v>0</v>
      </c>
      <c r="CL24" s="428">
        <v>0</v>
      </c>
      <c r="CM24" s="428">
        <v>0</v>
      </c>
      <c r="CN24" s="428">
        <v>0</v>
      </c>
      <c r="CO24" s="428">
        <v>0</v>
      </c>
      <c r="CP24" s="428">
        <v>0</v>
      </c>
      <c r="CQ24" s="428">
        <v>0</v>
      </c>
      <c r="CR24" s="428">
        <v>0</v>
      </c>
      <c r="CS24" s="428">
        <v>0</v>
      </c>
      <c r="CT24" s="428">
        <v>0</v>
      </c>
      <c r="CU24" s="428">
        <v>0</v>
      </c>
      <c r="CV24" s="428">
        <v>0</v>
      </c>
      <c r="CW24" s="428">
        <v>0</v>
      </c>
      <c r="CX24" s="428"/>
      <c r="CY24" s="428"/>
      <c r="CZ24" s="428"/>
      <c r="DA24" s="428"/>
      <c r="DB24" s="428"/>
      <c r="DC24" s="428"/>
      <c r="DD24" s="428"/>
      <c r="DE24" s="428"/>
      <c r="DF24" s="428"/>
      <c r="DG24" s="428"/>
      <c r="DH24" s="428"/>
      <c r="DI24" s="428"/>
    </row>
    <row r="25" spans="1:113" s="388" customFormat="1">
      <c r="A25" s="421" t="s">
        <v>370</v>
      </c>
      <c r="B25" s="421" t="s">
        <v>12</v>
      </c>
      <c r="C25" s="421" t="s">
        <v>384</v>
      </c>
      <c r="D25" s="422" t="s">
        <v>376</v>
      </c>
      <c r="E25" s="422">
        <v>2019</v>
      </c>
      <c r="F25" s="423">
        <v>4.6920821114369504</v>
      </c>
      <c r="G25" s="424">
        <v>18019.101283880173</v>
      </c>
      <c r="H25" s="422">
        <v>16</v>
      </c>
      <c r="I25" s="425">
        <v>0.70099999999999996</v>
      </c>
      <c r="J25" s="425">
        <v>0.68200000000000005</v>
      </c>
      <c r="K25" s="422">
        <v>0</v>
      </c>
      <c r="L25" s="422">
        <v>0</v>
      </c>
      <c r="M25" s="422">
        <v>0</v>
      </c>
      <c r="N25" s="426">
        <v>20</v>
      </c>
      <c r="O25" s="426">
        <v>0</v>
      </c>
      <c r="P25" s="426">
        <v>0</v>
      </c>
      <c r="Q25" s="426">
        <v>0</v>
      </c>
      <c r="R25" s="426">
        <v>0</v>
      </c>
      <c r="S25" s="426">
        <v>68.595927116827454</v>
      </c>
      <c r="T25" s="426">
        <v>68.595927116827454</v>
      </c>
      <c r="U25" s="426">
        <v>68.595927116827454</v>
      </c>
      <c r="V25" s="426">
        <v>68.595927116827454</v>
      </c>
      <c r="W25" s="426">
        <v>68.595927116827454</v>
      </c>
      <c r="X25" s="426">
        <v>68.595927116827454</v>
      </c>
      <c r="Y25" s="426">
        <v>68.595927116827454</v>
      </c>
      <c r="Z25" s="426">
        <v>68.595927116827454</v>
      </c>
      <c r="AA25" s="426">
        <v>68.595927116827454</v>
      </c>
      <c r="AB25" s="426">
        <v>68.595927116827454</v>
      </c>
      <c r="AC25" s="426">
        <v>68.595927116827454</v>
      </c>
      <c r="AD25" s="426">
        <v>68.595927116827454</v>
      </c>
      <c r="AE25" s="426">
        <v>68.595927116827454</v>
      </c>
      <c r="AF25" s="426">
        <v>68.595927116827454</v>
      </c>
      <c r="AG25" s="426">
        <v>68.595927116827454</v>
      </c>
      <c r="AH25" s="426">
        <v>68.595927116827454</v>
      </c>
      <c r="AI25" s="426">
        <v>0</v>
      </c>
      <c r="AJ25" s="426">
        <v>0</v>
      </c>
      <c r="AK25" s="426">
        <v>0</v>
      </c>
      <c r="AL25" s="426">
        <v>0</v>
      </c>
      <c r="AM25" s="427">
        <v>0</v>
      </c>
      <c r="AN25" s="427">
        <v>0</v>
      </c>
      <c r="AO25" s="427">
        <v>0</v>
      </c>
      <c r="AP25" s="427">
        <v>0</v>
      </c>
      <c r="AQ25" s="427">
        <v>0</v>
      </c>
      <c r="AR25" s="427">
        <v>270769.34619506967</v>
      </c>
      <c r="AS25" s="427">
        <v>270769.34619506967</v>
      </c>
      <c r="AT25" s="427">
        <v>270769.34619506967</v>
      </c>
      <c r="AU25" s="427">
        <v>270769.34619506967</v>
      </c>
      <c r="AV25" s="427">
        <v>270769.34619506967</v>
      </c>
      <c r="AW25" s="427">
        <v>270769.34619506967</v>
      </c>
      <c r="AX25" s="427">
        <v>270769.34619506967</v>
      </c>
      <c r="AY25" s="427">
        <v>270769.34619506967</v>
      </c>
      <c r="AZ25" s="427">
        <v>270769.34619506967</v>
      </c>
      <c r="BA25" s="427">
        <v>270769.34619506967</v>
      </c>
      <c r="BB25" s="427">
        <v>270769.34619506967</v>
      </c>
      <c r="BC25" s="427">
        <v>270769.34619506967</v>
      </c>
      <c r="BD25" s="427">
        <v>270769.34619506967</v>
      </c>
      <c r="BE25" s="427">
        <v>270769.34619506967</v>
      </c>
      <c r="BF25" s="427">
        <v>270769.34619506967</v>
      </c>
      <c r="BG25" s="427">
        <v>270769.34619506967</v>
      </c>
      <c r="BH25" s="427">
        <v>0</v>
      </c>
      <c r="BI25" s="427">
        <v>0</v>
      </c>
      <c r="BJ25" s="427">
        <v>0</v>
      </c>
      <c r="BK25" s="427">
        <v>0</v>
      </c>
      <c r="BL25" s="427">
        <v>0</v>
      </c>
      <c r="BM25" s="427">
        <v>0</v>
      </c>
      <c r="BN25" s="427">
        <v>0</v>
      </c>
      <c r="BO25" s="427">
        <v>0</v>
      </c>
      <c r="BP25" s="427">
        <v>0</v>
      </c>
      <c r="BQ25" s="427">
        <v>0</v>
      </c>
      <c r="BR25" s="427">
        <v>0</v>
      </c>
      <c r="BS25" s="427">
        <v>0</v>
      </c>
      <c r="BT25" s="427">
        <v>0</v>
      </c>
      <c r="BU25" s="427">
        <v>0</v>
      </c>
      <c r="BV25" s="427">
        <v>0</v>
      </c>
      <c r="BW25" s="427">
        <v>0</v>
      </c>
      <c r="BX25" s="427">
        <v>0</v>
      </c>
      <c r="BY25" s="427">
        <v>0</v>
      </c>
      <c r="BZ25" s="427">
        <v>0</v>
      </c>
      <c r="CA25" s="427">
        <v>0</v>
      </c>
      <c r="CB25" s="427">
        <v>0</v>
      </c>
      <c r="CC25" s="427">
        <v>0</v>
      </c>
      <c r="CD25" s="427">
        <v>0</v>
      </c>
      <c r="CE25" s="427">
        <v>0</v>
      </c>
      <c r="CF25" s="427">
        <v>0</v>
      </c>
      <c r="CG25" s="427">
        <v>0</v>
      </c>
      <c r="CH25" s="427">
        <v>0</v>
      </c>
      <c r="CI25" s="427">
        <v>0</v>
      </c>
      <c r="CJ25" s="427">
        <v>0</v>
      </c>
      <c r="CK25" s="428">
        <v>0</v>
      </c>
      <c r="CL25" s="428">
        <v>0</v>
      </c>
      <c r="CM25" s="428">
        <v>0</v>
      </c>
      <c r="CN25" s="428">
        <v>0</v>
      </c>
      <c r="CO25" s="428">
        <v>0</v>
      </c>
      <c r="CP25" s="428">
        <v>0</v>
      </c>
      <c r="CQ25" s="428">
        <v>0</v>
      </c>
      <c r="CR25" s="428">
        <v>0</v>
      </c>
      <c r="CS25" s="428">
        <v>0</v>
      </c>
      <c r="CT25" s="428">
        <v>0</v>
      </c>
      <c r="CU25" s="428">
        <v>0</v>
      </c>
      <c r="CV25" s="428">
        <v>0</v>
      </c>
      <c r="CW25" s="428">
        <v>0</v>
      </c>
      <c r="CX25" s="428"/>
      <c r="CY25" s="428"/>
      <c r="CZ25" s="428"/>
      <c r="DA25" s="428"/>
      <c r="DB25" s="428"/>
      <c r="DC25" s="428"/>
      <c r="DD25" s="428"/>
      <c r="DE25" s="428"/>
      <c r="DF25" s="428"/>
      <c r="DG25" s="428"/>
      <c r="DH25" s="428"/>
      <c r="DI25" s="428"/>
    </row>
    <row r="26" spans="1:113" s="388" customFormat="1">
      <c r="A26" s="421" t="s">
        <v>370</v>
      </c>
      <c r="B26" s="421" t="s">
        <v>12</v>
      </c>
      <c r="C26" s="421" t="s">
        <v>384</v>
      </c>
      <c r="D26" s="422" t="s">
        <v>376</v>
      </c>
      <c r="E26" s="422">
        <v>2020</v>
      </c>
      <c r="F26" s="423">
        <v>4.6920821114369504</v>
      </c>
      <c r="G26" s="424">
        <v>18019.101283880173</v>
      </c>
      <c r="H26" s="422">
        <v>16</v>
      </c>
      <c r="I26" s="425">
        <v>0.70099999999999996</v>
      </c>
      <c r="J26" s="425">
        <v>0.68200000000000005</v>
      </c>
      <c r="K26" s="422">
        <v>0</v>
      </c>
      <c r="L26" s="422">
        <v>0</v>
      </c>
      <c r="M26" s="422">
        <v>0</v>
      </c>
      <c r="N26" s="426">
        <v>22</v>
      </c>
      <c r="O26" s="426">
        <v>0</v>
      </c>
      <c r="P26" s="426">
        <v>0</v>
      </c>
      <c r="Q26" s="426">
        <v>0</v>
      </c>
      <c r="R26" s="426">
        <v>0</v>
      </c>
      <c r="S26" s="426">
        <v>0</v>
      </c>
      <c r="T26" s="426">
        <v>75.455519828510205</v>
      </c>
      <c r="U26" s="426">
        <v>75.455519828510205</v>
      </c>
      <c r="V26" s="426">
        <v>75.455519828510205</v>
      </c>
      <c r="W26" s="426">
        <v>75.455519828510205</v>
      </c>
      <c r="X26" s="426">
        <v>75.455519828510205</v>
      </c>
      <c r="Y26" s="426">
        <v>75.455519828510205</v>
      </c>
      <c r="Z26" s="426">
        <v>75.455519828510205</v>
      </c>
      <c r="AA26" s="426">
        <v>75.455519828510205</v>
      </c>
      <c r="AB26" s="426">
        <v>75.455519828510205</v>
      </c>
      <c r="AC26" s="426">
        <v>75.455519828510205</v>
      </c>
      <c r="AD26" s="426">
        <v>75.455519828510205</v>
      </c>
      <c r="AE26" s="426">
        <v>75.455519828510205</v>
      </c>
      <c r="AF26" s="426">
        <v>75.455519828510205</v>
      </c>
      <c r="AG26" s="426">
        <v>75.455519828510205</v>
      </c>
      <c r="AH26" s="426">
        <v>75.455519828510205</v>
      </c>
      <c r="AI26" s="426">
        <v>75.455519828510205</v>
      </c>
      <c r="AJ26" s="426">
        <v>0</v>
      </c>
      <c r="AK26" s="426">
        <v>0</v>
      </c>
      <c r="AL26" s="426">
        <v>0</v>
      </c>
      <c r="AM26" s="427">
        <v>0</v>
      </c>
      <c r="AN26" s="427">
        <v>0</v>
      </c>
      <c r="AO26" s="427">
        <v>0</v>
      </c>
      <c r="AP26" s="427">
        <v>0</v>
      </c>
      <c r="AQ26" s="427">
        <v>0</v>
      </c>
      <c r="AR26" s="427">
        <v>0</v>
      </c>
      <c r="AS26" s="427">
        <v>297846.2808145766</v>
      </c>
      <c r="AT26" s="427">
        <v>297846.2808145766</v>
      </c>
      <c r="AU26" s="427">
        <v>297846.2808145766</v>
      </c>
      <c r="AV26" s="427">
        <v>297846.2808145766</v>
      </c>
      <c r="AW26" s="427">
        <v>297846.2808145766</v>
      </c>
      <c r="AX26" s="427">
        <v>297846.2808145766</v>
      </c>
      <c r="AY26" s="427">
        <v>297846.2808145766</v>
      </c>
      <c r="AZ26" s="427">
        <v>297846.2808145766</v>
      </c>
      <c r="BA26" s="427">
        <v>297846.2808145766</v>
      </c>
      <c r="BB26" s="427">
        <v>297846.2808145766</v>
      </c>
      <c r="BC26" s="427">
        <v>297846.2808145766</v>
      </c>
      <c r="BD26" s="427">
        <v>297846.2808145766</v>
      </c>
      <c r="BE26" s="427">
        <v>297846.2808145766</v>
      </c>
      <c r="BF26" s="427">
        <v>297846.2808145766</v>
      </c>
      <c r="BG26" s="427">
        <v>297846.2808145766</v>
      </c>
      <c r="BH26" s="427">
        <v>297846.2808145766</v>
      </c>
      <c r="BI26" s="427">
        <v>0</v>
      </c>
      <c r="BJ26" s="427">
        <v>0</v>
      </c>
      <c r="BK26" s="427">
        <v>0</v>
      </c>
      <c r="BL26" s="427">
        <v>0</v>
      </c>
      <c r="BM26" s="427">
        <v>0</v>
      </c>
      <c r="BN26" s="427">
        <v>0</v>
      </c>
      <c r="BO26" s="427">
        <v>0</v>
      </c>
      <c r="BP26" s="427">
        <v>0</v>
      </c>
      <c r="BQ26" s="427">
        <v>0</v>
      </c>
      <c r="BR26" s="427">
        <v>0</v>
      </c>
      <c r="BS26" s="427">
        <v>0</v>
      </c>
      <c r="BT26" s="427">
        <v>0</v>
      </c>
      <c r="BU26" s="427">
        <v>0</v>
      </c>
      <c r="BV26" s="427">
        <v>0</v>
      </c>
      <c r="BW26" s="427">
        <v>0</v>
      </c>
      <c r="BX26" s="427">
        <v>0</v>
      </c>
      <c r="BY26" s="427">
        <v>0</v>
      </c>
      <c r="BZ26" s="427">
        <v>0</v>
      </c>
      <c r="CA26" s="427">
        <v>0</v>
      </c>
      <c r="CB26" s="427">
        <v>0</v>
      </c>
      <c r="CC26" s="427">
        <v>0</v>
      </c>
      <c r="CD26" s="427">
        <v>0</v>
      </c>
      <c r="CE26" s="427">
        <v>0</v>
      </c>
      <c r="CF26" s="427">
        <v>0</v>
      </c>
      <c r="CG26" s="427">
        <v>0</v>
      </c>
      <c r="CH26" s="427">
        <v>0</v>
      </c>
      <c r="CI26" s="427">
        <v>0</v>
      </c>
      <c r="CJ26" s="427">
        <v>0</v>
      </c>
      <c r="CK26" s="428">
        <v>0</v>
      </c>
      <c r="CL26" s="428">
        <v>0</v>
      </c>
      <c r="CM26" s="428">
        <v>0</v>
      </c>
      <c r="CN26" s="428">
        <v>0</v>
      </c>
      <c r="CO26" s="428">
        <v>0</v>
      </c>
      <c r="CP26" s="428">
        <v>0</v>
      </c>
      <c r="CQ26" s="428">
        <v>0</v>
      </c>
      <c r="CR26" s="428">
        <v>0</v>
      </c>
      <c r="CS26" s="428">
        <v>0</v>
      </c>
      <c r="CT26" s="428">
        <v>0</v>
      </c>
      <c r="CU26" s="428">
        <v>0</v>
      </c>
      <c r="CV26" s="428">
        <v>0</v>
      </c>
      <c r="CW26" s="428">
        <v>0</v>
      </c>
      <c r="CX26" s="428"/>
      <c r="CY26" s="428"/>
      <c r="CZ26" s="428"/>
      <c r="DA26" s="428"/>
      <c r="DB26" s="428"/>
      <c r="DC26" s="428"/>
      <c r="DD26" s="428"/>
      <c r="DE26" s="428"/>
      <c r="DF26" s="428"/>
      <c r="DG26" s="428"/>
      <c r="DH26" s="428"/>
      <c r="DI26" s="428"/>
    </row>
    <row r="27" spans="1:113" s="388" customFormat="1">
      <c r="A27" s="421" t="s">
        <v>370</v>
      </c>
      <c r="B27" s="421" t="s">
        <v>12</v>
      </c>
      <c r="C27" s="421" t="s">
        <v>386</v>
      </c>
      <c r="D27" s="422" t="s">
        <v>376</v>
      </c>
      <c r="E27" s="422">
        <v>2015</v>
      </c>
      <c r="F27" s="423">
        <v>4.2352941176470589</v>
      </c>
      <c r="G27" s="424">
        <v>44006.117647058818</v>
      </c>
      <c r="H27" s="422">
        <v>10</v>
      </c>
      <c r="I27" s="425">
        <v>0.68</v>
      </c>
      <c r="J27" s="425">
        <v>0.73099999999999998</v>
      </c>
      <c r="K27" s="422">
        <v>0</v>
      </c>
      <c r="L27" s="422">
        <v>0</v>
      </c>
      <c r="M27" s="422">
        <v>0</v>
      </c>
      <c r="N27" s="426">
        <v>0</v>
      </c>
      <c r="O27" s="426">
        <v>0</v>
      </c>
      <c r="P27" s="426">
        <v>0</v>
      </c>
      <c r="Q27" s="426">
        <v>0</v>
      </c>
      <c r="R27" s="426">
        <v>0</v>
      </c>
      <c r="S27" s="426">
        <v>0</v>
      </c>
      <c r="T27" s="426">
        <v>0</v>
      </c>
      <c r="U27" s="426">
        <v>0</v>
      </c>
      <c r="V27" s="426">
        <v>0</v>
      </c>
      <c r="W27" s="426">
        <v>0</v>
      </c>
      <c r="X27" s="426">
        <v>0</v>
      </c>
      <c r="Y27" s="426">
        <v>0</v>
      </c>
      <c r="Z27" s="426">
        <v>0</v>
      </c>
      <c r="AA27" s="426">
        <v>0</v>
      </c>
      <c r="AB27" s="426">
        <v>0</v>
      </c>
      <c r="AC27" s="426">
        <v>0</v>
      </c>
      <c r="AD27" s="426">
        <v>0</v>
      </c>
      <c r="AE27" s="426">
        <v>0</v>
      </c>
      <c r="AF27" s="426">
        <v>0</v>
      </c>
      <c r="AG27" s="426">
        <v>0</v>
      </c>
      <c r="AH27" s="426">
        <v>0</v>
      </c>
      <c r="AI27" s="426">
        <v>0</v>
      </c>
      <c r="AJ27" s="426">
        <v>0</v>
      </c>
      <c r="AK27" s="426">
        <v>0</v>
      </c>
      <c r="AL27" s="426">
        <v>0</v>
      </c>
      <c r="AM27" s="427">
        <v>0</v>
      </c>
      <c r="AN27" s="427">
        <v>0</v>
      </c>
      <c r="AO27" s="427">
        <v>0</v>
      </c>
      <c r="AP27" s="427">
        <v>0</v>
      </c>
      <c r="AQ27" s="427">
        <v>0</v>
      </c>
      <c r="AR27" s="427">
        <v>0</v>
      </c>
      <c r="AS27" s="427">
        <v>0</v>
      </c>
      <c r="AT27" s="427">
        <v>0</v>
      </c>
      <c r="AU27" s="427">
        <v>0</v>
      </c>
      <c r="AV27" s="427">
        <v>0</v>
      </c>
      <c r="AW27" s="427">
        <v>0</v>
      </c>
      <c r="AX27" s="427">
        <v>0</v>
      </c>
      <c r="AY27" s="427">
        <v>0</v>
      </c>
      <c r="AZ27" s="427">
        <v>0</v>
      </c>
      <c r="BA27" s="427">
        <v>0</v>
      </c>
      <c r="BB27" s="427">
        <v>0</v>
      </c>
      <c r="BC27" s="427">
        <v>0</v>
      </c>
      <c r="BD27" s="427">
        <v>0</v>
      </c>
      <c r="BE27" s="427">
        <v>0</v>
      </c>
      <c r="BF27" s="427">
        <v>0</v>
      </c>
      <c r="BG27" s="427">
        <v>0</v>
      </c>
      <c r="BH27" s="427">
        <v>0</v>
      </c>
      <c r="BI27" s="427">
        <v>0</v>
      </c>
      <c r="BJ27" s="427">
        <v>0</v>
      </c>
      <c r="BK27" s="427">
        <v>0</v>
      </c>
      <c r="BL27" s="427">
        <v>0</v>
      </c>
      <c r="BM27" s="427">
        <v>0</v>
      </c>
      <c r="BN27" s="427">
        <v>0</v>
      </c>
      <c r="BO27" s="427">
        <v>0</v>
      </c>
      <c r="BP27" s="427">
        <v>0</v>
      </c>
      <c r="BQ27" s="427">
        <v>0</v>
      </c>
      <c r="BR27" s="427">
        <v>0</v>
      </c>
      <c r="BS27" s="427">
        <v>0</v>
      </c>
      <c r="BT27" s="427">
        <v>0</v>
      </c>
      <c r="BU27" s="427">
        <v>0</v>
      </c>
      <c r="BV27" s="427">
        <v>0</v>
      </c>
      <c r="BW27" s="427">
        <v>0</v>
      </c>
      <c r="BX27" s="427">
        <v>0</v>
      </c>
      <c r="BY27" s="427">
        <v>0</v>
      </c>
      <c r="BZ27" s="427">
        <v>0</v>
      </c>
      <c r="CA27" s="427">
        <v>0</v>
      </c>
      <c r="CB27" s="427">
        <v>0</v>
      </c>
      <c r="CC27" s="427">
        <v>0</v>
      </c>
      <c r="CD27" s="427">
        <v>0</v>
      </c>
      <c r="CE27" s="427">
        <v>0</v>
      </c>
      <c r="CF27" s="427">
        <v>0</v>
      </c>
      <c r="CG27" s="427">
        <v>0</v>
      </c>
      <c r="CH27" s="427">
        <v>0</v>
      </c>
      <c r="CI27" s="427">
        <v>0</v>
      </c>
      <c r="CJ27" s="427">
        <v>0</v>
      </c>
      <c r="CK27" s="428">
        <v>0</v>
      </c>
      <c r="CL27" s="428">
        <v>0</v>
      </c>
      <c r="CM27" s="428">
        <v>0</v>
      </c>
      <c r="CN27" s="428">
        <v>0</v>
      </c>
      <c r="CO27" s="428">
        <v>0</v>
      </c>
      <c r="CP27" s="428">
        <v>0</v>
      </c>
      <c r="CQ27" s="428">
        <v>0</v>
      </c>
      <c r="CR27" s="428">
        <v>0</v>
      </c>
      <c r="CS27" s="428">
        <v>0</v>
      </c>
      <c r="CT27" s="428">
        <v>0</v>
      </c>
      <c r="CU27" s="428">
        <v>0</v>
      </c>
      <c r="CV27" s="428">
        <v>0</v>
      </c>
      <c r="CW27" s="428">
        <v>0</v>
      </c>
      <c r="CX27" s="428"/>
      <c r="CY27" s="428"/>
      <c r="CZ27" s="428"/>
      <c r="DA27" s="428"/>
      <c r="DB27" s="428"/>
      <c r="DC27" s="428"/>
      <c r="DD27" s="428"/>
      <c r="DE27" s="428"/>
      <c r="DF27" s="428"/>
      <c r="DG27" s="428"/>
      <c r="DH27" s="428"/>
      <c r="DI27" s="428"/>
    </row>
    <row r="28" spans="1:113" s="388" customFormat="1">
      <c r="A28" s="421" t="s">
        <v>370</v>
      </c>
      <c r="B28" s="421" t="s">
        <v>12</v>
      </c>
      <c r="C28" s="421" t="s">
        <v>386</v>
      </c>
      <c r="D28" s="422" t="s">
        <v>376</v>
      </c>
      <c r="E28" s="422">
        <v>2016</v>
      </c>
      <c r="F28" s="423">
        <v>4.2352941176470589</v>
      </c>
      <c r="G28" s="424">
        <v>44006.117647058818</v>
      </c>
      <c r="H28" s="422">
        <v>10</v>
      </c>
      <c r="I28" s="425">
        <v>0.68</v>
      </c>
      <c r="J28" s="425">
        <v>0.73099999999999998</v>
      </c>
      <c r="K28" s="422">
        <v>0</v>
      </c>
      <c r="L28" s="422">
        <v>0</v>
      </c>
      <c r="M28" s="422">
        <v>0</v>
      </c>
      <c r="N28" s="426">
        <v>22</v>
      </c>
      <c r="O28" s="426">
        <v>0</v>
      </c>
      <c r="P28" s="426">
        <v>73.0032154340836</v>
      </c>
      <c r="Q28" s="426">
        <v>73.0032154340836</v>
      </c>
      <c r="R28" s="426">
        <v>73.0032154340836</v>
      </c>
      <c r="S28" s="426">
        <v>73.0032154340836</v>
      </c>
      <c r="T28" s="426">
        <v>73.0032154340836</v>
      </c>
      <c r="U28" s="426">
        <v>73.0032154340836</v>
      </c>
      <c r="V28" s="426">
        <v>73.0032154340836</v>
      </c>
      <c r="W28" s="426">
        <v>73.0032154340836</v>
      </c>
      <c r="X28" s="426">
        <v>73.0032154340836</v>
      </c>
      <c r="Y28" s="426">
        <v>73.0032154340836</v>
      </c>
      <c r="Z28" s="426">
        <v>0</v>
      </c>
      <c r="AA28" s="426">
        <v>0</v>
      </c>
      <c r="AB28" s="426">
        <v>0</v>
      </c>
      <c r="AC28" s="426">
        <v>0</v>
      </c>
      <c r="AD28" s="426">
        <v>0</v>
      </c>
      <c r="AE28" s="426">
        <v>0</v>
      </c>
      <c r="AF28" s="426">
        <v>0</v>
      </c>
      <c r="AG28" s="426">
        <v>0</v>
      </c>
      <c r="AH28" s="426">
        <v>0</v>
      </c>
      <c r="AI28" s="426">
        <v>0</v>
      </c>
      <c r="AJ28" s="426">
        <v>0</v>
      </c>
      <c r="AK28" s="426">
        <v>0</v>
      </c>
      <c r="AL28" s="426">
        <v>0</v>
      </c>
      <c r="AM28" s="427">
        <v>0</v>
      </c>
      <c r="AN28" s="427">
        <v>0</v>
      </c>
      <c r="AO28" s="427">
        <v>705607.20257234725</v>
      </c>
      <c r="AP28" s="427">
        <v>705607.20257234725</v>
      </c>
      <c r="AQ28" s="427">
        <v>705607.20257234725</v>
      </c>
      <c r="AR28" s="427">
        <v>705607.20257234725</v>
      </c>
      <c r="AS28" s="427">
        <v>705607.20257234725</v>
      </c>
      <c r="AT28" s="427">
        <v>705607.20257234725</v>
      </c>
      <c r="AU28" s="427">
        <v>705607.20257234725</v>
      </c>
      <c r="AV28" s="427">
        <v>705607.20257234725</v>
      </c>
      <c r="AW28" s="427">
        <v>705607.20257234725</v>
      </c>
      <c r="AX28" s="427">
        <v>705607.20257234725</v>
      </c>
      <c r="AY28" s="427">
        <v>0</v>
      </c>
      <c r="AZ28" s="427">
        <v>0</v>
      </c>
      <c r="BA28" s="427">
        <v>0</v>
      </c>
      <c r="BB28" s="427">
        <v>0</v>
      </c>
      <c r="BC28" s="427">
        <v>0</v>
      </c>
      <c r="BD28" s="427">
        <v>0</v>
      </c>
      <c r="BE28" s="427">
        <v>0</v>
      </c>
      <c r="BF28" s="427">
        <v>0</v>
      </c>
      <c r="BG28" s="427">
        <v>0</v>
      </c>
      <c r="BH28" s="427">
        <v>0</v>
      </c>
      <c r="BI28" s="427">
        <v>0</v>
      </c>
      <c r="BJ28" s="427">
        <v>0</v>
      </c>
      <c r="BK28" s="427">
        <v>0</v>
      </c>
      <c r="BL28" s="427">
        <v>0</v>
      </c>
      <c r="BM28" s="427">
        <v>0</v>
      </c>
      <c r="BN28" s="427">
        <v>0</v>
      </c>
      <c r="BO28" s="427">
        <v>0</v>
      </c>
      <c r="BP28" s="427">
        <v>0</v>
      </c>
      <c r="BQ28" s="427">
        <v>0</v>
      </c>
      <c r="BR28" s="427">
        <v>0</v>
      </c>
      <c r="BS28" s="427">
        <v>0</v>
      </c>
      <c r="BT28" s="427">
        <v>0</v>
      </c>
      <c r="BU28" s="427">
        <v>0</v>
      </c>
      <c r="BV28" s="427">
        <v>0</v>
      </c>
      <c r="BW28" s="427">
        <v>0</v>
      </c>
      <c r="BX28" s="427">
        <v>0</v>
      </c>
      <c r="BY28" s="427">
        <v>0</v>
      </c>
      <c r="BZ28" s="427">
        <v>0</v>
      </c>
      <c r="CA28" s="427">
        <v>0</v>
      </c>
      <c r="CB28" s="427">
        <v>0</v>
      </c>
      <c r="CC28" s="427">
        <v>0</v>
      </c>
      <c r="CD28" s="427">
        <v>0</v>
      </c>
      <c r="CE28" s="427">
        <v>0</v>
      </c>
      <c r="CF28" s="427">
        <v>0</v>
      </c>
      <c r="CG28" s="427">
        <v>0</v>
      </c>
      <c r="CH28" s="427">
        <v>0</v>
      </c>
      <c r="CI28" s="427">
        <v>0</v>
      </c>
      <c r="CJ28" s="427">
        <v>0</v>
      </c>
      <c r="CK28" s="428">
        <v>0</v>
      </c>
      <c r="CL28" s="428">
        <v>0</v>
      </c>
      <c r="CM28" s="428">
        <v>0</v>
      </c>
      <c r="CN28" s="428">
        <v>0</v>
      </c>
      <c r="CO28" s="428">
        <v>0</v>
      </c>
      <c r="CP28" s="428">
        <v>0</v>
      </c>
      <c r="CQ28" s="428">
        <v>0</v>
      </c>
      <c r="CR28" s="428">
        <v>0</v>
      </c>
      <c r="CS28" s="428">
        <v>0</v>
      </c>
      <c r="CT28" s="428">
        <v>0</v>
      </c>
      <c r="CU28" s="428">
        <v>0</v>
      </c>
      <c r="CV28" s="428">
        <v>0</v>
      </c>
      <c r="CW28" s="428">
        <v>0</v>
      </c>
      <c r="CX28" s="428"/>
      <c r="CY28" s="428"/>
      <c r="CZ28" s="428"/>
      <c r="DA28" s="428"/>
      <c r="DB28" s="428"/>
      <c r="DC28" s="428"/>
      <c r="DD28" s="428"/>
      <c r="DE28" s="428"/>
      <c r="DF28" s="428"/>
      <c r="DG28" s="428"/>
      <c r="DH28" s="428"/>
      <c r="DI28" s="428"/>
    </row>
    <row r="29" spans="1:113" s="388" customFormat="1">
      <c r="A29" s="421" t="s">
        <v>370</v>
      </c>
      <c r="B29" s="421" t="s">
        <v>12</v>
      </c>
      <c r="C29" s="421" t="s">
        <v>386</v>
      </c>
      <c r="D29" s="422" t="s">
        <v>376</v>
      </c>
      <c r="E29" s="422">
        <v>2017</v>
      </c>
      <c r="F29" s="423">
        <v>4.2352941176470589</v>
      </c>
      <c r="G29" s="424">
        <v>44006.117647058818</v>
      </c>
      <c r="H29" s="422">
        <v>10</v>
      </c>
      <c r="I29" s="425">
        <v>0.68</v>
      </c>
      <c r="J29" s="425">
        <v>0.73099999999999998</v>
      </c>
      <c r="K29" s="422">
        <v>0</v>
      </c>
      <c r="L29" s="422">
        <v>0</v>
      </c>
      <c r="M29" s="422">
        <v>0</v>
      </c>
      <c r="N29" s="426">
        <v>24</v>
      </c>
      <c r="O29" s="426">
        <v>0</v>
      </c>
      <c r="P29" s="426">
        <v>0</v>
      </c>
      <c r="Q29" s="426">
        <v>79.639871382636656</v>
      </c>
      <c r="R29" s="426">
        <v>79.639871382636656</v>
      </c>
      <c r="S29" s="426">
        <v>79.639871382636656</v>
      </c>
      <c r="T29" s="426">
        <v>79.639871382636656</v>
      </c>
      <c r="U29" s="426">
        <v>79.639871382636656</v>
      </c>
      <c r="V29" s="426">
        <v>79.639871382636656</v>
      </c>
      <c r="W29" s="426">
        <v>79.639871382636656</v>
      </c>
      <c r="X29" s="426">
        <v>79.639871382636656</v>
      </c>
      <c r="Y29" s="426">
        <v>79.639871382636656</v>
      </c>
      <c r="Z29" s="426">
        <v>79.639871382636656</v>
      </c>
      <c r="AA29" s="426">
        <v>0</v>
      </c>
      <c r="AB29" s="426">
        <v>0</v>
      </c>
      <c r="AC29" s="426">
        <v>0</v>
      </c>
      <c r="AD29" s="426">
        <v>0</v>
      </c>
      <c r="AE29" s="426">
        <v>0</v>
      </c>
      <c r="AF29" s="426">
        <v>0</v>
      </c>
      <c r="AG29" s="426">
        <v>0</v>
      </c>
      <c r="AH29" s="426">
        <v>0</v>
      </c>
      <c r="AI29" s="426">
        <v>0</v>
      </c>
      <c r="AJ29" s="426">
        <v>0</v>
      </c>
      <c r="AK29" s="426">
        <v>0</v>
      </c>
      <c r="AL29" s="426">
        <v>0</v>
      </c>
      <c r="AM29" s="427">
        <v>0</v>
      </c>
      <c r="AN29" s="427">
        <v>0</v>
      </c>
      <c r="AO29" s="427">
        <v>0</v>
      </c>
      <c r="AP29" s="427">
        <v>769753.31189710612</v>
      </c>
      <c r="AQ29" s="427">
        <v>769753.31189710612</v>
      </c>
      <c r="AR29" s="427">
        <v>769753.31189710612</v>
      </c>
      <c r="AS29" s="427">
        <v>769753.31189710612</v>
      </c>
      <c r="AT29" s="427">
        <v>769753.31189710612</v>
      </c>
      <c r="AU29" s="427">
        <v>769753.31189710612</v>
      </c>
      <c r="AV29" s="427">
        <v>769753.31189710612</v>
      </c>
      <c r="AW29" s="427">
        <v>769753.31189710612</v>
      </c>
      <c r="AX29" s="427">
        <v>769753.31189710612</v>
      </c>
      <c r="AY29" s="427">
        <v>769753.31189710612</v>
      </c>
      <c r="AZ29" s="427">
        <v>0</v>
      </c>
      <c r="BA29" s="427">
        <v>0</v>
      </c>
      <c r="BB29" s="427">
        <v>0</v>
      </c>
      <c r="BC29" s="427">
        <v>0</v>
      </c>
      <c r="BD29" s="427">
        <v>0</v>
      </c>
      <c r="BE29" s="427">
        <v>0</v>
      </c>
      <c r="BF29" s="427">
        <v>0</v>
      </c>
      <c r="BG29" s="427">
        <v>0</v>
      </c>
      <c r="BH29" s="427">
        <v>0</v>
      </c>
      <c r="BI29" s="427">
        <v>0</v>
      </c>
      <c r="BJ29" s="427">
        <v>0</v>
      </c>
      <c r="BK29" s="427">
        <v>0</v>
      </c>
      <c r="BL29" s="427">
        <v>0</v>
      </c>
      <c r="BM29" s="427">
        <v>0</v>
      </c>
      <c r="BN29" s="427">
        <v>0</v>
      </c>
      <c r="BO29" s="427">
        <v>0</v>
      </c>
      <c r="BP29" s="427">
        <v>0</v>
      </c>
      <c r="BQ29" s="427">
        <v>0</v>
      </c>
      <c r="BR29" s="427">
        <v>0</v>
      </c>
      <c r="BS29" s="427">
        <v>0</v>
      </c>
      <c r="BT29" s="427">
        <v>0</v>
      </c>
      <c r="BU29" s="427">
        <v>0</v>
      </c>
      <c r="BV29" s="427">
        <v>0</v>
      </c>
      <c r="BW29" s="427">
        <v>0</v>
      </c>
      <c r="BX29" s="427">
        <v>0</v>
      </c>
      <c r="BY29" s="427">
        <v>0</v>
      </c>
      <c r="BZ29" s="427">
        <v>0</v>
      </c>
      <c r="CA29" s="427">
        <v>0</v>
      </c>
      <c r="CB29" s="427">
        <v>0</v>
      </c>
      <c r="CC29" s="427">
        <v>0</v>
      </c>
      <c r="CD29" s="427">
        <v>0</v>
      </c>
      <c r="CE29" s="427">
        <v>0</v>
      </c>
      <c r="CF29" s="427">
        <v>0</v>
      </c>
      <c r="CG29" s="427">
        <v>0</v>
      </c>
      <c r="CH29" s="427">
        <v>0</v>
      </c>
      <c r="CI29" s="427">
        <v>0</v>
      </c>
      <c r="CJ29" s="427">
        <v>0</v>
      </c>
      <c r="CK29" s="428">
        <v>0</v>
      </c>
      <c r="CL29" s="428">
        <v>0</v>
      </c>
      <c r="CM29" s="428">
        <v>0</v>
      </c>
      <c r="CN29" s="428">
        <v>0</v>
      </c>
      <c r="CO29" s="428">
        <v>0</v>
      </c>
      <c r="CP29" s="428">
        <v>0</v>
      </c>
      <c r="CQ29" s="428">
        <v>0</v>
      </c>
      <c r="CR29" s="428">
        <v>0</v>
      </c>
      <c r="CS29" s="428">
        <v>0</v>
      </c>
      <c r="CT29" s="428">
        <v>0</v>
      </c>
      <c r="CU29" s="428">
        <v>0</v>
      </c>
      <c r="CV29" s="428">
        <v>0</v>
      </c>
      <c r="CW29" s="428">
        <v>0</v>
      </c>
      <c r="CX29" s="428"/>
      <c r="CY29" s="428"/>
      <c r="CZ29" s="428"/>
      <c r="DA29" s="428"/>
      <c r="DB29" s="428"/>
      <c r="DC29" s="428"/>
      <c r="DD29" s="428"/>
      <c r="DE29" s="428"/>
      <c r="DF29" s="428"/>
      <c r="DG29" s="428"/>
      <c r="DH29" s="428"/>
      <c r="DI29" s="428"/>
    </row>
    <row r="30" spans="1:113" s="388" customFormat="1">
      <c r="A30" s="421" t="s">
        <v>370</v>
      </c>
      <c r="B30" s="421" t="s">
        <v>12</v>
      </c>
      <c r="C30" s="421" t="s">
        <v>386</v>
      </c>
      <c r="D30" s="422" t="s">
        <v>376</v>
      </c>
      <c r="E30" s="422">
        <v>2018</v>
      </c>
      <c r="F30" s="423">
        <v>4.2352941176470589</v>
      </c>
      <c r="G30" s="424">
        <v>44006.117647058818</v>
      </c>
      <c r="H30" s="422">
        <v>10</v>
      </c>
      <c r="I30" s="425">
        <v>0.68</v>
      </c>
      <c r="J30" s="425">
        <v>0.73099999999999998</v>
      </c>
      <c r="K30" s="422">
        <v>0</v>
      </c>
      <c r="L30" s="422">
        <v>0</v>
      </c>
      <c r="M30" s="422">
        <v>0</v>
      </c>
      <c r="N30" s="426">
        <v>26</v>
      </c>
      <c r="O30" s="426">
        <v>0</v>
      </c>
      <c r="P30" s="426">
        <v>0</v>
      </c>
      <c r="Q30" s="426">
        <v>0</v>
      </c>
      <c r="R30" s="426">
        <v>86.276527331189726</v>
      </c>
      <c r="S30" s="426">
        <v>86.276527331189726</v>
      </c>
      <c r="T30" s="426">
        <v>86.276527331189726</v>
      </c>
      <c r="U30" s="426">
        <v>86.276527331189726</v>
      </c>
      <c r="V30" s="426">
        <v>86.276527331189726</v>
      </c>
      <c r="W30" s="426">
        <v>86.276527331189726</v>
      </c>
      <c r="X30" s="426">
        <v>86.276527331189726</v>
      </c>
      <c r="Y30" s="426">
        <v>86.276527331189726</v>
      </c>
      <c r="Z30" s="426">
        <v>86.276527331189726</v>
      </c>
      <c r="AA30" s="426">
        <v>86.276527331189726</v>
      </c>
      <c r="AB30" s="426">
        <v>0</v>
      </c>
      <c r="AC30" s="426">
        <v>0</v>
      </c>
      <c r="AD30" s="426">
        <v>0</v>
      </c>
      <c r="AE30" s="426">
        <v>0</v>
      </c>
      <c r="AF30" s="426">
        <v>0</v>
      </c>
      <c r="AG30" s="426">
        <v>0</v>
      </c>
      <c r="AH30" s="426">
        <v>0</v>
      </c>
      <c r="AI30" s="426">
        <v>0</v>
      </c>
      <c r="AJ30" s="426">
        <v>0</v>
      </c>
      <c r="AK30" s="426">
        <v>0</v>
      </c>
      <c r="AL30" s="426">
        <v>0</v>
      </c>
      <c r="AM30" s="427">
        <v>0</v>
      </c>
      <c r="AN30" s="427">
        <v>0</v>
      </c>
      <c r="AO30" s="427">
        <v>0</v>
      </c>
      <c r="AP30" s="427">
        <v>0</v>
      </c>
      <c r="AQ30" s="427">
        <v>833899.42122186499</v>
      </c>
      <c r="AR30" s="427">
        <v>833899.42122186499</v>
      </c>
      <c r="AS30" s="427">
        <v>833899.42122186499</v>
      </c>
      <c r="AT30" s="427">
        <v>833899.42122186499</v>
      </c>
      <c r="AU30" s="427">
        <v>833899.42122186499</v>
      </c>
      <c r="AV30" s="427">
        <v>833899.42122186499</v>
      </c>
      <c r="AW30" s="427">
        <v>833899.42122186499</v>
      </c>
      <c r="AX30" s="427">
        <v>833899.42122186499</v>
      </c>
      <c r="AY30" s="427">
        <v>833899.42122186499</v>
      </c>
      <c r="AZ30" s="427">
        <v>833899.42122186499</v>
      </c>
      <c r="BA30" s="427">
        <v>0</v>
      </c>
      <c r="BB30" s="427">
        <v>0</v>
      </c>
      <c r="BC30" s="427">
        <v>0</v>
      </c>
      <c r="BD30" s="427">
        <v>0</v>
      </c>
      <c r="BE30" s="427">
        <v>0</v>
      </c>
      <c r="BF30" s="427">
        <v>0</v>
      </c>
      <c r="BG30" s="427">
        <v>0</v>
      </c>
      <c r="BH30" s="427">
        <v>0</v>
      </c>
      <c r="BI30" s="427">
        <v>0</v>
      </c>
      <c r="BJ30" s="427">
        <v>0</v>
      </c>
      <c r="BK30" s="427">
        <v>0</v>
      </c>
      <c r="BL30" s="427">
        <v>0</v>
      </c>
      <c r="BM30" s="427">
        <v>0</v>
      </c>
      <c r="BN30" s="427">
        <v>0</v>
      </c>
      <c r="BO30" s="427">
        <v>0</v>
      </c>
      <c r="BP30" s="427">
        <v>0</v>
      </c>
      <c r="BQ30" s="427">
        <v>0</v>
      </c>
      <c r="BR30" s="427">
        <v>0</v>
      </c>
      <c r="BS30" s="427">
        <v>0</v>
      </c>
      <c r="BT30" s="427">
        <v>0</v>
      </c>
      <c r="BU30" s="427">
        <v>0</v>
      </c>
      <c r="BV30" s="427">
        <v>0</v>
      </c>
      <c r="BW30" s="427">
        <v>0</v>
      </c>
      <c r="BX30" s="427">
        <v>0</v>
      </c>
      <c r="BY30" s="427">
        <v>0</v>
      </c>
      <c r="BZ30" s="427">
        <v>0</v>
      </c>
      <c r="CA30" s="427">
        <v>0</v>
      </c>
      <c r="CB30" s="427">
        <v>0</v>
      </c>
      <c r="CC30" s="427">
        <v>0</v>
      </c>
      <c r="CD30" s="427">
        <v>0</v>
      </c>
      <c r="CE30" s="427">
        <v>0</v>
      </c>
      <c r="CF30" s="427">
        <v>0</v>
      </c>
      <c r="CG30" s="427">
        <v>0</v>
      </c>
      <c r="CH30" s="427">
        <v>0</v>
      </c>
      <c r="CI30" s="427">
        <v>0</v>
      </c>
      <c r="CJ30" s="427">
        <v>0</v>
      </c>
      <c r="CK30" s="428">
        <v>0</v>
      </c>
      <c r="CL30" s="428">
        <v>0</v>
      </c>
      <c r="CM30" s="428">
        <v>0</v>
      </c>
      <c r="CN30" s="428">
        <v>0</v>
      </c>
      <c r="CO30" s="428">
        <v>0</v>
      </c>
      <c r="CP30" s="428">
        <v>0</v>
      </c>
      <c r="CQ30" s="428">
        <v>0</v>
      </c>
      <c r="CR30" s="428">
        <v>0</v>
      </c>
      <c r="CS30" s="428">
        <v>0</v>
      </c>
      <c r="CT30" s="428">
        <v>0</v>
      </c>
      <c r="CU30" s="428">
        <v>0</v>
      </c>
      <c r="CV30" s="428">
        <v>0</v>
      </c>
      <c r="CW30" s="428">
        <v>0</v>
      </c>
      <c r="CX30" s="428"/>
      <c r="CY30" s="428"/>
      <c r="CZ30" s="428"/>
      <c r="DA30" s="428"/>
      <c r="DB30" s="428"/>
      <c r="DC30" s="428"/>
      <c r="DD30" s="428"/>
      <c r="DE30" s="428"/>
      <c r="DF30" s="428"/>
      <c r="DG30" s="428"/>
      <c r="DH30" s="428"/>
      <c r="DI30" s="428"/>
    </row>
    <row r="31" spans="1:113" s="388" customFormat="1">
      <c r="A31" s="421" t="s">
        <v>370</v>
      </c>
      <c r="B31" s="421" t="s">
        <v>12</v>
      </c>
      <c r="C31" s="421" t="s">
        <v>386</v>
      </c>
      <c r="D31" s="422" t="s">
        <v>376</v>
      </c>
      <c r="E31" s="422">
        <v>2019</v>
      </c>
      <c r="F31" s="423">
        <v>4.2352941176470589</v>
      </c>
      <c r="G31" s="424">
        <v>44006.117647058818</v>
      </c>
      <c r="H31" s="422">
        <v>10</v>
      </c>
      <c r="I31" s="425">
        <v>0.68</v>
      </c>
      <c r="J31" s="425">
        <v>0.73099999999999998</v>
      </c>
      <c r="K31" s="422">
        <v>0</v>
      </c>
      <c r="L31" s="422">
        <v>0</v>
      </c>
      <c r="M31" s="422">
        <v>0</v>
      </c>
      <c r="N31" s="426">
        <v>28</v>
      </c>
      <c r="O31" s="426">
        <v>0</v>
      </c>
      <c r="P31" s="426">
        <v>0</v>
      </c>
      <c r="Q31" s="426">
        <v>0</v>
      </c>
      <c r="R31" s="426">
        <v>0</v>
      </c>
      <c r="S31" s="426">
        <v>92.913183279742768</v>
      </c>
      <c r="T31" s="426">
        <v>92.913183279742768</v>
      </c>
      <c r="U31" s="426">
        <v>92.913183279742768</v>
      </c>
      <c r="V31" s="426">
        <v>92.913183279742768</v>
      </c>
      <c r="W31" s="426">
        <v>92.913183279742768</v>
      </c>
      <c r="X31" s="426">
        <v>92.913183279742768</v>
      </c>
      <c r="Y31" s="426">
        <v>92.913183279742768</v>
      </c>
      <c r="Z31" s="426">
        <v>92.913183279742768</v>
      </c>
      <c r="AA31" s="426">
        <v>92.913183279742768</v>
      </c>
      <c r="AB31" s="426">
        <v>92.913183279742768</v>
      </c>
      <c r="AC31" s="426">
        <v>0</v>
      </c>
      <c r="AD31" s="426">
        <v>0</v>
      </c>
      <c r="AE31" s="426">
        <v>0</v>
      </c>
      <c r="AF31" s="426">
        <v>0</v>
      </c>
      <c r="AG31" s="426">
        <v>0</v>
      </c>
      <c r="AH31" s="426">
        <v>0</v>
      </c>
      <c r="AI31" s="426">
        <v>0</v>
      </c>
      <c r="AJ31" s="426">
        <v>0</v>
      </c>
      <c r="AK31" s="426">
        <v>0</v>
      </c>
      <c r="AL31" s="426">
        <v>0</v>
      </c>
      <c r="AM31" s="427">
        <v>0</v>
      </c>
      <c r="AN31" s="427">
        <v>0</v>
      </c>
      <c r="AO31" s="427">
        <v>0</v>
      </c>
      <c r="AP31" s="427">
        <v>0</v>
      </c>
      <c r="AQ31" s="427">
        <v>0</v>
      </c>
      <c r="AR31" s="427">
        <v>898045.53054662375</v>
      </c>
      <c r="AS31" s="427">
        <v>898045.53054662375</v>
      </c>
      <c r="AT31" s="427">
        <v>898045.53054662375</v>
      </c>
      <c r="AU31" s="427">
        <v>898045.53054662375</v>
      </c>
      <c r="AV31" s="427">
        <v>898045.53054662375</v>
      </c>
      <c r="AW31" s="427">
        <v>898045.53054662375</v>
      </c>
      <c r="AX31" s="427">
        <v>898045.53054662375</v>
      </c>
      <c r="AY31" s="427">
        <v>898045.53054662375</v>
      </c>
      <c r="AZ31" s="427">
        <v>898045.53054662375</v>
      </c>
      <c r="BA31" s="427">
        <v>898045.53054662375</v>
      </c>
      <c r="BB31" s="427">
        <v>0</v>
      </c>
      <c r="BC31" s="427">
        <v>0</v>
      </c>
      <c r="BD31" s="427">
        <v>0</v>
      </c>
      <c r="BE31" s="427">
        <v>0</v>
      </c>
      <c r="BF31" s="427">
        <v>0</v>
      </c>
      <c r="BG31" s="427">
        <v>0</v>
      </c>
      <c r="BH31" s="427">
        <v>0</v>
      </c>
      <c r="BI31" s="427">
        <v>0</v>
      </c>
      <c r="BJ31" s="427">
        <v>0</v>
      </c>
      <c r="BK31" s="427">
        <v>0</v>
      </c>
      <c r="BL31" s="427">
        <v>0</v>
      </c>
      <c r="BM31" s="427">
        <v>0</v>
      </c>
      <c r="BN31" s="427">
        <v>0</v>
      </c>
      <c r="BO31" s="427">
        <v>0</v>
      </c>
      <c r="BP31" s="427">
        <v>0</v>
      </c>
      <c r="BQ31" s="427">
        <v>0</v>
      </c>
      <c r="BR31" s="427">
        <v>0</v>
      </c>
      <c r="BS31" s="427">
        <v>0</v>
      </c>
      <c r="BT31" s="427">
        <v>0</v>
      </c>
      <c r="BU31" s="427">
        <v>0</v>
      </c>
      <c r="BV31" s="427">
        <v>0</v>
      </c>
      <c r="BW31" s="427">
        <v>0</v>
      </c>
      <c r="BX31" s="427">
        <v>0</v>
      </c>
      <c r="BY31" s="427">
        <v>0</v>
      </c>
      <c r="BZ31" s="427">
        <v>0</v>
      </c>
      <c r="CA31" s="427">
        <v>0</v>
      </c>
      <c r="CB31" s="427">
        <v>0</v>
      </c>
      <c r="CC31" s="427">
        <v>0</v>
      </c>
      <c r="CD31" s="427">
        <v>0</v>
      </c>
      <c r="CE31" s="427">
        <v>0</v>
      </c>
      <c r="CF31" s="427">
        <v>0</v>
      </c>
      <c r="CG31" s="427">
        <v>0</v>
      </c>
      <c r="CH31" s="427">
        <v>0</v>
      </c>
      <c r="CI31" s="427">
        <v>0</v>
      </c>
      <c r="CJ31" s="427">
        <v>0</v>
      </c>
      <c r="CK31" s="428">
        <v>0</v>
      </c>
      <c r="CL31" s="428">
        <v>0</v>
      </c>
      <c r="CM31" s="428">
        <v>0</v>
      </c>
      <c r="CN31" s="428">
        <v>0</v>
      </c>
      <c r="CO31" s="428">
        <v>0</v>
      </c>
      <c r="CP31" s="428">
        <v>0</v>
      </c>
      <c r="CQ31" s="428">
        <v>0</v>
      </c>
      <c r="CR31" s="428">
        <v>0</v>
      </c>
      <c r="CS31" s="428">
        <v>0</v>
      </c>
      <c r="CT31" s="428">
        <v>0</v>
      </c>
      <c r="CU31" s="428">
        <v>0</v>
      </c>
      <c r="CV31" s="428">
        <v>0</v>
      </c>
      <c r="CW31" s="428">
        <v>0</v>
      </c>
      <c r="CX31" s="428"/>
      <c r="CY31" s="428"/>
      <c r="CZ31" s="428"/>
      <c r="DA31" s="428"/>
      <c r="DB31" s="428"/>
      <c r="DC31" s="428"/>
      <c r="DD31" s="428"/>
      <c r="DE31" s="428"/>
      <c r="DF31" s="428"/>
      <c r="DG31" s="428"/>
      <c r="DH31" s="428"/>
      <c r="DI31" s="428"/>
    </row>
    <row r="32" spans="1:113" s="388" customFormat="1">
      <c r="A32" s="421" t="s">
        <v>370</v>
      </c>
      <c r="B32" s="421" t="s">
        <v>12</v>
      </c>
      <c r="C32" s="421" t="s">
        <v>386</v>
      </c>
      <c r="D32" s="422" t="s">
        <v>376</v>
      </c>
      <c r="E32" s="422">
        <v>2020</v>
      </c>
      <c r="F32" s="423">
        <v>4.2352941176470589</v>
      </c>
      <c r="G32" s="424">
        <v>44006.117647058818</v>
      </c>
      <c r="H32" s="422">
        <v>10</v>
      </c>
      <c r="I32" s="425">
        <v>0.68</v>
      </c>
      <c r="J32" s="425">
        <v>0.73099999999999998</v>
      </c>
      <c r="K32" s="422">
        <v>0</v>
      </c>
      <c r="L32" s="422">
        <v>0</v>
      </c>
      <c r="M32" s="422">
        <v>0</v>
      </c>
      <c r="N32" s="426">
        <v>30</v>
      </c>
      <c r="O32" s="426">
        <v>0</v>
      </c>
      <c r="P32" s="426">
        <v>0</v>
      </c>
      <c r="Q32" s="426">
        <v>0</v>
      </c>
      <c r="R32" s="426">
        <v>0</v>
      </c>
      <c r="S32" s="426">
        <v>0</v>
      </c>
      <c r="T32" s="426">
        <v>99.549839228295824</v>
      </c>
      <c r="U32" s="426">
        <v>99.549839228295824</v>
      </c>
      <c r="V32" s="426">
        <v>99.549839228295824</v>
      </c>
      <c r="W32" s="426">
        <v>99.549839228295824</v>
      </c>
      <c r="X32" s="426">
        <v>99.549839228295824</v>
      </c>
      <c r="Y32" s="426">
        <v>99.549839228295824</v>
      </c>
      <c r="Z32" s="426">
        <v>99.549839228295824</v>
      </c>
      <c r="AA32" s="426">
        <v>99.549839228295824</v>
      </c>
      <c r="AB32" s="426">
        <v>99.549839228295824</v>
      </c>
      <c r="AC32" s="426">
        <v>99.549839228295824</v>
      </c>
      <c r="AD32" s="426">
        <v>0</v>
      </c>
      <c r="AE32" s="426">
        <v>0</v>
      </c>
      <c r="AF32" s="426">
        <v>0</v>
      </c>
      <c r="AG32" s="426">
        <v>0</v>
      </c>
      <c r="AH32" s="426">
        <v>0</v>
      </c>
      <c r="AI32" s="426">
        <v>0</v>
      </c>
      <c r="AJ32" s="426">
        <v>0</v>
      </c>
      <c r="AK32" s="426">
        <v>0</v>
      </c>
      <c r="AL32" s="426">
        <v>0</v>
      </c>
      <c r="AM32" s="427">
        <v>0</v>
      </c>
      <c r="AN32" s="427">
        <v>0</v>
      </c>
      <c r="AO32" s="427">
        <v>0</v>
      </c>
      <c r="AP32" s="427">
        <v>0</v>
      </c>
      <c r="AQ32" s="427">
        <v>0</v>
      </c>
      <c r="AR32" s="427">
        <v>0</v>
      </c>
      <c r="AS32" s="427">
        <v>962191.63987138274</v>
      </c>
      <c r="AT32" s="427">
        <v>962191.63987138274</v>
      </c>
      <c r="AU32" s="427">
        <v>962191.63987138274</v>
      </c>
      <c r="AV32" s="427">
        <v>962191.63987138274</v>
      </c>
      <c r="AW32" s="427">
        <v>962191.63987138274</v>
      </c>
      <c r="AX32" s="427">
        <v>962191.63987138274</v>
      </c>
      <c r="AY32" s="427">
        <v>962191.63987138274</v>
      </c>
      <c r="AZ32" s="427">
        <v>962191.63987138274</v>
      </c>
      <c r="BA32" s="427">
        <v>962191.63987138274</v>
      </c>
      <c r="BB32" s="427">
        <v>962191.63987138274</v>
      </c>
      <c r="BC32" s="427">
        <v>0</v>
      </c>
      <c r="BD32" s="427">
        <v>0</v>
      </c>
      <c r="BE32" s="427">
        <v>0</v>
      </c>
      <c r="BF32" s="427">
        <v>0</v>
      </c>
      <c r="BG32" s="427">
        <v>0</v>
      </c>
      <c r="BH32" s="427">
        <v>0</v>
      </c>
      <c r="BI32" s="427">
        <v>0</v>
      </c>
      <c r="BJ32" s="427">
        <v>0</v>
      </c>
      <c r="BK32" s="427">
        <v>0</v>
      </c>
      <c r="BL32" s="427">
        <v>0</v>
      </c>
      <c r="BM32" s="427">
        <v>0</v>
      </c>
      <c r="BN32" s="427">
        <v>0</v>
      </c>
      <c r="BO32" s="427">
        <v>0</v>
      </c>
      <c r="BP32" s="427">
        <v>0</v>
      </c>
      <c r="BQ32" s="427">
        <v>0</v>
      </c>
      <c r="BR32" s="427">
        <v>0</v>
      </c>
      <c r="BS32" s="427">
        <v>0</v>
      </c>
      <c r="BT32" s="427">
        <v>0</v>
      </c>
      <c r="BU32" s="427">
        <v>0</v>
      </c>
      <c r="BV32" s="427">
        <v>0</v>
      </c>
      <c r="BW32" s="427">
        <v>0</v>
      </c>
      <c r="BX32" s="427">
        <v>0</v>
      </c>
      <c r="BY32" s="427">
        <v>0</v>
      </c>
      <c r="BZ32" s="427">
        <v>0</v>
      </c>
      <c r="CA32" s="427">
        <v>0</v>
      </c>
      <c r="CB32" s="427">
        <v>0</v>
      </c>
      <c r="CC32" s="427">
        <v>0</v>
      </c>
      <c r="CD32" s="427">
        <v>0</v>
      </c>
      <c r="CE32" s="427">
        <v>0</v>
      </c>
      <c r="CF32" s="427">
        <v>0</v>
      </c>
      <c r="CG32" s="427">
        <v>0</v>
      </c>
      <c r="CH32" s="427">
        <v>0</v>
      </c>
      <c r="CI32" s="427">
        <v>0</v>
      </c>
      <c r="CJ32" s="427">
        <v>0</v>
      </c>
      <c r="CK32" s="428">
        <v>0</v>
      </c>
      <c r="CL32" s="428">
        <v>0</v>
      </c>
      <c r="CM32" s="428">
        <v>0</v>
      </c>
      <c r="CN32" s="428">
        <v>0</v>
      </c>
      <c r="CO32" s="428">
        <v>0</v>
      </c>
      <c r="CP32" s="428">
        <v>0</v>
      </c>
      <c r="CQ32" s="428">
        <v>0</v>
      </c>
      <c r="CR32" s="428">
        <v>0</v>
      </c>
      <c r="CS32" s="428">
        <v>0</v>
      </c>
      <c r="CT32" s="428">
        <v>0</v>
      </c>
      <c r="CU32" s="428">
        <v>0</v>
      </c>
      <c r="CV32" s="428">
        <v>0</v>
      </c>
      <c r="CW32" s="428">
        <v>0</v>
      </c>
      <c r="CX32" s="428"/>
      <c r="CY32" s="428"/>
      <c r="CZ32" s="428"/>
      <c r="DA32" s="428"/>
      <c r="DB32" s="428"/>
      <c r="DC32" s="428"/>
      <c r="DD32" s="428"/>
      <c r="DE32" s="428"/>
      <c r="DF32" s="428"/>
      <c r="DG32" s="428"/>
      <c r="DH32" s="428"/>
      <c r="DI32" s="428"/>
    </row>
    <row r="33" spans="1:113" s="388" customFormat="1">
      <c r="A33" s="421" t="s">
        <v>370</v>
      </c>
      <c r="B33" s="421" t="s">
        <v>12</v>
      </c>
      <c r="C33" s="421" t="s">
        <v>388</v>
      </c>
      <c r="D33" s="422" t="s">
        <v>376</v>
      </c>
      <c r="E33" s="422">
        <v>2015</v>
      </c>
      <c r="F33" s="423">
        <v>20.941999999999997</v>
      </c>
      <c r="G33" s="424">
        <v>121075.15853658537</v>
      </c>
      <c r="H33" s="422">
        <v>16</v>
      </c>
      <c r="I33" s="425">
        <v>0.65600000000000003</v>
      </c>
      <c r="J33" s="425">
        <v>0.65</v>
      </c>
      <c r="K33" s="422">
        <v>0</v>
      </c>
      <c r="L33" s="422">
        <v>0</v>
      </c>
      <c r="M33" s="422">
        <v>0</v>
      </c>
      <c r="N33" s="426">
        <v>0</v>
      </c>
      <c r="O33" s="426">
        <v>0</v>
      </c>
      <c r="P33" s="426">
        <v>0</v>
      </c>
      <c r="Q33" s="426">
        <v>0</v>
      </c>
      <c r="R33" s="426">
        <v>0</v>
      </c>
      <c r="S33" s="426">
        <v>0</v>
      </c>
      <c r="T33" s="426">
        <v>0</v>
      </c>
      <c r="U33" s="426">
        <v>0</v>
      </c>
      <c r="V33" s="426">
        <v>0</v>
      </c>
      <c r="W33" s="426">
        <v>0</v>
      </c>
      <c r="X33" s="426">
        <v>0</v>
      </c>
      <c r="Y33" s="426">
        <v>0</v>
      </c>
      <c r="Z33" s="426">
        <v>0</v>
      </c>
      <c r="AA33" s="426">
        <v>0</v>
      </c>
      <c r="AB33" s="426">
        <v>0</v>
      </c>
      <c r="AC33" s="426">
        <v>0</v>
      </c>
      <c r="AD33" s="426">
        <v>0</v>
      </c>
      <c r="AE33" s="426">
        <v>0</v>
      </c>
      <c r="AF33" s="426">
        <v>0</v>
      </c>
      <c r="AG33" s="426">
        <v>0</v>
      </c>
      <c r="AH33" s="426">
        <v>0</v>
      </c>
      <c r="AI33" s="426">
        <v>0</v>
      </c>
      <c r="AJ33" s="426">
        <v>0</v>
      </c>
      <c r="AK33" s="426">
        <v>0</v>
      </c>
      <c r="AL33" s="426">
        <v>0</v>
      </c>
      <c r="AM33" s="427">
        <v>0</v>
      </c>
      <c r="AN33" s="427">
        <v>0</v>
      </c>
      <c r="AO33" s="427">
        <v>0</v>
      </c>
      <c r="AP33" s="427">
        <v>0</v>
      </c>
      <c r="AQ33" s="427">
        <v>0</v>
      </c>
      <c r="AR33" s="427">
        <v>0</v>
      </c>
      <c r="AS33" s="427">
        <v>0</v>
      </c>
      <c r="AT33" s="427">
        <v>0</v>
      </c>
      <c r="AU33" s="427">
        <v>0</v>
      </c>
      <c r="AV33" s="427">
        <v>0</v>
      </c>
      <c r="AW33" s="427">
        <v>0</v>
      </c>
      <c r="AX33" s="427">
        <v>0</v>
      </c>
      <c r="AY33" s="427">
        <v>0</v>
      </c>
      <c r="AZ33" s="427">
        <v>0</v>
      </c>
      <c r="BA33" s="427">
        <v>0</v>
      </c>
      <c r="BB33" s="427">
        <v>0</v>
      </c>
      <c r="BC33" s="427">
        <v>0</v>
      </c>
      <c r="BD33" s="427">
        <v>0</v>
      </c>
      <c r="BE33" s="427">
        <v>0</v>
      </c>
      <c r="BF33" s="427">
        <v>0</v>
      </c>
      <c r="BG33" s="427">
        <v>0</v>
      </c>
      <c r="BH33" s="427">
        <v>0</v>
      </c>
      <c r="BI33" s="427">
        <v>0</v>
      </c>
      <c r="BJ33" s="427">
        <v>0</v>
      </c>
      <c r="BK33" s="427">
        <v>0</v>
      </c>
      <c r="BL33" s="427">
        <v>0</v>
      </c>
      <c r="BM33" s="427">
        <v>0</v>
      </c>
      <c r="BN33" s="427">
        <v>0</v>
      </c>
      <c r="BO33" s="427">
        <v>0</v>
      </c>
      <c r="BP33" s="427">
        <v>0</v>
      </c>
      <c r="BQ33" s="427">
        <v>0</v>
      </c>
      <c r="BR33" s="427">
        <v>0</v>
      </c>
      <c r="BS33" s="427">
        <v>0</v>
      </c>
      <c r="BT33" s="427">
        <v>0</v>
      </c>
      <c r="BU33" s="427">
        <v>0</v>
      </c>
      <c r="BV33" s="427">
        <v>0</v>
      </c>
      <c r="BW33" s="427">
        <v>0</v>
      </c>
      <c r="BX33" s="427">
        <v>0</v>
      </c>
      <c r="BY33" s="427">
        <v>0</v>
      </c>
      <c r="BZ33" s="427">
        <v>0</v>
      </c>
      <c r="CA33" s="427">
        <v>0</v>
      </c>
      <c r="CB33" s="427">
        <v>0</v>
      </c>
      <c r="CC33" s="427">
        <v>0</v>
      </c>
      <c r="CD33" s="427">
        <v>0</v>
      </c>
      <c r="CE33" s="427">
        <v>0</v>
      </c>
      <c r="CF33" s="427">
        <v>0</v>
      </c>
      <c r="CG33" s="427">
        <v>0</v>
      </c>
      <c r="CH33" s="427">
        <v>0</v>
      </c>
      <c r="CI33" s="427">
        <v>0</v>
      </c>
      <c r="CJ33" s="427">
        <v>0</v>
      </c>
      <c r="CK33" s="428">
        <v>0</v>
      </c>
      <c r="CL33" s="428">
        <v>0</v>
      </c>
      <c r="CM33" s="428">
        <v>0</v>
      </c>
      <c r="CN33" s="428">
        <v>0</v>
      </c>
      <c r="CO33" s="428">
        <v>0</v>
      </c>
      <c r="CP33" s="428">
        <v>0</v>
      </c>
      <c r="CQ33" s="428">
        <v>0</v>
      </c>
      <c r="CR33" s="428">
        <v>0</v>
      </c>
      <c r="CS33" s="428">
        <v>0</v>
      </c>
      <c r="CT33" s="428">
        <v>0</v>
      </c>
      <c r="CU33" s="428">
        <v>0</v>
      </c>
      <c r="CV33" s="428">
        <v>0</v>
      </c>
      <c r="CW33" s="428">
        <v>0</v>
      </c>
      <c r="CX33" s="428"/>
      <c r="CY33" s="428"/>
      <c r="CZ33" s="428"/>
      <c r="DA33" s="428"/>
      <c r="DB33" s="428"/>
      <c r="DC33" s="428"/>
      <c r="DD33" s="428"/>
      <c r="DE33" s="428"/>
      <c r="DF33" s="428"/>
      <c r="DG33" s="428"/>
      <c r="DH33" s="428"/>
      <c r="DI33" s="428"/>
    </row>
    <row r="34" spans="1:113" s="388" customFormat="1">
      <c r="A34" s="421" t="s">
        <v>370</v>
      </c>
      <c r="B34" s="421" t="s">
        <v>12</v>
      </c>
      <c r="C34" s="421" t="s">
        <v>388</v>
      </c>
      <c r="D34" s="422" t="s">
        <v>376</v>
      </c>
      <c r="E34" s="422">
        <v>2016</v>
      </c>
      <c r="F34" s="423">
        <v>20.941999999999997</v>
      </c>
      <c r="G34" s="424">
        <v>121075.15853658537</v>
      </c>
      <c r="H34" s="422">
        <v>16</v>
      </c>
      <c r="I34" s="425">
        <v>0.65600000000000003</v>
      </c>
      <c r="J34" s="425">
        <v>0.65</v>
      </c>
      <c r="K34" s="422">
        <v>0</v>
      </c>
      <c r="L34" s="422">
        <v>0</v>
      </c>
      <c r="M34" s="422">
        <v>0</v>
      </c>
      <c r="N34" s="426">
        <v>8</v>
      </c>
      <c r="O34" s="426">
        <v>0</v>
      </c>
      <c r="P34" s="426">
        <v>116.71854233654875</v>
      </c>
      <c r="Q34" s="426">
        <v>116.71854233654875</v>
      </c>
      <c r="R34" s="426">
        <v>116.71854233654875</v>
      </c>
      <c r="S34" s="426">
        <v>116.71854233654875</v>
      </c>
      <c r="T34" s="426">
        <v>116.71854233654875</v>
      </c>
      <c r="U34" s="426">
        <v>116.71854233654875</v>
      </c>
      <c r="V34" s="426">
        <v>116.71854233654875</v>
      </c>
      <c r="W34" s="426">
        <v>116.71854233654875</v>
      </c>
      <c r="X34" s="426">
        <v>116.71854233654875</v>
      </c>
      <c r="Y34" s="426">
        <v>116.71854233654875</v>
      </c>
      <c r="Z34" s="426">
        <v>116.71854233654875</v>
      </c>
      <c r="AA34" s="426">
        <v>116.71854233654875</v>
      </c>
      <c r="AB34" s="426">
        <v>116.71854233654875</v>
      </c>
      <c r="AC34" s="426">
        <v>116.71854233654875</v>
      </c>
      <c r="AD34" s="426">
        <v>116.71854233654875</v>
      </c>
      <c r="AE34" s="426">
        <v>116.71854233654875</v>
      </c>
      <c r="AF34" s="426">
        <v>0</v>
      </c>
      <c r="AG34" s="426">
        <v>0</v>
      </c>
      <c r="AH34" s="426">
        <v>0</v>
      </c>
      <c r="AI34" s="426">
        <v>0</v>
      </c>
      <c r="AJ34" s="426">
        <v>0</v>
      </c>
      <c r="AK34" s="426">
        <v>0</v>
      </c>
      <c r="AL34" s="426">
        <v>0</v>
      </c>
      <c r="AM34" s="427">
        <v>0</v>
      </c>
      <c r="AN34" s="427">
        <v>0</v>
      </c>
      <c r="AO34" s="427">
        <v>681031.54555198294</v>
      </c>
      <c r="AP34" s="427">
        <v>681031.54555198294</v>
      </c>
      <c r="AQ34" s="427">
        <v>681031.54555198294</v>
      </c>
      <c r="AR34" s="427">
        <v>681031.54555198294</v>
      </c>
      <c r="AS34" s="427">
        <v>681031.54555198294</v>
      </c>
      <c r="AT34" s="427">
        <v>681031.54555198294</v>
      </c>
      <c r="AU34" s="427">
        <v>681031.54555198294</v>
      </c>
      <c r="AV34" s="427">
        <v>681031.54555198294</v>
      </c>
      <c r="AW34" s="427">
        <v>681031.54555198294</v>
      </c>
      <c r="AX34" s="427">
        <v>681031.54555198294</v>
      </c>
      <c r="AY34" s="427">
        <v>681031.54555198294</v>
      </c>
      <c r="AZ34" s="427">
        <v>681031.54555198294</v>
      </c>
      <c r="BA34" s="427">
        <v>681031.54555198294</v>
      </c>
      <c r="BB34" s="427">
        <v>681031.54555198294</v>
      </c>
      <c r="BC34" s="427">
        <v>681031.54555198294</v>
      </c>
      <c r="BD34" s="427">
        <v>681031.54555198294</v>
      </c>
      <c r="BE34" s="427">
        <v>0</v>
      </c>
      <c r="BF34" s="427">
        <v>0</v>
      </c>
      <c r="BG34" s="427">
        <v>0</v>
      </c>
      <c r="BH34" s="427">
        <v>0</v>
      </c>
      <c r="BI34" s="427">
        <v>0</v>
      </c>
      <c r="BJ34" s="427">
        <v>0</v>
      </c>
      <c r="BK34" s="427">
        <v>0</v>
      </c>
      <c r="BL34" s="427">
        <v>0</v>
      </c>
      <c r="BM34" s="427">
        <v>0</v>
      </c>
      <c r="BN34" s="427">
        <v>0</v>
      </c>
      <c r="BO34" s="427">
        <v>0</v>
      </c>
      <c r="BP34" s="427">
        <v>0</v>
      </c>
      <c r="BQ34" s="427">
        <v>0</v>
      </c>
      <c r="BR34" s="427">
        <v>0</v>
      </c>
      <c r="BS34" s="427">
        <v>0</v>
      </c>
      <c r="BT34" s="427">
        <v>0</v>
      </c>
      <c r="BU34" s="427">
        <v>0</v>
      </c>
      <c r="BV34" s="427">
        <v>0</v>
      </c>
      <c r="BW34" s="427">
        <v>0</v>
      </c>
      <c r="BX34" s="427">
        <v>0</v>
      </c>
      <c r="BY34" s="427">
        <v>0</v>
      </c>
      <c r="BZ34" s="427">
        <v>0</v>
      </c>
      <c r="CA34" s="427">
        <v>0</v>
      </c>
      <c r="CB34" s="427">
        <v>0</v>
      </c>
      <c r="CC34" s="427">
        <v>0</v>
      </c>
      <c r="CD34" s="427">
        <v>0</v>
      </c>
      <c r="CE34" s="427">
        <v>0</v>
      </c>
      <c r="CF34" s="427">
        <v>0</v>
      </c>
      <c r="CG34" s="427">
        <v>0</v>
      </c>
      <c r="CH34" s="427">
        <v>0</v>
      </c>
      <c r="CI34" s="427">
        <v>0</v>
      </c>
      <c r="CJ34" s="427">
        <v>0</v>
      </c>
      <c r="CK34" s="428">
        <v>0</v>
      </c>
      <c r="CL34" s="428">
        <v>0</v>
      </c>
      <c r="CM34" s="428">
        <v>0</v>
      </c>
      <c r="CN34" s="428">
        <v>0</v>
      </c>
      <c r="CO34" s="428">
        <v>0</v>
      </c>
      <c r="CP34" s="428">
        <v>0</v>
      </c>
      <c r="CQ34" s="428">
        <v>0</v>
      </c>
      <c r="CR34" s="428">
        <v>0</v>
      </c>
      <c r="CS34" s="428">
        <v>0</v>
      </c>
      <c r="CT34" s="428">
        <v>0</v>
      </c>
      <c r="CU34" s="428">
        <v>0</v>
      </c>
      <c r="CV34" s="428">
        <v>0</v>
      </c>
      <c r="CW34" s="428">
        <v>0</v>
      </c>
      <c r="CX34" s="428"/>
      <c r="CY34" s="428"/>
      <c r="CZ34" s="428"/>
      <c r="DA34" s="428"/>
      <c r="DB34" s="428"/>
      <c r="DC34" s="428"/>
      <c r="DD34" s="428"/>
      <c r="DE34" s="428"/>
      <c r="DF34" s="428"/>
      <c r="DG34" s="428"/>
      <c r="DH34" s="428"/>
      <c r="DI34" s="428"/>
    </row>
    <row r="35" spans="1:113" s="388" customFormat="1">
      <c r="A35" s="421" t="s">
        <v>370</v>
      </c>
      <c r="B35" s="421" t="s">
        <v>12</v>
      </c>
      <c r="C35" s="421" t="s">
        <v>388</v>
      </c>
      <c r="D35" s="422" t="s">
        <v>376</v>
      </c>
      <c r="E35" s="422">
        <v>2017</v>
      </c>
      <c r="F35" s="423">
        <v>20.941999999999997</v>
      </c>
      <c r="G35" s="424">
        <v>121075.15853658537</v>
      </c>
      <c r="H35" s="422">
        <v>16</v>
      </c>
      <c r="I35" s="425">
        <v>0.65600000000000003</v>
      </c>
      <c r="J35" s="425">
        <v>0.65</v>
      </c>
      <c r="K35" s="422">
        <v>0</v>
      </c>
      <c r="L35" s="422">
        <v>0</v>
      </c>
      <c r="M35" s="422">
        <v>0</v>
      </c>
      <c r="N35" s="426">
        <v>10</v>
      </c>
      <c r="O35" s="426">
        <v>0</v>
      </c>
      <c r="P35" s="426">
        <v>0</v>
      </c>
      <c r="Q35" s="426">
        <v>145.89817792068595</v>
      </c>
      <c r="R35" s="426">
        <v>145.89817792068595</v>
      </c>
      <c r="S35" s="426">
        <v>145.89817792068595</v>
      </c>
      <c r="T35" s="426">
        <v>145.89817792068595</v>
      </c>
      <c r="U35" s="426">
        <v>145.89817792068595</v>
      </c>
      <c r="V35" s="426">
        <v>145.89817792068595</v>
      </c>
      <c r="W35" s="426">
        <v>145.89817792068595</v>
      </c>
      <c r="X35" s="426">
        <v>145.89817792068595</v>
      </c>
      <c r="Y35" s="426">
        <v>145.89817792068595</v>
      </c>
      <c r="Z35" s="426">
        <v>145.89817792068595</v>
      </c>
      <c r="AA35" s="426">
        <v>145.89817792068595</v>
      </c>
      <c r="AB35" s="426">
        <v>145.89817792068595</v>
      </c>
      <c r="AC35" s="426">
        <v>145.89817792068595</v>
      </c>
      <c r="AD35" s="426">
        <v>145.89817792068595</v>
      </c>
      <c r="AE35" s="426">
        <v>145.89817792068595</v>
      </c>
      <c r="AF35" s="426">
        <v>145.89817792068595</v>
      </c>
      <c r="AG35" s="426">
        <v>0</v>
      </c>
      <c r="AH35" s="426">
        <v>0</v>
      </c>
      <c r="AI35" s="426">
        <v>0</v>
      </c>
      <c r="AJ35" s="426">
        <v>0</v>
      </c>
      <c r="AK35" s="426">
        <v>0</v>
      </c>
      <c r="AL35" s="426">
        <v>0</v>
      </c>
      <c r="AM35" s="427">
        <v>0</v>
      </c>
      <c r="AN35" s="427">
        <v>0</v>
      </c>
      <c r="AO35" s="427">
        <v>0</v>
      </c>
      <c r="AP35" s="427">
        <v>851289.43193997862</v>
      </c>
      <c r="AQ35" s="427">
        <v>851289.43193997862</v>
      </c>
      <c r="AR35" s="427">
        <v>851289.43193997862</v>
      </c>
      <c r="AS35" s="427">
        <v>851289.43193997862</v>
      </c>
      <c r="AT35" s="427">
        <v>851289.43193997862</v>
      </c>
      <c r="AU35" s="427">
        <v>851289.43193997862</v>
      </c>
      <c r="AV35" s="427">
        <v>851289.43193997862</v>
      </c>
      <c r="AW35" s="427">
        <v>851289.43193997862</v>
      </c>
      <c r="AX35" s="427">
        <v>851289.43193997862</v>
      </c>
      <c r="AY35" s="427">
        <v>851289.43193997862</v>
      </c>
      <c r="AZ35" s="427">
        <v>851289.43193997862</v>
      </c>
      <c r="BA35" s="427">
        <v>851289.43193997862</v>
      </c>
      <c r="BB35" s="427">
        <v>851289.43193997862</v>
      </c>
      <c r="BC35" s="427">
        <v>851289.43193997862</v>
      </c>
      <c r="BD35" s="427">
        <v>851289.43193997862</v>
      </c>
      <c r="BE35" s="427">
        <v>851289.43193997862</v>
      </c>
      <c r="BF35" s="427">
        <v>0</v>
      </c>
      <c r="BG35" s="427">
        <v>0</v>
      </c>
      <c r="BH35" s="427">
        <v>0</v>
      </c>
      <c r="BI35" s="427">
        <v>0</v>
      </c>
      <c r="BJ35" s="427">
        <v>0</v>
      </c>
      <c r="BK35" s="427">
        <v>0</v>
      </c>
      <c r="BL35" s="427">
        <v>0</v>
      </c>
      <c r="BM35" s="427">
        <v>0</v>
      </c>
      <c r="BN35" s="427">
        <v>0</v>
      </c>
      <c r="BO35" s="427">
        <v>0</v>
      </c>
      <c r="BP35" s="427">
        <v>0</v>
      </c>
      <c r="BQ35" s="427">
        <v>0</v>
      </c>
      <c r="BR35" s="427">
        <v>0</v>
      </c>
      <c r="BS35" s="427">
        <v>0</v>
      </c>
      <c r="BT35" s="427">
        <v>0</v>
      </c>
      <c r="BU35" s="427">
        <v>0</v>
      </c>
      <c r="BV35" s="427">
        <v>0</v>
      </c>
      <c r="BW35" s="427">
        <v>0</v>
      </c>
      <c r="BX35" s="427">
        <v>0</v>
      </c>
      <c r="BY35" s="427">
        <v>0</v>
      </c>
      <c r="BZ35" s="427">
        <v>0</v>
      </c>
      <c r="CA35" s="427">
        <v>0</v>
      </c>
      <c r="CB35" s="427">
        <v>0</v>
      </c>
      <c r="CC35" s="427">
        <v>0</v>
      </c>
      <c r="CD35" s="427">
        <v>0</v>
      </c>
      <c r="CE35" s="427">
        <v>0</v>
      </c>
      <c r="CF35" s="427">
        <v>0</v>
      </c>
      <c r="CG35" s="427">
        <v>0</v>
      </c>
      <c r="CH35" s="427">
        <v>0</v>
      </c>
      <c r="CI35" s="427">
        <v>0</v>
      </c>
      <c r="CJ35" s="427">
        <v>0</v>
      </c>
      <c r="CK35" s="428">
        <v>0</v>
      </c>
      <c r="CL35" s="428">
        <v>0</v>
      </c>
      <c r="CM35" s="428">
        <v>0</v>
      </c>
      <c r="CN35" s="428">
        <v>0</v>
      </c>
      <c r="CO35" s="428">
        <v>0</v>
      </c>
      <c r="CP35" s="428">
        <v>0</v>
      </c>
      <c r="CQ35" s="428">
        <v>0</v>
      </c>
      <c r="CR35" s="428">
        <v>0</v>
      </c>
      <c r="CS35" s="428">
        <v>0</v>
      </c>
      <c r="CT35" s="428">
        <v>0</v>
      </c>
      <c r="CU35" s="428">
        <v>0</v>
      </c>
      <c r="CV35" s="428">
        <v>0</v>
      </c>
      <c r="CW35" s="428">
        <v>0</v>
      </c>
      <c r="CX35" s="428"/>
      <c r="CY35" s="428"/>
      <c r="CZ35" s="428"/>
      <c r="DA35" s="428"/>
      <c r="DB35" s="428"/>
      <c r="DC35" s="428"/>
      <c r="DD35" s="428"/>
      <c r="DE35" s="428"/>
      <c r="DF35" s="428"/>
      <c r="DG35" s="428"/>
      <c r="DH35" s="428"/>
      <c r="DI35" s="428"/>
    </row>
    <row r="36" spans="1:113" s="388" customFormat="1">
      <c r="A36" s="421" t="s">
        <v>370</v>
      </c>
      <c r="B36" s="421" t="s">
        <v>12</v>
      </c>
      <c r="C36" s="421" t="s">
        <v>388</v>
      </c>
      <c r="D36" s="422" t="s">
        <v>376</v>
      </c>
      <c r="E36" s="422">
        <v>2018</v>
      </c>
      <c r="F36" s="423">
        <v>20.941999999999997</v>
      </c>
      <c r="G36" s="424">
        <v>121075.15853658537</v>
      </c>
      <c r="H36" s="422">
        <v>16</v>
      </c>
      <c r="I36" s="425">
        <v>0.65600000000000003</v>
      </c>
      <c r="J36" s="425">
        <v>0.65</v>
      </c>
      <c r="K36" s="422">
        <v>0</v>
      </c>
      <c r="L36" s="422">
        <v>0</v>
      </c>
      <c r="M36" s="422">
        <v>0</v>
      </c>
      <c r="N36" s="426">
        <v>12</v>
      </c>
      <c r="O36" s="426">
        <v>0</v>
      </c>
      <c r="P36" s="426">
        <v>0</v>
      </c>
      <c r="Q36" s="426">
        <v>0</v>
      </c>
      <c r="R36" s="426">
        <v>175.07781350482313</v>
      </c>
      <c r="S36" s="426">
        <v>175.07781350482313</v>
      </c>
      <c r="T36" s="426">
        <v>175.07781350482313</v>
      </c>
      <c r="U36" s="426">
        <v>175.07781350482313</v>
      </c>
      <c r="V36" s="426">
        <v>175.07781350482313</v>
      </c>
      <c r="W36" s="426">
        <v>175.07781350482313</v>
      </c>
      <c r="X36" s="426">
        <v>175.07781350482313</v>
      </c>
      <c r="Y36" s="426">
        <v>175.07781350482313</v>
      </c>
      <c r="Z36" s="426">
        <v>175.07781350482313</v>
      </c>
      <c r="AA36" s="426">
        <v>175.07781350482313</v>
      </c>
      <c r="AB36" s="426">
        <v>175.07781350482313</v>
      </c>
      <c r="AC36" s="426">
        <v>175.07781350482313</v>
      </c>
      <c r="AD36" s="426">
        <v>175.07781350482313</v>
      </c>
      <c r="AE36" s="426">
        <v>175.07781350482313</v>
      </c>
      <c r="AF36" s="426">
        <v>175.07781350482313</v>
      </c>
      <c r="AG36" s="426">
        <v>175.07781350482313</v>
      </c>
      <c r="AH36" s="426">
        <v>0</v>
      </c>
      <c r="AI36" s="426">
        <v>0</v>
      </c>
      <c r="AJ36" s="426">
        <v>0</v>
      </c>
      <c r="AK36" s="426">
        <v>0</v>
      </c>
      <c r="AL36" s="426">
        <v>0</v>
      </c>
      <c r="AM36" s="427">
        <v>0</v>
      </c>
      <c r="AN36" s="427">
        <v>0</v>
      </c>
      <c r="AO36" s="427">
        <v>0</v>
      </c>
      <c r="AP36" s="427">
        <v>0</v>
      </c>
      <c r="AQ36" s="427">
        <v>1021547.3183279743</v>
      </c>
      <c r="AR36" s="427">
        <v>1021547.3183279743</v>
      </c>
      <c r="AS36" s="427">
        <v>1021547.3183279743</v>
      </c>
      <c r="AT36" s="427">
        <v>1021547.3183279743</v>
      </c>
      <c r="AU36" s="427">
        <v>1021547.3183279743</v>
      </c>
      <c r="AV36" s="427">
        <v>1021547.3183279743</v>
      </c>
      <c r="AW36" s="427">
        <v>1021547.3183279743</v>
      </c>
      <c r="AX36" s="427">
        <v>1021547.3183279743</v>
      </c>
      <c r="AY36" s="427">
        <v>1021547.3183279743</v>
      </c>
      <c r="AZ36" s="427">
        <v>1021547.3183279743</v>
      </c>
      <c r="BA36" s="427">
        <v>1021547.3183279743</v>
      </c>
      <c r="BB36" s="427">
        <v>1021547.3183279743</v>
      </c>
      <c r="BC36" s="427">
        <v>1021547.3183279743</v>
      </c>
      <c r="BD36" s="427">
        <v>1021547.3183279743</v>
      </c>
      <c r="BE36" s="427">
        <v>1021547.3183279743</v>
      </c>
      <c r="BF36" s="427">
        <v>1021547.3183279743</v>
      </c>
      <c r="BG36" s="427">
        <v>0</v>
      </c>
      <c r="BH36" s="427">
        <v>0</v>
      </c>
      <c r="BI36" s="427">
        <v>0</v>
      </c>
      <c r="BJ36" s="427">
        <v>0</v>
      </c>
      <c r="BK36" s="427">
        <v>0</v>
      </c>
      <c r="BL36" s="427">
        <v>0</v>
      </c>
      <c r="BM36" s="427">
        <v>0</v>
      </c>
      <c r="BN36" s="427">
        <v>0</v>
      </c>
      <c r="BO36" s="427">
        <v>0</v>
      </c>
      <c r="BP36" s="427">
        <v>0</v>
      </c>
      <c r="BQ36" s="427">
        <v>0</v>
      </c>
      <c r="BR36" s="427">
        <v>0</v>
      </c>
      <c r="BS36" s="427">
        <v>0</v>
      </c>
      <c r="BT36" s="427">
        <v>0</v>
      </c>
      <c r="BU36" s="427">
        <v>0</v>
      </c>
      <c r="BV36" s="427">
        <v>0</v>
      </c>
      <c r="BW36" s="427">
        <v>0</v>
      </c>
      <c r="BX36" s="427">
        <v>0</v>
      </c>
      <c r="BY36" s="427">
        <v>0</v>
      </c>
      <c r="BZ36" s="427">
        <v>0</v>
      </c>
      <c r="CA36" s="427">
        <v>0</v>
      </c>
      <c r="CB36" s="427">
        <v>0</v>
      </c>
      <c r="CC36" s="427">
        <v>0</v>
      </c>
      <c r="CD36" s="427">
        <v>0</v>
      </c>
      <c r="CE36" s="427">
        <v>0</v>
      </c>
      <c r="CF36" s="427">
        <v>0</v>
      </c>
      <c r="CG36" s="427">
        <v>0</v>
      </c>
      <c r="CH36" s="427">
        <v>0</v>
      </c>
      <c r="CI36" s="427">
        <v>0</v>
      </c>
      <c r="CJ36" s="427">
        <v>0</v>
      </c>
      <c r="CK36" s="428">
        <v>0</v>
      </c>
      <c r="CL36" s="428">
        <v>0</v>
      </c>
      <c r="CM36" s="428">
        <v>0</v>
      </c>
      <c r="CN36" s="428">
        <v>0</v>
      </c>
      <c r="CO36" s="428">
        <v>0</v>
      </c>
      <c r="CP36" s="428">
        <v>0</v>
      </c>
      <c r="CQ36" s="428">
        <v>0</v>
      </c>
      <c r="CR36" s="428">
        <v>0</v>
      </c>
      <c r="CS36" s="428">
        <v>0</v>
      </c>
      <c r="CT36" s="428">
        <v>0</v>
      </c>
      <c r="CU36" s="428">
        <v>0</v>
      </c>
      <c r="CV36" s="428">
        <v>0</v>
      </c>
      <c r="CW36" s="428">
        <v>0</v>
      </c>
      <c r="CX36" s="428"/>
      <c r="CY36" s="428"/>
      <c r="CZ36" s="428"/>
      <c r="DA36" s="428"/>
      <c r="DB36" s="428"/>
      <c r="DC36" s="428"/>
      <c r="DD36" s="428"/>
      <c r="DE36" s="428"/>
      <c r="DF36" s="428"/>
      <c r="DG36" s="428"/>
      <c r="DH36" s="428"/>
      <c r="DI36" s="428"/>
    </row>
    <row r="37" spans="1:113" s="388" customFormat="1">
      <c r="A37" s="421" t="s">
        <v>370</v>
      </c>
      <c r="B37" s="421" t="s">
        <v>12</v>
      </c>
      <c r="C37" s="421" t="s">
        <v>388</v>
      </c>
      <c r="D37" s="422" t="s">
        <v>376</v>
      </c>
      <c r="E37" s="422">
        <v>2019</v>
      </c>
      <c r="F37" s="423">
        <v>20.941999999999997</v>
      </c>
      <c r="G37" s="424">
        <v>121075.15853658537</v>
      </c>
      <c r="H37" s="422">
        <v>16</v>
      </c>
      <c r="I37" s="425">
        <v>0.65600000000000003</v>
      </c>
      <c r="J37" s="425">
        <v>0.65</v>
      </c>
      <c r="K37" s="422">
        <v>0</v>
      </c>
      <c r="L37" s="422">
        <v>0</v>
      </c>
      <c r="M37" s="422">
        <v>0</v>
      </c>
      <c r="N37" s="426">
        <v>14</v>
      </c>
      <c r="O37" s="426">
        <v>0</v>
      </c>
      <c r="P37" s="426">
        <v>0</v>
      </c>
      <c r="Q37" s="426">
        <v>0</v>
      </c>
      <c r="R37" s="426">
        <v>0</v>
      </c>
      <c r="S37" s="426">
        <v>204.2574490889603</v>
      </c>
      <c r="T37" s="426">
        <v>204.2574490889603</v>
      </c>
      <c r="U37" s="426">
        <v>204.2574490889603</v>
      </c>
      <c r="V37" s="426">
        <v>204.2574490889603</v>
      </c>
      <c r="W37" s="426">
        <v>204.2574490889603</v>
      </c>
      <c r="X37" s="426">
        <v>204.2574490889603</v>
      </c>
      <c r="Y37" s="426">
        <v>204.2574490889603</v>
      </c>
      <c r="Z37" s="426">
        <v>204.2574490889603</v>
      </c>
      <c r="AA37" s="426">
        <v>204.2574490889603</v>
      </c>
      <c r="AB37" s="426">
        <v>204.2574490889603</v>
      </c>
      <c r="AC37" s="426">
        <v>204.2574490889603</v>
      </c>
      <c r="AD37" s="426">
        <v>204.2574490889603</v>
      </c>
      <c r="AE37" s="426">
        <v>204.2574490889603</v>
      </c>
      <c r="AF37" s="426">
        <v>204.2574490889603</v>
      </c>
      <c r="AG37" s="426">
        <v>204.2574490889603</v>
      </c>
      <c r="AH37" s="426">
        <v>204.2574490889603</v>
      </c>
      <c r="AI37" s="426">
        <v>0</v>
      </c>
      <c r="AJ37" s="426">
        <v>0</v>
      </c>
      <c r="AK37" s="426">
        <v>0</v>
      </c>
      <c r="AL37" s="426">
        <v>0</v>
      </c>
      <c r="AM37" s="427">
        <v>0</v>
      </c>
      <c r="AN37" s="427">
        <v>0</v>
      </c>
      <c r="AO37" s="427">
        <v>0</v>
      </c>
      <c r="AP37" s="427">
        <v>0</v>
      </c>
      <c r="AQ37" s="427">
        <v>0</v>
      </c>
      <c r="AR37" s="427">
        <v>1191805.20471597</v>
      </c>
      <c r="AS37" s="427">
        <v>1191805.20471597</v>
      </c>
      <c r="AT37" s="427">
        <v>1191805.20471597</v>
      </c>
      <c r="AU37" s="427">
        <v>1191805.20471597</v>
      </c>
      <c r="AV37" s="427">
        <v>1191805.20471597</v>
      </c>
      <c r="AW37" s="427">
        <v>1191805.20471597</v>
      </c>
      <c r="AX37" s="427">
        <v>1191805.20471597</v>
      </c>
      <c r="AY37" s="427">
        <v>1191805.20471597</v>
      </c>
      <c r="AZ37" s="427">
        <v>1191805.20471597</v>
      </c>
      <c r="BA37" s="427">
        <v>1191805.20471597</v>
      </c>
      <c r="BB37" s="427">
        <v>1191805.20471597</v>
      </c>
      <c r="BC37" s="427">
        <v>1191805.20471597</v>
      </c>
      <c r="BD37" s="427">
        <v>1191805.20471597</v>
      </c>
      <c r="BE37" s="427">
        <v>1191805.20471597</v>
      </c>
      <c r="BF37" s="427">
        <v>1191805.20471597</v>
      </c>
      <c r="BG37" s="427">
        <v>1191805.20471597</v>
      </c>
      <c r="BH37" s="427">
        <v>0</v>
      </c>
      <c r="BI37" s="427">
        <v>0</v>
      </c>
      <c r="BJ37" s="427">
        <v>0</v>
      </c>
      <c r="BK37" s="427">
        <v>0</v>
      </c>
      <c r="BL37" s="427">
        <v>0</v>
      </c>
      <c r="BM37" s="427">
        <v>0</v>
      </c>
      <c r="BN37" s="427">
        <v>0</v>
      </c>
      <c r="BO37" s="427">
        <v>0</v>
      </c>
      <c r="BP37" s="427">
        <v>0</v>
      </c>
      <c r="BQ37" s="427">
        <v>0</v>
      </c>
      <c r="BR37" s="427">
        <v>0</v>
      </c>
      <c r="BS37" s="427">
        <v>0</v>
      </c>
      <c r="BT37" s="427">
        <v>0</v>
      </c>
      <c r="BU37" s="427">
        <v>0</v>
      </c>
      <c r="BV37" s="427">
        <v>0</v>
      </c>
      <c r="BW37" s="427">
        <v>0</v>
      </c>
      <c r="BX37" s="427">
        <v>0</v>
      </c>
      <c r="BY37" s="427">
        <v>0</v>
      </c>
      <c r="BZ37" s="427">
        <v>0</v>
      </c>
      <c r="CA37" s="427">
        <v>0</v>
      </c>
      <c r="CB37" s="427">
        <v>0</v>
      </c>
      <c r="CC37" s="427">
        <v>0</v>
      </c>
      <c r="CD37" s="427">
        <v>0</v>
      </c>
      <c r="CE37" s="427">
        <v>0</v>
      </c>
      <c r="CF37" s="427">
        <v>0</v>
      </c>
      <c r="CG37" s="427">
        <v>0</v>
      </c>
      <c r="CH37" s="427">
        <v>0</v>
      </c>
      <c r="CI37" s="427">
        <v>0</v>
      </c>
      <c r="CJ37" s="427">
        <v>0</v>
      </c>
      <c r="CK37" s="428">
        <v>0</v>
      </c>
      <c r="CL37" s="428">
        <v>0</v>
      </c>
      <c r="CM37" s="428">
        <v>0</v>
      </c>
      <c r="CN37" s="428">
        <v>0</v>
      </c>
      <c r="CO37" s="428">
        <v>0</v>
      </c>
      <c r="CP37" s="428">
        <v>0</v>
      </c>
      <c r="CQ37" s="428">
        <v>0</v>
      </c>
      <c r="CR37" s="428">
        <v>0</v>
      </c>
      <c r="CS37" s="428">
        <v>0</v>
      </c>
      <c r="CT37" s="428">
        <v>0</v>
      </c>
      <c r="CU37" s="428">
        <v>0</v>
      </c>
      <c r="CV37" s="428">
        <v>0</v>
      </c>
      <c r="CW37" s="428">
        <v>0</v>
      </c>
      <c r="CX37" s="428"/>
      <c r="CY37" s="428"/>
      <c r="CZ37" s="428"/>
      <c r="DA37" s="428"/>
      <c r="DB37" s="428"/>
      <c r="DC37" s="428"/>
      <c r="DD37" s="428"/>
      <c r="DE37" s="428"/>
      <c r="DF37" s="428"/>
      <c r="DG37" s="428"/>
      <c r="DH37" s="428"/>
      <c r="DI37" s="428"/>
    </row>
    <row r="38" spans="1:113" s="388" customFormat="1">
      <c r="A38" s="421" t="s">
        <v>370</v>
      </c>
      <c r="B38" s="421" t="s">
        <v>12</v>
      </c>
      <c r="C38" s="421" t="s">
        <v>388</v>
      </c>
      <c r="D38" s="422" t="s">
        <v>376</v>
      </c>
      <c r="E38" s="422">
        <v>2020</v>
      </c>
      <c r="F38" s="423">
        <v>20.941999999999997</v>
      </c>
      <c r="G38" s="424">
        <v>121075.15853658537</v>
      </c>
      <c r="H38" s="422">
        <v>16</v>
      </c>
      <c r="I38" s="425">
        <v>0.65600000000000003</v>
      </c>
      <c r="J38" s="425">
        <v>0.65</v>
      </c>
      <c r="K38" s="422">
        <v>0</v>
      </c>
      <c r="L38" s="422">
        <v>0</v>
      </c>
      <c r="M38" s="422">
        <v>0</v>
      </c>
      <c r="N38" s="426">
        <v>16</v>
      </c>
      <c r="O38" s="426">
        <v>0</v>
      </c>
      <c r="P38" s="426">
        <v>0</v>
      </c>
      <c r="Q38" s="426">
        <v>0</v>
      </c>
      <c r="R38" s="426">
        <v>0</v>
      </c>
      <c r="S38" s="426">
        <v>0</v>
      </c>
      <c r="T38" s="426">
        <v>233.4370846730975</v>
      </c>
      <c r="U38" s="426">
        <v>233.4370846730975</v>
      </c>
      <c r="V38" s="426">
        <v>233.4370846730975</v>
      </c>
      <c r="W38" s="426">
        <v>233.4370846730975</v>
      </c>
      <c r="X38" s="426">
        <v>233.4370846730975</v>
      </c>
      <c r="Y38" s="426">
        <v>233.4370846730975</v>
      </c>
      <c r="Z38" s="426">
        <v>233.4370846730975</v>
      </c>
      <c r="AA38" s="426">
        <v>233.4370846730975</v>
      </c>
      <c r="AB38" s="426">
        <v>233.4370846730975</v>
      </c>
      <c r="AC38" s="426">
        <v>233.4370846730975</v>
      </c>
      <c r="AD38" s="426">
        <v>233.4370846730975</v>
      </c>
      <c r="AE38" s="426">
        <v>233.4370846730975</v>
      </c>
      <c r="AF38" s="426">
        <v>233.4370846730975</v>
      </c>
      <c r="AG38" s="426">
        <v>233.4370846730975</v>
      </c>
      <c r="AH38" s="426">
        <v>233.4370846730975</v>
      </c>
      <c r="AI38" s="426">
        <v>233.4370846730975</v>
      </c>
      <c r="AJ38" s="426">
        <v>0</v>
      </c>
      <c r="AK38" s="426">
        <v>0</v>
      </c>
      <c r="AL38" s="426">
        <v>0</v>
      </c>
      <c r="AM38" s="427">
        <v>0</v>
      </c>
      <c r="AN38" s="427">
        <v>0</v>
      </c>
      <c r="AO38" s="427">
        <v>0</v>
      </c>
      <c r="AP38" s="427">
        <v>0</v>
      </c>
      <c r="AQ38" s="427">
        <v>0</v>
      </c>
      <c r="AR38" s="427">
        <v>0</v>
      </c>
      <c r="AS38" s="427">
        <v>1362063.0911039659</v>
      </c>
      <c r="AT38" s="427">
        <v>1362063.0911039659</v>
      </c>
      <c r="AU38" s="427">
        <v>1362063.0911039659</v>
      </c>
      <c r="AV38" s="427">
        <v>1362063.0911039659</v>
      </c>
      <c r="AW38" s="427">
        <v>1362063.0911039659</v>
      </c>
      <c r="AX38" s="427">
        <v>1362063.0911039659</v>
      </c>
      <c r="AY38" s="427">
        <v>1362063.0911039659</v>
      </c>
      <c r="AZ38" s="427">
        <v>1362063.0911039659</v>
      </c>
      <c r="BA38" s="427">
        <v>1362063.0911039659</v>
      </c>
      <c r="BB38" s="427">
        <v>1362063.0911039659</v>
      </c>
      <c r="BC38" s="427">
        <v>1362063.0911039659</v>
      </c>
      <c r="BD38" s="427">
        <v>1362063.0911039659</v>
      </c>
      <c r="BE38" s="427">
        <v>1362063.0911039659</v>
      </c>
      <c r="BF38" s="427">
        <v>1362063.0911039659</v>
      </c>
      <c r="BG38" s="427">
        <v>1362063.0911039659</v>
      </c>
      <c r="BH38" s="427">
        <v>1362063.0911039659</v>
      </c>
      <c r="BI38" s="427">
        <v>0</v>
      </c>
      <c r="BJ38" s="427">
        <v>0</v>
      </c>
      <c r="BK38" s="427">
        <v>0</v>
      </c>
      <c r="BL38" s="427">
        <v>0</v>
      </c>
      <c r="BM38" s="427">
        <v>0</v>
      </c>
      <c r="BN38" s="427">
        <v>0</v>
      </c>
      <c r="BO38" s="427">
        <v>0</v>
      </c>
      <c r="BP38" s="427">
        <v>0</v>
      </c>
      <c r="BQ38" s="427">
        <v>0</v>
      </c>
      <c r="BR38" s="427">
        <v>0</v>
      </c>
      <c r="BS38" s="427">
        <v>0</v>
      </c>
      <c r="BT38" s="427">
        <v>0</v>
      </c>
      <c r="BU38" s="427">
        <v>0</v>
      </c>
      <c r="BV38" s="427">
        <v>0</v>
      </c>
      <c r="BW38" s="427">
        <v>0</v>
      </c>
      <c r="BX38" s="427">
        <v>0</v>
      </c>
      <c r="BY38" s="427">
        <v>0</v>
      </c>
      <c r="BZ38" s="427">
        <v>0</v>
      </c>
      <c r="CA38" s="427">
        <v>0</v>
      </c>
      <c r="CB38" s="427">
        <v>0</v>
      </c>
      <c r="CC38" s="427">
        <v>0</v>
      </c>
      <c r="CD38" s="427">
        <v>0</v>
      </c>
      <c r="CE38" s="427">
        <v>0</v>
      </c>
      <c r="CF38" s="427">
        <v>0</v>
      </c>
      <c r="CG38" s="427">
        <v>0</v>
      </c>
      <c r="CH38" s="427">
        <v>0</v>
      </c>
      <c r="CI38" s="427">
        <v>0</v>
      </c>
      <c r="CJ38" s="427">
        <v>0</v>
      </c>
      <c r="CK38" s="428">
        <v>0</v>
      </c>
      <c r="CL38" s="428">
        <v>0</v>
      </c>
      <c r="CM38" s="428">
        <v>0</v>
      </c>
      <c r="CN38" s="428">
        <v>0</v>
      </c>
      <c r="CO38" s="428">
        <v>0</v>
      </c>
      <c r="CP38" s="428">
        <v>0</v>
      </c>
      <c r="CQ38" s="428">
        <v>0</v>
      </c>
      <c r="CR38" s="428">
        <v>0</v>
      </c>
      <c r="CS38" s="428">
        <v>0</v>
      </c>
      <c r="CT38" s="428">
        <v>0</v>
      </c>
      <c r="CU38" s="428">
        <v>0</v>
      </c>
      <c r="CV38" s="428">
        <v>0</v>
      </c>
      <c r="CW38" s="428">
        <v>0</v>
      </c>
      <c r="CX38" s="428"/>
      <c r="CY38" s="428"/>
      <c r="CZ38" s="428"/>
      <c r="DA38" s="428"/>
      <c r="DB38" s="428"/>
      <c r="DC38" s="428"/>
      <c r="DD38" s="428"/>
      <c r="DE38" s="428"/>
      <c r="DF38" s="428"/>
      <c r="DG38" s="428"/>
      <c r="DH38" s="428"/>
      <c r="DI38" s="428"/>
    </row>
    <row r="39" spans="1:113" s="388" customFormat="1">
      <c r="A39" s="421" t="s">
        <v>370</v>
      </c>
      <c r="B39" s="421" t="s">
        <v>241</v>
      </c>
      <c r="C39" s="421" t="s">
        <v>391</v>
      </c>
      <c r="D39" s="422" t="s">
        <v>376</v>
      </c>
      <c r="E39" s="422">
        <v>2015</v>
      </c>
      <c r="F39" s="423">
        <v>0.83528513065971444</v>
      </c>
      <c r="G39" s="424">
        <v>147.29700000001503</v>
      </c>
      <c r="H39" s="422">
        <v>18</v>
      </c>
      <c r="I39" s="425">
        <v>0.51364279715878636</v>
      </c>
      <c r="J39" s="425">
        <v>0.51364279715878636</v>
      </c>
      <c r="K39" s="422">
        <v>0</v>
      </c>
      <c r="L39" s="422">
        <v>0</v>
      </c>
      <c r="M39" s="422">
        <v>0</v>
      </c>
      <c r="N39" s="426">
        <v>50</v>
      </c>
      <c r="O39" s="426">
        <v>22.992400371768387</v>
      </c>
      <c r="P39" s="426">
        <v>22.992400371768387</v>
      </c>
      <c r="Q39" s="426">
        <v>22.992400371768387</v>
      </c>
      <c r="R39" s="426">
        <v>22.992400371768387</v>
      </c>
      <c r="S39" s="426">
        <v>22.992400371768387</v>
      </c>
      <c r="T39" s="426">
        <v>22.992400371768387</v>
      </c>
      <c r="U39" s="426">
        <v>22.992400371768387</v>
      </c>
      <c r="V39" s="426">
        <v>22.992400371768387</v>
      </c>
      <c r="W39" s="426">
        <v>22.992400371768387</v>
      </c>
      <c r="X39" s="426">
        <v>22.992400371768387</v>
      </c>
      <c r="Y39" s="426">
        <v>22.992400371768387</v>
      </c>
      <c r="Z39" s="426">
        <v>22.992400371768387</v>
      </c>
      <c r="AA39" s="426">
        <v>22.992400371768387</v>
      </c>
      <c r="AB39" s="426">
        <v>22.992400371768387</v>
      </c>
      <c r="AC39" s="426">
        <v>22.992400371768387</v>
      </c>
      <c r="AD39" s="426">
        <v>22.992400371768387</v>
      </c>
      <c r="AE39" s="426">
        <v>22.992400371768387</v>
      </c>
      <c r="AF39" s="426">
        <v>22.992400371768387</v>
      </c>
      <c r="AG39" s="426">
        <v>0</v>
      </c>
      <c r="AH39" s="426">
        <v>0</v>
      </c>
      <c r="AI39" s="426">
        <v>0</v>
      </c>
      <c r="AJ39" s="426">
        <v>0</v>
      </c>
      <c r="AK39" s="426">
        <v>0</v>
      </c>
      <c r="AL39" s="426">
        <v>0</v>
      </c>
      <c r="AM39" s="427">
        <v>0</v>
      </c>
      <c r="AN39" s="427">
        <v>4054.5575076691039</v>
      </c>
      <c r="AO39" s="427">
        <v>4054.5575076691039</v>
      </c>
      <c r="AP39" s="427">
        <v>4054.5575076691039</v>
      </c>
      <c r="AQ39" s="427">
        <v>4054.5575076691039</v>
      </c>
      <c r="AR39" s="427">
        <v>4054.5575076691039</v>
      </c>
      <c r="AS39" s="427">
        <v>4054.5575076691039</v>
      </c>
      <c r="AT39" s="427">
        <v>4054.5575076691039</v>
      </c>
      <c r="AU39" s="427">
        <v>4054.5575076691039</v>
      </c>
      <c r="AV39" s="427">
        <v>4054.5575076691039</v>
      </c>
      <c r="AW39" s="427">
        <v>4054.5575076691039</v>
      </c>
      <c r="AX39" s="427">
        <v>4054.5575076691039</v>
      </c>
      <c r="AY39" s="427">
        <v>4054.5575076691039</v>
      </c>
      <c r="AZ39" s="427">
        <v>4054.5575076691039</v>
      </c>
      <c r="BA39" s="427">
        <v>4054.5575076691039</v>
      </c>
      <c r="BB39" s="427">
        <v>4054.5575076691039</v>
      </c>
      <c r="BC39" s="427">
        <v>4054.5575076691039</v>
      </c>
      <c r="BD39" s="427">
        <v>4054.5575076691039</v>
      </c>
      <c r="BE39" s="427">
        <v>4054.5575076691039</v>
      </c>
      <c r="BF39" s="427">
        <v>0</v>
      </c>
      <c r="BG39" s="427">
        <v>0</v>
      </c>
      <c r="BH39" s="427">
        <v>0</v>
      </c>
      <c r="BI39" s="427">
        <v>0</v>
      </c>
      <c r="BJ39" s="427">
        <v>0</v>
      </c>
      <c r="BK39" s="427">
        <v>0</v>
      </c>
      <c r="BL39" s="427">
        <v>0</v>
      </c>
      <c r="BM39" s="427">
        <v>0</v>
      </c>
      <c r="BN39" s="427">
        <v>0</v>
      </c>
      <c r="BO39" s="427">
        <v>0</v>
      </c>
      <c r="BP39" s="427">
        <v>0</v>
      </c>
      <c r="BQ39" s="427">
        <v>0</v>
      </c>
      <c r="BR39" s="427">
        <v>0</v>
      </c>
      <c r="BS39" s="427">
        <v>0</v>
      </c>
      <c r="BT39" s="427">
        <v>0</v>
      </c>
      <c r="BU39" s="427">
        <v>0</v>
      </c>
      <c r="BV39" s="427">
        <v>0</v>
      </c>
      <c r="BW39" s="427">
        <v>0</v>
      </c>
      <c r="BX39" s="427">
        <v>0</v>
      </c>
      <c r="BY39" s="427">
        <v>0</v>
      </c>
      <c r="BZ39" s="427">
        <v>0</v>
      </c>
      <c r="CA39" s="427">
        <v>0</v>
      </c>
      <c r="CB39" s="427">
        <v>0</v>
      </c>
      <c r="CC39" s="427">
        <v>0</v>
      </c>
      <c r="CD39" s="427">
        <v>0</v>
      </c>
      <c r="CE39" s="427">
        <v>0</v>
      </c>
      <c r="CF39" s="427">
        <v>0</v>
      </c>
      <c r="CG39" s="427">
        <v>0</v>
      </c>
      <c r="CH39" s="427">
        <v>0</v>
      </c>
      <c r="CI39" s="427">
        <v>0</v>
      </c>
      <c r="CJ39" s="427">
        <v>0</v>
      </c>
      <c r="CK39" s="428">
        <v>0</v>
      </c>
      <c r="CL39" s="428">
        <v>0</v>
      </c>
      <c r="CM39" s="428">
        <v>0</v>
      </c>
      <c r="CN39" s="428">
        <v>0</v>
      </c>
      <c r="CO39" s="428">
        <v>0</v>
      </c>
      <c r="CP39" s="428">
        <v>0</v>
      </c>
      <c r="CQ39" s="428">
        <v>0</v>
      </c>
      <c r="CR39" s="428">
        <v>0</v>
      </c>
      <c r="CS39" s="428">
        <v>0</v>
      </c>
      <c r="CT39" s="428">
        <v>0</v>
      </c>
      <c r="CU39" s="428">
        <v>0</v>
      </c>
      <c r="CV39" s="428">
        <v>0</v>
      </c>
      <c r="CW39" s="428">
        <v>0</v>
      </c>
      <c r="CX39" s="428"/>
      <c r="CY39" s="428"/>
      <c r="CZ39" s="428"/>
      <c r="DA39" s="428"/>
      <c r="DB39" s="428"/>
      <c r="DC39" s="428"/>
      <c r="DD39" s="428"/>
      <c r="DE39" s="428"/>
      <c r="DF39" s="428"/>
      <c r="DG39" s="428"/>
      <c r="DH39" s="428"/>
      <c r="DI39" s="428"/>
    </row>
    <row r="40" spans="1:113" s="388" customFormat="1">
      <c r="A40" s="421" t="s">
        <v>370</v>
      </c>
      <c r="B40" s="421" t="s">
        <v>241</v>
      </c>
      <c r="C40" s="421" t="s">
        <v>391</v>
      </c>
      <c r="D40" s="422" t="s">
        <v>376</v>
      </c>
      <c r="E40" s="422">
        <v>2016</v>
      </c>
      <c r="F40" s="423">
        <v>0.83528513065971444</v>
      </c>
      <c r="G40" s="424">
        <v>147.29700000001503</v>
      </c>
      <c r="H40" s="422">
        <v>18</v>
      </c>
      <c r="I40" s="425">
        <v>0.51364279715878636</v>
      </c>
      <c r="J40" s="425">
        <v>0.51364279715878636</v>
      </c>
      <c r="K40" s="422">
        <v>0</v>
      </c>
      <c r="L40" s="422">
        <v>0</v>
      </c>
      <c r="M40" s="422">
        <v>0</v>
      </c>
      <c r="N40" s="426">
        <v>10</v>
      </c>
      <c r="O40" s="426">
        <v>0</v>
      </c>
      <c r="P40" s="426">
        <v>4.5984800743536765</v>
      </c>
      <c r="Q40" s="426">
        <v>4.5984800743536765</v>
      </c>
      <c r="R40" s="426">
        <v>4.5984800743536765</v>
      </c>
      <c r="S40" s="426">
        <v>4.5984800743536765</v>
      </c>
      <c r="T40" s="426">
        <v>4.5984800743536765</v>
      </c>
      <c r="U40" s="426">
        <v>4.5984800743536765</v>
      </c>
      <c r="V40" s="426">
        <v>4.5984800743536765</v>
      </c>
      <c r="W40" s="426">
        <v>4.5984800743536765</v>
      </c>
      <c r="X40" s="426">
        <v>4.5984800743536765</v>
      </c>
      <c r="Y40" s="426">
        <v>4.5984800743536765</v>
      </c>
      <c r="Z40" s="426">
        <v>4.5984800743536765</v>
      </c>
      <c r="AA40" s="426">
        <v>4.5984800743536765</v>
      </c>
      <c r="AB40" s="426">
        <v>4.5984800743536765</v>
      </c>
      <c r="AC40" s="426">
        <v>4.5984800743536765</v>
      </c>
      <c r="AD40" s="426">
        <v>4.5984800743536765</v>
      </c>
      <c r="AE40" s="426">
        <v>4.5984800743536765</v>
      </c>
      <c r="AF40" s="426">
        <v>4.5984800743536765</v>
      </c>
      <c r="AG40" s="426">
        <v>4.5984800743536765</v>
      </c>
      <c r="AH40" s="426">
        <v>0</v>
      </c>
      <c r="AI40" s="426">
        <v>0</v>
      </c>
      <c r="AJ40" s="426">
        <v>0</v>
      </c>
      <c r="AK40" s="426">
        <v>0</v>
      </c>
      <c r="AL40" s="426">
        <v>0</v>
      </c>
      <c r="AM40" s="427">
        <v>0</v>
      </c>
      <c r="AN40" s="427">
        <v>0</v>
      </c>
      <c r="AO40" s="427">
        <v>810.91150153382068</v>
      </c>
      <c r="AP40" s="427">
        <v>810.91150153382068</v>
      </c>
      <c r="AQ40" s="427">
        <v>810.91150153382068</v>
      </c>
      <c r="AR40" s="427">
        <v>810.91150153382068</v>
      </c>
      <c r="AS40" s="427">
        <v>810.91150153382068</v>
      </c>
      <c r="AT40" s="427">
        <v>810.91150153382068</v>
      </c>
      <c r="AU40" s="427">
        <v>810.91150153382068</v>
      </c>
      <c r="AV40" s="427">
        <v>810.91150153382068</v>
      </c>
      <c r="AW40" s="427">
        <v>810.91150153382068</v>
      </c>
      <c r="AX40" s="427">
        <v>810.91150153382068</v>
      </c>
      <c r="AY40" s="427">
        <v>810.91150153382068</v>
      </c>
      <c r="AZ40" s="427">
        <v>810.91150153382068</v>
      </c>
      <c r="BA40" s="427">
        <v>810.91150153382068</v>
      </c>
      <c r="BB40" s="427">
        <v>810.91150153382068</v>
      </c>
      <c r="BC40" s="427">
        <v>810.91150153382068</v>
      </c>
      <c r="BD40" s="427">
        <v>810.91150153382068</v>
      </c>
      <c r="BE40" s="427">
        <v>810.91150153382068</v>
      </c>
      <c r="BF40" s="427">
        <v>810.91150153382068</v>
      </c>
      <c r="BG40" s="427">
        <v>0</v>
      </c>
      <c r="BH40" s="427">
        <v>0</v>
      </c>
      <c r="BI40" s="427">
        <v>0</v>
      </c>
      <c r="BJ40" s="427">
        <v>0</v>
      </c>
      <c r="BK40" s="427">
        <v>0</v>
      </c>
      <c r="BL40" s="427">
        <v>0</v>
      </c>
      <c r="BM40" s="427">
        <v>0</v>
      </c>
      <c r="BN40" s="427">
        <v>0</v>
      </c>
      <c r="BO40" s="427">
        <v>0</v>
      </c>
      <c r="BP40" s="427">
        <v>0</v>
      </c>
      <c r="BQ40" s="427">
        <v>0</v>
      </c>
      <c r="BR40" s="427">
        <v>0</v>
      </c>
      <c r="BS40" s="427">
        <v>0</v>
      </c>
      <c r="BT40" s="427">
        <v>0</v>
      </c>
      <c r="BU40" s="427">
        <v>0</v>
      </c>
      <c r="BV40" s="427">
        <v>0</v>
      </c>
      <c r="BW40" s="427">
        <v>0</v>
      </c>
      <c r="BX40" s="427">
        <v>0</v>
      </c>
      <c r="BY40" s="427">
        <v>0</v>
      </c>
      <c r="BZ40" s="427">
        <v>0</v>
      </c>
      <c r="CA40" s="427">
        <v>0</v>
      </c>
      <c r="CB40" s="427">
        <v>0</v>
      </c>
      <c r="CC40" s="427">
        <v>0</v>
      </c>
      <c r="CD40" s="427">
        <v>0</v>
      </c>
      <c r="CE40" s="427">
        <v>0</v>
      </c>
      <c r="CF40" s="427">
        <v>0</v>
      </c>
      <c r="CG40" s="427">
        <v>0</v>
      </c>
      <c r="CH40" s="427">
        <v>0</v>
      </c>
      <c r="CI40" s="427">
        <v>0</v>
      </c>
      <c r="CJ40" s="427">
        <v>0</v>
      </c>
      <c r="CK40" s="428">
        <v>0</v>
      </c>
      <c r="CL40" s="428">
        <v>0</v>
      </c>
      <c r="CM40" s="428">
        <v>0</v>
      </c>
      <c r="CN40" s="428">
        <v>0</v>
      </c>
      <c r="CO40" s="428">
        <v>0</v>
      </c>
      <c r="CP40" s="428">
        <v>0</v>
      </c>
      <c r="CQ40" s="428">
        <v>0</v>
      </c>
      <c r="CR40" s="428">
        <v>0</v>
      </c>
      <c r="CS40" s="428">
        <v>0</v>
      </c>
      <c r="CT40" s="428">
        <v>0</v>
      </c>
      <c r="CU40" s="428">
        <v>0</v>
      </c>
      <c r="CV40" s="428">
        <v>0</v>
      </c>
      <c r="CW40" s="428">
        <v>0</v>
      </c>
      <c r="CX40" s="428"/>
      <c r="CY40" s="428"/>
      <c r="CZ40" s="428"/>
      <c r="DA40" s="428"/>
      <c r="DB40" s="428"/>
      <c r="DC40" s="428"/>
      <c r="DD40" s="428"/>
      <c r="DE40" s="428"/>
      <c r="DF40" s="428"/>
      <c r="DG40" s="428"/>
      <c r="DH40" s="428"/>
      <c r="DI40" s="428"/>
    </row>
    <row r="41" spans="1:113" s="388" customFormat="1">
      <c r="A41" s="421" t="s">
        <v>370</v>
      </c>
      <c r="B41" s="421" t="s">
        <v>241</v>
      </c>
      <c r="C41" s="421" t="s">
        <v>391</v>
      </c>
      <c r="D41" s="422" t="s">
        <v>376</v>
      </c>
      <c r="E41" s="422">
        <v>2017</v>
      </c>
      <c r="F41" s="423">
        <v>0.83528513065971444</v>
      </c>
      <c r="G41" s="424">
        <v>147.29700000001503</v>
      </c>
      <c r="H41" s="422">
        <v>18</v>
      </c>
      <c r="I41" s="425">
        <v>0.51364279715878636</v>
      </c>
      <c r="J41" s="425">
        <v>0.51364279715878636</v>
      </c>
      <c r="K41" s="422">
        <v>0</v>
      </c>
      <c r="L41" s="422">
        <v>0</v>
      </c>
      <c r="M41" s="422">
        <v>0</v>
      </c>
      <c r="N41" s="426">
        <v>10</v>
      </c>
      <c r="O41" s="426">
        <v>0</v>
      </c>
      <c r="P41" s="426">
        <v>0</v>
      </c>
      <c r="Q41" s="426">
        <v>4.5984800743536765</v>
      </c>
      <c r="R41" s="426">
        <v>4.5984800743536765</v>
      </c>
      <c r="S41" s="426">
        <v>4.5984800743536765</v>
      </c>
      <c r="T41" s="426">
        <v>4.5984800743536765</v>
      </c>
      <c r="U41" s="426">
        <v>4.5984800743536765</v>
      </c>
      <c r="V41" s="426">
        <v>4.5984800743536765</v>
      </c>
      <c r="W41" s="426">
        <v>4.5984800743536765</v>
      </c>
      <c r="X41" s="426">
        <v>4.5984800743536765</v>
      </c>
      <c r="Y41" s="426">
        <v>4.5984800743536765</v>
      </c>
      <c r="Z41" s="426">
        <v>4.5984800743536765</v>
      </c>
      <c r="AA41" s="426">
        <v>4.5984800743536765</v>
      </c>
      <c r="AB41" s="426">
        <v>4.5984800743536765</v>
      </c>
      <c r="AC41" s="426">
        <v>4.5984800743536765</v>
      </c>
      <c r="AD41" s="426">
        <v>4.5984800743536765</v>
      </c>
      <c r="AE41" s="426">
        <v>4.5984800743536765</v>
      </c>
      <c r="AF41" s="426">
        <v>4.5984800743536765</v>
      </c>
      <c r="AG41" s="426">
        <v>4.5984800743536765</v>
      </c>
      <c r="AH41" s="426">
        <v>4.5984800743536765</v>
      </c>
      <c r="AI41" s="426">
        <v>0</v>
      </c>
      <c r="AJ41" s="426">
        <v>0</v>
      </c>
      <c r="AK41" s="426">
        <v>0</v>
      </c>
      <c r="AL41" s="426">
        <v>0</v>
      </c>
      <c r="AM41" s="427">
        <v>0</v>
      </c>
      <c r="AN41" s="427">
        <v>0</v>
      </c>
      <c r="AO41" s="427">
        <v>0</v>
      </c>
      <c r="AP41" s="427">
        <v>810.91150153382068</v>
      </c>
      <c r="AQ41" s="427">
        <v>810.91150153382068</v>
      </c>
      <c r="AR41" s="427">
        <v>810.91150153382068</v>
      </c>
      <c r="AS41" s="427">
        <v>810.91150153382068</v>
      </c>
      <c r="AT41" s="427">
        <v>810.91150153382068</v>
      </c>
      <c r="AU41" s="427">
        <v>810.91150153382068</v>
      </c>
      <c r="AV41" s="427">
        <v>810.91150153382068</v>
      </c>
      <c r="AW41" s="427">
        <v>810.91150153382068</v>
      </c>
      <c r="AX41" s="427">
        <v>810.91150153382068</v>
      </c>
      <c r="AY41" s="427">
        <v>810.91150153382068</v>
      </c>
      <c r="AZ41" s="427">
        <v>810.91150153382068</v>
      </c>
      <c r="BA41" s="427">
        <v>810.91150153382068</v>
      </c>
      <c r="BB41" s="427">
        <v>810.91150153382068</v>
      </c>
      <c r="BC41" s="427">
        <v>810.91150153382068</v>
      </c>
      <c r="BD41" s="427">
        <v>810.91150153382068</v>
      </c>
      <c r="BE41" s="427">
        <v>810.91150153382068</v>
      </c>
      <c r="BF41" s="427">
        <v>810.91150153382068</v>
      </c>
      <c r="BG41" s="427">
        <v>810.91150153382068</v>
      </c>
      <c r="BH41" s="427">
        <v>0</v>
      </c>
      <c r="BI41" s="427">
        <v>0</v>
      </c>
      <c r="BJ41" s="427">
        <v>0</v>
      </c>
      <c r="BK41" s="427">
        <v>0</v>
      </c>
      <c r="BL41" s="427">
        <v>0</v>
      </c>
      <c r="BM41" s="427">
        <v>0</v>
      </c>
      <c r="BN41" s="427">
        <v>0</v>
      </c>
      <c r="BO41" s="427">
        <v>0</v>
      </c>
      <c r="BP41" s="427">
        <v>0</v>
      </c>
      <c r="BQ41" s="427">
        <v>0</v>
      </c>
      <c r="BR41" s="427">
        <v>0</v>
      </c>
      <c r="BS41" s="427">
        <v>0</v>
      </c>
      <c r="BT41" s="427">
        <v>0</v>
      </c>
      <c r="BU41" s="427">
        <v>0</v>
      </c>
      <c r="BV41" s="427">
        <v>0</v>
      </c>
      <c r="BW41" s="427">
        <v>0</v>
      </c>
      <c r="BX41" s="427">
        <v>0</v>
      </c>
      <c r="BY41" s="427">
        <v>0</v>
      </c>
      <c r="BZ41" s="427">
        <v>0</v>
      </c>
      <c r="CA41" s="427">
        <v>0</v>
      </c>
      <c r="CB41" s="427">
        <v>0</v>
      </c>
      <c r="CC41" s="427">
        <v>0</v>
      </c>
      <c r="CD41" s="427">
        <v>0</v>
      </c>
      <c r="CE41" s="427">
        <v>0</v>
      </c>
      <c r="CF41" s="427">
        <v>0</v>
      </c>
      <c r="CG41" s="427">
        <v>0</v>
      </c>
      <c r="CH41" s="427">
        <v>0</v>
      </c>
      <c r="CI41" s="427">
        <v>0</v>
      </c>
      <c r="CJ41" s="427">
        <v>0</v>
      </c>
      <c r="CK41" s="428">
        <v>0</v>
      </c>
      <c r="CL41" s="428">
        <v>0</v>
      </c>
      <c r="CM41" s="428">
        <v>0</v>
      </c>
      <c r="CN41" s="428">
        <v>0</v>
      </c>
      <c r="CO41" s="428">
        <v>0</v>
      </c>
      <c r="CP41" s="428">
        <v>0</v>
      </c>
      <c r="CQ41" s="428">
        <v>0</v>
      </c>
      <c r="CR41" s="428">
        <v>0</v>
      </c>
      <c r="CS41" s="428">
        <v>0</v>
      </c>
      <c r="CT41" s="428">
        <v>0</v>
      </c>
      <c r="CU41" s="428">
        <v>0</v>
      </c>
      <c r="CV41" s="428">
        <v>0</v>
      </c>
      <c r="CW41" s="428">
        <v>0</v>
      </c>
      <c r="CX41" s="428"/>
      <c r="CY41" s="428"/>
      <c r="CZ41" s="428"/>
      <c r="DA41" s="428"/>
      <c r="DB41" s="428"/>
      <c r="DC41" s="428"/>
      <c r="DD41" s="428"/>
      <c r="DE41" s="428"/>
      <c r="DF41" s="428"/>
      <c r="DG41" s="428"/>
      <c r="DH41" s="428"/>
      <c r="DI41" s="428"/>
    </row>
    <row r="42" spans="1:113" s="388" customFormat="1">
      <c r="A42" s="421" t="s">
        <v>370</v>
      </c>
      <c r="B42" s="421" t="s">
        <v>241</v>
      </c>
      <c r="C42" s="421" t="s">
        <v>391</v>
      </c>
      <c r="D42" s="422" t="s">
        <v>376</v>
      </c>
      <c r="E42" s="422">
        <v>2018</v>
      </c>
      <c r="F42" s="423">
        <v>0.83528513065971444</v>
      </c>
      <c r="G42" s="424">
        <v>147.29700000001503</v>
      </c>
      <c r="H42" s="422">
        <v>18</v>
      </c>
      <c r="I42" s="425">
        <v>0.51364279715878636</v>
      </c>
      <c r="J42" s="425">
        <v>0.51364279715878636</v>
      </c>
      <c r="K42" s="422">
        <v>0</v>
      </c>
      <c r="L42" s="422">
        <v>0</v>
      </c>
      <c r="M42" s="422">
        <v>0</v>
      </c>
      <c r="N42" s="426">
        <v>10</v>
      </c>
      <c r="O42" s="426">
        <v>0</v>
      </c>
      <c r="P42" s="426">
        <v>0</v>
      </c>
      <c r="Q42" s="426">
        <v>0</v>
      </c>
      <c r="R42" s="426">
        <v>4.5984800743536765</v>
      </c>
      <c r="S42" s="426">
        <v>4.5984800743536765</v>
      </c>
      <c r="T42" s="426">
        <v>4.5984800743536765</v>
      </c>
      <c r="U42" s="426">
        <v>4.5984800743536765</v>
      </c>
      <c r="V42" s="426">
        <v>4.5984800743536765</v>
      </c>
      <c r="W42" s="426">
        <v>4.5984800743536765</v>
      </c>
      <c r="X42" s="426">
        <v>4.5984800743536765</v>
      </c>
      <c r="Y42" s="426">
        <v>4.5984800743536765</v>
      </c>
      <c r="Z42" s="426">
        <v>4.5984800743536765</v>
      </c>
      <c r="AA42" s="426">
        <v>4.5984800743536765</v>
      </c>
      <c r="AB42" s="426">
        <v>4.5984800743536765</v>
      </c>
      <c r="AC42" s="426">
        <v>4.5984800743536765</v>
      </c>
      <c r="AD42" s="426">
        <v>4.5984800743536765</v>
      </c>
      <c r="AE42" s="426">
        <v>4.5984800743536765</v>
      </c>
      <c r="AF42" s="426">
        <v>4.5984800743536765</v>
      </c>
      <c r="AG42" s="426">
        <v>4.5984800743536765</v>
      </c>
      <c r="AH42" s="426">
        <v>4.5984800743536765</v>
      </c>
      <c r="AI42" s="426">
        <v>4.5984800743536765</v>
      </c>
      <c r="AJ42" s="426">
        <v>0</v>
      </c>
      <c r="AK42" s="426">
        <v>0</v>
      </c>
      <c r="AL42" s="426">
        <v>0</v>
      </c>
      <c r="AM42" s="427">
        <v>0</v>
      </c>
      <c r="AN42" s="427">
        <v>0</v>
      </c>
      <c r="AO42" s="427">
        <v>0</v>
      </c>
      <c r="AP42" s="427">
        <v>0</v>
      </c>
      <c r="AQ42" s="427">
        <v>810.91150153382068</v>
      </c>
      <c r="AR42" s="427">
        <v>810.91150153382068</v>
      </c>
      <c r="AS42" s="427">
        <v>810.91150153382068</v>
      </c>
      <c r="AT42" s="427">
        <v>810.91150153382068</v>
      </c>
      <c r="AU42" s="427">
        <v>810.91150153382068</v>
      </c>
      <c r="AV42" s="427">
        <v>810.91150153382068</v>
      </c>
      <c r="AW42" s="427">
        <v>810.91150153382068</v>
      </c>
      <c r="AX42" s="427">
        <v>810.91150153382068</v>
      </c>
      <c r="AY42" s="427">
        <v>810.91150153382068</v>
      </c>
      <c r="AZ42" s="427">
        <v>810.91150153382068</v>
      </c>
      <c r="BA42" s="427">
        <v>810.91150153382068</v>
      </c>
      <c r="BB42" s="427">
        <v>810.91150153382068</v>
      </c>
      <c r="BC42" s="427">
        <v>810.91150153382068</v>
      </c>
      <c r="BD42" s="427">
        <v>810.91150153382068</v>
      </c>
      <c r="BE42" s="427">
        <v>810.91150153382068</v>
      </c>
      <c r="BF42" s="427">
        <v>810.91150153382068</v>
      </c>
      <c r="BG42" s="427">
        <v>810.91150153382068</v>
      </c>
      <c r="BH42" s="427">
        <v>810.91150153382068</v>
      </c>
      <c r="BI42" s="427">
        <v>0</v>
      </c>
      <c r="BJ42" s="427">
        <v>0</v>
      </c>
      <c r="BK42" s="427">
        <v>0</v>
      </c>
      <c r="BL42" s="427">
        <v>0</v>
      </c>
      <c r="BM42" s="427">
        <v>0</v>
      </c>
      <c r="BN42" s="427">
        <v>0</v>
      </c>
      <c r="BO42" s="427">
        <v>0</v>
      </c>
      <c r="BP42" s="427">
        <v>0</v>
      </c>
      <c r="BQ42" s="427">
        <v>0</v>
      </c>
      <c r="BR42" s="427">
        <v>0</v>
      </c>
      <c r="BS42" s="427">
        <v>0</v>
      </c>
      <c r="BT42" s="427">
        <v>0</v>
      </c>
      <c r="BU42" s="427">
        <v>0</v>
      </c>
      <c r="BV42" s="427">
        <v>0</v>
      </c>
      <c r="BW42" s="427">
        <v>0</v>
      </c>
      <c r="BX42" s="427">
        <v>0</v>
      </c>
      <c r="BY42" s="427">
        <v>0</v>
      </c>
      <c r="BZ42" s="427">
        <v>0</v>
      </c>
      <c r="CA42" s="427">
        <v>0</v>
      </c>
      <c r="CB42" s="427">
        <v>0</v>
      </c>
      <c r="CC42" s="427">
        <v>0</v>
      </c>
      <c r="CD42" s="427">
        <v>0</v>
      </c>
      <c r="CE42" s="427">
        <v>0</v>
      </c>
      <c r="CF42" s="427">
        <v>0</v>
      </c>
      <c r="CG42" s="427">
        <v>0</v>
      </c>
      <c r="CH42" s="427">
        <v>0</v>
      </c>
      <c r="CI42" s="427">
        <v>0</v>
      </c>
      <c r="CJ42" s="427">
        <v>0</v>
      </c>
      <c r="CK42" s="428">
        <v>0</v>
      </c>
      <c r="CL42" s="428">
        <v>0</v>
      </c>
      <c r="CM42" s="428">
        <v>0</v>
      </c>
      <c r="CN42" s="428">
        <v>0</v>
      </c>
      <c r="CO42" s="428">
        <v>0</v>
      </c>
      <c r="CP42" s="428">
        <v>0</v>
      </c>
      <c r="CQ42" s="428">
        <v>0</v>
      </c>
      <c r="CR42" s="428">
        <v>0</v>
      </c>
      <c r="CS42" s="428">
        <v>0</v>
      </c>
      <c r="CT42" s="428">
        <v>0</v>
      </c>
      <c r="CU42" s="428">
        <v>0</v>
      </c>
      <c r="CV42" s="428">
        <v>0</v>
      </c>
      <c r="CW42" s="428">
        <v>0</v>
      </c>
      <c r="CX42" s="428"/>
      <c r="CY42" s="428"/>
      <c r="CZ42" s="428"/>
      <c r="DA42" s="428"/>
      <c r="DB42" s="428"/>
      <c r="DC42" s="428"/>
      <c r="DD42" s="428"/>
      <c r="DE42" s="428"/>
      <c r="DF42" s="428"/>
      <c r="DG42" s="428"/>
      <c r="DH42" s="428"/>
      <c r="DI42" s="428"/>
    </row>
    <row r="43" spans="1:113" s="388" customFormat="1">
      <c r="A43" s="421" t="s">
        <v>370</v>
      </c>
      <c r="B43" s="421" t="s">
        <v>241</v>
      </c>
      <c r="C43" s="421" t="s">
        <v>391</v>
      </c>
      <c r="D43" s="422" t="s">
        <v>376</v>
      </c>
      <c r="E43" s="422">
        <v>2019</v>
      </c>
      <c r="F43" s="423">
        <v>0.83528513065971444</v>
      </c>
      <c r="G43" s="424">
        <v>147.29700000001503</v>
      </c>
      <c r="H43" s="422">
        <v>18</v>
      </c>
      <c r="I43" s="425">
        <v>0.51364279715878636</v>
      </c>
      <c r="J43" s="425">
        <v>0.51364279715878636</v>
      </c>
      <c r="K43" s="422">
        <v>0</v>
      </c>
      <c r="L43" s="422">
        <v>0</v>
      </c>
      <c r="M43" s="422">
        <v>0</v>
      </c>
      <c r="N43" s="426">
        <v>10</v>
      </c>
      <c r="O43" s="426">
        <v>0</v>
      </c>
      <c r="P43" s="426">
        <v>0</v>
      </c>
      <c r="Q43" s="426">
        <v>0</v>
      </c>
      <c r="R43" s="426">
        <v>0</v>
      </c>
      <c r="S43" s="426">
        <v>4.5984800743536765</v>
      </c>
      <c r="T43" s="426">
        <v>4.5984800743536765</v>
      </c>
      <c r="U43" s="426">
        <v>4.5984800743536765</v>
      </c>
      <c r="V43" s="426">
        <v>4.5984800743536765</v>
      </c>
      <c r="W43" s="426">
        <v>4.5984800743536765</v>
      </c>
      <c r="X43" s="426">
        <v>4.5984800743536765</v>
      </c>
      <c r="Y43" s="426">
        <v>4.5984800743536765</v>
      </c>
      <c r="Z43" s="426">
        <v>4.5984800743536765</v>
      </c>
      <c r="AA43" s="426">
        <v>4.5984800743536765</v>
      </c>
      <c r="AB43" s="426">
        <v>4.5984800743536765</v>
      </c>
      <c r="AC43" s="426">
        <v>4.5984800743536765</v>
      </c>
      <c r="AD43" s="426">
        <v>4.5984800743536765</v>
      </c>
      <c r="AE43" s="426">
        <v>4.5984800743536765</v>
      </c>
      <c r="AF43" s="426">
        <v>4.5984800743536765</v>
      </c>
      <c r="AG43" s="426">
        <v>4.5984800743536765</v>
      </c>
      <c r="AH43" s="426">
        <v>4.5984800743536765</v>
      </c>
      <c r="AI43" s="426">
        <v>4.5984800743536765</v>
      </c>
      <c r="AJ43" s="426">
        <v>4.5984800743536765</v>
      </c>
      <c r="AK43" s="426">
        <v>0</v>
      </c>
      <c r="AL43" s="426">
        <v>0</v>
      </c>
      <c r="AM43" s="427">
        <v>0</v>
      </c>
      <c r="AN43" s="427">
        <v>0</v>
      </c>
      <c r="AO43" s="427">
        <v>0</v>
      </c>
      <c r="AP43" s="427">
        <v>0</v>
      </c>
      <c r="AQ43" s="427">
        <v>0</v>
      </c>
      <c r="AR43" s="427">
        <v>810.91150153382068</v>
      </c>
      <c r="AS43" s="427">
        <v>810.91150153382068</v>
      </c>
      <c r="AT43" s="427">
        <v>810.91150153382068</v>
      </c>
      <c r="AU43" s="427">
        <v>810.91150153382068</v>
      </c>
      <c r="AV43" s="427">
        <v>810.91150153382068</v>
      </c>
      <c r="AW43" s="427">
        <v>810.91150153382068</v>
      </c>
      <c r="AX43" s="427">
        <v>810.91150153382068</v>
      </c>
      <c r="AY43" s="427">
        <v>810.91150153382068</v>
      </c>
      <c r="AZ43" s="427">
        <v>810.91150153382068</v>
      </c>
      <c r="BA43" s="427">
        <v>810.91150153382068</v>
      </c>
      <c r="BB43" s="427">
        <v>810.91150153382068</v>
      </c>
      <c r="BC43" s="427">
        <v>810.91150153382068</v>
      </c>
      <c r="BD43" s="427">
        <v>810.91150153382068</v>
      </c>
      <c r="BE43" s="427">
        <v>810.91150153382068</v>
      </c>
      <c r="BF43" s="427">
        <v>810.91150153382068</v>
      </c>
      <c r="BG43" s="427">
        <v>810.91150153382068</v>
      </c>
      <c r="BH43" s="427">
        <v>810.91150153382068</v>
      </c>
      <c r="BI43" s="427">
        <v>810.91150153382068</v>
      </c>
      <c r="BJ43" s="427">
        <v>0</v>
      </c>
      <c r="BK43" s="427">
        <v>0</v>
      </c>
      <c r="BL43" s="427">
        <v>0</v>
      </c>
      <c r="BM43" s="427">
        <v>0</v>
      </c>
      <c r="BN43" s="427">
        <v>0</v>
      </c>
      <c r="BO43" s="427">
        <v>0</v>
      </c>
      <c r="BP43" s="427">
        <v>0</v>
      </c>
      <c r="BQ43" s="427">
        <v>0</v>
      </c>
      <c r="BR43" s="427">
        <v>0</v>
      </c>
      <c r="BS43" s="427">
        <v>0</v>
      </c>
      <c r="BT43" s="427">
        <v>0</v>
      </c>
      <c r="BU43" s="427">
        <v>0</v>
      </c>
      <c r="BV43" s="427">
        <v>0</v>
      </c>
      <c r="BW43" s="427">
        <v>0</v>
      </c>
      <c r="BX43" s="427">
        <v>0</v>
      </c>
      <c r="BY43" s="427">
        <v>0</v>
      </c>
      <c r="BZ43" s="427">
        <v>0</v>
      </c>
      <c r="CA43" s="427">
        <v>0</v>
      </c>
      <c r="CB43" s="427">
        <v>0</v>
      </c>
      <c r="CC43" s="427">
        <v>0</v>
      </c>
      <c r="CD43" s="427">
        <v>0</v>
      </c>
      <c r="CE43" s="427">
        <v>0</v>
      </c>
      <c r="CF43" s="427">
        <v>0</v>
      </c>
      <c r="CG43" s="427">
        <v>0</v>
      </c>
      <c r="CH43" s="427">
        <v>0</v>
      </c>
      <c r="CI43" s="427">
        <v>0</v>
      </c>
      <c r="CJ43" s="427">
        <v>0</v>
      </c>
      <c r="CK43" s="428">
        <v>0</v>
      </c>
      <c r="CL43" s="428">
        <v>0</v>
      </c>
      <c r="CM43" s="428">
        <v>0</v>
      </c>
      <c r="CN43" s="428">
        <v>0</v>
      </c>
      <c r="CO43" s="428">
        <v>0</v>
      </c>
      <c r="CP43" s="428">
        <v>0</v>
      </c>
      <c r="CQ43" s="428">
        <v>0</v>
      </c>
      <c r="CR43" s="428">
        <v>0</v>
      </c>
      <c r="CS43" s="428">
        <v>0</v>
      </c>
      <c r="CT43" s="428">
        <v>0</v>
      </c>
      <c r="CU43" s="428">
        <v>0</v>
      </c>
      <c r="CV43" s="428">
        <v>0</v>
      </c>
      <c r="CW43" s="428">
        <v>0</v>
      </c>
      <c r="CX43" s="428"/>
      <c r="CY43" s="428"/>
      <c r="CZ43" s="428"/>
      <c r="DA43" s="428"/>
      <c r="DB43" s="428"/>
      <c r="DC43" s="428"/>
      <c r="DD43" s="428"/>
      <c r="DE43" s="428"/>
      <c r="DF43" s="428"/>
      <c r="DG43" s="428"/>
      <c r="DH43" s="428"/>
      <c r="DI43" s="428"/>
    </row>
    <row r="44" spans="1:113" s="388" customFormat="1">
      <c r="A44" s="421" t="s">
        <v>370</v>
      </c>
      <c r="B44" s="421" t="s">
        <v>241</v>
      </c>
      <c r="C44" s="421" t="s">
        <v>391</v>
      </c>
      <c r="D44" s="422" t="s">
        <v>376</v>
      </c>
      <c r="E44" s="422">
        <v>2020</v>
      </c>
      <c r="F44" s="423">
        <v>0.83528513065971444</v>
      </c>
      <c r="G44" s="424">
        <v>147.29700000001503</v>
      </c>
      <c r="H44" s="422">
        <v>18</v>
      </c>
      <c r="I44" s="425">
        <v>0.51364279715878636</v>
      </c>
      <c r="J44" s="425">
        <v>0.51364279715878636</v>
      </c>
      <c r="K44" s="422">
        <v>0</v>
      </c>
      <c r="L44" s="422">
        <v>0</v>
      </c>
      <c r="M44" s="422">
        <v>0</v>
      </c>
      <c r="N44" s="426">
        <v>10</v>
      </c>
      <c r="O44" s="426">
        <v>0</v>
      </c>
      <c r="P44" s="426">
        <v>0</v>
      </c>
      <c r="Q44" s="426">
        <v>0</v>
      </c>
      <c r="R44" s="426">
        <v>0</v>
      </c>
      <c r="S44" s="426">
        <v>0</v>
      </c>
      <c r="T44" s="426">
        <v>4.5984800743536765</v>
      </c>
      <c r="U44" s="426">
        <v>4.5984800743536765</v>
      </c>
      <c r="V44" s="426">
        <v>4.5984800743536765</v>
      </c>
      <c r="W44" s="426">
        <v>4.5984800743536765</v>
      </c>
      <c r="X44" s="426">
        <v>4.5984800743536765</v>
      </c>
      <c r="Y44" s="426">
        <v>4.5984800743536765</v>
      </c>
      <c r="Z44" s="426">
        <v>4.5984800743536765</v>
      </c>
      <c r="AA44" s="426">
        <v>4.5984800743536765</v>
      </c>
      <c r="AB44" s="426">
        <v>4.5984800743536765</v>
      </c>
      <c r="AC44" s="426">
        <v>4.5984800743536765</v>
      </c>
      <c r="AD44" s="426">
        <v>4.5984800743536765</v>
      </c>
      <c r="AE44" s="426">
        <v>4.5984800743536765</v>
      </c>
      <c r="AF44" s="426">
        <v>4.5984800743536765</v>
      </c>
      <c r="AG44" s="426">
        <v>4.5984800743536765</v>
      </c>
      <c r="AH44" s="426">
        <v>4.5984800743536765</v>
      </c>
      <c r="AI44" s="426">
        <v>4.5984800743536765</v>
      </c>
      <c r="AJ44" s="426">
        <v>4.5984800743536765</v>
      </c>
      <c r="AK44" s="426">
        <v>4.5984800743536765</v>
      </c>
      <c r="AL44" s="426">
        <v>0</v>
      </c>
      <c r="AM44" s="427">
        <v>0</v>
      </c>
      <c r="AN44" s="427">
        <v>0</v>
      </c>
      <c r="AO44" s="427">
        <v>0</v>
      </c>
      <c r="AP44" s="427">
        <v>0</v>
      </c>
      <c r="AQ44" s="427">
        <v>0</v>
      </c>
      <c r="AR44" s="427">
        <v>0</v>
      </c>
      <c r="AS44" s="427">
        <v>810.91150153382068</v>
      </c>
      <c r="AT44" s="427">
        <v>810.91150153382068</v>
      </c>
      <c r="AU44" s="427">
        <v>810.91150153382068</v>
      </c>
      <c r="AV44" s="427">
        <v>810.91150153382068</v>
      </c>
      <c r="AW44" s="427">
        <v>810.91150153382068</v>
      </c>
      <c r="AX44" s="427">
        <v>810.91150153382068</v>
      </c>
      <c r="AY44" s="427">
        <v>810.91150153382068</v>
      </c>
      <c r="AZ44" s="427">
        <v>810.91150153382068</v>
      </c>
      <c r="BA44" s="427">
        <v>810.91150153382068</v>
      </c>
      <c r="BB44" s="427">
        <v>810.91150153382068</v>
      </c>
      <c r="BC44" s="427">
        <v>810.91150153382068</v>
      </c>
      <c r="BD44" s="427">
        <v>810.91150153382068</v>
      </c>
      <c r="BE44" s="427">
        <v>810.91150153382068</v>
      </c>
      <c r="BF44" s="427">
        <v>810.91150153382068</v>
      </c>
      <c r="BG44" s="427">
        <v>810.91150153382068</v>
      </c>
      <c r="BH44" s="427">
        <v>810.91150153382068</v>
      </c>
      <c r="BI44" s="427">
        <v>810.91150153382068</v>
      </c>
      <c r="BJ44" s="427">
        <v>810.91150153382068</v>
      </c>
      <c r="BK44" s="427">
        <v>0</v>
      </c>
      <c r="BL44" s="427">
        <v>0</v>
      </c>
      <c r="BM44" s="427">
        <v>0</v>
      </c>
      <c r="BN44" s="427">
        <v>0</v>
      </c>
      <c r="BO44" s="427">
        <v>0</v>
      </c>
      <c r="BP44" s="427">
        <v>0</v>
      </c>
      <c r="BQ44" s="427">
        <v>0</v>
      </c>
      <c r="BR44" s="427">
        <v>0</v>
      </c>
      <c r="BS44" s="427">
        <v>0</v>
      </c>
      <c r="BT44" s="427">
        <v>0</v>
      </c>
      <c r="BU44" s="427">
        <v>0</v>
      </c>
      <c r="BV44" s="427">
        <v>0</v>
      </c>
      <c r="BW44" s="427">
        <v>0</v>
      </c>
      <c r="BX44" s="427">
        <v>0</v>
      </c>
      <c r="BY44" s="427">
        <v>0</v>
      </c>
      <c r="BZ44" s="427">
        <v>0</v>
      </c>
      <c r="CA44" s="427">
        <v>0</v>
      </c>
      <c r="CB44" s="427">
        <v>0</v>
      </c>
      <c r="CC44" s="427">
        <v>0</v>
      </c>
      <c r="CD44" s="427">
        <v>0</v>
      </c>
      <c r="CE44" s="427">
        <v>0</v>
      </c>
      <c r="CF44" s="427">
        <v>0</v>
      </c>
      <c r="CG44" s="427">
        <v>0</v>
      </c>
      <c r="CH44" s="427">
        <v>0</v>
      </c>
      <c r="CI44" s="427">
        <v>0</v>
      </c>
      <c r="CJ44" s="427">
        <v>0</v>
      </c>
      <c r="CK44" s="428">
        <v>0</v>
      </c>
      <c r="CL44" s="428">
        <v>0</v>
      </c>
      <c r="CM44" s="428">
        <v>0</v>
      </c>
      <c r="CN44" s="428">
        <v>0</v>
      </c>
      <c r="CO44" s="428">
        <v>0</v>
      </c>
      <c r="CP44" s="428">
        <v>0</v>
      </c>
      <c r="CQ44" s="428">
        <v>0</v>
      </c>
      <c r="CR44" s="428">
        <v>0</v>
      </c>
      <c r="CS44" s="428">
        <v>0</v>
      </c>
      <c r="CT44" s="428">
        <v>0</v>
      </c>
      <c r="CU44" s="428">
        <v>0</v>
      </c>
      <c r="CV44" s="428">
        <v>0</v>
      </c>
      <c r="CW44" s="428">
        <v>0</v>
      </c>
      <c r="CX44" s="428"/>
      <c r="CY44" s="428"/>
      <c r="CZ44" s="428"/>
      <c r="DA44" s="428"/>
      <c r="DB44" s="428"/>
      <c r="DC44" s="428"/>
      <c r="DD44" s="428"/>
      <c r="DE44" s="428"/>
      <c r="DF44" s="428"/>
      <c r="DG44" s="428"/>
      <c r="DH44" s="428"/>
      <c r="DI44" s="428"/>
    </row>
    <row r="45" spans="1:113" s="388" customFormat="1">
      <c r="A45" s="421" t="s">
        <v>370</v>
      </c>
      <c r="B45" s="421" t="s">
        <v>241</v>
      </c>
      <c r="C45" s="421" t="s">
        <v>394</v>
      </c>
      <c r="D45" s="422" t="s">
        <v>376</v>
      </c>
      <c r="E45" s="422">
        <v>2015</v>
      </c>
      <c r="F45" s="423">
        <v>0.76639981279010416</v>
      </c>
      <c r="G45" s="424">
        <v>208.89800000003913</v>
      </c>
      <c r="H45" s="422">
        <v>18</v>
      </c>
      <c r="I45" s="425">
        <v>0.56653086399822961</v>
      </c>
      <c r="J45" s="425">
        <v>0.56653086399822961</v>
      </c>
      <c r="K45" s="422">
        <v>0</v>
      </c>
      <c r="L45" s="422">
        <v>0</v>
      </c>
      <c r="M45" s="422">
        <v>0</v>
      </c>
      <c r="N45" s="426">
        <v>40</v>
      </c>
      <c r="O45" s="426">
        <v>18.614754474086137</v>
      </c>
      <c r="P45" s="426">
        <v>18.614754474086137</v>
      </c>
      <c r="Q45" s="426">
        <v>18.614754474086137</v>
      </c>
      <c r="R45" s="426">
        <v>18.614754474086137</v>
      </c>
      <c r="S45" s="426">
        <v>18.614754474086137</v>
      </c>
      <c r="T45" s="426">
        <v>18.614754474086137</v>
      </c>
      <c r="U45" s="426">
        <v>18.614754474086137</v>
      </c>
      <c r="V45" s="426">
        <v>18.614754474086137</v>
      </c>
      <c r="W45" s="426">
        <v>18.614754474086137</v>
      </c>
      <c r="X45" s="426">
        <v>18.614754474086137</v>
      </c>
      <c r="Y45" s="426">
        <v>18.614754474086137</v>
      </c>
      <c r="Z45" s="426">
        <v>18.614754474086137</v>
      </c>
      <c r="AA45" s="426">
        <v>18.614754474086137</v>
      </c>
      <c r="AB45" s="426">
        <v>18.614754474086137</v>
      </c>
      <c r="AC45" s="426">
        <v>18.614754474086137</v>
      </c>
      <c r="AD45" s="426">
        <v>18.614754474086137</v>
      </c>
      <c r="AE45" s="426">
        <v>18.614754474086137</v>
      </c>
      <c r="AF45" s="426">
        <v>18.614754474086137</v>
      </c>
      <c r="AG45" s="426">
        <v>0</v>
      </c>
      <c r="AH45" s="426">
        <v>0</v>
      </c>
      <c r="AI45" s="426">
        <v>0</v>
      </c>
      <c r="AJ45" s="426">
        <v>0</v>
      </c>
      <c r="AK45" s="426">
        <v>0</v>
      </c>
      <c r="AL45" s="426">
        <v>0</v>
      </c>
      <c r="AM45" s="427">
        <v>0</v>
      </c>
      <c r="AN45" s="427">
        <v>5073.8334159710321</v>
      </c>
      <c r="AO45" s="427">
        <v>5073.8334159710321</v>
      </c>
      <c r="AP45" s="427">
        <v>5073.8334159710321</v>
      </c>
      <c r="AQ45" s="427">
        <v>5073.8334159710321</v>
      </c>
      <c r="AR45" s="427">
        <v>5073.8334159710321</v>
      </c>
      <c r="AS45" s="427">
        <v>5073.8334159710321</v>
      </c>
      <c r="AT45" s="427">
        <v>5073.8334159710321</v>
      </c>
      <c r="AU45" s="427">
        <v>5073.8334159710321</v>
      </c>
      <c r="AV45" s="427">
        <v>5073.8334159710321</v>
      </c>
      <c r="AW45" s="427">
        <v>5073.8334159710321</v>
      </c>
      <c r="AX45" s="427">
        <v>5073.8334159710321</v>
      </c>
      <c r="AY45" s="427">
        <v>5073.8334159710321</v>
      </c>
      <c r="AZ45" s="427">
        <v>5073.8334159710321</v>
      </c>
      <c r="BA45" s="427">
        <v>5073.8334159710321</v>
      </c>
      <c r="BB45" s="427">
        <v>5073.8334159710321</v>
      </c>
      <c r="BC45" s="427">
        <v>5073.8334159710321</v>
      </c>
      <c r="BD45" s="427">
        <v>5073.8334159710321</v>
      </c>
      <c r="BE45" s="427">
        <v>5073.8334159710321</v>
      </c>
      <c r="BF45" s="427">
        <v>0</v>
      </c>
      <c r="BG45" s="427">
        <v>0</v>
      </c>
      <c r="BH45" s="427">
        <v>0</v>
      </c>
      <c r="BI45" s="427">
        <v>0</v>
      </c>
      <c r="BJ45" s="427">
        <v>0</v>
      </c>
      <c r="BK45" s="427">
        <v>0</v>
      </c>
      <c r="BL45" s="427">
        <v>0</v>
      </c>
      <c r="BM45" s="427">
        <v>0</v>
      </c>
      <c r="BN45" s="427">
        <v>0</v>
      </c>
      <c r="BO45" s="427">
        <v>0</v>
      </c>
      <c r="BP45" s="427">
        <v>0</v>
      </c>
      <c r="BQ45" s="427">
        <v>0</v>
      </c>
      <c r="BR45" s="427">
        <v>0</v>
      </c>
      <c r="BS45" s="427">
        <v>0</v>
      </c>
      <c r="BT45" s="427">
        <v>0</v>
      </c>
      <c r="BU45" s="427">
        <v>0</v>
      </c>
      <c r="BV45" s="427">
        <v>0</v>
      </c>
      <c r="BW45" s="427">
        <v>0</v>
      </c>
      <c r="BX45" s="427">
        <v>0</v>
      </c>
      <c r="BY45" s="427">
        <v>0</v>
      </c>
      <c r="BZ45" s="427">
        <v>0</v>
      </c>
      <c r="CA45" s="427">
        <v>0</v>
      </c>
      <c r="CB45" s="427">
        <v>0</v>
      </c>
      <c r="CC45" s="427">
        <v>0</v>
      </c>
      <c r="CD45" s="427">
        <v>0</v>
      </c>
      <c r="CE45" s="427">
        <v>0</v>
      </c>
      <c r="CF45" s="427">
        <v>0</v>
      </c>
      <c r="CG45" s="427">
        <v>0</v>
      </c>
      <c r="CH45" s="427">
        <v>0</v>
      </c>
      <c r="CI45" s="427">
        <v>0</v>
      </c>
      <c r="CJ45" s="427">
        <v>0</v>
      </c>
      <c r="CK45" s="428">
        <v>0</v>
      </c>
      <c r="CL45" s="428">
        <v>0</v>
      </c>
      <c r="CM45" s="428">
        <v>0</v>
      </c>
      <c r="CN45" s="428">
        <v>0</v>
      </c>
      <c r="CO45" s="428">
        <v>0</v>
      </c>
      <c r="CP45" s="428">
        <v>0</v>
      </c>
      <c r="CQ45" s="428">
        <v>0</v>
      </c>
      <c r="CR45" s="428">
        <v>0</v>
      </c>
      <c r="CS45" s="428">
        <v>0</v>
      </c>
      <c r="CT45" s="428">
        <v>0</v>
      </c>
      <c r="CU45" s="428">
        <v>0</v>
      </c>
      <c r="CV45" s="428">
        <v>0</v>
      </c>
      <c r="CW45" s="428">
        <v>0</v>
      </c>
      <c r="CX45" s="428"/>
      <c r="CY45" s="428"/>
      <c r="CZ45" s="428"/>
      <c r="DA45" s="428"/>
      <c r="DB45" s="428"/>
      <c r="DC45" s="428"/>
      <c r="DD45" s="428"/>
      <c r="DE45" s="428"/>
      <c r="DF45" s="428"/>
      <c r="DG45" s="428"/>
      <c r="DH45" s="428"/>
      <c r="DI45" s="428"/>
    </row>
    <row r="46" spans="1:113" s="388" customFormat="1">
      <c r="A46" s="421" t="s">
        <v>370</v>
      </c>
      <c r="B46" s="421" t="s">
        <v>241</v>
      </c>
      <c r="C46" s="421" t="s">
        <v>394</v>
      </c>
      <c r="D46" s="422" t="s">
        <v>376</v>
      </c>
      <c r="E46" s="422">
        <v>2016</v>
      </c>
      <c r="F46" s="423">
        <v>0.76639981279010416</v>
      </c>
      <c r="G46" s="424">
        <v>208.89800000003913</v>
      </c>
      <c r="H46" s="422">
        <v>18</v>
      </c>
      <c r="I46" s="425">
        <v>0.56653086399822961</v>
      </c>
      <c r="J46" s="425">
        <v>0.56653086399822961</v>
      </c>
      <c r="K46" s="422">
        <v>0</v>
      </c>
      <c r="L46" s="422">
        <v>0</v>
      </c>
      <c r="M46" s="422">
        <v>0</v>
      </c>
      <c r="N46" s="426">
        <v>5</v>
      </c>
      <c r="O46" s="426">
        <v>0</v>
      </c>
      <c r="P46" s="426">
        <v>2.3268443092607671</v>
      </c>
      <c r="Q46" s="426">
        <v>2.3268443092607671</v>
      </c>
      <c r="R46" s="426">
        <v>2.3268443092607671</v>
      </c>
      <c r="S46" s="426">
        <v>2.3268443092607671</v>
      </c>
      <c r="T46" s="426">
        <v>2.3268443092607671</v>
      </c>
      <c r="U46" s="426">
        <v>2.3268443092607671</v>
      </c>
      <c r="V46" s="426">
        <v>2.3268443092607671</v>
      </c>
      <c r="W46" s="426">
        <v>2.3268443092607671</v>
      </c>
      <c r="X46" s="426">
        <v>2.3268443092607671</v>
      </c>
      <c r="Y46" s="426">
        <v>2.3268443092607671</v>
      </c>
      <c r="Z46" s="426">
        <v>2.3268443092607671</v>
      </c>
      <c r="AA46" s="426">
        <v>2.3268443092607671</v>
      </c>
      <c r="AB46" s="426">
        <v>2.3268443092607671</v>
      </c>
      <c r="AC46" s="426">
        <v>2.3268443092607671</v>
      </c>
      <c r="AD46" s="426">
        <v>2.3268443092607671</v>
      </c>
      <c r="AE46" s="426">
        <v>2.3268443092607671</v>
      </c>
      <c r="AF46" s="426">
        <v>2.3268443092607671</v>
      </c>
      <c r="AG46" s="426">
        <v>2.3268443092607671</v>
      </c>
      <c r="AH46" s="426">
        <v>0</v>
      </c>
      <c r="AI46" s="426">
        <v>0</v>
      </c>
      <c r="AJ46" s="426">
        <v>0</v>
      </c>
      <c r="AK46" s="426">
        <v>0</v>
      </c>
      <c r="AL46" s="426">
        <v>0</v>
      </c>
      <c r="AM46" s="427">
        <v>0</v>
      </c>
      <c r="AN46" s="427">
        <v>0</v>
      </c>
      <c r="AO46" s="427">
        <v>634.22917699637901</v>
      </c>
      <c r="AP46" s="427">
        <v>634.22917699637901</v>
      </c>
      <c r="AQ46" s="427">
        <v>634.22917699637901</v>
      </c>
      <c r="AR46" s="427">
        <v>634.22917699637901</v>
      </c>
      <c r="AS46" s="427">
        <v>634.22917699637901</v>
      </c>
      <c r="AT46" s="427">
        <v>634.22917699637901</v>
      </c>
      <c r="AU46" s="427">
        <v>634.22917699637901</v>
      </c>
      <c r="AV46" s="427">
        <v>634.22917699637901</v>
      </c>
      <c r="AW46" s="427">
        <v>634.22917699637901</v>
      </c>
      <c r="AX46" s="427">
        <v>634.22917699637901</v>
      </c>
      <c r="AY46" s="427">
        <v>634.22917699637901</v>
      </c>
      <c r="AZ46" s="427">
        <v>634.22917699637901</v>
      </c>
      <c r="BA46" s="427">
        <v>634.22917699637901</v>
      </c>
      <c r="BB46" s="427">
        <v>634.22917699637901</v>
      </c>
      <c r="BC46" s="427">
        <v>634.22917699637901</v>
      </c>
      <c r="BD46" s="427">
        <v>634.22917699637901</v>
      </c>
      <c r="BE46" s="427">
        <v>634.22917699637901</v>
      </c>
      <c r="BF46" s="427">
        <v>634.22917699637901</v>
      </c>
      <c r="BG46" s="427">
        <v>0</v>
      </c>
      <c r="BH46" s="427">
        <v>0</v>
      </c>
      <c r="BI46" s="427">
        <v>0</v>
      </c>
      <c r="BJ46" s="427">
        <v>0</v>
      </c>
      <c r="BK46" s="427">
        <v>0</v>
      </c>
      <c r="BL46" s="427">
        <v>0</v>
      </c>
      <c r="BM46" s="427">
        <v>0</v>
      </c>
      <c r="BN46" s="427">
        <v>0</v>
      </c>
      <c r="BO46" s="427">
        <v>0</v>
      </c>
      <c r="BP46" s="427">
        <v>0</v>
      </c>
      <c r="BQ46" s="427">
        <v>0</v>
      </c>
      <c r="BR46" s="427">
        <v>0</v>
      </c>
      <c r="BS46" s="427">
        <v>0</v>
      </c>
      <c r="BT46" s="427">
        <v>0</v>
      </c>
      <c r="BU46" s="427">
        <v>0</v>
      </c>
      <c r="BV46" s="427">
        <v>0</v>
      </c>
      <c r="BW46" s="427">
        <v>0</v>
      </c>
      <c r="BX46" s="427">
        <v>0</v>
      </c>
      <c r="BY46" s="427">
        <v>0</v>
      </c>
      <c r="BZ46" s="427">
        <v>0</v>
      </c>
      <c r="CA46" s="427">
        <v>0</v>
      </c>
      <c r="CB46" s="427">
        <v>0</v>
      </c>
      <c r="CC46" s="427">
        <v>0</v>
      </c>
      <c r="CD46" s="427">
        <v>0</v>
      </c>
      <c r="CE46" s="427">
        <v>0</v>
      </c>
      <c r="CF46" s="427">
        <v>0</v>
      </c>
      <c r="CG46" s="427">
        <v>0</v>
      </c>
      <c r="CH46" s="427">
        <v>0</v>
      </c>
      <c r="CI46" s="427">
        <v>0</v>
      </c>
      <c r="CJ46" s="427">
        <v>0</v>
      </c>
      <c r="CK46" s="428">
        <v>0</v>
      </c>
      <c r="CL46" s="428">
        <v>0</v>
      </c>
      <c r="CM46" s="428">
        <v>0</v>
      </c>
      <c r="CN46" s="428">
        <v>0</v>
      </c>
      <c r="CO46" s="428">
        <v>0</v>
      </c>
      <c r="CP46" s="428">
        <v>0</v>
      </c>
      <c r="CQ46" s="428">
        <v>0</v>
      </c>
      <c r="CR46" s="428">
        <v>0</v>
      </c>
      <c r="CS46" s="428">
        <v>0</v>
      </c>
      <c r="CT46" s="428">
        <v>0</v>
      </c>
      <c r="CU46" s="428">
        <v>0</v>
      </c>
      <c r="CV46" s="428">
        <v>0</v>
      </c>
      <c r="CW46" s="428">
        <v>0</v>
      </c>
      <c r="CX46" s="428"/>
      <c r="CY46" s="428"/>
      <c r="CZ46" s="428"/>
      <c r="DA46" s="428"/>
      <c r="DB46" s="428"/>
      <c r="DC46" s="428"/>
      <c r="DD46" s="428"/>
      <c r="DE46" s="428"/>
      <c r="DF46" s="428"/>
      <c r="DG46" s="428"/>
      <c r="DH46" s="428"/>
      <c r="DI46" s="428"/>
    </row>
    <row r="47" spans="1:113" s="388" customFormat="1">
      <c r="A47" s="421" t="s">
        <v>370</v>
      </c>
      <c r="B47" s="421" t="s">
        <v>241</v>
      </c>
      <c r="C47" s="421" t="s">
        <v>394</v>
      </c>
      <c r="D47" s="422" t="s">
        <v>376</v>
      </c>
      <c r="E47" s="422">
        <v>2017</v>
      </c>
      <c r="F47" s="423">
        <v>0.76639981279010416</v>
      </c>
      <c r="G47" s="424">
        <v>208.89800000003913</v>
      </c>
      <c r="H47" s="422">
        <v>18</v>
      </c>
      <c r="I47" s="425">
        <v>0.56653086399822961</v>
      </c>
      <c r="J47" s="425">
        <v>0.56653086399822961</v>
      </c>
      <c r="K47" s="422">
        <v>0</v>
      </c>
      <c r="L47" s="422">
        <v>0</v>
      </c>
      <c r="M47" s="422">
        <v>0</v>
      </c>
      <c r="N47" s="426">
        <v>5</v>
      </c>
      <c r="O47" s="426">
        <v>0</v>
      </c>
      <c r="P47" s="426">
        <v>0</v>
      </c>
      <c r="Q47" s="426">
        <v>2.3268443092607671</v>
      </c>
      <c r="R47" s="426">
        <v>2.3268443092607671</v>
      </c>
      <c r="S47" s="426">
        <v>2.3268443092607671</v>
      </c>
      <c r="T47" s="426">
        <v>2.3268443092607671</v>
      </c>
      <c r="U47" s="426">
        <v>2.3268443092607671</v>
      </c>
      <c r="V47" s="426">
        <v>2.3268443092607671</v>
      </c>
      <c r="W47" s="426">
        <v>2.3268443092607671</v>
      </c>
      <c r="X47" s="426">
        <v>2.3268443092607671</v>
      </c>
      <c r="Y47" s="426">
        <v>2.3268443092607671</v>
      </c>
      <c r="Z47" s="426">
        <v>2.3268443092607671</v>
      </c>
      <c r="AA47" s="426">
        <v>2.3268443092607671</v>
      </c>
      <c r="AB47" s="426">
        <v>2.3268443092607671</v>
      </c>
      <c r="AC47" s="426">
        <v>2.3268443092607671</v>
      </c>
      <c r="AD47" s="426">
        <v>2.3268443092607671</v>
      </c>
      <c r="AE47" s="426">
        <v>2.3268443092607671</v>
      </c>
      <c r="AF47" s="426">
        <v>2.3268443092607671</v>
      </c>
      <c r="AG47" s="426">
        <v>2.3268443092607671</v>
      </c>
      <c r="AH47" s="426">
        <v>2.3268443092607671</v>
      </c>
      <c r="AI47" s="426">
        <v>0</v>
      </c>
      <c r="AJ47" s="426">
        <v>0</v>
      </c>
      <c r="AK47" s="426">
        <v>0</v>
      </c>
      <c r="AL47" s="426">
        <v>0</v>
      </c>
      <c r="AM47" s="427">
        <v>0</v>
      </c>
      <c r="AN47" s="427">
        <v>0</v>
      </c>
      <c r="AO47" s="427">
        <v>0</v>
      </c>
      <c r="AP47" s="427">
        <v>634.22917699637901</v>
      </c>
      <c r="AQ47" s="427">
        <v>634.22917699637901</v>
      </c>
      <c r="AR47" s="427">
        <v>634.22917699637901</v>
      </c>
      <c r="AS47" s="427">
        <v>634.22917699637901</v>
      </c>
      <c r="AT47" s="427">
        <v>634.22917699637901</v>
      </c>
      <c r="AU47" s="427">
        <v>634.22917699637901</v>
      </c>
      <c r="AV47" s="427">
        <v>634.22917699637901</v>
      </c>
      <c r="AW47" s="427">
        <v>634.22917699637901</v>
      </c>
      <c r="AX47" s="427">
        <v>634.22917699637901</v>
      </c>
      <c r="AY47" s="427">
        <v>634.22917699637901</v>
      </c>
      <c r="AZ47" s="427">
        <v>634.22917699637901</v>
      </c>
      <c r="BA47" s="427">
        <v>634.22917699637901</v>
      </c>
      <c r="BB47" s="427">
        <v>634.22917699637901</v>
      </c>
      <c r="BC47" s="427">
        <v>634.22917699637901</v>
      </c>
      <c r="BD47" s="427">
        <v>634.22917699637901</v>
      </c>
      <c r="BE47" s="427">
        <v>634.22917699637901</v>
      </c>
      <c r="BF47" s="427">
        <v>634.22917699637901</v>
      </c>
      <c r="BG47" s="427">
        <v>634.22917699637901</v>
      </c>
      <c r="BH47" s="427">
        <v>0</v>
      </c>
      <c r="BI47" s="427">
        <v>0</v>
      </c>
      <c r="BJ47" s="427">
        <v>0</v>
      </c>
      <c r="BK47" s="427">
        <v>0</v>
      </c>
      <c r="BL47" s="427">
        <v>0</v>
      </c>
      <c r="BM47" s="427">
        <v>0</v>
      </c>
      <c r="BN47" s="427">
        <v>0</v>
      </c>
      <c r="BO47" s="427">
        <v>0</v>
      </c>
      <c r="BP47" s="427">
        <v>0</v>
      </c>
      <c r="BQ47" s="427">
        <v>0</v>
      </c>
      <c r="BR47" s="427">
        <v>0</v>
      </c>
      <c r="BS47" s="427">
        <v>0</v>
      </c>
      <c r="BT47" s="427">
        <v>0</v>
      </c>
      <c r="BU47" s="427">
        <v>0</v>
      </c>
      <c r="BV47" s="427">
        <v>0</v>
      </c>
      <c r="BW47" s="427">
        <v>0</v>
      </c>
      <c r="BX47" s="427">
        <v>0</v>
      </c>
      <c r="BY47" s="427">
        <v>0</v>
      </c>
      <c r="BZ47" s="427">
        <v>0</v>
      </c>
      <c r="CA47" s="427">
        <v>0</v>
      </c>
      <c r="CB47" s="427">
        <v>0</v>
      </c>
      <c r="CC47" s="427">
        <v>0</v>
      </c>
      <c r="CD47" s="427">
        <v>0</v>
      </c>
      <c r="CE47" s="427">
        <v>0</v>
      </c>
      <c r="CF47" s="427">
        <v>0</v>
      </c>
      <c r="CG47" s="427">
        <v>0</v>
      </c>
      <c r="CH47" s="427">
        <v>0</v>
      </c>
      <c r="CI47" s="427">
        <v>0</v>
      </c>
      <c r="CJ47" s="427">
        <v>0</v>
      </c>
      <c r="CK47" s="428">
        <v>0</v>
      </c>
      <c r="CL47" s="428">
        <v>0</v>
      </c>
      <c r="CM47" s="428">
        <v>0</v>
      </c>
      <c r="CN47" s="428">
        <v>0</v>
      </c>
      <c r="CO47" s="428">
        <v>0</v>
      </c>
      <c r="CP47" s="428">
        <v>0</v>
      </c>
      <c r="CQ47" s="428">
        <v>0</v>
      </c>
      <c r="CR47" s="428">
        <v>0</v>
      </c>
      <c r="CS47" s="428">
        <v>0</v>
      </c>
      <c r="CT47" s="428">
        <v>0</v>
      </c>
      <c r="CU47" s="428">
        <v>0</v>
      </c>
      <c r="CV47" s="428">
        <v>0</v>
      </c>
      <c r="CW47" s="428">
        <v>0</v>
      </c>
      <c r="CX47" s="428"/>
      <c r="CY47" s="428"/>
      <c r="CZ47" s="428"/>
      <c r="DA47" s="428"/>
      <c r="DB47" s="428"/>
      <c r="DC47" s="428"/>
      <c r="DD47" s="428"/>
      <c r="DE47" s="428"/>
      <c r="DF47" s="428"/>
      <c r="DG47" s="428"/>
      <c r="DH47" s="428"/>
      <c r="DI47" s="428"/>
    </row>
    <row r="48" spans="1:113" s="388" customFormat="1">
      <c r="A48" s="421" t="s">
        <v>370</v>
      </c>
      <c r="B48" s="421" t="s">
        <v>241</v>
      </c>
      <c r="C48" s="421" t="s">
        <v>394</v>
      </c>
      <c r="D48" s="422" t="s">
        <v>376</v>
      </c>
      <c r="E48" s="422">
        <v>2018</v>
      </c>
      <c r="F48" s="423">
        <v>0.76639981279010416</v>
      </c>
      <c r="G48" s="424">
        <v>208.89800000003913</v>
      </c>
      <c r="H48" s="422">
        <v>18</v>
      </c>
      <c r="I48" s="425">
        <v>0.56653086399822961</v>
      </c>
      <c r="J48" s="425">
        <v>0.56653086399822961</v>
      </c>
      <c r="K48" s="422">
        <v>0</v>
      </c>
      <c r="L48" s="422">
        <v>0</v>
      </c>
      <c r="M48" s="422">
        <v>0</v>
      </c>
      <c r="N48" s="426">
        <v>5</v>
      </c>
      <c r="O48" s="426">
        <v>0</v>
      </c>
      <c r="P48" s="426">
        <v>0</v>
      </c>
      <c r="Q48" s="426">
        <v>0</v>
      </c>
      <c r="R48" s="426">
        <v>2.3268443092607671</v>
      </c>
      <c r="S48" s="426">
        <v>2.3268443092607671</v>
      </c>
      <c r="T48" s="426">
        <v>2.3268443092607671</v>
      </c>
      <c r="U48" s="426">
        <v>2.3268443092607671</v>
      </c>
      <c r="V48" s="426">
        <v>2.3268443092607671</v>
      </c>
      <c r="W48" s="426">
        <v>2.3268443092607671</v>
      </c>
      <c r="X48" s="426">
        <v>2.3268443092607671</v>
      </c>
      <c r="Y48" s="426">
        <v>2.3268443092607671</v>
      </c>
      <c r="Z48" s="426">
        <v>2.3268443092607671</v>
      </c>
      <c r="AA48" s="426">
        <v>2.3268443092607671</v>
      </c>
      <c r="AB48" s="426">
        <v>2.3268443092607671</v>
      </c>
      <c r="AC48" s="426">
        <v>2.3268443092607671</v>
      </c>
      <c r="AD48" s="426">
        <v>2.3268443092607671</v>
      </c>
      <c r="AE48" s="426">
        <v>2.3268443092607671</v>
      </c>
      <c r="AF48" s="426">
        <v>2.3268443092607671</v>
      </c>
      <c r="AG48" s="426">
        <v>2.3268443092607671</v>
      </c>
      <c r="AH48" s="426">
        <v>2.3268443092607671</v>
      </c>
      <c r="AI48" s="426">
        <v>2.3268443092607671</v>
      </c>
      <c r="AJ48" s="426">
        <v>0</v>
      </c>
      <c r="AK48" s="426">
        <v>0</v>
      </c>
      <c r="AL48" s="426">
        <v>0</v>
      </c>
      <c r="AM48" s="427">
        <v>0</v>
      </c>
      <c r="AN48" s="427">
        <v>0</v>
      </c>
      <c r="AO48" s="427">
        <v>0</v>
      </c>
      <c r="AP48" s="427">
        <v>0</v>
      </c>
      <c r="AQ48" s="427">
        <v>634.22917699637901</v>
      </c>
      <c r="AR48" s="427">
        <v>634.22917699637901</v>
      </c>
      <c r="AS48" s="427">
        <v>634.22917699637901</v>
      </c>
      <c r="AT48" s="427">
        <v>634.22917699637901</v>
      </c>
      <c r="AU48" s="427">
        <v>634.22917699637901</v>
      </c>
      <c r="AV48" s="427">
        <v>634.22917699637901</v>
      </c>
      <c r="AW48" s="427">
        <v>634.22917699637901</v>
      </c>
      <c r="AX48" s="427">
        <v>634.22917699637901</v>
      </c>
      <c r="AY48" s="427">
        <v>634.22917699637901</v>
      </c>
      <c r="AZ48" s="427">
        <v>634.22917699637901</v>
      </c>
      <c r="BA48" s="427">
        <v>634.22917699637901</v>
      </c>
      <c r="BB48" s="427">
        <v>634.22917699637901</v>
      </c>
      <c r="BC48" s="427">
        <v>634.22917699637901</v>
      </c>
      <c r="BD48" s="427">
        <v>634.22917699637901</v>
      </c>
      <c r="BE48" s="427">
        <v>634.22917699637901</v>
      </c>
      <c r="BF48" s="427">
        <v>634.22917699637901</v>
      </c>
      <c r="BG48" s="427">
        <v>634.22917699637901</v>
      </c>
      <c r="BH48" s="427">
        <v>634.22917699637901</v>
      </c>
      <c r="BI48" s="427">
        <v>0</v>
      </c>
      <c r="BJ48" s="427">
        <v>0</v>
      </c>
      <c r="BK48" s="427">
        <v>0</v>
      </c>
      <c r="BL48" s="427">
        <v>0</v>
      </c>
      <c r="BM48" s="427">
        <v>0</v>
      </c>
      <c r="BN48" s="427">
        <v>0</v>
      </c>
      <c r="BO48" s="427">
        <v>0</v>
      </c>
      <c r="BP48" s="427">
        <v>0</v>
      </c>
      <c r="BQ48" s="427">
        <v>0</v>
      </c>
      <c r="BR48" s="427">
        <v>0</v>
      </c>
      <c r="BS48" s="427">
        <v>0</v>
      </c>
      <c r="BT48" s="427">
        <v>0</v>
      </c>
      <c r="BU48" s="427">
        <v>0</v>
      </c>
      <c r="BV48" s="427">
        <v>0</v>
      </c>
      <c r="BW48" s="427">
        <v>0</v>
      </c>
      <c r="BX48" s="427">
        <v>0</v>
      </c>
      <c r="BY48" s="427">
        <v>0</v>
      </c>
      <c r="BZ48" s="427">
        <v>0</v>
      </c>
      <c r="CA48" s="427">
        <v>0</v>
      </c>
      <c r="CB48" s="427">
        <v>0</v>
      </c>
      <c r="CC48" s="427">
        <v>0</v>
      </c>
      <c r="CD48" s="427">
        <v>0</v>
      </c>
      <c r="CE48" s="427">
        <v>0</v>
      </c>
      <c r="CF48" s="427">
        <v>0</v>
      </c>
      <c r="CG48" s="427">
        <v>0</v>
      </c>
      <c r="CH48" s="427">
        <v>0</v>
      </c>
      <c r="CI48" s="427">
        <v>0</v>
      </c>
      <c r="CJ48" s="427">
        <v>0</v>
      </c>
      <c r="CK48" s="428">
        <v>0</v>
      </c>
      <c r="CL48" s="428">
        <v>0</v>
      </c>
      <c r="CM48" s="428">
        <v>0</v>
      </c>
      <c r="CN48" s="428">
        <v>0</v>
      </c>
      <c r="CO48" s="428">
        <v>0</v>
      </c>
      <c r="CP48" s="428">
        <v>0</v>
      </c>
      <c r="CQ48" s="428">
        <v>0</v>
      </c>
      <c r="CR48" s="428">
        <v>0</v>
      </c>
      <c r="CS48" s="428">
        <v>0</v>
      </c>
      <c r="CT48" s="428">
        <v>0</v>
      </c>
      <c r="CU48" s="428">
        <v>0</v>
      </c>
      <c r="CV48" s="428">
        <v>0</v>
      </c>
      <c r="CW48" s="428">
        <v>0</v>
      </c>
      <c r="CX48" s="428"/>
      <c r="CY48" s="428"/>
      <c r="CZ48" s="428"/>
      <c r="DA48" s="428"/>
      <c r="DB48" s="428"/>
      <c r="DC48" s="428"/>
      <c r="DD48" s="428"/>
      <c r="DE48" s="428"/>
      <c r="DF48" s="428"/>
      <c r="DG48" s="428"/>
      <c r="DH48" s="428"/>
      <c r="DI48" s="428"/>
    </row>
    <row r="49" spans="1:113" s="388" customFormat="1">
      <c r="A49" s="421" t="s">
        <v>370</v>
      </c>
      <c r="B49" s="421" t="s">
        <v>241</v>
      </c>
      <c r="C49" s="421" t="s">
        <v>394</v>
      </c>
      <c r="D49" s="422" t="s">
        <v>376</v>
      </c>
      <c r="E49" s="422">
        <v>2019</v>
      </c>
      <c r="F49" s="423">
        <v>0.76639981279010416</v>
      </c>
      <c r="G49" s="424">
        <v>208.89800000003913</v>
      </c>
      <c r="H49" s="422">
        <v>18</v>
      </c>
      <c r="I49" s="425">
        <v>0.56653086399822961</v>
      </c>
      <c r="J49" s="425">
        <v>0.56653086399822961</v>
      </c>
      <c r="K49" s="422">
        <v>0</v>
      </c>
      <c r="L49" s="422">
        <v>0</v>
      </c>
      <c r="M49" s="422">
        <v>0</v>
      </c>
      <c r="N49" s="426">
        <v>5</v>
      </c>
      <c r="O49" s="426">
        <v>0</v>
      </c>
      <c r="P49" s="426">
        <v>0</v>
      </c>
      <c r="Q49" s="426">
        <v>0</v>
      </c>
      <c r="R49" s="426">
        <v>0</v>
      </c>
      <c r="S49" s="426">
        <v>2.3268443092607671</v>
      </c>
      <c r="T49" s="426">
        <v>2.3268443092607671</v>
      </c>
      <c r="U49" s="426">
        <v>2.3268443092607671</v>
      </c>
      <c r="V49" s="426">
        <v>2.3268443092607671</v>
      </c>
      <c r="W49" s="426">
        <v>2.3268443092607671</v>
      </c>
      <c r="X49" s="426">
        <v>2.3268443092607671</v>
      </c>
      <c r="Y49" s="426">
        <v>2.3268443092607671</v>
      </c>
      <c r="Z49" s="426">
        <v>2.3268443092607671</v>
      </c>
      <c r="AA49" s="426">
        <v>2.3268443092607671</v>
      </c>
      <c r="AB49" s="426">
        <v>2.3268443092607671</v>
      </c>
      <c r="AC49" s="426">
        <v>2.3268443092607671</v>
      </c>
      <c r="AD49" s="426">
        <v>2.3268443092607671</v>
      </c>
      <c r="AE49" s="426">
        <v>2.3268443092607671</v>
      </c>
      <c r="AF49" s="426">
        <v>2.3268443092607671</v>
      </c>
      <c r="AG49" s="426">
        <v>2.3268443092607671</v>
      </c>
      <c r="AH49" s="426">
        <v>2.3268443092607671</v>
      </c>
      <c r="AI49" s="426">
        <v>2.3268443092607671</v>
      </c>
      <c r="AJ49" s="426">
        <v>2.3268443092607671</v>
      </c>
      <c r="AK49" s="426">
        <v>0</v>
      </c>
      <c r="AL49" s="426">
        <v>0</v>
      </c>
      <c r="AM49" s="427">
        <v>0</v>
      </c>
      <c r="AN49" s="427">
        <v>0</v>
      </c>
      <c r="AO49" s="427">
        <v>0</v>
      </c>
      <c r="AP49" s="427">
        <v>0</v>
      </c>
      <c r="AQ49" s="427">
        <v>0</v>
      </c>
      <c r="AR49" s="427">
        <v>634.22917699637901</v>
      </c>
      <c r="AS49" s="427">
        <v>634.22917699637901</v>
      </c>
      <c r="AT49" s="427">
        <v>634.22917699637901</v>
      </c>
      <c r="AU49" s="427">
        <v>634.22917699637901</v>
      </c>
      <c r="AV49" s="427">
        <v>634.22917699637901</v>
      </c>
      <c r="AW49" s="427">
        <v>634.22917699637901</v>
      </c>
      <c r="AX49" s="427">
        <v>634.22917699637901</v>
      </c>
      <c r="AY49" s="427">
        <v>634.22917699637901</v>
      </c>
      <c r="AZ49" s="427">
        <v>634.22917699637901</v>
      </c>
      <c r="BA49" s="427">
        <v>634.22917699637901</v>
      </c>
      <c r="BB49" s="427">
        <v>634.22917699637901</v>
      </c>
      <c r="BC49" s="427">
        <v>634.22917699637901</v>
      </c>
      <c r="BD49" s="427">
        <v>634.22917699637901</v>
      </c>
      <c r="BE49" s="427">
        <v>634.22917699637901</v>
      </c>
      <c r="BF49" s="427">
        <v>634.22917699637901</v>
      </c>
      <c r="BG49" s="427">
        <v>634.22917699637901</v>
      </c>
      <c r="BH49" s="427">
        <v>634.22917699637901</v>
      </c>
      <c r="BI49" s="427">
        <v>634.22917699637901</v>
      </c>
      <c r="BJ49" s="427">
        <v>0</v>
      </c>
      <c r="BK49" s="427">
        <v>0</v>
      </c>
      <c r="BL49" s="427">
        <v>0</v>
      </c>
      <c r="BM49" s="427">
        <v>0</v>
      </c>
      <c r="BN49" s="427">
        <v>0</v>
      </c>
      <c r="BO49" s="427">
        <v>0</v>
      </c>
      <c r="BP49" s="427">
        <v>0</v>
      </c>
      <c r="BQ49" s="427">
        <v>0</v>
      </c>
      <c r="BR49" s="427">
        <v>0</v>
      </c>
      <c r="BS49" s="427">
        <v>0</v>
      </c>
      <c r="BT49" s="427">
        <v>0</v>
      </c>
      <c r="BU49" s="427">
        <v>0</v>
      </c>
      <c r="BV49" s="427">
        <v>0</v>
      </c>
      <c r="BW49" s="427">
        <v>0</v>
      </c>
      <c r="BX49" s="427">
        <v>0</v>
      </c>
      <c r="BY49" s="427">
        <v>0</v>
      </c>
      <c r="BZ49" s="427">
        <v>0</v>
      </c>
      <c r="CA49" s="427">
        <v>0</v>
      </c>
      <c r="CB49" s="427">
        <v>0</v>
      </c>
      <c r="CC49" s="427">
        <v>0</v>
      </c>
      <c r="CD49" s="427">
        <v>0</v>
      </c>
      <c r="CE49" s="427">
        <v>0</v>
      </c>
      <c r="CF49" s="427">
        <v>0</v>
      </c>
      <c r="CG49" s="427">
        <v>0</v>
      </c>
      <c r="CH49" s="427">
        <v>0</v>
      </c>
      <c r="CI49" s="427">
        <v>0</v>
      </c>
      <c r="CJ49" s="427">
        <v>0</v>
      </c>
      <c r="CK49" s="428">
        <v>0</v>
      </c>
      <c r="CL49" s="428">
        <v>0</v>
      </c>
      <c r="CM49" s="428">
        <v>0</v>
      </c>
      <c r="CN49" s="428">
        <v>0</v>
      </c>
      <c r="CO49" s="428">
        <v>0</v>
      </c>
      <c r="CP49" s="428">
        <v>0</v>
      </c>
      <c r="CQ49" s="428">
        <v>0</v>
      </c>
      <c r="CR49" s="428">
        <v>0</v>
      </c>
      <c r="CS49" s="428">
        <v>0</v>
      </c>
      <c r="CT49" s="428">
        <v>0</v>
      </c>
      <c r="CU49" s="428">
        <v>0</v>
      </c>
      <c r="CV49" s="428">
        <v>0</v>
      </c>
      <c r="CW49" s="428">
        <v>0</v>
      </c>
      <c r="CX49" s="428"/>
      <c r="CY49" s="428"/>
      <c r="CZ49" s="428"/>
      <c r="DA49" s="428"/>
      <c r="DB49" s="428"/>
      <c r="DC49" s="428"/>
      <c r="DD49" s="428"/>
      <c r="DE49" s="428"/>
      <c r="DF49" s="428"/>
      <c r="DG49" s="428"/>
      <c r="DH49" s="428"/>
      <c r="DI49" s="428"/>
    </row>
    <row r="50" spans="1:113" s="388" customFormat="1">
      <c r="A50" s="421" t="s">
        <v>370</v>
      </c>
      <c r="B50" s="421" t="s">
        <v>241</v>
      </c>
      <c r="C50" s="421" t="s">
        <v>394</v>
      </c>
      <c r="D50" s="422" t="s">
        <v>376</v>
      </c>
      <c r="E50" s="422">
        <v>2020</v>
      </c>
      <c r="F50" s="423">
        <v>0.76639981279010416</v>
      </c>
      <c r="G50" s="424">
        <v>208.89800000003913</v>
      </c>
      <c r="H50" s="422">
        <v>18</v>
      </c>
      <c r="I50" s="425">
        <v>0.56653086399822961</v>
      </c>
      <c r="J50" s="425">
        <v>0.56653086399822961</v>
      </c>
      <c r="K50" s="422">
        <v>0</v>
      </c>
      <c r="L50" s="422">
        <v>0</v>
      </c>
      <c r="M50" s="422">
        <v>0</v>
      </c>
      <c r="N50" s="426">
        <v>5</v>
      </c>
      <c r="O50" s="426">
        <v>0</v>
      </c>
      <c r="P50" s="426">
        <v>0</v>
      </c>
      <c r="Q50" s="426">
        <v>0</v>
      </c>
      <c r="R50" s="426">
        <v>0</v>
      </c>
      <c r="S50" s="426">
        <v>0</v>
      </c>
      <c r="T50" s="426">
        <v>2.3268443092607671</v>
      </c>
      <c r="U50" s="426">
        <v>2.3268443092607671</v>
      </c>
      <c r="V50" s="426">
        <v>2.3268443092607671</v>
      </c>
      <c r="W50" s="426">
        <v>2.3268443092607671</v>
      </c>
      <c r="X50" s="426">
        <v>2.3268443092607671</v>
      </c>
      <c r="Y50" s="426">
        <v>2.3268443092607671</v>
      </c>
      <c r="Z50" s="426">
        <v>2.3268443092607671</v>
      </c>
      <c r="AA50" s="426">
        <v>2.3268443092607671</v>
      </c>
      <c r="AB50" s="426">
        <v>2.3268443092607671</v>
      </c>
      <c r="AC50" s="426">
        <v>2.3268443092607671</v>
      </c>
      <c r="AD50" s="426">
        <v>2.3268443092607671</v>
      </c>
      <c r="AE50" s="426">
        <v>2.3268443092607671</v>
      </c>
      <c r="AF50" s="426">
        <v>2.3268443092607671</v>
      </c>
      <c r="AG50" s="426">
        <v>2.3268443092607671</v>
      </c>
      <c r="AH50" s="426">
        <v>2.3268443092607671</v>
      </c>
      <c r="AI50" s="426">
        <v>2.3268443092607671</v>
      </c>
      <c r="AJ50" s="426">
        <v>2.3268443092607671</v>
      </c>
      <c r="AK50" s="426">
        <v>2.3268443092607671</v>
      </c>
      <c r="AL50" s="426">
        <v>0</v>
      </c>
      <c r="AM50" s="427">
        <v>0</v>
      </c>
      <c r="AN50" s="427">
        <v>0</v>
      </c>
      <c r="AO50" s="427">
        <v>0</v>
      </c>
      <c r="AP50" s="427">
        <v>0</v>
      </c>
      <c r="AQ50" s="427">
        <v>0</v>
      </c>
      <c r="AR50" s="427">
        <v>0</v>
      </c>
      <c r="AS50" s="427">
        <v>634.22917699637901</v>
      </c>
      <c r="AT50" s="427">
        <v>634.22917699637901</v>
      </c>
      <c r="AU50" s="427">
        <v>634.22917699637901</v>
      </c>
      <c r="AV50" s="427">
        <v>634.22917699637901</v>
      </c>
      <c r="AW50" s="427">
        <v>634.22917699637901</v>
      </c>
      <c r="AX50" s="427">
        <v>634.22917699637901</v>
      </c>
      <c r="AY50" s="427">
        <v>634.22917699637901</v>
      </c>
      <c r="AZ50" s="427">
        <v>634.22917699637901</v>
      </c>
      <c r="BA50" s="427">
        <v>634.22917699637901</v>
      </c>
      <c r="BB50" s="427">
        <v>634.22917699637901</v>
      </c>
      <c r="BC50" s="427">
        <v>634.22917699637901</v>
      </c>
      <c r="BD50" s="427">
        <v>634.22917699637901</v>
      </c>
      <c r="BE50" s="427">
        <v>634.22917699637901</v>
      </c>
      <c r="BF50" s="427">
        <v>634.22917699637901</v>
      </c>
      <c r="BG50" s="427">
        <v>634.22917699637901</v>
      </c>
      <c r="BH50" s="427">
        <v>634.22917699637901</v>
      </c>
      <c r="BI50" s="427">
        <v>634.22917699637901</v>
      </c>
      <c r="BJ50" s="427">
        <v>634.22917699637901</v>
      </c>
      <c r="BK50" s="427">
        <v>0</v>
      </c>
      <c r="BL50" s="427">
        <v>0</v>
      </c>
      <c r="BM50" s="427">
        <v>0</v>
      </c>
      <c r="BN50" s="427">
        <v>0</v>
      </c>
      <c r="BO50" s="427">
        <v>0</v>
      </c>
      <c r="BP50" s="427">
        <v>0</v>
      </c>
      <c r="BQ50" s="427">
        <v>0</v>
      </c>
      <c r="BR50" s="427">
        <v>0</v>
      </c>
      <c r="BS50" s="427">
        <v>0</v>
      </c>
      <c r="BT50" s="427">
        <v>0</v>
      </c>
      <c r="BU50" s="427">
        <v>0</v>
      </c>
      <c r="BV50" s="427">
        <v>0</v>
      </c>
      <c r="BW50" s="427">
        <v>0</v>
      </c>
      <c r="BX50" s="427">
        <v>0</v>
      </c>
      <c r="BY50" s="427">
        <v>0</v>
      </c>
      <c r="BZ50" s="427">
        <v>0</v>
      </c>
      <c r="CA50" s="427">
        <v>0</v>
      </c>
      <c r="CB50" s="427">
        <v>0</v>
      </c>
      <c r="CC50" s="427">
        <v>0</v>
      </c>
      <c r="CD50" s="427">
        <v>0</v>
      </c>
      <c r="CE50" s="427">
        <v>0</v>
      </c>
      <c r="CF50" s="427">
        <v>0</v>
      </c>
      <c r="CG50" s="427">
        <v>0</v>
      </c>
      <c r="CH50" s="427">
        <v>0</v>
      </c>
      <c r="CI50" s="427">
        <v>0</v>
      </c>
      <c r="CJ50" s="427">
        <v>0</v>
      </c>
      <c r="CK50" s="428">
        <v>0</v>
      </c>
      <c r="CL50" s="428">
        <v>0</v>
      </c>
      <c r="CM50" s="428">
        <v>0</v>
      </c>
      <c r="CN50" s="428">
        <v>0</v>
      </c>
      <c r="CO50" s="428">
        <v>0</v>
      </c>
      <c r="CP50" s="428">
        <v>0</v>
      </c>
      <c r="CQ50" s="428">
        <v>0</v>
      </c>
      <c r="CR50" s="428">
        <v>0</v>
      </c>
      <c r="CS50" s="428">
        <v>0</v>
      </c>
      <c r="CT50" s="428">
        <v>0</v>
      </c>
      <c r="CU50" s="428">
        <v>0</v>
      </c>
      <c r="CV50" s="428">
        <v>0</v>
      </c>
      <c r="CW50" s="428">
        <v>0</v>
      </c>
      <c r="CX50" s="428"/>
      <c r="CY50" s="428"/>
      <c r="CZ50" s="428"/>
      <c r="DA50" s="428"/>
      <c r="DB50" s="428"/>
      <c r="DC50" s="428"/>
      <c r="DD50" s="428"/>
      <c r="DE50" s="428"/>
      <c r="DF50" s="428"/>
      <c r="DG50" s="428"/>
      <c r="DH50" s="428"/>
      <c r="DI50" s="428"/>
    </row>
    <row r="51" spans="1:113" s="388" customFormat="1">
      <c r="A51" s="421" t="s">
        <v>370</v>
      </c>
      <c r="B51" s="421" t="s">
        <v>241</v>
      </c>
      <c r="C51" s="421" t="s">
        <v>397</v>
      </c>
      <c r="D51" s="422" t="s">
        <v>376</v>
      </c>
      <c r="E51" s="422">
        <v>2015</v>
      </c>
      <c r="F51" s="423">
        <v>0.43888966323343315</v>
      </c>
      <c r="G51" s="424">
        <v>1089.5241408498014</v>
      </c>
      <c r="H51" s="422">
        <v>19</v>
      </c>
      <c r="I51" s="425">
        <v>0.46860120183473908</v>
      </c>
      <c r="J51" s="425">
        <v>0.46860120183473908</v>
      </c>
      <c r="K51" s="422">
        <v>0</v>
      </c>
      <c r="L51" s="422">
        <v>0</v>
      </c>
      <c r="M51" s="422">
        <v>0</v>
      </c>
      <c r="N51" s="426">
        <v>180</v>
      </c>
      <c r="O51" s="426">
        <v>39.677985272803348</v>
      </c>
      <c r="P51" s="426">
        <v>39.677985272803348</v>
      </c>
      <c r="Q51" s="426">
        <v>39.677985272803348</v>
      </c>
      <c r="R51" s="426">
        <v>39.677985272803348</v>
      </c>
      <c r="S51" s="426">
        <v>39.677985272803348</v>
      </c>
      <c r="T51" s="426">
        <v>39.677985272803348</v>
      </c>
      <c r="U51" s="426">
        <v>39.677985272803348</v>
      </c>
      <c r="V51" s="426">
        <v>39.677985272803348</v>
      </c>
      <c r="W51" s="426">
        <v>39.677985272803348</v>
      </c>
      <c r="X51" s="426">
        <v>39.677985272803348</v>
      </c>
      <c r="Y51" s="426">
        <v>39.677985272803348</v>
      </c>
      <c r="Z51" s="426">
        <v>39.677985272803348</v>
      </c>
      <c r="AA51" s="426">
        <v>39.677985272803348</v>
      </c>
      <c r="AB51" s="426">
        <v>39.677985272803348</v>
      </c>
      <c r="AC51" s="426">
        <v>39.677985272803348</v>
      </c>
      <c r="AD51" s="426">
        <v>39.677985272803348</v>
      </c>
      <c r="AE51" s="426">
        <v>39.677985272803348</v>
      </c>
      <c r="AF51" s="426">
        <v>39.677985272803348</v>
      </c>
      <c r="AG51" s="426">
        <v>39.677985272803348</v>
      </c>
      <c r="AH51" s="426">
        <v>0</v>
      </c>
      <c r="AI51" s="426">
        <v>0</v>
      </c>
      <c r="AJ51" s="426">
        <v>0</v>
      </c>
      <c r="AK51" s="426">
        <v>0</v>
      </c>
      <c r="AL51" s="426">
        <v>0</v>
      </c>
      <c r="AM51" s="427">
        <v>0</v>
      </c>
      <c r="AN51" s="427">
        <v>98498.840224471729</v>
      </c>
      <c r="AO51" s="427">
        <v>98498.840224471729</v>
      </c>
      <c r="AP51" s="427">
        <v>98498.840224471729</v>
      </c>
      <c r="AQ51" s="427">
        <v>98498.840224471729</v>
      </c>
      <c r="AR51" s="427">
        <v>98498.840224471729</v>
      </c>
      <c r="AS51" s="427">
        <v>98498.840224471729</v>
      </c>
      <c r="AT51" s="427">
        <v>98498.840224471729</v>
      </c>
      <c r="AU51" s="427">
        <v>98498.840224471729</v>
      </c>
      <c r="AV51" s="427">
        <v>98498.840224471729</v>
      </c>
      <c r="AW51" s="427">
        <v>98498.840224471729</v>
      </c>
      <c r="AX51" s="427">
        <v>98498.840224471729</v>
      </c>
      <c r="AY51" s="427">
        <v>98498.840224471729</v>
      </c>
      <c r="AZ51" s="427">
        <v>98498.840224471729</v>
      </c>
      <c r="BA51" s="427">
        <v>98498.840224471729</v>
      </c>
      <c r="BB51" s="427">
        <v>98498.840224471729</v>
      </c>
      <c r="BC51" s="427">
        <v>98498.840224471729</v>
      </c>
      <c r="BD51" s="427">
        <v>98498.840224471729</v>
      </c>
      <c r="BE51" s="427">
        <v>98498.840224471729</v>
      </c>
      <c r="BF51" s="427">
        <v>98498.840224471729</v>
      </c>
      <c r="BG51" s="427">
        <v>0</v>
      </c>
      <c r="BH51" s="427">
        <v>0</v>
      </c>
      <c r="BI51" s="427">
        <v>0</v>
      </c>
      <c r="BJ51" s="427">
        <v>0</v>
      </c>
      <c r="BK51" s="427">
        <v>0</v>
      </c>
      <c r="BL51" s="427">
        <v>0</v>
      </c>
      <c r="BM51" s="427">
        <v>0</v>
      </c>
      <c r="BN51" s="427">
        <v>0</v>
      </c>
      <c r="BO51" s="427">
        <v>0</v>
      </c>
      <c r="BP51" s="427">
        <v>0</v>
      </c>
      <c r="BQ51" s="427">
        <v>0</v>
      </c>
      <c r="BR51" s="427">
        <v>0</v>
      </c>
      <c r="BS51" s="427">
        <v>0</v>
      </c>
      <c r="BT51" s="427">
        <v>0</v>
      </c>
      <c r="BU51" s="427">
        <v>0</v>
      </c>
      <c r="BV51" s="427">
        <v>0</v>
      </c>
      <c r="BW51" s="427">
        <v>0</v>
      </c>
      <c r="BX51" s="427">
        <v>0</v>
      </c>
      <c r="BY51" s="427">
        <v>0</v>
      </c>
      <c r="BZ51" s="427">
        <v>0</v>
      </c>
      <c r="CA51" s="427">
        <v>0</v>
      </c>
      <c r="CB51" s="427">
        <v>0</v>
      </c>
      <c r="CC51" s="427">
        <v>0</v>
      </c>
      <c r="CD51" s="427">
        <v>0</v>
      </c>
      <c r="CE51" s="427">
        <v>0</v>
      </c>
      <c r="CF51" s="427">
        <v>0</v>
      </c>
      <c r="CG51" s="427">
        <v>0</v>
      </c>
      <c r="CH51" s="427">
        <v>0</v>
      </c>
      <c r="CI51" s="427">
        <v>0</v>
      </c>
      <c r="CJ51" s="427">
        <v>0</v>
      </c>
      <c r="CK51" s="428">
        <v>0</v>
      </c>
      <c r="CL51" s="428">
        <v>0</v>
      </c>
      <c r="CM51" s="428">
        <v>0</v>
      </c>
      <c r="CN51" s="428">
        <v>0</v>
      </c>
      <c r="CO51" s="428">
        <v>0</v>
      </c>
      <c r="CP51" s="428">
        <v>0</v>
      </c>
      <c r="CQ51" s="428">
        <v>0</v>
      </c>
      <c r="CR51" s="428">
        <v>0</v>
      </c>
      <c r="CS51" s="428">
        <v>0</v>
      </c>
      <c r="CT51" s="428">
        <v>0</v>
      </c>
      <c r="CU51" s="428">
        <v>0</v>
      </c>
      <c r="CV51" s="428">
        <v>0</v>
      </c>
      <c r="CW51" s="428">
        <v>0</v>
      </c>
      <c r="CX51" s="428"/>
      <c r="CY51" s="428"/>
      <c r="CZ51" s="428"/>
      <c r="DA51" s="428"/>
      <c r="DB51" s="428"/>
      <c r="DC51" s="428"/>
      <c r="DD51" s="428"/>
      <c r="DE51" s="428"/>
      <c r="DF51" s="428"/>
      <c r="DG51" s="428"/>
      <c r="DH51" s="428"/>
      <c r="DI51" s="428"/>
    </row>
    <row r="52" spans="1:113" s="388" customFormat="1">
      <c r="A52" s="421" t="s">
        <v>370</v>
      </c>
      <c r="B52" s="421" t="s">
        <v>241</v>
      </c>
      <c r="C52" s="421" t="s">
        <v>397</v>
      </c>
      <c r="D52" s="422" t="s">
        <v>376</v>
      </c>
      <c r="E52" s="422">
        <v>2016</v>
      </c>
      <c r="F52" s="423">
        <v>0.43888966323343315</v>
      </c>
      <c r="G52" s="424">
        <v>1089.5241408498014</v>
      </c>
      <c r="H52" s="422">
        <v>19</v>
      </c>
      <c r="I52" s="425">
        <v>0.46860120183473908</v>
      </c>
      <c r="J52" s="425">
        <v>0.46860120183473908</v>
      </c>
      <c r="K52" s="422">
        <v>0</v>
      </c>
      <c r="L52" s="422">
        <v>0</v>
      </c>
      <c r="M52" s="422">
        <v>0</v>
      </c>
      <c r="N52" s="426">
        <v>200</v>
      </c>
      <c r="O52" s="426">
        <v>0</v>
      </c>
      <c r="P52" s="426">
        <v>44.08665030311483</v>
      </c>
      <c r="Q52" s="426">
        <v>44.08665030311483</v>
      </c>
      <c r="R52" s="426">
        <v>44.08665030311483</v>
      </c>
      <c r="S52" s="426">
        <v>44.08665030311483</v>
      </c>
      <c r="T52" s="426">
        <v>44.08665030311483</v>
      </c>
      <c r="U52" s="426">
        <v>44.08665030311483</v>
      </c>
      <c r="V52" s="426">
        <v>44.08665030311483</v>
      </c>
      <c r="W52" s="426">
        <v>44.08665030311483</v>
      </c>
      <c r="X52" s="426">
        <v>44.08665030311483</v>
      </c>
      <c r="Y52" s="426">
        <v>44.08665030311483</v>
      </c>
      <c r="Z52" s="426">
        <v>44.08665030311483</v>
      </c>
      <c r="AA52" s="426">
        <v>44.08665030311483</v>
      </c>
      <c r="AB52" s="426">
        <v>44.08665030311483</v>
      </c>
      <c r="AC52" s="426">
        <v>44.08665030311483</v>
      </c>
      <c r="AD52" s="426">
        <v>44.08665030311483</v>
      </c>
      <c r="AE52" s="426">
        <v>44.08665030311483</v>
      </c>
      <c r="AF52" s="426">
        <v>44.08665030311483</v>
      </c>
      <c r="AG52" s="426">
        <v>44.08665030311483</v>
      </c>
      <c r="AH52" s="426">
        <v>44.08665030311483</v>
      </c>
      <c r="AI52" s="426">
        <v>0</v>
      </c>
      <c r="AJ52" s="426">
        <v>0</v>
      </c>
      <c r="AK52" s="426">
        <v>0</v>
      </c>
      <c r="AL52" s="426">
        <v>0</v>
      </c>
      <c r="AM52" s="427">
        <v>0</v>
      </c>
      <c r="AN52" s="427">
        <v>0</v>
      </c>
      <c r="AO52" s="427">
        <v>109443.1558049686</v>
      </c>
      <c r="AP52" s="427">
        <v>109443.1558049686</v>
      </c>
      <c r="AQ52" s="427">
        <v>109443.1558049686</v>
      </c>
      <c r="AR52" s="427">
        <v>109443.1558049686</v>
      </c>
      <c r="AS52" s="427">
        <v>109443.1558049686</v>
      </c>
      <c r="AT52" s="427">
        <v>109443.1558049686</v>
      </c>
      <c r="AU52" s="427">
        <v>109443.1558049686</v>
      </c>
      <c r="AV52" s="427">
        <v>109443.1558049686</v>
      </c>
      <c r="AW52" s="427">
        <v>109443.1558049686</v>
      </c>
      <c r="AX52" s="427">
        <v>109443.1558049686</v>
      </c>
      <c r="AY52" s="427">
        <v>109443.1558049686</v>
      </c>
      <c r="AZ52" s="427">
        <v>109443.1558049686</v>
      </c>
      <c r="BA52" s="427">
        <v>109443.1558049686</v>
      </c>
      <c r="BB52" s="427">
        <v>109443.1558049686</v>
      </c>
      <c r="BC52" s="427">
        <v>109443.1558049686</v>
      </c>
      <c r="BD52" s="427">
        <v>109443.1558049686</v>
      </c>
      <c r="BE52" s="427">
        <v>109443.1558049686</v>
      </c>
      <c r="BF52" s="427">
        <v>109443.1558049686</v>
      </c>
      <c r="BG52" s="427">
        <v>109443.1558049686</v>
      </c>
      <c r="BH52" s="427">
        <v>0</v>
      </c>
      <c r="BI52" s="427">
        <v>0</v>
      </c>
      <c r="BJ52" s="427">
        <v>0</v>
      </c>
      <c r="BK52" s="427">
        <v>0</v>
      </c>
      <c r="BL52" s="427">
        <v>0</v>
      </c>
      <c r="BM52" s="427">
        <v>0</v>
      </c>
      <c r="BN52" s="427">
        <v>0</v>
      </c>
      <c r="BO52" s="427">
        <v>0</v>
      </c>
      <c r="BP52" s="427">
        <v>0</v>
      </c>
      <c r="BQ52" s="427">
        <v>0</v>
      </c>
      <c r="BR52" s="427">
        <v>0</v>
      </c>
      <c r="BS52" s="427">
        <v>0</v>
      </c>
      <c r="BT52" s="427">
        <v>0</v>
      </c>
      <c r="BU52" s="427">
        <v>0</v>
      </c>
      <c r="BV52" s="427">
        <v>0</v>
      </c>
      <c r="BW52" s="427">
        <v>0</v>
      </c>
      <c r="BX52" s="427">
        <v>0</v>
      </c>
      <c r="BY52" s="427">
        <v>0</v>
      </c>
      <c r="BZ52" s="427">
        <v>0</v>
      </c>
      <c r="CA52" s="427">
        <v>0</v>
      </c>
      <c r="CB52" s="427">
        <v>0</v>
      </c>
      <c r="CC52" s="427">
        <v>0</v>
      </c>
      <c r="CD52" s="427">
        <v>0</v>
      </c>
      <c r="CE52" s="427">
        <v>0</v>
      </c>
      <c r="CF52" s="427">
        <v>0</v>
      </c>
      <c r="CG52" s="427">
        <v>0</v>
      </c>
      <c r="CH52" s="427">
        <v>0</v>
      </c>
      <c r="CI52" s="427">
        <v>0</v>
      </c>
      <c r="CJ52" s="427">
        <v>0</v>
      </c>
      <c r="CK52" s="428">
        <v>0</v>
      </c>
      <c r="CL52" s="428">
        <v>0</v>
      </c>
      <c r="CM52" s="428">
        <v>0</v>
      </c>
      <c r="CN52" s="428">
        <v>0</v>
      </c>
      <c r="CO52" s="428">
        <v>0</v>
      </c>
      <c r="CP52" s="428">
        <v>0</v>
      </c>
      <c r="CQ52" s="428">
        <v>0</v>
      </c>
      <c r="CR52" s="428">
        <v>0</v>
      </c>
      <c r="CS52" s="428">
        <v>0</v>
      </c>
      <c r="CT52" s="428">
        <v>0</v>
      </c>
      <c r="CU52" s="428">
        <v>0</v>
      </c>
      <c r="CV52" s="428">
        <v>0</v>
      </c>
      <c r="CW52" s="428">
        <v>0</v>
      </c>
      <c r="CX52" s="428"/>
      <c r="CY52" s="428"/>
      <c r="CZ52" s="428"/>
      <c r="DA52" s="428"/>
      <c r="DB52" s="428"/>
      <c r="DC52" s="428"/>
      <c r="DD52" s="428"/>
      <c r="DE52" s="428"/>
      <c r="DF52" s="428"/>
      <c r="DG52" s="428"/>
      <c r="DH52" s="428"/>
      <c r="DI52" s="428"/>
    </row>
    <row r="53" spans="1:113" s="388" customFormat="1">
      <c r="A53" s="421" t="s">
        <v>370</v>
      </c>
      <c r="B53" s="421" t="s">
        <v>241</v>
      </c>
      <c r="C53" s="421" t="s">
        <v>397</v>
      </c>
      <c r="D53" s="422" t="s">
        <v>376</v>
      </c>
      <c r="E53" s="422">
        <v>2017</v>
      </c>
      <c r="F53" s="423">
        <v>0.43888966323343315</v>
      </c>
      <c r="G53" s="424">
        <v>1089.5241408498014</v>
      </c>
      <c r="H53" s="422">
        <v>19</v>
      </c>
      <c r="I53" s="425">
        <v>0.46860120183473908</v>
      </c>
      <c r="J53" s="425">
        <v>0.46860120183473908</v>
      </c>
      <c r="K53" s="422">
        <v>0</v>
      </c>
      <c r="L53" s="422">
        <v>0</v>
      </c>
      <c r="M53" s="422">
        <v>0</v>
      </c>
      <c r="N53" s="426">
        <v>20</v>
      </c>
      <c r="O53" s="426">
        <v>0</v>
      </c>
      <c r="P53" s="426">
        <v>0</v>
      </c>
      <c r="Q53" s="426">
        <v>4.4086650303114823</v>
      </c>
      <c r="R53" s="426">
        <v>4.4086650303114823</v>
      </c>
      <c r="S53" s="426">
        <v>4.4086650303114823</v>
      </c>
      <c r="T53" s="426">
        <v>4.4086650303114823</v>
      </c>
      <c r="U53" s="426">
        <v>4.4086650303114823</v>
      </c>
      <c r="V53" s="426">
        <v>4.4086650303114823</v>
      </c>
      <c r="W53" s="426">
        <v>4.4086650303114823</v>
      </c>
      <c r="X53" s="426">
        <v>4.4086650303114823</v>
      </c>
      <c r="Y53" s="426">
        <v>4.4086650303114823</v>
      </c>
      <c r="Z53" s="426">
        <v>4.4086650303114823</v>
      </c>
      <c r="AA53" s="426">
        <v>4.4086650303114823</v>
      </c>
      <c r="AB53" s="426">
        <v>4.4086650303114823</v>
      </c>
      <c r="AC53" s="426">
        <v>4.4086650303114823</v>
      </c>
      <c r="AD53" s="426">
        <v>4.4086650303114823</v>
      </c>
      <c r="AE53" s="426">
        <v>4.4086650303114823</v>
      </c>
      <c r="AF53" s="426">
        <v>4.4086650303114823</v>
      </c>
      <c r="AG53" s="426">
        <v>4.4086650303114823</v>
      </c>
      <c r="AH53" s="426">
        <v>4.4086650303114823</v>
      </c>
      <c r="AI53" s="426">
        <v>4.4086650303114823</v>
      </c>
      <c r="AJ53" s="426">
        <v>0</v>
      </c>
      <c r="AK53" s="426">
        <v>0</v>
      </c>
      <c r="AL53" s="426">
        <v>0</v>
      </c>
      <c r="AM53" s="427">
        <v>0</v>
      </c>
      <c r="AN53" s="427">
        <v>0</v>
      </c>
      <c r="AO53" s="427">
        <v>0</v>
      </c>
      <c r="AP53" s="427">
        <v>10944.315580496861</v>
      </c>
      <c r="AQ53" s="427">
        <v>10944.315580496861</v>
      </c>
      <c r="AR53" s="427">
        <v>10944.315580496861</v>
      </c>
      <c r="AS53" s="427">
        <v>10944.315580496861</v>
      </c>
      <c r="AT53" s="427">
        <v>10944.315580496861</v>
      </c>
      <c r="AU53" s="427">
        <v>10944.315580496861</v>
      </c>
      <c r="AV53" s="427">
        <v>10944.315580496861</v>
      </c>
      <c r="AW53" s="427">
        <v>10944.315580496861</v>
      </c>
      <c r="AX53" s="427">
        <v>10944.315580496861</v>
      </c>
      <c r="AY53" s="427">
        <v>10944.315580496861</v>
      </c>
      <c r="AZ53" s="427">
        <v>10944.315580496861</v>
      </c>
      <c r="BA53" s="427">
        <v>10944.315580496861</v>
      </c>
      <c r="BB53" s="427">
        <v>10944.315580496861</v>
      </c>
      <c r="BC53" s="427">
        <v>10944.315580496861</v>
      </c>
      <c r="BD53" s="427">
        <v>10944.315580496861</v>
      </c>
      <c r="BE53" s="427">
        <v>10944.315580496861</v>
      </c>
      <c r="BF53" s="427">
        <v>10944.315580496861</v>
      </c>
      <c r="BG53" s="427">
        <v>10944.315580496861</v>
      </c>
      <c r="BH53" s="427">
        <v>10944.315580496861</v>
      </c>
      <c r="BI53" s="427">
        <v>0</v>
      </c>
      <c r="BJ53" s="427">
        <v>0</v>
      </c>
      <c r="BK53" s="427">
        <v>0</v>
      </c>
      <c r="BL53" s="427">
        <v>0</v>
      </c>
      <c r="BM53" s="427">
        <v>0</v>
      </c>
      <c r="BN53" s="427">
        <v>0</v>
      </c>
      <c r="BO53" s="427">
        <v>0</v>
      </c>
      <c r="BP53" s="427">
        <v>0</v>
      </c>
      <c r="BQ53" s="427">
        <v>0</v>
      </c>
      <c r="BR53" s="427">
        <v>0</v>
      </c>
      <c r="BS53" s="427">
        <v>0</v>
      </c>
      <c r="BT53" s="427">
        <v>0</v>
      </c>
      <c r="BU53" s="427">
        <v>0</v>
      </c>
      <c r="BV53" s="427">
        <v>0</v>
      </c>
      <c r="BW53" s="427">
        <v>0</v>
      </c>
      <c r="BX53" s="427">
        <v>0</v>
      </c>
      <c r="BY53" s="427">
        <v>0</v>
      </c>
      <c r="BZ53" s="427">
        <v>0</v>
      </c>
      <c r="CA53" s="427">
        <v>0</v>
      </c>
      <c r="CB53" s="427">
        <v>0</v>
      </c>
      <c r="CC53" s="427">
        <v>0</v>
      </c>
      <c r="CD53" s="427">
        <v>0</v>
      </c>
      <c r="CE53" s="427">
        <v>0</v>
      </c>
      <c r="CF53" s="427">
        <v>0</v>
      </c>
      <c r="CG53" s="427">
        <v>0</v>
      </c>
      <c r="CH53" s="427">
        <v>0</v>
      </c>
      <c r="CI53" s="427">
        <v>0</v>
      </c>
      <c r="CJ53" s="427">
        <v>0</v>
      </c>
      <c r="CK53" s="428">
        <v>0</v>
      </c>
      <c r="CL53" s="428">
        <v>0</v>
      </c>
      <c r="CM53" s="428">
        <v>0</v>
      </c>
      <c r="CN53" s="428">
        <v>0</v>
      </c>
      <c r="CO53" s="428">
        <v>0</v>
      </c>
      <c r="CP53" s="428">
        <v>0</v>
      </c>
      <c r="CQ53" s="428">
        <v>0</v>
      </c>
      <c r="CR53" s="428">
        <v>0</v>
      </c>
      <c r="CS53" s="428">
        <v>0</v>
      </c>
      <c r="CT53" s="428">
        <v>0</v>
      </c>
      <c r="CU53" s="428">
        <v>0</v>
      </c>
      <c r="CV53" s="428">
        <v>0</v>
      </c>
      <c r="CW53" s="428">
        <v>0</v>
      </c>
      <c r="CX53" s="428"/>
      <c r="CY53" s="428"/>
      <c r="CZ53" s="428"/>
      <c r="DA53" s="428"/>
      <c r="DB53" s="428"/>
      <c r="DC53" s="428"/>
      <c r="DD53" s="428"/>
      <c r="DE53" s="428"/>
      <c r="DF53" s="428"/>
      <c r="DG53" s="428"/>
      <c r="DH53" s="428"/>
      <c r="DI53" s="428"/>
    </row>
    <row r="54" spans="1:113" s="388" customFormat="1">
      <c r="A54" s="421" t="s">
        <v>370</v>
      </c>
      <c r="B54" s="421" t="s">
        <v>241</v>
      </c>
      <c r="C54" s="421" t="s">
        <v>397</v>
      </c>
      <c r="D54" s="422" t="s">
        <v>376</v>
      </c>
      <c r="E54" s="422">
        <v>2018</v>
      </c>
      <c r="F54" s="423">
        <v>0.43888966323343315</v>
      </c>
      <c r="G54" s="424">
        <v>1089.5241408498014</v>
      </c>
      <c r="H54" s="422">
        <v>19</v>
      </c>
      <c r="I54" s="425">
        <v>0.46860120183473908</v>
      </c>
      <c r="J54" s="425">
        <v>0.46860120183473908</v>
      </c>
      <c r="K54" s="422">
        <v>0</v>
      </c>
      <c r="L54" s="422">
        <v>0</v>
      </c>
      <c r="M54" s="422">
        <v>0</v>
      </c>
      <c r="N54" s="426">
        <v>20</v>
      </c>
      <c r="O54" s="426">
        <v>0</v>
      </c>
      <c r="P54" s="426">
        <v>0</v>
      </c>
      <c r="Q54" s="426">
        <v>0</v>
      </c>
      <c r="R54" s="426">
        <v>4.4086650303114823</v>
      </c>
      <c r="S54" s="426">
        <v>4.4086650303114823</v>
      </c>
      <c r="T54" s="426">
        <v>4.4086650303114823</v>
      </c>
      <c r="U54" s="426">
        <v>4.4086650303114823</v>
      </c>
      <c r="V54" s="426">
        <v>4.4086650303114823</v>
      </c>
      <c r="W54" s="426">
        <v>4.4086650303114823</v>
      </c>
      <c r="X54" s="426">
        <v>4.4086650303114823</v>
      </c>
      <c r="Y54" s="426">
        <v>4.4086650303114823</v>
      </c>
      <c r="Z54" s="426">
        <v>4.4086650303114823</v>
      </c>
      <c r="AA54" s="426">
        <v>4.4086650303114823</v>
      </c>
      <c r="AB54" s="426">
        <v>4.4086650303114823</v>
      </c>
      <c r="AC54" s="426">
        <v>4.4086650303114823</v>
      </c>
      <c r="AD54" s="426">
        <v>4.4086650303114823</v>
      </c>
      <c r="AE54" s="426">
        <v>4.4086650303114823</v>
      </c>
      <c r="AF54" s="426">
        <v>4.4086650303114823</v>
      </c>
      <c r="AG54" s="426">
        <v>4.4086650303114823</v>
      </c>
      <c r="AH54" s="426">
        <v>4.4086650303114823</v>
      </c>
      <c r="AI54" s="426">
        <v>4.4086650303114823</v>
      </c>
      <c r="AJ54" s="426">
        <v>4.4086650303114823</v>
      </c>
      <c r="AK54" s="426">
        <v>0</v>
      </c>
      <c r="AL54" s="426">
        <v>0</v>
      </c>
      <c r="AM54" s="427">
        <v>0</v>
      </c>
      <c r="AN54" s="427">
        <v>0</v>
      </c>
      <c r="AO54" s="427">
        <v>0</v>
      </c>
      <c r="AP54" s="427">
        <v>0</v>
      </c>
      <c r="AQ54" s="427">
        <v>10944.315580496861</v>
      </c>
      <c r="AR54" s="427">
        <v>10944.315580496861</v>
      </c>
      <c r="AS54" s="427">
        <v>10944.315580496861</v>
      </c>
      <c r="AT54" s="427">
        <v>10944.315580496861</v>
      </c>
      <c r="AU54" s="427">
        <v>10944.315580496861</v>
      </c>
      <c r="AV54" s="427">
        <v>10944.315580496861</v>
      </c>
      <c r="AW54" s="427">
        <v>10944.315580496861</v>
      </c>
      <c r="AX54" s="427">
        <v>10944.315580496861</v>
      </c>
      <c r="AY54" s="427">
        <v>10944.315580496861</v>
      </c>
      <c r="AZ54" s="427">
        <v>10944.315580496861</v>
      </c>
      <c r="BA54" s="427">
        <v>10944.315580496861</v>
      </c>
      <c r="BB54" s="427">
        <v>10944.315580496861</v>
      </c>
      <c r="BC54" s="427">
        <v>10944.315580496861</v>
      </c>
      <c r="BD54" s="427">
        <v>10944.315580496861</v>
      </c>
      <c r="BE54" s="427">
        <v>10944.315580496861</v>
      </c>
      <c r="BF54" s="427">
        <v>10944.315580496861</v>
      </c>
      <c r="BG54" s="427">
        <v>10944.315580496861</v>
      </c>
      <c r="BH54" s="427">
        <v>10944.315580496861</v>
      </c>
      <c r="BI54" s="427">
        <v>10944.315580496861</v>
      </c>
      <c r="BJ54" s="427">
        <v>0</v>
      </c>
      <c r="BK54" s="427">
        <v>0</v>
      </c>
      <c r="BL54" s="427">
        <v>0</v>
      </c>
      <c r="BM54" s="427">
        <v>0</v>
      </c>
      <c r="BN54" s="427">
        <v>0</v>
      </c>
      <c r="BO54" s="427">
        <v>0</v>
      </c>
      <c r="BP54" s="427">
        <v>0</v>
      </c>
      <c r="BQ54" s="427">
        <v>0</v>
      </c>
      <c r="BR54" s="427">
        <v>0</v>
      </c>
      <c r="BS54" s="427">
        <v>0</v>
      </c>
      <c r="BT54" s="427">
        <v>0</v>
      </c>
      <c r="BU54" s="427">
        <v>0</v>
      </c>
      <c r="BV54" s="427">
        <v>0</v>
      </c>
      <c r="BW54" s="427">
        <v>0</v>
      </c>
      <c r="BX54" s="427">
        <v>0</v>
      </c>
      <c r="BY54" s="427">
        <v>0</v>
      </c>
      <c r="BZ54" s="427">
        <v>0</v>
      </c>
      <c r="CA54" s="427">
        <v>0</v>
      </c>
      <c r="CB54" s="427">
        <v>0</v>
      </c>
      <c r="CC54" s="427">
        <v>0</v>
      </c>
      <c r="CD54" s="427">
        <v>0</v>
      </c>
      <c r="CE54" s="427">
        <v>0</v>
      </c>
      <c r="CF54" s="427">
        <v>0</v>
      </c>
      <c r="CG54" s="427">
        <v>0</v>
      </c>
      <c r="CH54" s="427">
        <v>0</v>
      </c>
      <c r="CI54" s="427">
        <v>0</v>
      </c>
      <c r="CJ54" s="427">
        <v>0</v>
      </c>
      <c r="CK54" s="428">
        <v>0</v>
      </c>
      <c r="CL54" s="428">
        <v>0</v>
      </c>
      <c r="CM54" s="428">
        <v>0</v>
      </c>
      <c r="CN54" s="428">
        <v>0</v>
      </c>
      <c r="CO54" s="428">
        <v>0</v>
      </c>
      <c r="CP54" s="428">
        <v>0</v>
      </c>
      <c r="CQ54" s="428">
        <v>0</v>
      </c>
      <c r="CR54" s="428">
        <v>0</v>
      </c>
      <c r="CS54" s="428">
        <v>0</v>
      </c>
      <c r="CT54" s="428">
        <v>0</v>
      </c>
      <c r="CU54" s="428">
        <v>0</v>
      </c>
      <c r="CV54" s="428">
        <v>0</v>
      </c>
      <c r="CW54" s="428">
        <v>0</v>
      </c>
      <c r="CX54" s="428"/>
      <c r="CY54" s="428"/>
      <c r="CZ54" s="428"/>
      <c r="DA54" s="428"/>
      <c r="DB54" s="428"/>
      <c r="DC54" s="428"/>
      <c r="DD54" s="428"/>
      <c r="DE54" s="428"/>
      <c r="DF54" s="428"/>
      <c r="DG54" s="428"/>
      <c r="DH54" s="428"/>
      <c r="DI54" s="428"/>
    </row>
    <row r="55" spans="1:113" s="388" customFormat="1">
      <c r="A55" s="421" t="s">
        <v>370</v>
      </c>
      <c r="B55" s="421" t="s">
        <v>241</v>
      </c>
      <c r="C55" s="421" t="s">
        <v>397</v>
      </c>
      <c r="D55" s="422" t="s">
        <v>376</v>
      </c>
      <c r="E55" s="422">
        <v>2019</v>
      </c>
      <c r="F55" s="423">
        <v>0.43888966323343315</v>
      </c>
      <c r="G55" s="424">
        <v>1089.5241408498014</v>
      </c>
      <c r="H55" s="422">
        <v>19</v>
      </c>
      <c r="I55" s="425">
        <v>0.46860120183473908</v>
      </c>
      <c r="J55" s="425">
        <v>0.46860120183473908</v>
      </c>
      <c r="K55" s="422">
        <v>0</v>
      </c>
      <c r="L55" s="422">
        <v>0</v>
      </c>
      <c r="M55" s="422">
        <v>0</v>
      </c>
      <c r="N55" s="426">
        <v>20</v>
      </c>
      <c r="O55" s="426">
        <v>0</v>
      </c>
      <c r="P55" s="426">
        <v>0</v>
      </c>
      <c r="Q55" s="426">
        <v>0</v>
      </c>
      <c r="R55" s="426">
        <v>0</v>
      </c>
      <c r="S55" s="426">
        <v>4.4086650303114823</v>
      </c>
      <c r="T55" s="426">
        <v>4.4086650303114823</v>
      </c>
      <c r="U55" s="426">
        <v>4.4086650303114823</v>
      </c>
      <c r="V55" s="426">
        <v>4.4086650303114823</v>
      </c>
      <c r="W55" s="426">
        <v>4.4086650303114823</v>
      </c>
      <c r="X55" s="426">
        <v>4.4086650303114823</v>
      </c>
      <c r="Y55" s="426">
        <v>4.4086650303114823</v>
      </c>
      <c r="Z55" s="426">
        <v>4.4086650303114823</v>
      </c>
      <c r="AA55" s="426">
        <v>4.4086650303114823</v>
      </c>
      <c r="AB55" s="426">
        <v>4.4086650303114823</v>
      </c>
      <c r="AC55" s="426">
        <v>4.4086650303114823</v>
      </c>
      <c r="AD55" s="426">
        <v>4.4086650303114823</v>
      </c>
      <c r="AE55" s="426">
        <v>4.4086650303114823</v>
      </c>
      <c r="AF55" s="426">
        <v>4.4086650303114823</v>
      </c>
      <c r="AG55" s="426">
        <v>4.4086650303114823</v>
      </c>
      <c r="AH55" s="426">
        <v>4.4086650303114823</v>
      </c>
      <c r="AI55" s="426">
        <v>4.4086650303114823</v>
      </c>
      <c r="AJ55" s="426">
        <v>4.4086650303114823</v>
      </c>
      <c r="AK55" s="426">
        <v>4.4086650303114823</v>
      </c>
      <c r="AL55" s="426">
        <v>0</v>
      </c>
      <c r="AM55" s="427">
        <v>0</v>
      </c>
      <c r="AN55" s="427">
        <v>0</v>
      </c>
      <c r="AO55" s="427">
        <v>0</v>
      </c>
      <c r="AP55" s="427">
        <v>0</v>
      </c>
      <c r="AQ55" s="427">
        <v>0</v>
      </c>
      <c r="AR55" s="427">
        <v>10944.315580496861</v>
      </c>
      <c r="AS55" s="427">
        <v>10944.315580496861</v>
      </c>
      <c r="AT55" s="427">
        <v>10944.315580496861</v>
      </c>
      <c r="AU55" s="427">
        <v>10944.315580496861</v>
      </c>
      <c r="AV55" s="427">
        <v>10944.315580496861</v>
      </c>
      <c r="AW55" s="427">
        <v>10944.315580496861</v>
      </c>
      <c r="AX55" s="427">
        <v>10944.315580496861</v>
      </c>
      <c r="AY55" s="427">
        <v>10944.315580496861</v>
      </c>
      <c r="AZ55" s="427">
        <v>10944.315580496861</v>
      </c>
      <c r="BA55" s="427">
        <v>10944.315580496861</v>
      </c>
      <c r="BB55" s="427">
        <v>10944.315580496861</v>
      </c>
      <c r="BC55" s="427">
        <v>10944.315580496861</v>
      </c>
      <c r="BD55" s="427">
        <v>10944.315580496861</v>
      </c>
      <c r="BE55" s="427">
        <v>10944.315580496861</v>
      </c>
      <c r="BF55" s="427">
        <v>10944.315580496861</v>
      </c>
      <c r="BG55" s="427">
        <v>10944.315580496861</v>
      </c>
      <c r="BH55" s="427">
        <v>10944.315580496861</v>
      </c>
      <c r="BI55" s="427">
        <v>10944.315580496861</v>
      </c>
      <c r="BJ55" s="427">
        <v>10944.315580496861</v>
      </c>
      <c r="BK55" s="427">
        <v>0</v>
      </c>
      <c r="BL55" s="427">
        <v>0</v>
      </c>
      <c r="BM55" s="427">
        <v>0</v>
      </c>
      <c r="BN55" s="427">
        <v>0</v>
      </c>
      <c r="BO55" s="427">
        <v>0</v>
      </c>
      <c r="BP55" s="427">
        <v>0</v>
      </c>
      <c r="BQ55" s="427">
        <v>0</v>
      </c>
      <c r="BR55" s="427">
        <v>0</v>
      </c>
      <c r="BS55" s="427">
        <v>0</v>
      </c>
      <c r="BT55" s="427">
        <v>0</v>
      </c>
      <c r="BU55" s="427">
        <v>0</v>
      </c>
      <c r="BV55" s="427">
        <v>0</v>
      </c>
      <c r="BW55" s="427">
        <v>0</v>
      </c>
      <c r="BX55" s="427">
        <v>0</v>
      </c>
      <c r="BY55" s="427">
        <v>0</v>
      </c>
      <c r="BZ55" s="427">
        <v>0</v>
      </c>
      <c r="CA55" s="427">
        <v>0</v>
      </c>
      <c r="CB55" s="427">
        <v>0</v>
      </c>
      <c r="CC55" s="427">
        <v>0</v>
      </c>
      <c r="CD55" s="427">
        <v>0</v>
      </c>
      <c r="CE55" s="427">
        <v>0</v>
      </c>
      <c r="CF55" s="427">
        <v>0</v>
      </c>
      <c r="CG55" s="427">
        <v>0</v>
      </c>
      <c r="CH55" s="427">
        <v>0</v>
      </c>
      <c r="CI55" s="427">
        <v>0</v>
      </c>
      <c r="CJ55" s="427">
        <v>0</v>
      </c>
      <c r="CK55" s="428">
        <v>0</v>
      </c>
      <c r="CL55" s="428">
        <v>0</v>
      </c>
      <c r="CM55" s="428">
        <v>0</v>
      </c>
      <c r="CN55" s="428">
        <v>0</v>
      </c>
      <c r="CO55" s="428">
        <v>0</v>
      </c>
      <c r="CP55" s="428">
        <v>0</v>
      </c>
      <c r="CQ55" s="428">
        <v>0</v>
      </c>
      <c r="CR55" s="428">
        <v>0</v>
      </c>
      <c r="CS55" s="428">
        <v>0</v>
      </c>
      <c r="CT55" s="428">
        <v>0</v>
      </c>
      <c r="CU55" s="428">
        <v>0</v>
      </c>
      <c r="CV55" s="428">
        <v>0</v>
      </c>
      <c r="CW55" s="428">
        <v>0</v>
      </c>
      <c r="CX55" s="428"/>
      <c r="CY55" s="428"/>
      <c r="CZ55" s="428"/>
      <c r="DA55" s="428"/>
      <c r="DB55" s="428"/>
      <c r="DC55" s="428"/>
      <c r="DD55" s="428"/>
      <c r="DE55" s="428"/>
      <c r="DF55" s="428"/>
      <c r="DG55" s="428"/>
      <c r="DH55" s="428"/>
      <c r="DI55" s="428"/>
    </row>
    <row r="56" spans="1:113" s="388" customFormat="1">
      <c r="A56" s="421" t="s">
        <v>370</v>
      </c>
      <c r="B56" s="421" t="s">
        <v>241</v>
      </c>
      <c r="C56" s="421" t="s">
        <v>397</v>
      </c>
      <c r="D56" s="422" t="s">
        <v>376</v>
      </c>
      <c r="E56" s="422">
        <v>2020</v>
      </c>
      <c r="F56" s="423">
        <v>0.43888966323343315</v>
      </c>
      <c r="G56" s="424">
        <v>1089.5241408498014</v>
      </c>
      <c r="H56" s="422">
        <v>19</v>
      </c>
      <c r="I56" s="425">
        <v>0.46860120183473908</v>
      </c>
      <c r="J56" s="425">
        <v>0.46860120183473908</v>
      </c>
      <c r="K56" s="422">
        <v>0</v>
      </c>
      <c r="L56" s="422">
        <v>0</v>
      </c>
      <c r="M56" s="422">
        <v>0</v>
      </c>
      <c r="N56" s="426">
        <v>20</v>
      </c>
      <c r="O56" s="426">
        <v>0</v>
      </c>
      <c r="P56" s="426">
        <v>0</v>
      </c>
      <c r="Q56" s="426">
        <v>0</v>
      </c>
      <c r="R56" s="426">
        <v>0</v>
      </c>
      <c r="S56" s="426">
        <v>0</v>
      </c>
      <c r="T56" s="426">
        <v>4.4086650303114823</v>
      </c>
      <c r="U56" s="426">
        <v>4.4086650303114823</v>
      </c>
      <c r="V56" s="426">
        <v>4.4086650303114823</v>
      </c>
      <c r="W56" s="426">
        <v>4.4086650303114823</v>
      </c>
      <c r="X56" s="426">
        <v>4.4086650303114823</v>
      </c>
      <c r="Y56" s="426">
        <v>4.4086650303114823</v>
      </c>
      <c r="Z56" s="426">
        <v>4.4086650303114823</v>
      </c>
      <c r="AA56" s="426">
        <v>4.4086650303114823</v>
      </c>
      <c r="AB56" s="426">
        <v>4.4086650303114823</v>
      </c>
      <c r="AC56" s="426">
        <v>4.4086650303114823</v>
      </c>
      <c r="AD56" s="426">
        <v>4.4086650303114823</v>
      </c>
      <c r="AE56" s="426">
        <v>4.4086650303114823</v>
      </c>
      <c r="AF56" s="426">
        <v>4.4086650303114823</v>
      </c>
      <c r="AG56" s="426">
        <v>4.4086650303114823</v>
      </c>
      <c r="AH56" s="426">
        <v>4.4086650303114823</v>
      </c>
      <c r="AI56" s="426">
        <v>4.4086650303114823</v>
      </c>
      <c r="AJ56" s="426">
        <v>4.4086650303114823</v>
      </c>
      <c r="AK56" s="426">
        <v>4.4086650303114823</v>
      </c>
      <c r="AL56" s="426">
        <v>4.4086650303114823</v>
      </c>
      <c r="AM56" s="427">
        <v>0</v>
      </c>
      <c r="AN56" s="427">
        <v>0</v>
      </c>
      <c r="AO56" s="427">
        <v>0</v>
      </c>
      <c r="AP56" s="427">
        <v>0</v>
      </c>
      <c r="AQ56" s="427">
        <v>0</v>
      </c>
      <c r="AR56" s="427">
        <v>0</v>
      </c>
      <c r="AS56" s="427">
        <v>10944.315580496861</v>
      </c>
      <c r="AT56" s="427">
        <v>10944.315580496861</v>
      </c>
      <c r="AU56" s="427">
        <v>10944.315580496861</v>
      </c>
      <c r="AV56" s="427">
        <v>10944.315580496861</v>
      </c>
      <c r="AW56" s="427">
        <v>10944.315580496861</v>
      </c>
      <c r="AX56" s="427">
        <v>10944.315580496861</v>
      </c>
      <c r="AY56" s="427">
        <v>10944.315580496861</v>
      </c>
      <c r="AZ56" s="427">
        <v>10944.315580496861</v>
      </c>
      <c r="BA56" s="427">
        <v>10944.315580496861</v>
      </c>
      <c r="BB56" s="427">
        <v>10944.315580496861</v>
      </c>
      <c r="BC56" s="427">
        <v>10944.315580496861</v>
      </c>
      <c r="BD56" s="427">
        <v>10944.315580496861</v>
      </c>
      <c r="BE56" s="427">
        <v>10944.315580496861</v>
      </c>
      <c r="BF56" s="427">
        <v>10944.315580496861</v>
      </c>
      <c r="BG56" s="427">
        <v>10944.315580496861</v>
      </c>
      <c r="BH56" s="427">
        <v>10944.315580496861</v>
      </c>
      <c r="BI56" s="427">
        <v>10944.315580496861</v>
      </c>
      <c r="BJ56" s="427">
        <v>10944.315580496861</v>
      </c>
      <c r="BK56" s="427">
        <v>10944.315580496861</v>
      </c>
      <c r="BL56" s="427">
        <v>0</v>
      </c>
      <c r="BM56" s="427">
        <v>0</v>
      </c>
      <c r="BN56" s="427">
        <v>0</v>
      </c>
      <c r="BO56" s="427">
        <v>0</v>
      </c>
      <c r="BP56" s="427">
        <v>0</v>
      </c>
      <c r="BQ56" s="427">
        <v>0</v>
      </c>
      <c r="BR56" s="427">
        <v>0</v>
      </c>
      <c r="BS56" s="427">
        <v>0</v>
      </c>
      <c r="BT56" s="427">
        <v>0</v>
      </c>
      <c r="BU56" s="427">
        <v>0</v>
      </c>
      <c r="BV56" s="427">
        <v>0</v>
      </c>
      <c r="BW56" s="427">
        <v>0</v>
      </c>
      <c r="BX56" s="427">
        <v>0</v>
      </c>
      <c r="BY56" s="427">
        <v>0</v>
      </c>
      <c r="BZ56" s="427">
        <v>0</v>
      </c>
      <c r="CA56" s="427">
        <v>0</v>
      </c>
      <c r="CB56" s="427">
        <v>0</v>
      </c>
      <c r="CC56" s="427">
        <v>0</v>
      </c>
      <c r="CD56" s="427">
        <v>0</v>
      </c>
      <c r="CE56" s="427">
        <v>0</v>
      </c>
      <c r="CF56" s="427">
        <v>0</v>
      </c>
      <c r="CG56" s="427">
        <v>0</v>
      </c>
      <c r="CH56" s="427">
        <v>0</v>
      </c>
      <c r="CI56" s="427">
        <v>0</v>
      </c>
      <c r="CJ56" s="427">
        <v>0</v>
      </c>
      <c r="CK56" s="428">
        <v>0</v>
      </c>
      <c r="CL56" s="428">
        <v>0</v>
      </c>
      <c r="CM56" s="428">
        <v>0</v>
      </c>
      <c r="CN56" s="428">
        <v>0</v>
      </c>
      <c r="CO56" s="428">
        <v>0</v>
      </c>
      <c r="CP56" s="428">
        <v>0</v>
      </c>
      <c r="CQ56" s="428">
        <v>0</v>
      </c>
      <c r="CR56" s="428">
        <v>0</v>
      </c>
      <c r="CS56" s="428">
        <v>0</v>
      </c>
      <c r="CT56" s="428">
        <v>0</v>
      </c>
      <c r="CU56" s="428">
        <v>0</v>
      </c>
      <c r="CV56" s="428">
        <v>0</v>
      </c>
      <c r="CW56" s="428">
        <v>0</v>
      </c>
      <c r="CX56" s="428"/>
      <c r="CY56" s="428"/>
      <c r="CZ56" s="428"/>
      <c r="DA56" s="428"/>
      <c r="DB56" s="428"/>
      <c r="DC56" s="428"/>
      <c r="DD56" s="428"/>
      <c r="DE56" s="428"/>
      <c r="DF56" s="428"/>
      <c r="DG56" s="428"/>
      <c r="DH56" s="428"/>
      <c r="DI56" s="428"/>
    </row>
    <row r="57" spans="1:113" s="388" customFormat="1">
      <c r="A57" s="421" t="s">
        <v>370</v>
      </c>
      <c r="B57" s="421" t="s">
        <v>21</v>
      </c>
      <c r="C57" s="421" t="s">
        <v>400</v>
      </c>
      <c r="D57" s="422" t="s">
        <v>376</v>
      </c>
      <c r="E57" s="422">
        <v>2015</v>
      </c>
      <c r="F57" s="423">
        <v>0.72657110276015402</v>
      </c>
      <c r="G57" s="424">
        <v>267.5849999999989</v>
      </c>
      <c r="H57" s="422">
        <v>3</v>
      </c>
      <c r="I57" s="425">
        <v>0.38322222222222518</v>
      </c>
      <c r="J57" s="425">
        <v>0.38322222222222518</v>
      </c>
      <c r="K57" s="422">
        <v>0</v>
      </c>
      <c r="L57" s="422">
        <v>0</v>
      </c>
      <c r="M57" s="422">
        <v>0</v>
      </c>
      <c r="N57" s="426">
        <v>0</v>
      </c>
      <c r="O57" s="426">
        <v>0</v>
      </c>
      <c r="P57" s="426">
        <v>0</v>
      </c>
      <c r="Q57" s="426">
        <v>0</v>
      </c>
      <c r="R57" s="426">
        <v>0</v>
      </c>
      <c r="S57" s="426">
        <v>0</v>
      </c>
      <c r="T57" s="426">
        <v>0</v>
      </c>
      <c r="U57" s="426">
        <v>0</v>
      </c>
      <c r="V57" s="426">
        <v>0</v>
      </c>
      <c r="W57" s="426">
        <v>0</v>
      </c>
      <c r="X57" s="426">
        <v>0</v>
      </c>
      <c r="Y57" s="426">
        <v>0</v>
      </c>
      <c r="Z57" s="426">
        <v>0</v>
      </c>
      <c r="AA57" s="426">
        <v>0</v>
      </c>
      <c r="AB57" s="426">
        <v>0</v>
      </c>
      <c r="AC57" s="426">
        <v>0</v>
      </c>
      <c r="AD57" s="426">
        <v>0</v>
      </c>
      <c r="AE57" s="426">
        <v>0</v>
      </c>
      <c r="AF57" s="426">
        <v>0</v>
      </c>
      <c r="AG57" s="426">
        <v>0</v>
      </c>
      <c r="AH57" s="426">
        <v>0</v>
      </c>
      <c r="AI57" s="426">
        <v>0</v>
      </c>
      <c r="AJ57" s="426">
        <v>0</v>
      </c>
      <c r="AK57" s="426">
        <v>0</v>
      </c>
      <c r="AL57" s="426">
        <v>0</v>
      </c>
      <c r="AM57" s="427">
        <v>0</v>
      </c>
      <c r="AN57" s="427">
        <v>0</v>
      </c>
      <c r="AO57" s="427">
        <v>0</v>
      </c>
      <c r="AP57" s="427">
        <v>0</v>
      </c>
      <c r="AQ57" s="427">
        <v>0</v>
      </c>
      <c r="AR57" s="427">
        <v>0</v>
      </c>
      <c r="AS57" s="427">
        <v>0</v>
      </c>
      <c r="AT57" s="427">
        <v>0</v>
      </c>
      <c r="AU57" s="427">
        <v>0</v>
      </c>
      <c r="AV57" s="427">
        <v>0</v>
      </c>
      <c r="AW57" s="427">
        <v>0</v>
      </c>
      <c r="AX57" s="427">
        <v>0</v>
      </c>
      <c r="AY57" s="427">
        <v>0</v>
      </c>
      <c r="AZ57" s="427">
        <v>0</v>
      </c>
      <c r="BA57" s="427">
        <v>0</v>
      </c>
      <c r="BB57" s="427">
        <v>0</v>
      </c>
      <c r="BC57" s="427">
        <v>0</v>
      </c>
      <c r="BD57" s="427">
        <v>0</v>
      </c>
      <c r="BE57" s="427">
        <v>0</v>
      </c>
      <c r="BF57" s="427">
        <v>0</v>
      </c>
      <c r="BG57" s="427">
        <v>0</v>
      </c>
      <c r="BH57" s="427">
        <v>0</v>
      </c>
      <c r="BI57" s="427">
        <v>0</v>
      </c>
      <c r="BJ57" s="427">
        <v>0</v>
      </c>
      <c r="BK57" s="427">
        <v>0</v>
      </c>
      <c r="BL57" s="427">
        <v>0</v>
      </c>
      <c r="BM57" s="427">
        <v>0</v>
      </c>
      <c r="BN57" s="427">
        <v>0</v>
      </c>
      <c r="BO57" s="427">
        <v>0</v>
      </c>
      <c r="BP57" s="427">
        <v>0</v>
      </c>
      <c r="BQ57" s="427">
        <v>0</v>
      </c>
      <c r="BR57" s="427">
        <v>0</v>
      </c>
      <c r="BS57" s="427">
        <v>0</v>
      </c>
      <c r="BT57" s="427">
        <v>0</v>
      </c>
      <c r="BU57" s="427">
        <v>0</v>
      </c>
      <c r="BV57" s="427">
        <v>0</v>
      </c>
      <c r="BW57" s="427">
        <v>0</v>
      </c>
      <c r="BX57" s="427">
        <v>0</v>
      </c>
      <c r="BY57" s="427">
        <v>0</v>
      </c>
      <c r="BZ57" s="427">
        <v>0</v>
      </c>
      <c r="CA57" s="427">
        <v>0</v>
      </c>
      <c r="CB57" s="427">
        <v>0</v>
      </c>
      <c r="CC57" s="427">
        <v>0</v>
      </c>
      <c r="CD57" s="427">
        <v>0</v>
      </c>
      <c r="CE57" s="427">
        <v>0</v>
      </c>
      <c r="CF57" s="427">
        <v>0</v>
      </c>
      <c r="CG57" s="427">
        <v>0</v>
      </c>
      <c r="CH57" s="427">
        <v>0</v>
      </c>
      <c r="CI57" s="427">
        <v>0</v>
      </c>
      <c r="CJ57" s="427">
        <v>0</v>
      </c>
      <c r="CK57" s="428">
        <v>0</v>
      </c>
      <c r="CL57" s="428">
        <v>0</v>
      </c>
      <c r="CM57" s="428">
        <v>0</v>
      </c>
      <c r="CN57" s="428">
        <v>0</v>
      </c>
      <c r="CO57" s="428">
        <v>0</v>
      </c>
      <c r="CP57" s="428">
        <v>0</v>
      </c>
      <c r="CQ57" s="428">
        <v>0</v>
      </c>
      <c r="CR57" s="428">
        <v>0</v>
      </c>
      <c r="CS57" s="428">
        <v>0</v>
      </c>
      <c r="CT57" s="428">
        <v>0</v>
      </c>
      <c r="CU57" s="428">
        <v>0</v>
      </c>
      <c r="CV57" s="428">
        <v>0</v>
      </c>
      <c r="CW57" s="428">
        <v>0</v>
      </c>
      <c r="CX57" s="428"/>
      <c r="CY57" s="428"/>
      <c r="CZ57" s="428"/>
      <c r="DA57" s="428"/>
      <c r="DB57" s="428"/>
      <c r="DC57" s="428"/>
      <c r="DD57" s="428"/>
      <c r="DE57" s="428"/>
      <c r="DF57" s="428"/>
      <c r="DG57" s="428"/>
      <c r="DH57" s="428"/>
      <c r="DI57" s="428"/>
    </row>
    <row r="58" spans="1:113" s="388" customFormat="1">
      <c r="A58" s="421" t="s">
        <v>370</v>
      </c>
      <c r="B58" s="421" t="s">
        <v>21</v>
      </c>
      <c r="C58" s="421" t="s">
        <v>400</v>
      </c>
      <c r="D58" s="422" t="s">
        <v>376</v>
      </c>
      <c r="E58" s="422">
        <v>2016</v>
      </c>
      <c r="F58" s="423">
        <v>0.72657110276015402</v>
      </c>
      <c r="G58" s="424">
        <v>267.5849999999989</v>
      </c>
      <c r="H58" s="422">
        <v>3</v>
      </c>
      <c r="I58" s="425">
        <v>0.38322222222222518</v>
      </c>
      <c r="J58" s="425">
        <v>0.38322222222222518</v>
      </c>
      <c r="K58" s="422">
        <v>0</v>
      </c>
      <c r="L58" s="422">
        <v>0</v>
      </c>
      <c r="M58" s="422">
        <v>0</v>
      </c>
      <c r="N58" s="426">
        <v>0</v>
      </c>
      <c r="O58" s="426">
        <v>0</v>
      </c>
      <c r="P58" s="426">
        <v>0</v>
      </c>
      <c r="Q58" s="426">
        <v>0</v>
      </c>
      <c r="R58" s="426">
        <v>0</v>
      </c>
      <c r="S58" s="426">
        <v>0</v>
      </c>
      <c r="T58" s="426">
        <v>0</v>
      </c>
      <c r="U58" s="426">
        <v>0</v>
      </c>
      <c r="V58" s="426">
        <v>0</v>
      </c>
      <c r="W58" s="426">
        <v>0</v>
      </c>
      <c r="X58" s="426">
        <v>0</v>
      </c>
      <c r="Y58" s="426">
        <v>0</v>
      </c>
      <c r="Z58" s="426">
        <v>0</v>
      </c>
      <c r="AA58" s="426">
        <v>0</v>
      </c>
      <c r="AB58" s="426">
        <v>0</v>
      </c>
      <c r="AC58" s="426">
        <v>0</v>
      </c>
      <c r="AD58" s="426">
        <v>0</v>
      </c>
      <c r="AE58" s="426">
        <v>0</v>
      </c>
      <c r="AF58" s="426">
        <v>0</v>
      </c>
      <c r="AG58" s="426">
        <v>0</v>
      </c>
      <c r="AH58" s="426">
        <v>0</v>
      </c>
      <c r="AI58" s="426">
        <v>0</v>
      </c>
      <c r="AJ58" s="426">
        <v>0</v>
      </c>
      <c r="AK58" s="426">
        <v>0</v>
      </c>
      <c r="AL58" s="426">
        <v>0</v>
      </c>
      <c r="AM58" s="427">
        <v>0</v>
      </c>
      <c r="AN58" s="427">
        <v>0</v>
      </c>
      <c r="AO58" s="427">
        <v>0</v>
      </c>
      <c r="AP58" s="427">
        <v>0</v>
      </c>
      <c r="AQ58" s="427">
        <v>0</v>
      </c>
      <c r="AR58" s="427">
        <v>0</v>
      </c>
      <c r="AS58" s="427">
        <v>0</v>
      </c>
      <c r="AT58" s="427">
        <v>0</v>
      </c>
      <c r="AU58" s="427">
        <v>0</v>
      </c>
      <c r="AV58" s="427">
        <v>0</v>
      </c>
      <c r="AW58" s="427">
        <v>0</v>
      </c>
      <c r="AX58" s="427">
        <v>0</v>
      </c>
      <c r="AY58" s="427">
        <v>0</v>
      </c>
      <c r="AZ58" s="427">
        <v>0</v>
      </c>
      <c r="BA58" s="427">
        <v>0</v>
      </c>
      <c r="BB58" s="427">
        <v>0</v>
      </c>
      <c r="BC58" s="427">
        <v>0</v>
      </c>
      <c r="BD58" s="427">
        <v>0</v>
      </c>
      <c r="BE58" s="427">
        <v>0</v>
      </c>
      <c r="BF58" s="427">
        <v>0</v>
      </c>
      <c r="BG58" s="427">
        <v>0</v>
      </c>
      <c r="BH58" s="427">
        <v>0</v>
      </c>
      <c r="BI58" s="427">
        <v>0</v>
      </c>
      <c r="BJ58" s="427">
        <v>0</v>
      </c>
      <c r="BK58" s="427">
        <v>0</v>
      </c>
      <c r="BL58" s="427">
        <v>0</v>
      </c>
      <c r="BM58" s="427">
        <v>0</v>
      </c>
      <c r="BN58" s="427">
        <v>0</v>
      </c>
      <c r="BO58" s="427">
        <v>0</v>
      </c>
      <c r="BP58" s="427">
        <v>0</v>
      </c>
      <c r="BQ58" s="427">
        <v>0</v>
      </c>
      <c r="BR58" s="427">
        <v>0</v>
      </c>
      <c r="BS58" s="427">
        <v>0</v>
      </c>
      <c r="BT58" s="427">
        <v>0</v>
      </c>
      <c r="BU58" s="427">
        <v>0</v>
      </c>
      <c r="BV58" s="427">
        <v>0</v>
      </c>
      <c r="BW58" s="427">
        <v>0</v>
      </c>
      <c r="BX58" s="427">
        <v>0</v>
      </c>
      <c r="BY58" s="427">
        <v>0</v>
      </c>
      <c r="BZ58" s="427">
        <v>0</v>
      </c>
      <c r="CA58" s="427">
        <v>0</v>
      </c>
      <c r="CB58" s="427">
        <v>0</v>
      </c>
      <c r="CC58" s="427">
        <v>0</v>
      </c>
      <c r="CD58" s="427">
        <v>0</v>
      </c>
      <c r="CE58" s="427">
        <v>0</v>
      </c>
      <c r="CF58" s="427">
        <v>0</v>
      </c>
      <c r="CG58" s="427">
        <v>0</v>
      </c>
      <c r="CH58" s="427">
        <v>0</v>
      </c>
      <c r="CI58" s="427">
        <v>0</v>
      </c>
      <c r="CJ58" s="427">
        <v>0</v>
      </c>
      <c r="CK58" s="428">
        <v>0</v>
      </c>
      <c r="CL58" s="428">
        <v>0</v>
      </c>
      <c r="CM58" s="428">
        <v>0</v>
      </c>
      <c r="CN58" s="428">
        <v>0</v>
      </c>
      <c r="CO58" s="428">
        <v>0</v>
      </c>
      <c r="CP58" s="428">
        <v>0</v>
      </c>
      <c r="CQ58" s="428">
        <v>0</v>
      </c>
      <c r="CR58" s="428">
        <v>0</v>
      </c>
      <c r="CS58" s="428">
        <v>0</v>
      </c>
      <c r="CT58" s="428">
        <v>0</v>
      </c>
      <c r="CU58" s="428">
        <v>0</v>
      </c>
      <c r="CV58" s="428">
        <v>0</v>
      </c>
      <c r="CW58" s="428">
        <v>0</v>
      </c>
      <c r="CX58" s="428"/>
      <c r="CY58" s="428"/>
      <c r="CZ58" s="428"/>
      <c r="DA58" s="428"/>
      <c r="DB58" s="428"/>
      <c r="DC58" s="428"/>
      <c r="DD58" s="428"/>
      <c r="DE58" s="428"/>
      <c r="DF58" s="428"/>
      <c r="DG58" s="428"/>
      <c r="DH58" s="428"/>
      <c r="DI58" s="428"/>
    </row>
    <row r="59" spans="1:113" s="388" customFormat="1">
      <c r="A59" s="421" t="s">
        <v>370</v>
      </c>
      <c r="B59" s="421" t="s">
        <v>21</v>
      </c>
      <c r="C59" s="421" t="s">
        <v>400</v>
      </c>
      <c r="D59" s="422" t="s">
        <v>376</v>
      </c>
      <c r="E59" s="422">
        <v>2017</v>
      </c>
      <c r="F59" s="423">
        <v>0.72657110276015402</v>
      </c>
      <c r="G59" s="424">
        <v>267.5849999999989</v>
      </c>
      <c r="H59" s="422">
        <v>3</v>
      </c>
      <c r="I59" s="425">
        <v>0.38322222222222518</v>
      </c>
      <c r="J59" s="425">
        <v>0.38322222222222518</v>
      </c>
      <c r="K59" s="422">
        <v>0</v>
      </c>
      <c r="L59" s="422">
        <v>0</v>
      </c>
      <c r="M59" s="422">
        <v>0</v>
      </c>
      <c r="N59" s="426">
        <v>0</v>
      </c>
      <c r="O59" s="426">
        <v>0</v>
      </c>
      <c r="P59" s="426">
        <v>0</v>
      </c>
      <c r="Q59" s="426">
        <v>0</v>
      </c>
      <c r="R59" s="426">
        <v>0</v>
      </c>
      <c r="S59" s="426">
        <v>0</v>
      </c>
      <c r="T59" s="426">
        <v>0</v>
      </c>
      <c r="U59" s="426">
        <v>0</v>
      </c>
      <c r="V59" s="426">
        <v>0</v>
      </c>
      <c r="W59" s="426">
        <v>0</v>
      </c>
      <c r="X59" s="426">
        <v>0</v>
      </c>
      <c r="Y59" s="426">
        <v>0</v>
      </c>
      <c r="Z59" s="426">
        <v>0</v>
      </c>
      <c r="AA59" s="426">
        <v>0</v>
      </c>
      <c r="AB59" s="426">
        <v>0</v>
      </c>
      <c r="AC59" s="426">
        <v>0</v>
      </c>
      <c r="AD59" s="426">
        <v>0</v>
      </c>
      <c r="AE59" s="426">
        <v>0</v>
      </c>
      <c r="AF59" s="426">
        <v>0</v>
      </c>
      <c r="AG59" s="426">
        <v>0</v>
      </c>
      <c r="AH59" s="426">
        <v>0</v>
      </c>
      <c r="AI59" s="426">
        <v>0</v>
      </c>
      <c r="AJ59" s="426">
        <v>0</v>
      </c>
      <c r="AK59" s="426">
        <v>0</v>
      </c>
      <c r="AL59" s="426">
        <v>0</v>
      </c>
      <c r="AM59" s="427">
        <v>0</v>
      </c>
      <c r="AN59" s="427">
        <v>0</v>
      </c>
      <c r="AO59" s="427">
        <v>0</v>
      </c>
      <c r="AP59" s="427">
        <v>0</v>
      </c>
      <c r="AQ59" s="427">
        <v>0</v>
      </c>
      <c r="AR59" s="427">
        <v>0</v>
      </c>
      <c r="AS59" s="427">
        <v>0</v>
      </c>
      <c r="AT59" s="427">
        <v>0</v>
      </c>
      <c r="AU59" s="427">
        <v>0</v>
      </c>
      <c r="AV59" s="427">
        <v>0</v>
      </c>
      <c r="AW59" s="427">
        <v>0</v>
      </c>
      <c r="AX59" s="427">
        <v>0</v>
      </c>
      <c r="AY59" s="427">
        <v>0</v>
      </c>
      <c r="AZ59" s="427">
        <v>0</v>
      </c>
      <c r="BA59" s="427">
        <v>0</v>
      </c>
      <c r="BB59" s="427">
        <v>0</v>
      </c>
      <c r="BC59" s="427">
        <v>0</v>
      </c>
      <c r="BD59" s="427">
        <v>0</v>
      </c>
      <c r="BE59" s="427">
        <v>0</v>
      </c>
      <c r="BF59" s="427">
        <v>0</v>
      </c>
      <c r="BG59" s="427">
        <v>0</v>
      </c>
      <c r="BH59" s="427">
        <v>0</v>
      </c>
      <c r="BI59" s="427">
        <v>0</v>
      </c>
      <c r="BJ59" s="427">
        <v>0</v>
      </c>
      <c r="BK59" s="427">
        <v>0</v>
      </c>
      <c r="BL59" s="427">
        <v>0</v>
      </c>
      <c r="BM59" s="427">
        <v>0</v>
      </c>
      <c r="BN59" s="427">
        <v>0</v>
      </c>
      <c r="BO59" s="427">
        <v>0</v>
      </c>
      <c r="BP59" s="427">
        <v>0</v>
      </c>
      <c r="BQ59" s="427">
        <v>0</v>
      </c>
      <c r="BR59" s="427">
        <v>0</v>
      </c>
      <c r="BS59" s="427">
        <v>0</v>
      </c>
      <c r="BT59" s="427">
        <v>0</v>
      </c>
      <c r="BU59" s="427">
        <v>0</v>
      </c>
      <c r="BV59" s="427">
        <v>0</v>
      </c>
      <c r="BW59" s="427">
        <v>0</v>
      </c>
      <c r="BX59" s="427">
        <v>0</v>
      </c>
      <c r="BY59" s="427">
        <v>0</v>
      </c>
      <c r="BZ59" s="427">
        <v>0</v>
      </c>
      <c r="CA59" s="427">
        <v>0</v>
      </c>
      <c r="CB59" s="427">
        <v>0</v>
      </c>
      <c r="CC59" s="427">
        <v>0</v>
      </c>
      <c r="CD59" s="427">
        <v>0</v>
      </c>
      <c r="CE59" s="427">
        <v>0</v>
      </c>
      <c r="CF59" s="427">
        <v>0</v>
      </c>
      <c r="CG59" s="427">
        <v>0</v>
      </c>
      <c r="CH59" s="427">
        <v>0</v>
      </c>
      <c r="CI59" s="427">
        <v>0</v>
      </c>
      <c r="CJ59" s="427">
        <v>0</v>
      </c>
      <c r="CK59" s="428">
        <v>0</v>
      </c>
      <c r="CL59" s="428">
        <v>0</v>
      </c>
      <c r="CM59" s="428">
        <v>0</v>
      </c>
      <c r="CN59" s="428">
        <v>0</v>
      </c>
      <c r="CO59" s="428">
        <v>0</v>
      </c>
      <c r="CP59" s="428">
        <v>0</v>
      </c>
      <c r="CQ59" s="428">
        <v>0</v>
      </c>
      <c r="CR59" s="428">
        <v>0</v>
      </c>
      <c r="CS59" s="428">
        <v>0</v>
      </c>
      <c r="CT59" s="428">
        <v>0</v>
      </c>
      <c r="CU59" s="428">
        <v>0</v>
      </c>
      <c r="CV59" s="428">
        <v>0</v>
      </c>
      <c r="CW59" s="428">
        <v>0</v>
      </c>
      <c r="CX59" s="428"/>
      <c r="CY59" s="428"/>
      <c r="CZ59" s="428"/>
      <c r="DA59" s="428"/>
      <c r="DB59" s="428"/>
      <c r="DC59" s="428"/>
      <c r="DD59" s="428"/>
      <c r="DE59" s="428"/>
      <c r="DF59" s="428"/>
      <c r="DG59" s="428"/>
      <c r="DH59" s="428"/>
      <c r="DI59" s="428"/>
    </row>
    <row r="60" spans="1:113" s="388" customFormat="1">
      <c r="A60" s="421" t="s">
        <v>370</v>
      </c>
      <c r="B60" s="421" t="s">
        <v>21</v>
      </c>
      <c r="C60" s="421" t="s">
        <v>400</v>
      </c>
      <c r="D60" s="422" t="s">
        <v>376</v>
      </c>
      <c r="E60" s="422">
        <v>2018</v>
      </c>
      <c r="F60" s="423">
        <v>0.72657110276015402</v>
      </c>
      <c r="G60" s="424">
        <v>267.5849999999989</v>
      </c>
      <c r="H60" s="422">
        <v>3</v>
      </c>
      <c r="I60" s="425">
        <v>0.38322222222222518</v>
      </c>
      <c r="J60" s="425">
        <v>0.38322222222222518</v>
      </c>
      <c r="K60" s="422">
        <v>0</v>
      </c>
      <c r="L60" s="422">
        <v>0</v>
      </c>
      <c r="M60" s="422">
        <v>0</v>
      </c>
      <c r="N60" s="426">
        <v>0</v>
      </c>
      <c r="O60" s="426">
        <v>0</v>
      </c>
      <c r="P60" s="426">
        <v>0</v>
      </c>
      <c r="Q60" s="426">
        <v>0</v>
      </c>
      <c r="R60" s="426">
        <v>0</v>
      </c>
      <c r="S60" s="426">
        <v>0</v>
      </c>
      <c r="T60" s="426">
        <v>0</v>
      </c>
      <c r="U60" s="426">
        <v>0</v>
      </c>
      <c r="V60" s="426">
        <v>0</v>
      </c>
      <c r="W60" s="426">
        <v>0</v>
      </c>
      <c r="X60" s="426">
        <v>0</v>
      </c>
      <c r="Y60" s="426">
        <v>0</v>
      </c>
      <c r="Z60" s="426">
        <v>0</v>
      </c>
      <c r="AA60" s="426">
        <v>0</v>
      </c>
      <c r="AB60" s="426">
        <v>0</v>
      </c>
      <c r="AC60" s="426">
        <v>0</v>
      </c>
      <c r="AD60" s="426">
        <v>0</v>
      </c>
      <c r="AE60" s="426">
        <v>0</v>
      </c>
      <c r="AF60" s="426">
        <v>0</v>
      </c>
      <c r="AG60" s="426">
        <v>0</v>
      </c>
      <c r="AH60" s="426">
        <v>0</v>
      </c>
      <c r="AI60" s="426">
        <v>0</v>
      </c>
      <c r="AJ60" s="426">
        <v>0</v>
      </c>
      <c r="AK60" s="426">
        <v>0</v>
      </c>
      <c r="AL60" s="426">
        <v>0</v>
      </c>
      <c r="AM60" s="427">
        <v>0</v>
      </c>
      <c r="AN60" s="427">
        <v>0</v>
      </c>
      <c r="AO60" s="427">
        <v>0</v>
      </c>
      <c r="AP60" s="427">
        <v>0</v>
      </c>
      <c r="AQ60" s="427">
        <v>0</v>
      </c>
      <c r="AR60" s="427">
        <v>0</v>
      </c>
      <c r="AS60" s="427">
        <v>0</v>
      </c>
      <c r="AT60" s="427">
        <v>0</v>
      </c>
      <c r="AU60" s="427">
        <v>0</v>
      </c>
      <c r="AV60" s="427">
        <v>0</v>
      </c>
      <c r="AW60" s="427">
        <v>0</v>
      </c>
      <c r="AX60" s="427">
        <v>0</v>
      </c>
      <c r="AY60" s="427">
        <v>0</v>
      </c>
      <c r="AZ60" s="427">
        <v>0</v>
      </c>
      <c r="BA60" s="427">
        <v>0</v>
      </c>
      <c r="BB60" s="427">
        <v>0</v>
      </c>
      <c r="BC60" s="427">
        <v>0</v>
      </c>
      <c r="BD60" s="427">
        <v>0</v>
      </c>
      <c r="BE60" s="427">
        <v>0</v>
      </c>
      <c r="BF60" s="427">
        <v>0</v>
      </c>
      <c r="BG60" s="427">
        <v>0</v>
      </c>
      <c r="BH60" s="427">
        <v>0</v>
      </c>
      <c r="BI60" s="427">
        <v>0</v>
      </c>
      <c r="BJ60" s="427">
        <v>0</v>
      </c>
      <c r="BK60" s="427">
        <v>0</v>
      </c>
      <c r="BL60" s="427">
        <v>0</v>
      </c>
      <c r="BM60" s="427">
        <v>0</v>
      </c>
      <c r="BN60" s="427">
        <v>0</v>
      </c>
      <c r="BO60" s="427">
        <v>0</v>
      </c>
      <c r="BP60" s="427">
        <v>0</v>
      </c>
      <c r="BQ60" s="427">
        <v>0</v>
      </c>
      <c r="BR60" s="427">
        <v>0</v>
      </c>
      <c r="BS60" s="427">
        <v>0</v>
      </c>
      <c r="BT60" s="427">
        <v>0</v>
      </c>
      <c r="BU60" s="427">
        <v>0</v>
      </c>
      <c r="BV60" s="427">
        <v>0</v>
      </c>
      <c r="BW60" s="427">
        <v>0</v>
      </c>
      <c r="BX60" s="427">
        <v>0</v>
      </c>
      <c r="BY60" s="427">
        <v>0</v>
      </c>
      <c r="BZ60" s="427">
        <v>0</v>
      </c>
      <c r="CA60" s="427">
        <v>0</v>
      </c>
      <c r="CB60" s="427">
        <v>0</v>
      </c>
      <c r="CC60" s="427">
        <v>0</v>
      </c>
      <c r="CD60" s="427">
        <v>0</v>
      </c>
      <c r="CE60" s="427">
        <v>0</v>
      </c>
      <c r="CF60" s="427">
        <v>0</v>
      </c>
      <c r="CG60" s="427">
        <v>0</v>
      </c>
      <c r="CH60" s="427">
        <v>0</v>
      </c>
      <c r="CI60" s="427">
        <v>0</v>
      </c>
      <c r="CJ60" s="427">
        <v>0</v>
      </c>
      <c r="CK60" s="428">
        <v>0</v>
      </c>
      <c r="CL60" s="428">
        <v>0</v>
      </c>
      <c r="CM60" s="428">
        <v>0</v>
      </c>
      <c r="CN60" s="428">
        <v>0</v>
      </c>
      <c r="CO60" s="428">
        <v>0</v>
      </c>
      <c r="CP60" s="428">
        <v>0</v>
      </c>
      <c r="CQ60" s="428">
        <v>0</v>
      </c>
      <c r="CR60" s="428">
        <v>0</v>
      </c>
      <c r="CS60" s="428">
        <v>0</v>
      </c>
      <c r="CT60" s="428">
        <v>0</v>
      </c>
      <c r="CU60" s="428">
        <v>0</v>
      </c>
      <c r="CV60" s="428">
        <v>0</v>
      </c>
      <c r="CW60" s="428">
        <v>0</v>
      </c>
      <c r="CX60" s="428"/>
      <c r="CY60" s="428"/>
      <c r="CZ60" s="428"/>
      <c r="DA60" s="428"/>
      <c r="DB60" s="428"/>
      <c r="DC60" s="428"/>
      <c r="DD60" s="428"/>
      <c r="DE60" s="428"/>
      <c r="DF60" s="428"/>
      <c r="DG60" s="428"/>
      <c r="DH60" s="428"/>
      <c r="DI60" s="428"/>
    </row>
    <row r="61" spans="1:113" s="388" customFormat="1">
      <c r="A61" s="421" t="s">
        <v>370</v>
      </c>
      <c r="B61" s="421" t="s">
        <v>21</v>
      </c>
      <c r="C61" s="421" t="s">
        <v>400</v>
      </c>
      <c r="D61" s="422" t="s">
        <v>376</v>
      </c>
      <c r="E61" s="422">
        <v>2019</v>
      </c>
      <c r="F61" s="423">
        <v>0.72657110276015402</v>
      </c>
      <c r="G61" s="424">
        <v>267.5849999999989</v>
      </c>
      <c r="H61" s="422">
        <v>3</v>
      </c>
      <c r="I61" s="425">
        <v>0.38322222222222518</v>
      </c>
      <c r="J61" s="425">
        <v>0.38322222222222518</v>
      </c>
      <c r="K61" s="422">
        <v>0</v>
      </c>
      <c r="L61" s="422">
        <v>0</v>
      </c>
      <c r="M61" s="422">
        <v>0</v>
      </c>
      <c r="N61" s="426">
        <v>0</v>
      </c>
      <c r="O61" s="426">
        <v>0</v>
      </c>
      <c r="P61" s="426">
        <v>0</v>
      </c>
      <c r="Q61" s="426">
        <v>0</v>
      </c>
      <c r="R61" s="426">
        <v>0</v>
      </c>
      <c r="S61" s="426">
        <v>0</v>
      </c>
      <c r="T61" s="426">
        <v>0</v>
      </c>
      <c r="U61" s="426">
        <v>0</v>
      </c>
      <c r="V61" s="426">
        <v>0</v>
      </c>
      <c r="W61" s="426">
        <v>0</v>
      </c>
      <c r="X61" s="426">
        <v>0</v>
      </c>
      <c r="Y61" s="426">
        <v>0</v>
      </c>
      <c r="Z61" s="426">
        <v>0</v>
      </c>
      <c r="AA61" s="426">
        <v>0</v>
      </c>
      <c r="AB61" s="426">
        <v>0</v>
      </c>
      <c r="AC61" s="426">
        <v>0</v>
      </c>
      <c r="AD61" s="426">
        <v>0</v>
      </c>
      <c r="AE61" s="426">
        <v>0</v>
      </c>
      <c r="AF61" s="426">
        <v>0</v>
      </c>
      <c r="AG61" s="426">
        <v>0</v>
      </c>
      <c r="AH61" s="426">
        <v>0</v>
      </c>
      <c r="AI61" s="426">
        <v>0</v>
      </c>
      <c r="AJ61" s="426">
        <v>0</v>
      </c>
      <c r="AK61" s="426">
        <v>0</v>
      </c>
      <c r="AL61" s="426">
        <v>0</v>
      </c>
      <c r="AM61" s="427">
        <v>0</v>
      </c>
      <c r="AN61" s="427">
        <v>0</v>
      </c>
      <c r="AO61" s="427">
        <v>0</v>
      </c>
      <c r="AP61" s="427">
        <v>0</v>
      </c>
      <c r="AQ61" s="427">
        <v>0</v>
      </c>
      <c r="AR61" s="427">
        <v>0</v>
      </c>
      <c r="AS61" s="427">
        <v>0</v>
      </c>
      <c r="AT61" s="427">
        <v>0</v>
      </c>
      <c r="AU61" s="427">
        <v>0</v>
      </c>
      <c r="AV61" s="427">
        <v>0</v>
      </c>
      <c r="AW61" s="427">
        <v>0</v>
      </c>
      <c r="AX61" s="427">
        <v>0</v>
      </c>
      <c r="AY61" s="427">
        <v>0</v>
      </c>
      <c r="AZ61" s="427">
        <v>0</v>
      </c>
      <c r="BA61" s="427">
        <v>0</v>
      </c>
      <c r="BB61" s="427">
        <v>0</v>
      </c>
      <c r="BC61" s="427">
        <v>0</v>
      </c>
      <c r="BD61" s="427">
        <v>0</v>
      </c>
      <c r="BE61" s="427">
        <v>0</v>
      </c>
      <c r="BF61" s="427">
        <v>0</v>
      </c>
      <c r="BG61" s="427">
        <v>0</v>
      </c>
      <c r="BH61" s="427">
        <v>0</v>
      </c>
      <c r="BI61" s="427">
        <v>0</v>
      </c>
      <c r="BJ61" s="427">
        <v>0</v>
      </c>
      <c r="BK61" s="427">
        <v>0</v>
      </c>
      <c r="BL61" s="427">
        <v>0</v>
      </c>
      <c r="BM61" s="427">
        <v>0</v>
      </c>
      <c r="BN61" s="427">
        <v>0</v>
      </c>
      <c r="BO61" s="427">
        <v>0</v>
      </c>
      <c r="BP61" s="427">
        <v>0</v>
      </c>
      <c r="BQ61" s="427">
        <v>0</v>
      </c>
      <c r="BR61" s="427">
        <v>0</v>
      </c>
      <c r="BS61" s="427">
        <v>0</v>
      </c>
      <c r="BT61" s="427">
        <v>0</v>
      </c>
      <c r="BU61" s="427">
        <v>0</v>
      </c>
      <c r="BV61" s="427">
        <v>0</v>
      </c>
      <c r="BW61" s="427">
        <v>0</v>
      </c>
      <c r="BX61" s="427">
        <v>0</v>
      </c>
      <c r="BY61" s="427">
        <v>0</v>
      </c>
      <c r="BZ61" s="427">
        <v>0</v>
      </c>
      <c r="CA61" s="427">
        <v>0</v>
      </c>
      <c r="CB61" s="427">
        <v>0</v>
      </c>
      <c r="CC61" s="427">
        <v>0</v>
      </c>
      <c r="CD61" s="427">
        <v>0</v>
      </c>
      <c r="CE61" s="427">
        <v>0</v>
      </c>
      <c r="CF61" s="427">
        <v>0</v>
      </c>
      <c r="CG61" s="427">
        <v>0</v>
      </c>
      <c r="CH61" s="427">
        <v>0</v>
      </c>
      <c r="CI61" s="427">
        <v>0</v>
      </c>
      <c r="CJ61" s="427">
        <v>0</v>
      </c>
      <c r="CK61" s="428">
        <v>0</v>
      </c>
      <c r="CL61" s="428">
        <v>0</v>
      </c>
      <c r="CM61" s="428">
        <v>0</v>
      </c>
      <c r="CN61" s="428">
        <v>0</v>
      </c>
      <c r="CO61" s="428">
        <v>0</v>
      </c>
      <c r="CP61" s="428">
        <v>0</v>
      </c>
      <c r="CQ61" s="428">
        <v>0</v>
      </c>
      <c r="CR61" s="428">
        <v>0</v>
      </c>
      <c r="CS61" s="428">
        <v>0</v>
      </c>
      <c r="CT61" s="428">
        <v>0</v>
      </c>
      <c r="CU61" s="428">
        <v>0</v>
      </c>
      <c r="CV61" s="428">
        <v>0</v>
      </c>
      <c r="CW61" s="428">
        <v>0</v>
      </c>
      <c r="CX61" s="428"/>
      <c r="CY61" s="428"/>
      <c r="CZ61" s="428"/>
      <c r="DA61" s="428"/>
      <c r="DB61" s="428"/>
      <c r="DC61" s="428"/>
      <c r="DD61" s="428"/>
      <c r="DE61" s="428"/>
      <c r="DF61" s="428"/>
      <c r="DG61" s="428"/>
      <c r="DH61" s="428"/>
      <c r="DI61" s="428"/>
    </row>
    <row r="62" spans="1:113" s="388" customFormat="1">
      <c r="A62" s="421" t="s">
        <v>370</v>
      </c>
      <c r="B62" s="421" t="s">
        <v>21</v>
      </c>
      <c r="C62" s="421" t="s">
        <v>400</v>
      </c>
      <c r="D62" s="422" t="s">
        <v>376</v>
      </c>
      <c r="E62" s="422">
        <v>2020</v>
      </c>
      <c r="F62" s="423">
        <v>0.72657110276015402</v>
      </c>
      <c r="G62" s="424">
        <v>267.5849999999989</v>
      </c>
      <c r="H62" s="422">
        <v>3</v>
      </c>
      <c r="I62" s="425">
        <v>0.38322222222222518</v>
      </c>
      <c r="J62" s="425">
        <v>0.38322222222222518</v>
      </c>
      <c r="K62" s="422">
        <v>0</v>
      </c>
      <c r="L62" s="422">
        <v>0</v>
      </c>
      <c r="M62" s="422">
        <v>0</v>
      </c>
      <c r="N62" s="426">
        <v>0</v>
      </c>
      <c r="O62" s="426">
        <v>0</v>
      </c>
      <c r="P62" s="426">
        <v>0</v>
      </c>
      <c r="Q62" s="426">
        <v>0</v>
      </c>
      <c r="R62" s="426">
        <v>0</v>
      </c>
      <c r="S62" s="426">
        <v>0</v>
      </c>
      <c r="T62" s="426">
        <v>0</v>
      </c>
      <c r="U62" s="426">
        <v>0</v>
      </c>
      <c r="V62" s="426">
        <v>0</v>
      </c>
      <c r="W62" s="426">
        <v>0</v>
      </c>
      <c r="X62" s="426">
        <v>0</v>
      </c>
      <c r="Y62" s="426">
        <v>0</v>
      </c>
      <c r="Z62" s="426">
        <v>0</v>
      </c>
      <c r="AA62" s="426">
        <v>0</v>
      </c>
      <c r="AB62" s="426">
        <v>0</v>
      </c>
      <c r="AC62" s="426">
        <v>0</v>
      </c>
      <c r="AD62" s="426">
        <v>0</v>
      </c>
      <c r="AE62" s="426">
        <v>0</v>
      </c>
      <c r="AF62" s="426">
        <v>0</v>
      </c>
      <c r="AG62" s="426">
        <v>0</v>
      </c>
      <c r="AH62" s="426">
        <v>0</v>
      </c>
      <c r="AI62" s="426">
        <v>0</v>
      </c>
      <c r="AJ62" s="426">
        <v>0</v>
      </c>
      <c r="AK62" s="426">
        <v>0</v>
      </c>
      <c r="AL62" s="426">
        <v>0</v>
      </c>
      <c r="AM62" s="427">
        <v>0</v>
      </c>
      <c r="AN62" s="427">
        <v>0</v>
      </c>
      <c r="AO62" s="427">
        <v>0</v>
      </c>
      <c r="AP62" s="427">
        <v>0</v>
      </c>
      <c r="AQ62" s="427">
        <v>0</v>
      </c>
      <c r="AR62" s="427">
        <v>0</v>
      </c>
      <c r="AS62" s="427">
        <v>0</v>
      </c>
      <c r="AT62" s="427">
        <v>0</v>
      </c>
      <c r="AU62" s="427">
        <v>0</v>
      </c>
      <c r="AV62" s="427">
        <v>0</v>
      </c>
      <c r="AW62" s="427">
        <v>0</v>
      </c>
      <c r="AX62" s="427">
        <v>0</v>
      </c>
      <c r="AY62" s="427">
        <v>0</v>
      </c>
      <c r="AZ62" s="427">
        <v>0</v>
      </c>
      <c r="BA62" s="427">
        <v>0</v>
      </c>
      <c r="BB62" s="427">
        <v>0</v>
      </c>
      <c r="BC62" s="427">
        <v>0</v>
      </c>
      <c r="BD62" s="427">
        <v>0</v>
      </c>
      <c r="BE62" s="427">
        <v>0</v>
      </c>
      <c r="BF62" s="427">
        <v>0</v>
      </c>
      <c r="BG62" s="427">
        <v>0</v>
      </c>
      <c r="BH62" s="427">
        <v>0</v>
      </c>
      <c r="BI62" s="427">
        <v>0</v>
      </c>
      <c r="BJ62" s="427">
        <v>0</v>
      </c>
      <c r="BK62" s="427">
        <v>0</v>
      </c>
      <c r="BL62" s="427">
        <v>0</v>
      </c>
      <c r="BM62" s="427">
        <v>0</v>
      </c>
      <c r="BN62" s="427">
        <v>0</v>
      </c>
      <c r="BO62" s="427">
        <v>0</v>
      </c>
      <c r="BP62" s="427">
        <v>0</v>
      </c>
      <c r="BQ62" s="427">
        <v>0</v>
      </c>
      <c r="BR62" s="427">
        <v>0</v>
      </c>
      <c r="BS62" s="427">
        <v>0</v>
      </c>
      <c r="BT62" s="427">
        <v>0</v>
      </c>
      <c r="BU62" s="427">
        <v>0</v>
      </c>
      <c r="BV62" s="427">
        <v>0</v>
      </c>
      <c r="BW62" s="427">
        <v>0</v>
      </c>
      <c r="BX62" s="427">
        <v>0</v>
      </c>
      <c r="BY62" s="427">
        <v>0</v>
      </c>
      <c r="BZ62" s="427">
        <v>0</v>
      </c>
      <c r="CA62" s="427">
        <v>0</v>
      </c>
      <c r="CB62" s="427">
        <v>0</v>
      </c>
      <c r="CC62" s="427">
        <v>0</v>
      </c>
      <c r="CD62" s="427">
        <v>0</v>
      </c>
      <c r="CE62" s="427">
        <v>0</v>
      </c>
      <c r="CF62" s="427">
        <v>0</v>
      </c>
      <c r="CG62" s="427">
        <v>0</v>
      </c>
      <c r="CH62" s="427">
        <v>0</v>
      </c>
      <c r="CI62" s="427">
        <v>0</v>
      </c>
      <c r="CJ62" s="427">
        <v>0</v>
      </c>
      <c r="CK62" s="428">
        <v>0</v>
      </c>
      <c r="CL62" s="428">
        <v>0</v>
      </c>
      <c r="CM62" s="428">
        <v>0</v>
      </c>
      <c r="CN62" s="428">
        <v>0</v>
      </c>
      <c r="CO62" s="428">
        <v>0</v>
      </c>
      <c r="CP62" s="428">
        <v>0</v>
      </c>
      <c r="CQ62" s="428">
        <v>0</v>
      </c>
      <c r="CR62" s="428">
        <v>0</v>
      </c>
      <c r="CS62" s="428">
        <v>0</v>
      </c>
      <c r="CT62" s="428">
        <v>0</v>
      </c>
      <c r="CU62" s="428">
        <v>0</v>
      </c>
      <c r="CV62" s="428">
        <v>0</v>
      </c>
      <c r="CW62" s="428">
        <v>0</v>
      </c>
      <c r="CX62" s="428"/>
      <c r="CY62" s="428"/>
      <c r="CZ62" s="428"/>
      <c r="DA62" s="428"/>
      <c r="DB62" s="428"/>
      <c r="DC62" s="428"/>
      <c r="DD62" s="428"/>
      <c r="DE62" s="428"/>
      <c r="DF62" s="428"/>
      <c r="DG62" s="428"/>
      <c r="DH62" s="428"/>
      <c r="DI62" s="428"/>
    </row>
    <row r="63" spans="1:113" s="388" customFormat="1">
      <c r="A63" s="421" t="s">
        <v>370</v>
      </c>
      <c r="B63" s="421" t="s">
        <v>21</v>
      </c>
      <c r="C63" s="421" t="s">
        <v>403</v>
      </c>
      <c r="D63" s="422" t="s">
        <v>376</v>
      </c>
      <c r="E63" s="422">
        <v>2015</v>
      </c>
      <c r="F63" s="423">
        <v>0.55825616945337209</v>
      </c>
      <c r="G63" s="424">
        <v>823.50080422113342</v>
      </c>
      <c r="H63" s="422">
        <v>4</v>
      </c>
      <c r="I63" s="425">
        <v>0.38322222222222602</v>
      </c>
      <c r="J63" s="425">
        <v>0.38322222222222602</v>
      </c>
      <c r="K63" s="422">
        <v>0</v>
      </c>
      <c r="L63" s="422">
        <v>0</v>
      </c>
      <c r="M63" s="422">
        <v>0</v>
      </c>
      <c r="N63" s="426">
        <v>0</v>
      </c>
      <c r="O63" s="426">
        <v>0</v>
      </c>
      <c r="P63" s="426">
        <v>0</v>
      </c>
      <c r="Q63" s="426">
        <v>0</v>
      </c>
      <c r="R63" s="426">
        <v>0</v>
      </c>
      <c r="S63" s="426">
        <v>0</v>
      </c>
      <c r="T63" s="426">
        <v>0</v>
      </c>
      <c r="U63" s="426">
        <v>0</v>
      </c>
      <c r="V63" s="426">
        <v>0</v>
      </c>
      <c r="W63" s="426">
        <v>0</v>
      </c>
      <c r="X63" s="426">
        <v>0</v>
      </c>
      <c r="Y63" s="426">
        <v>0</v>
      </c>
      <c r="Z63" s="426">
        <v>0</v>
      </c>
      <c r="AA63" s="426">
        <v>0</v>
      </c>
      <c r="AB63" s="426">
        <v>0</v>
      </c>
      <c r="AC63" s="426">
        <v>0</v>
      </c>
      <c r="AD63" s="426">
        <v>0</v>
      </c>
      <c r="AE63" s="426">
        <v>0</v>
      </c>
      <c r="AF63" s="426">
        <v>0</v>
      </c>
      <c r="AG63" s="426">
        <v>0</v>
      </c>
      <c r="AH63" s="426">
        <v>0</v>
      </c>
      <c r="AI63" s="426">
        <v>0</v>
      </c>
      <c r="AJ63" s="426">
        <v>0</v>
      </c>
      <c r="AK63" s="426">
        <v>0</v>
      </c>
      <c r="AL63" s="426">
        <v>0</v>
      </c>
      <c r="AM63" s="427">
        <v>0</v>
      </c>
      <c r="AN63" s="427">
        <v>0</v>
      </c>
      <c r="AO63" s="427">
        <v>0</v>
      </c>
      <c r="AP63" s="427">
        <v>0</v>
      </c>
      <c r="AQ63" s="427">
        <v>0</v>
      </c>
      <c r="AR63" s="427">
        <v>0</v>
      </c>
      <c r="AS63" s="427">
        <v>0</v>
      </c>
      <c r="AT63" s="427">
        <v>0</v>
      </c>
      <c r="AU63" s="427">
        <v>0</v>
      </c>
      <c r="AV63" s="427">
        <v>0</v>
      </c>
      <c r="AW63" s="427">
        <v>0</v>
      </c>
      <c r="AX63" s="427">
        <v>0</v>
      </c>
      <c r="AY63" s="427">
        <v>0</v>
      </c>
      <c r="AZ63" s="427">
        <v>0</v>
      </c>
      <c r="BA63" s="427">
        <v>0</v>
      </c>
      <c r="BB63" s="427">
        <v>0</v>
      </c>
      <c r="BC63" s="427">
        <v>0</v>
      </c>
      <c r="BD63" s="427">
        <v>0</v>
      </c>
      <c r="BE63" s="427">
        <v>0</v>
      </c>
      <c r="BF63" s="427">
        <v>0</v>
      </c>
      <c r="BG63" s="427">
        <v>0</v>
      </c>
      <c r="BH63" s="427">
        <v>0</v>
      </c>
      <c r="BI63" s="427">
        <v>0</v>
      </c>
      <c r="BJ63" s="427">
        <v>0</v>
      </c>
      <c r="BK63" s="427">
        <v>0</v>
      </c>
      <c r="BL63" s="427">
        <v>0</v>
      </c>
      <c r="BM63" s="427">
        <v>0</v>
      </c>
      <c r="BN63" s="427">
        <v>0</v>
      </c>
      <c r="BO63" s="427">
        <v>0</v>
      </c>
      <c r="BP63" s="427">
        <v>0</v>
      </c>
      <c r="BQ63" s="427">
        <v>0</v>
      </c>
      <c r="BR63" s="427">
        <v>0</v>
      </c>
      <c r="BS63" s="427">
        <v>0</v>
      </c>
      <c r="BT63" s="427">
        <v>0</v>
      </c>
      <c r="BU63" s="427">
        <v>0</v>
      </c>
      <c r="BV63" s="427">
        <v>0</v>
      </c>
      <c r="BW63" s="427">
        <v>0</v>
      </c>
      <c r="BX63" s="427">
        <v>0</v>
      </c>
      <c r="BY63" s="427">
        <v>0</v>
      </c>
      <c r="BZ63" s="427">
        <v>0</v>
      </c>
      <c r="CA63" s="427">
        <v>0</v>
      </c>
      <c r="CB63" s="427">
        <v>0</v>
      </c>
      <c r="CC63" s="427">
        <v>0</v>
      </c>
      <c r="CD63" s="427">
        <v>0</v>
      </c>
      <c r="CE63" s="427">
        <v>0</v>
      </c>
      <c r="CF63" s="427">
        <v>0</v>
      </c>
      <c r="CG63" s="427">
        <v>0</v>
      </c>
      <c r="CH63" s="427">
        <v>0</v>
      </c>
      <c r="CI63" s="427">
        <v>0</v>
      </c>
      <c r="CJ63" s="427">
        <v>0</v>
      </c>
      <c r="CK63" s="428">
        <v>0</v>
      </c>
      <c r="CL63" s="428">
        <v>0</v>
      </c>
      <c r="CM63" s="428">
        <v>0</v>
      </c>
      <c r="CN63" s="428">
        <v>0</v>
      </c>
      <c r="CO63" s="428">
        <v>0</v>
      </c>
      <c r="CP63" s="428">
        <v>0</v>
      </c>
      <c r="CQ63" s="428">
        <v>0</v>
      </c>
      <c r="CR63" s="428">
        <v>0</v>
      </c>
      <c r="CS63" s="428">
        <v>0</v>
      </c>
      <c r="CT63" s="428">
        <v>0</v>
      </c>
      <c r="CU63" s="428">
        <v>0</v>
      </c>
      <c r="CV63" s="428">
        <v>0</v>
      </c>
      <c r="CW63" s="428">
        <v>0</v>
      </c>
      <c r="CX63" s="428"/>
      <c r="CY63" s="428"/>
      <c r="CZ63" s="428"/>
      <c r="DA63" s="428"/>
      <c r="DB63" s="428"/>
      <c r="DC63" s="428"/>
      <c r="DD63" s="428"/>
      <c r="DE63" s="428"/>
      <c r="DF63" s="428"/>
      <c r="DG63" s="428"/>
      <c r="DH63" s="428"/>
      <c r="DI63" s="428"/>
    </row>
    <row r="64" spans="1:113" s="388" customFormat="1">
      <c r="A64" s="421" t="s">
        <v>370</v>
      </c>
      <c r="B64" s="421" t="s">
        <v>21</v>
      </c>
      <c r="C64" s="421" t="s">
        <v>403</v>
      </c>
      <c r="D64" s="422" t="s">
        <v>376</v>
      </c>
      <c r="E64" s="422">
        <v>2016</v>
      </c>
      <c r="F64" s="423">
        <v>0.55825616945337209</v>
      </c>
      <c r="G64" s="424">
        <v>823.50080422113342</v>
      </c>
      <c r="H64" s="422">
        <v>4</v>
      </c>
      <c r="I64" s="425">
        <v>0.38322222222222602</v>
      </c>
      <c r="J64" s="425">
        <v>0.38322222222222602</v>
      </c>
      <c r="K64" s="422">
        <v>0</v>
      </c>
      <c r="L64" s="422">
        <v>0</v>
      </c>
      <c r="M64" s="422">
        <v>0</v>
      </c>
      <c r="N64" s="426">
        <v>0</v>
      </c>
      <c r="O64" s="426">
        <v>0</v>
      </c>
      <c r="P64" s="426">
        <v>0</v>
      </c>
      <c r="Q64" s="426">
        <v>0</v>
      </c>
      <c r="R64" s="426">
        <v>0</v>
      </c>
      <c r="S64" s="426">
        <v>0</v>
      </c>
      <c r="T64" s="426">
        <v>0</v>
      </c>
      <c r="U64" s="426">
        <v>0</v>
      </c>
      <c r="V64" s="426">
        <v>0</v>
      </c>
      <c r="W64" s="426">
        <v>0</v>
      </c>
      <c r="X64" s="426">
        <v>0</v>
      </c>
      <c r="Y64" s="426">
        <v>0</v>
      </c>
      <c r="Z64" s="426">
        <v>0</v>
      </c>
      <c r="AA64" s="426">
        <v>0</v>
      </c>
      <c r="AB64" s="426">
        <v>0</v>
      </c>
      <c r="AC64" s="426">
        <v>0</v>
      </c>
      <c r="AD64" s="426">
        <v>0</v>
      </c>
      <c r="AE64" s="426">
        <v>0</v>
      </c>
      <c r="AF64" s="426">
        <v>0</v>
      </c>
      <c r="AG64" s="426">
        <v>0</v>
      </c>
      <c r="AH64" s="426">
        <v>0</v>
      </c>
      <c r="AI64" s="426">
        <v>0</v>
      </c>
      <c r="AJ64" s="426">
        <v>0</v>
      </c>
      <c r="AK64" s="426">
        <v>0</v>
      </c>
      <c r="AL64" s="426">
        <v>0</v>
      </c>
      <c r="AM64" s="427">
        <v>0</v>
      </c>
      <c r="AN64" s="427">
        <v>0</v>
      </c>
      <c r="AO64" s="427">
        <v>0</v>
      </c>
      <c r="AP64" s="427">
        <v>0</v>
      </c>
      <c r="AQ64" s="427">
        <v>0</v>
      </c>
      <c r="AR64" s="427">
        <v>0</v>
      </c>
      <c r="AS64" s="427">
        <v>0</v>
      </c>
      <c r="AT64" s="427">
        <v>0</v>
      </c>
      <c r="AU64" s="427">
        <v>0</v>
      </c>
      <c r="AV64" s="427">
        <v>0</v>
      </c>
      <c r="AW64" s="427">
        <v>0</v>
      </c>
      <c r="AX64" s="427">
        <v>0</v>
      </c>
      <c r="AY64" s="427">
        <v>0</v>
      </c>
      <c r="AZ64" s="427">
        <v>0</v>
      </c>
      <c r="BA64" s="427">
        <v>0</v>
      </c>
      <c r="BB64" s="427">
        <v>0</v>
      </c>
      <c r="BC64" s="427">
        <v>0</v>
      </c>
      <c r="BD64" s="427">
        <v>0</v>
      </c>
      <c r="BE64" s="427">
        <v>0</v>
      </c>
      <c r="BF64" s="427">
        <v>0</v>
      </c>
      <c r="BG64" s="427">
        <v>0</v>
      </c>
      <c r="BH64" s="427">
        <v>0</v>
      </c>
      <c r="BI64" s="427">
        <v>0</v>
      </c>
      <c r="BJ64" s="427">
        <v>0</v>
      </c>
      <c r="BK64" s="427">
        <v>0</v>
      </c>
      <c r="BL64" s="427">
        <v>0</v>
      </c>
      <c r="BM64" s="427">
        <v>0</v>
      </c>
      <c r="BN64" s="427">
        <v>0</v>
      </c>
      <c r="BO64" s="427">
        <v>0</v>
      </c>
      <c r="BP64" s="427">
        <v>0</v>
      </c>
      <c r="BQ64" s="427">
        <v>0</v>
      </c>
      <c r="BR64" s="427">
        <v>0</v>
      </c>
      <c r="BS64" s="427">
        <v>0</v>
      </c>
      <c r="BT64" s="427">
        <v>0</v>
      </c>
      <c r="BU64" s="427">
        <v>0</v>
      </c>
      <c r="BV64" s="427">
        <v>0</v>
      </c>
      <c r="BW64" s="427">
        <v>0</v>
      </c>
      <c r="BX64" s="427">
        <v>0</v>
      </c>
      <c r="BY64" s="427">
        <v>0</v>
      </c>
      <c r="BZ64" s="427">
        <v>0</v>
      </c>
      <c r="CA64" s="427">
        <v>0</v>
      </c>
      <c r="CB64" s="427">
        <v>0</v>
      </c>
      <c r="CC64" s="427">
        <v>0</v>
      </c>
      <c r="CD64" s="427">
        <v>0</v>
      </c>
      <c r="CE64" s="427">
        <v>0</v>
      </c>
      <c r="CF64" s="427">
        <v>0</v>
      </c>
      <c r="CG64" s="427">
        <v>0</v>
      </c>
      <c r="CH64" s="427">
        <v>0</v>
      </c>
      <c r="CI64" s="427">
        <v>0</v>
      </c>
      <c r="CJ64" s="427">
        <v>0</v>
      </c>
      <c r="CK64" s="428">
        <v>0</v>
      </c>
      <c r="CL64" s="428">
        <v>0</v>
      </c>
      <c r="CM64" s="428">
        <v>0</v>
      </c>
      <c r="CN64" s="428">
        <v>0</v>
      </c>
      <c r="CO64" s="428">
        <v>0</v>
      </c>
      <c r="CP64" s="428">
        <v>0</v>
      </c>
      <c r="CQ64" s="428">
        <v>0</v>
      </c>
      <c r="CR64" s="428">
        <v>0</v>
      </c>
      <c r="CS64" s="428">
        <v>0</v>
      </c>
      <c r="CT64" s="428">
        <v>0</v>
      </c>
      <c r="CU64" s="428">
        <v>0</v>
      </c>
      <c r="CV64" s="428">
        <v>0</v>
      </c>
      <c r="CW64" s="428">
        <v>0</v>
      </c>
      <c r="CX64" s="428"/>
      <c r="CY64" s="428"/>
      <c r="CZ64" s="428"/>
      <c r="DA64" s="428"/>
      <c r="DB64" s="428"/>
      <c r="DC64" s="428"/>
      <c r="DD64" s="428"/>
      <c r="DE64" s="428"/>
      <c r="DF64" s="428"/>
      <c r="DG64" s="428"/>
      <c r="DH64" s="428"/>
      <c r="DI64" s="428"/>
    </row>
    <row r="65" spans="1:113" s="388" customFormat="1">
      <c r="A65" s="421" t="s">
        <v>370</v>
      </c>
      <c r="B65" s="421" t="s">
        <v>21</v>
      </c>
      <c r="C65" s="421" t="s">
        <v>403</v>
      </c>
      <c r="D65" s="422" t="s">
        <v>376</v>
      </c>
      <c r="E65" s="422">
        <v>2017</v>
      </c>
      <c r="F65" s="423">
        <v>0.55825616945337209</v>
      </c>
      <c r="G65" s="424">
        <v>823.50080422113342</v>
      </c>
      <c r="H65" s="422">
        <v>4</v>
      </c>
      <c r="I65" s="425">
        <v>0.38322222222222602</v>
      </c>
      <c r="J65" s="425">
        <v>0.38322222222222602</v>
      </c>
      <c r="K65" s="422">
        <v>0</v>
      </c>
      <c r="L65" s="422">
        <v>0</v>
      </c>
      <c r="M65" s="422">
        <v>0</v>
      </c>
      <c r="N65" s="426">
        <v>0</v>
      </c>
      <c r="O65" s="426">
        <v>0</v>
      </c>
      <c r="P65" s="426">
        <v>0</v>
      </c>
      <c r="Q65" s="426">
        <v>0</v>
      </c>
      <c r="R65" s="426">
        <v>0</v>
      </c>
      <c r="S65" s="426">
        <v>0</v>
      </c>
      <c r="T65" s="426">
        <v>0</v>
      </c>
      <c r="U65" s="426">
        <v>0</v>
      </c>
      <c r="V65" s="426">
        <v>0</v>
      </c>
      <c r="W65" s="426">
        <v>0</v>
      </c>
      <c r="X65" s="426">
        <v>0</v>
      </c>
      <c r="Y65" s="426">
        <v>0</v>
      </c>
      <c r="Z65" s="426">
        <v>0</v>
      </c>
      <c r="AA65" s="426">
        <v>0</v>
      </c>
      <c r="AB65" s="426">
        <v>0</v>
      </c>
      <c r="AC65" s="426">
        <v>0</v>
      </c>
      <c r="AD65" s="426">
        <v>0</v>
      </c>
      <c r="AE65" s="426">
        <v>0</v>
      </c>
      <c r="AF65" s="426">
        <v>0</v>
      </c>
      <c r="AG65" s="426">
        <v>0</v>
      </c>
      <c r="AH65" s="426">
        <v>0</v>
      </c>
      <c r="AI65" s="426">
        <v>0</v>
      </c>
      <c r="AJ65" s="426">
        <v>0</v>
      </c>
      <c r="AK65" s="426">
        <v>0</v>
      </c>
      <c r="AL65" s="426">
        <v>0</v>
      </c>
      <c r="AM65" s="427">
        <v>0</v>
      </c>
      <c r="AN65" s="427">
        <v>0</v>
      </c>
      <c r="AO65" s="427">
        <v>0</v>
      </c>
      <c r="AP65" s="427">
        <v>0</v>
      </c>
      <c r="AQ65" s="427">
        <v>0</v>
      </c>
      <c r="AR65" s="427">
        <v>0</v>
      </c>
      <c r="AS65" s="427">
        <v>0</v>
      </c>
      <c r="AT65" s="427">
        <v>0</v>
      </c>
      <c r="AU65" s="427">
        <v>0</v>
      </c>
      <c r="AV65" s="427">
        <v>0</v>
      </c>
      <c r="AW65" s="427">
        <v>0</v>
      </c>
      <c r="AX65" s="427">
        <v>0</v>
      </c>
      <c r="AY65" s="427">
        <v>0</v>
      </c>
      <c r="AZ65" s="427">
        <v>0</v>
      </c>
      <c r="BA65" s="427">
        <v>0</v>
      </c>
      <c r="BB65" s="427">
        <v>0</v>
      </c>
      <c r="BC65" s="427">
        <v>0</v>
      </c>
      <c r="BD65" s="427">
        <v>0</v>
      </c>
      <c r="BE65" s="427">
        <v>0</v>
      </c>
      <c r="BF65" s="427">
        <v>0</v>
      </c>
      <c r="BG65" s="427">
        <v>0</v>
      </c>
      <c r="BH65" s="427">
        <v>0</v>
      </c>
      <c r="BI65" s="427">
        <v>0</v>
      </c>
      <c r="BJ65" s="427">
        <v>0</v>
      </c>
      <c r="BK65" s="427">
        <v>0</v>
      </c>
      <c r="BL65" s="427">
        <v>0</v>
      </c>
      <c r="BM65" s="427">
        <v>0</v>
      </c>
      <c r="BN65" s="427">
        <v>0</v>
      </c>
      <c r="BO65" s="427">
        <v>0</v>
      </c>
      <c r="BP65" s="427">
        <v>0</v>
      </c>
      <c r="BQ65" s="427">
        <v>0</v>
      </c>
      <c r="BR65" s="427">
        <v>0</v>
      </c>
      <c r="BS65" s="427">
        <v>0</v>
      </c>
      <c r="BT65" s="427">
        <v>0</v>
      </c>
      <c r="BU65" s="427">
        <v>0</v>
      </c>
      <c r="BV65" s="427">
        <v>0</v>
      </c>
      <c r="BW65" s="427">
        <v>0</v>
      </c>
      <c r="BX65" s="427">
        <v>0</v>
      </c>
      <c r="BY65" s="427">
        <v>0</v>
      </c>
      <c r="BZ65" s="427">
        <v>0</v>
      </c>
      <c r="CA65" s="427">
        <v>0</v>
      </c>
      <c r="CB65" s="427">
        <v>0</v>
      </c>
      <c r="CC65" s="427">
        <v>0</v>
      </c>
      <c r="CD65" s="427">
        <v>0</v>
      </c>
      <c r="CE65" s="427">
        <v>0</v>
      </c>
      <c r="CF65" s="427">
        <v>0</v>
      </c>
      <c r="CG65" s="427">
        <v>0</v>
      </c>
      <c r="CH65" s="427">
        <v>0</v>
      </c>
      <c r="CI65" s="427">
        <v>0</v>
      </c>
      <c r="CJ65" s="427">
        <v>0</v>
      </c>
      <c r="CK65" s="428">
        <v>0</v>
      </c>
      <c r="CL65" s="428">
        <v>0</v>
      </c>
      <c r="CM65" s="428">
        <v>0</v>
      </c>
      <c r="CN65" s="428">
        <v>0</v>
      </c>
      <c r="CO65" s="428">
        <v>0</v>
      </c>
      <c r="CP65" s="428">
        <v>0</v>
      </c>
      <c r="CQ65" s="428">
        <v>0</v>
      </c>
      <c r="CR65" s="428">
        <v>0</v>
      </c>
      <c r="CS65" s="428">
        <v>0</v>
      </c>
      <c r="CT65" s="428">
        <v>0</v>
      </c>
      <c r="CU65" s="428">
        <v>0</v>
      </c>
      <c r="CV65" s="428">
        <v>0</v>
      </c>
      <c r="CW65" s="428">
        <v>0</v>
      </c>
      <c r="CX65" s="428"/>
      <c r="CY65" s="428"/>
      <c r="CZ65" s="428"/>
      <c r="DA65" s="428"/>
      <c r="DB65" s="428"/>
      <c r="DC65" s="428"/>
      <c r="DD65" s="428"/>
      <c r="DE65" s="428"/>
      <c r="DF65" s="428"/>
      <c r="DG65" s="428"/>
      <c r="DH65" s="428"/>
      <c r="DI65" s="428"/>
    </row>
    <row r="66" spans="1:113" s="388" customFormat="1">
      <c r="A66" s="421" t="s">
        <v>370</v>
      </c>
      <c r="B66" s="421" t="s">
        <v>21</v>
      </c>
      <c r="C66" s="421" t="s">
        <v>403</v>
      </c>
      <c r="D66" s="422" t="s">
        <v>376</v>
      </c>
      <c r="E66" s="422">
        <v>2018</v>
      </c>
      <c r="F66" s="423">
        <v>0.55825616945337209</v>
      </c>
      <c r="G66" s="424">
        <v>823.50080422113342</v>
      </c>
      <c r="H66" s="422">
        <v>4</v>
      </c>
      <c r="I66" s="425">
        <v>0.38322222222222602</v>
      </c>
      <c r="J66" s="425">
        <v>0.38322222222222602</v>
      </c>
      <c r="K66" s="422">
        <v>0</v>
      </c>
      <c r="L66" s="422">
        <v>0</v>
      </c>
      <c r="M66" s="422">
        <v>0</v>
      </c>
      <c r="N66" s="426">
        <v>0</v>
      </c>
      <c r="O66" s="426">
        <v>0</v>
      </c>
      <c r="P66" s="426">
        <v>0</v>
      </c>
      <c r="Q66" s="426">
        <v>0</v>
      </c>
      <c r="R66" s="426">
        <v>0</v>
      </c>
      <c r="S66" s="426">
        <v>0</v>
      </c>
      <c r="T66" s="426">
        <v>0</v>
      </c>
      <c r="U66" s="426">
        <v>0</v>
      </c>
      <c r="V66" s="426">
        <v>0</v>
      </c>
      <c r="W66" s="426">
        <v>0</v>
      </c>
      <c r="X66" s="426">
        <v>0</v>
      </c>
      <c r="Y66" s="426">
        <v>0</v>
      </c>
      <c r="Z66" s="426">
        <v>0</v>
      </c>
      <c r="AA66" s="426">
        <v>0</v>
      </c>
      <c r="AB66" s="426">
        <v>0</v>
      </c>
      <c r="AC66" s="426">
        <v>0</v>
      </c>
      <c r="AD66" s="426">
        <v>0</v>
      </c>
      <c r="AE66" s="426">
        <v>0</v>
      </c>
      <c r="AF66" s="426">
        <v>0</v>
      </c>
      <c r="AG66" s="426">
        <v>0</v>
      </c>
      <c r="AH66" s="426">
        <v>0</v>
      </c>
      <c r="AI66" s="426">
        <v>0</v>
      </c>
      <c r="AJ66" s="426">
        <v>0</v>
      </c>
      <c r="AK66" s="426">
        <v>0</v>
      </c>
      <c r="AL66" s="426">
        <v>0</v>
      </c>
      <c r="AM66" s="427">
        <v>0</v>
      </c>
      <c r="AN66" s="427">
        <v>0</v>
      </c>
      <c r="AO66" s="427">
        <v>0</v>
      </c>
      <c r="AP66" s="427">
        <v>0</v>
      </c>
      <c r="AQ66" s="427">
        <v>0</v>
      </c>
      <c r="AR66" s="427">
        <v>0</v>
      </c>
      <c r="AS66" s="427">
        <v>0</v>
      </c>
      <c r="AT66" s="427">
        <v>0</v>
      </c>
      <c r="AU66" s="427">
        <v>0</v>
      </c>
      <c r="AV66" s="427">
        <v>0</v>
      </c>
      <c r="AW66" s="427">
        <v>0</v>
      </c>
      <c r="AX66" s="427">
        <v>0</v>
      </c>
      <c r="AY66" s="427">
        <v>0</v>
      </c>
      <c r="AZ66" s="427">
        <v>0</v>
      </c>
      <c r="BA66" s="427">
        <v>0</v>
      </c>
      <c r="BB66" s="427">
        <v>0</v>
      </c>
      <c r="BC66" s="427">
        <v>0</v>
      </c>
      <c r="BD66" s="427">
        <v>0</v>
      </c>
      <c r="BE66" s="427">
        <v>0</v>
      </c>
      <c r="BF66" s="427">
        <v>0</v>
      </c>
      <c r="BG66" s="427">
        <v>0</v>
      </c>
      <c r="BH66" s="427">
        <v>0</v>
      </c>
      <c r="BI66" s="427">
        <v>0</v>
      </c>
      <c r="BJ66" s="427">
        <v>0</v>
      </c>
      <c r="BK66" s="427">
        <v>0</v>
      </c>
      <c r="BL66" s="427">
        <v>0</v>
      </c>
      <c r="BM66" s="427">
        <v>0</v>
      </c>
      <c r="BN66" s="427">
        <v>0</v>
      </c>
      <c r="BO66" s="427">
        <v>0</v>
      </c>
      <c r="BP66" s="427">
        <v>0</v>
      </c>
      <c r="BQ66" s="427">
        <v>0</v>
      </c>
      <c r="BR66" s="427">
        <v>0</v>
      </c>
      <c r="BS66" s="427">
        <v>0</v>
      </c>
      <c r="BT66" s="427">
        <v>0</v>
      </c>
      <c r="BU66" s="427">
        <v>0</v>
      </c>
      <c r="BV66" s="427">
        <v>0</v>
      </c>
      <c r="BW66" s="427">
        <v>0</v>
      </c>
      <c r="BX66" s="427">
        <v>0</v>
      </c>
      <c r="BY66" s="427">
        <v>0</v>
      </c>
      <c r="BZ66" s="427">
        <v>0</v>
      </c>
      <c r="CA66" s="427">
        <v>0</v>
      </c>
      <c r="CB66" s="427">
        <v>0</v>
      </c>
      <c r="CC66" s="427">
        <v>0</v>
      </c>
      <c r="CD66" s="427">
        <v>0</v>
      </c>
      <c r="CE66" s="427">
        <v>0</v>
      </c>
      <c r="CF66" s="427">
        <v>0</v>
      </c>
      <c r="CG66" s="427">
        <v>0</v>
      </c>
      <c r="CH66" s="427">
        <v>0</v>
      </c>
      <c r="CI66" s="427">
        <v>0</v>
      </c>
      <c r="CJ66" s="427">
        <v>0</v>
      </c>
      <c r="CK66" s="428">
        <v>0</v>
      </c>
      <c r="CL66" s="428">
        <v>0</v>
      </c>
      <c r="CM66" s="428">
        <v>0</v>
      </c>
      <c r="CN66" s="428">
        <v>0</v>
      </c>
      <c r="CO66" s="428">
        <v>0</v>
      </c>
      <c r="CP66" s="428">
        <v>0</v>
      </c>
      <c r="CQ66" s="428">
        <v>0</v>
      </c>
      <c r="CR66" s="428">
        <v>0</v>
      </c>
      <c r="CS66" s="428">
        <v>0</v>
      </c>
      <c r="CT66" s="428">
        <v>0</v>
      </c>
      <c r="CU66" s="428">
        <v>0</v>
      </c>
      <c r="CV66" s="428">
        <v>0</v>
      </c>
      <c r="CW66" s="428">
        <v>0</v>
      </c>
      <c r="CX66" s="428"/>
      <c r="CY66" s="428"/>
      <c r="CZ66" s="428"/>
      <c r="DA66" s="428"/>
      <c r="DB66" s="428"/>
      <c r="DC66" s="428"/>
      <c r="DD66" s="428"/>
      <c r="DE66" s="428"/>
      <c r="DF66" s="428"/>
      <c r="DG66" s="428"/>
      <c r="DH66" s="428"/>
      <c r="DI66" s="428"/>
    </row>
    <row r="67" spans="1:113" s="388" customFormat="1">
      <c r="A67" s="421" t="s">
        <v>370</v>
      </c>
      <c r="B67" s="421" t="s">
        <v>21</v>
      </c>
      <c r="C67" s="421" t="s">
        <v>403</v>
      </c>
      <c r="D67" s="422" t="s">
        <v>376</v>
      </c>
      <c r="E67" s="422">
        <v>2019</v>
      </c>
      <c r="F67" s="423">
        <v>0.55825616945337209</v>
      </c>
      <c r="G67" s="424">
        <v>823.50080422113342</v>
      </c>
      <c r="H67" s="422">
        <v>4</v>
      </c>
      <c r="I67" s="425">
        <v>0.38322222222222602</v>
      </c>
      <c r="J67" s="425">
        <v>0.38322222222222602</v>
      </c>
      <c r="K67" s="422">
        <v>0</v>
      </c>
      <c r="L67" s="422">
        <v>0</v>
      </c>
      <c r="M67" s="422">
        <v>0</v>
      </c>
      <c r="N67" s="426">
        <v>0</v>
      </c>
      <c r="O67" s="426">
        <v>0</v>
      </c>
      <c r="P67" s="426">
        <v>0</v>
      </c>
      <c r="Q67" s="426">
        <v>0</v>
      </c>
      <c r="R67" s="426">
        <v>0</v>
      </c>
      <c r="S67" s="426">
        <v>0</v>
      </c>
      <c r="T67" s="426">
        <v>0</v>
      </c>
      <c r="U67" s="426">
        <v>0</v>
      </c>
      <c r="V67" s="426">
        <v>0</v>
      </c>
      <c r="W67" s="426">
        <v>0</v>
      </c>
      <c r="X67" s="426">
        <v>0</v>
      </c>
      <c r="Y67" s="426">
        <v>0</v>
      </c>
      <c r="Z67" s="426">
        <v>0</v>
      </c>
      <c r="AA67" s="426">
        <v>0</v>
      </c>
      <c r="AB67" s="426">
        <v>0</v>
      </c>
      <c r="AC67" s="426">
        <v>0</v>
      </c>
      <c r="AD67" s="426">
        <v>0</v>
      </c>
      <c r="AE67" s="426">
        <v>0</v>
      </c>
      <c r="AF67" s="426">
        <v>0</v>
      </c>
      <c r="AG67" s="426">
        <v>0</v>
      </c>
      <c r="AH67" s="426">
        <v>0</v>
      </c>
      <c r="AI67" s="426">
        <v>0</v>
      </c>
      <c r="AJ67" s="426">
        <v>0</v>
      </c>
      <c r="AK67" s="426">
        <v>0</v>
      </c>
      <c r="AL67" s="426">
        <v>0</v>
      </c>
      <c r="AM67" s="427">
        <v>0</v>
      </c>
      <c r="AN67" s="427">
        <v>0</v>
      </c>
      <c r="AO67" s="427">
        <v>0</v>
      </c>
      <c r="AP67" s="427">
        <v>0</v>
      </c>
      <c r="AQ67" s="427">
        <v>0</v>
      </c>
      <c r="AR67" s="427">
        <v>0</v>
      </c>
      <c r="AS67" s="427">
        <v>0</v>
      </c>
      <c r="AT67" s="427">
        <v>0</v>
      </c>
      <c r="AU67" s="427">
        <v>0</v>
      </c>
      <c r="AV67" s="427">
        <v>0</v>
      </c>
      <c r="AW67" s="427">
        <v>0</v>
      </c>
      <c r="AX67" s="427">
        <v>0</v>
      </c>
      <c r="AY67" s="427">
        <v>0</v>
      </c>
      <c r="AZ67" s="427">
        <v>0</v>
      </c>
      <c r="BA67" s="427">
        <v>0</v>
      </c>
      <c r="BB67" s="427">
        <v>0</v>
      </c>
      <c r="BC67" s="427">
        <v>0</v>
      </c>
      <c r="BD67" s="427">
        <v>0</v>
      </c>
      <c r="BE67" s="427">
        <v>0</v>
      </c>
      <c r="BF67" s="427">
        <v>0</v>
      </c>
      <c r="BG67" s="427">
        <v>0</v>
      </c>
      <c r="BH67" s="427">
        <v>0</v>
      </c>
      <c r="BI67" s="427">
        <v>0</v>
      </c>
      <c r="BJ67" s="427">
        <v>0</v>
      </c>
      <c r="BK67" s="427">
        <v>0</v>
      </c>
      <c r="BL67" s="427">
        <v>0</v>
      </c>
      <c r="BM67" s="427">
        <v>0</v>
      </c>
      <c r="BN67" s="427">
        <v>0</v>
      </c>
      <c r="BO67" s="427">
        <v>0</v>
      </c>
      <c r="BP67" s="427">
        <v>0</v>
      </c>
      <c r="BQ67" s="427">
        <v>0</v>
      </c>
      <c r="BR67" s="427">
        <v>0</v>
      </c>
      <c r="BS67" s="427">
        <v>0</v>
      </c>
      <c r="BT67" s="427">
        <v>0</v>
      </c>
      <c r="BU67" s="427">
        <v>0</v>
      </c>
      <c r="BV67" s="427">
        <v>0</v>
      </c>
      <c r="BW67" s="427">
        <v>0</v>
      </c>
      <c r="BX67" s="427">
        <v>0</v>
      </c>
      <c r="BY67" s="427">
        <v>0</v>
      </c>
      <c r="BZ67" s="427">
        <v>0</v>
      </c>
      <c r="CA67" s="427">
        <v>0</v>
      </c>
      <c r="CB67" s="427">
        <v>0</v>
      </c>
      <c r="CC67" s="427">
        <v>0</v>
      </c>
      <c r="CD67" s="427">
        <v>0</v>
      </c>
      <c r="CE67" s="427">
        <v>0</v>
      </c>
      <c r="CF67" s="427">
        <v>0</v>
      </c>
      <c r="CG67" s="427">
        <v>0</v>
      </c>
      <c r="CH67" s="427">
        <v>0</v>
      </c>
      <c r="CI67" s="427">
        <v>0</v>
      </c>
      <c r="CJ67" s="427">
        <v>0</v>
      </c>
      <c r="CK67" s="428">
        <v>0</v>
      </c>
      <c r="CL67" s="428">
        <v>0</v>
      </c>
      <c r="CM67" s="428">
        <v>0</v>
      </c>
      <c r="CN67" s="428">
        <v>0</v>
      </c>
      <c r="CO67" s="428">
        <v>0</v>
      </c>
      <c r="CP67" s="428">
        <v>0</v>
      </c>
      <c r="CQ67" s="428">
        <v>0</v>
      </c>
      <c r="CR67" s="428">
        <v>0</v>
      </c>
      <c r="CS67" s="428">
        <v>0</v>
      </c>
      <c r="CT67" s="428">
        <v>0</v>
      </c>
      <c r="CU67" s="428">
        <v>0</v>
      </c>
      <c r="CV67" s="428">
        <v>0</v>
      </c>
      <c r="CW67" s="428">
        <v>0</v>
      </c>
      <c r="CX67" s="428"/>
      <c r="CY67" s="428"/>
      <c r="CZ67" s="428"/>
      <c r="DA67" s="428"/>
      <c r="DB67" s="428"/>
      <c r="DC67" s="428"/>
      <c r="DD67" s="428"/>
      <c r="DE67" s="428"/>
      <c r="DF67" s="428"/>
      <c r="DG67" s="428"/>
      <c r="DH67" s="428"/>
      <c r="DI67" s="428"/>
    </row>
    <row r="68" spans="1:113" s="388" customFormat="1">
      <c r="A68" s="421" t="s">
        <v>370</v>
      </c>
      <c r="B68" s="421" t="s">
        <v>21</v>
      </c>
      <c r="C68" s="421" t="s">
        <v>403</v>
      </c>
      <c r="D68" s="422" t="s">
        <v>376</v>
      </c>
      <c r="E68" s="422">
        <v>2020</v>
      </c>
      <c r="F68" s="423">
        <v>0.55825616945337209</v>
      </c>
      <c r="G68" s="424">
        <v>823.50080422113342</v>
      </c>
      <c r="H68" s="422">
        <v>4</v>
      </c>
      <c r="I68" s="425">
        <v>0.38322222222222602</v>
      </c>
      <c r="J68" s="425">
        <v>0.38322222222222602</v>
      </c>
      <c r="K68" s="422">
        <v>0</v>
      </c>
      <c r="L68" s="422">
        <v>0</v>
      </c>
      <c r="M68" s="422">
        <v>0</v>
      </c>
      <c r="N68" s="426">
        <v>0</v>
      </c>
      <c r="O68" s="426">
        <v>0</v>
      </c>
      <c r="P68" s="426">
        <v>0</v>
      </c>
      <c r="Q68" s="426">
        <v>0</v>
      </c>
      <c r="R68" s="426">
        <v>0</v>
      </c>
      <c r="S68" s="426">
        <v>0</v>
      </c>
      <c r="T68" s="426">
        <v>0</v>
      </c>
      <c r="U68" s="426">
        <v>0</v>
      </c>
      <c r="V68" s="426">
        <v>0</v>
      </c>
      <c r="W68" s="426">
        <v>0</v>
      </c>
      <c r="X68" s="426">
        <v>0</v>
      </c>
      <c r="Y68" s="426">
        <v>0</v>
      </c>
      <c r="Z68" s="426">
        <v>0</v>
      </c>
      <c r="AA68" s="426">
        <v>0</v>
      </c>
      <c r="AB68" s="426">
        <v>0</v>
      </c>
      <c r="AC68" s="426">
        <v>0</v>
      </c>
      <c r="AD68" s="426">
        <v>0</v>
      </c>
      <c r="AE68" s="426">
        <v>0</v>
      </c>
      <c r="AF68" s="426">
        <v>0</v>
      </c>
      <c r="AG68" s="426">
        <v>0</v>
      </c>
      <c r="AH68" s="426">
        <v>0</v>
      </c>
      <c r="AI68" s="426">
        <v>0</v>
      </c>
      <c r="AJ68" s="426">
        <v>0</v>
      </c>
      <c r="AK68" s="426">
        <v>0</v>
      </c>
      <c r="AL68" s="426">
        <v>0</v>
      </c>
      <c r="AM68" s="427">
        <v>0</v>
      </c>
      <c r="AN68" s="427">
        <v>0</v>
      </c>
      <c r="AO68" s="427">
        <v>0</v>
      </c>
      <c r="AP68" s="427">
        <v>0</v>
      </c>
      <c r="AQ68" s="427">
        <v>0</v>
      </c>
      <c r="AR68" s="427">
        <v>0</v>
      </c>
      <c r="AS68" s="427">
        <v>0</v>
      </c>
      <c r="AT68" s="427">
        <v>0</v>
      </c>
      <c r="AU68" s="427">
        <v>0</v>
      </c>
      <c r="AV68" s="427">
        <v>0</v>
      </c>
      <c r="AW68" s="427">
        <v>0</v>
      </c>
      <c r="AX68" s="427">
        <v>0</v>
      </c>
      <c r="AY68" s="427">
        <v>0</v>
      </c>
      <c r="AZ68" s="427">
        <v>0</v>
      </c>
      <c r="BA68" s="427">
        <v>0</v>
      </c>
      <c r="BB68" s="427">
        <v>0</v>
      </c>
      <c r="BC68" s="427">
        <v>0</v>
      </c>
      <c r="BD68" s="427">
        <v>0</v>
      </c>
      <c r="BE68" s="427">
        <v>0</v>
      </c>
      <c r="BF68" s="427">
        <v>0</v>
      </c>
      <c r="BG68" s="427">
        <v>0</v>
      </c>
      <c r="BH68" s="427">
        <v>0</v>
      </c>
      <c r="BI68" s="427">
        <v>0</v>
      </c>
      <c r="BJ68" s="427">
        <v>0</v>
      </c>
      <c r="BK68" s="427">
        <v>0</v>
      </c>
      <c r="BL68" s="427">
        <v>0</v>
      </c>
      <c r="BM68" s="427">
        <v>0</v>
      </c>
      <c r="BN68" s="427">
        <v>0</v>
      </c>
      <c r="BO68" s="427">
        <v>0</v>
      </c>
      <c r="BP68" s="427">
        <v>0</v>
      </c>
      <c r="BQ68" s="427">
        <v>0</v>
      </c>
      <c r="BR68" s="427">
        <v>0</v>
      </c>
      <c r="BS68" s="427">
        <v>0</v>
      </c>
      <c r="BT68" s="427">
        <v>0</v>
      </c>
      <c r="BU68" s="427">
        <v>0</v>
      </c>
      <c r="BV68" s="427">
        <v>0</v>
      </c>
      <c r="BW68" s="427">
        <v>0</v>
      </c>
      <c r="BX68" s="427">
        <v>0</v>
      </c>
      <c r="BY68" s="427">
        <v>0</v>
      </c>
      <c r="BZ68" s="427">
        <v>0</v>
      </c>
      <c r="CA68" s="427">
        <v>0</v>
      </c>
      <c r="CB68" s="427">
        <v>0</v>
      </c>
      <c r="CC68" s="427">
        <v>0</v>
      </c>
      <c r="CD68" s="427">
        <v>0</v>
      </c>
      <c r="CE68" s="427">
        <v>0</v>
      </c>
      <c r="CF68" s="427">
        <v>0</v>
      </c>
      <c r="CG68" s="427">
        <v>0</v>
      </c>
      <c r="CH68" s="427">
        <v>0</v>
      </c>
      <c r="CI68" s="427">
        <v>0</v>
      </c>
      <c r="CJ68" s="427">
        <v>0</v>
      </c>
      <c r="CK68" s="428">
        <v>0</v>
      </c>
      <c r="CL68" s="428">
        <v>0</v>
      </c>
      <c r="CM68" s="428">
        <v>0</v>
      </c>
      <c r="CN68" s="428">
        <v>0</v>
      </c>
      <c r="CO68" s="428">
        <v>0</v>
      </c>
      <c r="CP68" s="428">
        <v>0</v>
      </c>
      <c r="CQ68" s="428">
        <v>0</v>
      </c>
      <c r="CR68" s="428">
        <v>0</v>
      </c>
      <c r="CS68" s="428">
        <v>0</v>
      </c>
      <c r="CT68" s="428">
        <v>0</v>
      </c>
      <c r="CU68" s="428">
        <v>0</v>
      </c>
      <c r="CV68" s="428">
        <v>0</v>
      </c>
      <c r="CW68" s="428">
        <v>0</v>
      </c>
      <c r="CX68" s="428"/>
      <c r="CY68" s="428"/>
      <c r="CZ68" s="428"/>
      <c r="DA68" s="428"/>
      <c r="DB68" s="428"/>
      <c r="DC68" s="428"/>
      <c r="DD68" s="428"/>
      <c r="DE68" s="428"/>
      <c r="DF68" s="428"/>
      <c r="DG68" s="428"/>
      <c r="DH68" s="428"/>
      <c r="DI68" s="428"/>
    </row>
    <row r="69" spans="1:113" s="388" customFormat="1">
      <c r="A69" s="421" t="s">
        <v>370</v>
      </c>
      <c r="B69" s="421" t="s">
        <v>21</v>
      </c>
      <c r="C69" s="421" t="s">
        <v>407</v>
      </c>
      <c r="D69" s="422" t="s">
        <v>376</v>
      </c>
      <c r="E69" s="422">
        <v>2015</v>
      </c>
      <c r="F69" s="423">
        <v>0.86640664997332184</v>
      </c>
      <c r="G69" s="424">
        <v>967.29181065222474</v>
      </c>
      <c r="H69" s="422">
        <v>4</v>
      </c>
      <c r="I69" s="425">
        <v>0.48452941176478675</v>
      </c>
      <c r="J69" s="425">
        <v>0.48452941176478675</v>
      </c>
      <c r="K69" s="422">
        <v>0</v>
      </c>
      <c r="L69" s="422">
        <v>0</v>
      </c>
      <c r="M69" s="422">
        <v>0</v>
      </c>
      <c r="N69" s="426">
        <v>0</v>
      </c>
      <c r="O69" s="426">
        <v>0</v>
      </c>
      <c r="P69" s="426">
        <v>0</v>
      </c>
      <c r="Q69" s="426">
        <v>0</v>
      </c>
      <c r="R69" s="426">
        <v>0</v>
      </c>
      <c r="S69" s="426">
        <v>0</v>
      </c>
      <c r="T69" s="426">
        <v>0</v>
      </c>
      <c r="U69" s="426">
        <v>0</v>
      </c>
      <c r="V69" s="426">
        <v>0</v>
      </c>
      <c r="W69" s="426">
        <v>0</v>
      </c>
      <c r="X69" s="426">
        <v>0</v>
      </c>
      <c r="Y69" s="426">
        <v>0</v>
      </c>
      <c r="Z69" s="426">
        <v>0</v>
      </c>
      <c r="AA69" s="426">
        <v>0</v>
      </c>
      <c r="AB69" s="426">
        <v>0</v>
      </c>
      <c r="AC69" s="426">
        <v>0</v>
      </c>
      <c r="AD69" s="426">
        <v>0</v>
      </c>
      <c r="AE69" s="426">
        <v>0</v>
      </c>
      <c r="AF69" s="426">
        <v>0</v>
      </c>
      <c r="AG69" s="426">
        <v>0</v>
      </c>
      <c r="AH69" s="426">
        <v>0</v>
      </c>
      <c r="AI69" s="426">
        <v>0</v>
      </c>
      <c r="AJ69" s="426">
        <v>0</v>
      </c>
      <c r="AK69" s="426">
        <v>0</v>
      </c>
      <c r="AL69" s="426">
        <v>0</v>
      </c>
      <c r="AM69" s="427">
        <v>0</v>
      </c>
      <c r="AN69" s="427">
        <v>0</v>
      </c>
      <c r="AO69" s="427">
        <v>0</v>
      </c>
      <c r="AP69" s="427">
        <v>0</v>
      </c>
      <c r="AQ69" s="427">
        <v>0</v>
      </c>
      <c r="AR69" s="427">
        <v>0</v>
      </c>
      <c r="AS69" s="427">
        <v>0</v>
      </c>
      <c r="AT69" s="427">
        <v>0</v>
      </c>
      <c r="AU69" s="427">
        <v>0</v>
      </c>
      <c r="AV69" s="427">
        <v>0</v>
      </c>
      <c r="AW69" s="427">
        <v>0</v>
      </c>
      <c r="AX69" s="427">
        <v>0</v>
      </c>
      <c r="AY69" s="427">
        <v>0</v>
      </c>
      <c r="AZ69" s="427">
        <v>0</v>
      </c>
      <c r="BA69" s="427">
        <v>0</v>
      </c>
      <c r="BB69" s="427">
        <v>0</v>
      </c>
      <c r="BC69" s="427">
        <v>0</v>
      </c>
      <c r="BD69" s="427">
        <v>0</v>
      </c>
      <c r="BE69" s="427">
        <v>0</v>
      </c>
      <c r="BF69" s="427">
        <v>0</v>
      </c>
      <c r="BG69" s="427">
        <v>0</v>
      </c>
      <c r="BH69" s="427">
        <v>0</v>
      </c>
      <c r="BI69" s="427">
        <v>0</v>
      </c>
      <c r="BJ69" s="427">
        <v>0</v>
      </c>
      <c r="BK69" s="427">
        <v>0</v>
      </c>
      <c r="BL69" s="427">
        <v>0</v>
      </c>
      <c r="BM69" s="427">
        <v>0</v>
      </c>
      <c r="BN69" s="427">
        <v>0</v>
      </c>
      <c r="BO69" s="427">
        <v>0</v>
      </c>
      <c r="BP69" s="427">
        <v>0</v>
      </c>
      <c r="BQ69" s="427">
        <v>0</v>
      </c>
      <c r="BR69" s="427">
        <v>0</v>
      </c>
      <c r="BS69" s="427">
        <v>0</v>
      </c>
      <c r="BT69" s="427">
        <v>0</v>
      </c>
      <c r="BU69" s="427">
        <v>0</v>
      </c>
      <c r="BV69" s="427">
        <v>0</v>
      </c>
      <c r="BW69" s="427">
        <v>0</v>
      </c>
      <c r="BX69" s="427">
        <v>0</v>
      </c>
      <c r="BY69" s="427">
        <v>0</v>
      </c>
      <c r="BZ69" s="427">
        <v>0</v>
      </c>
      <c r="CA69" s="427">
        <v>0</v>
      </c>
      <c r="CB69" s="427">
        <v>0</v>
      </c>
      <c r="CC69" s="427">
        <v>0</v>
      </c>
      <c r="CD69" s="427">
        <v>0</v>
      </c>
      <c r="CE69" s="427">
        <v>0</v>
      </c>
      <c r="CF69" s="427">
        <v>0</v>
      </c>
      <c r="CG69" s="427">
        <v>0</v>
      </c>
      <c r="CH69" s="427">
        <v>0</v>
      </c>
      <c r="CI69" s="427">
        <v>0</v>
      </c>
      <c r="CJ69" s="427">
        <v>0</v>
      </c>
      <c r="CK69" s="428">
        <v>0</v>
      </c>
      <c r="CL69" s="428">
        <v>0</v>
      </c>
      <c r="CM69" s="428">
        <v>0</v>
      </c>
      <c r="CN69" s="428">
        <v>0</v>
      </c>
      <c r="CO69" s="428">
        <v>0</v>
      </c>
      <c r="CP69" s="428">
        <v>0</v>
      </c>
      <c r="CQ69" s="428">
        <v>0</v>
      </c>
      <c r="CR69" s="428">
        <v>0</v>
      </c>
      <c r="CS69" s="428">
        <v>0</v>
      </c>
      <c r="CT69" s="428">
        <v>0</v>
      </c>
      <c r="CU69" s="428">
        <v>0</v>
      </c>
      <c r="CV69" s="428">
        <v>0</v>
      </c>
      <c r="CW69" s="428">
        <v>0</v>
      </c>
      <c r="CX69" s="428"/>
      <c r="CY69" s="428"/>
      <c r="CZ69" s="428"/>
      <c r="DA69" s="428"/>
      <c r="DB69" s="428"/>
      <c r="DC69" s="428"/>
      <c r="DD69" s="428"/>
      <c r="DE69" s="428"/>
      <c r="DF69" s="428"/>
      <c r="DG69" s="428"/>
      <c r="DH69" s="428"/>
      <c r="DI69" s="428"/>
    </row>
    <row r="70" spans="1:113" s="388" customFormat="1">
      <c r="A70" s="421" t="s">
        <v>370</v>
      </c>
      <c r="B70" s="421" t="s">
        <v>21</v>
      </c>
      <c r="C70" s="421" t="s">
        <v>407</v>
      </c>
      <c r="D70" s="422" t="s">
        <v>376</v>
      </c>
      <c r="E70" s="422">
        <v>2016</v>
      </c>
      <c r="F70" s="423">
        <v>0.86640664997332184</v>
      </c>
      <c r="G70" s="424">
        <v>967.29181065222474</v>
      </c>
      <c r="H70" s="422">
        <v>4</v>
      </c>
      <c r="I70" s="425">
        <v>0.48452941176478675</v>
      </c>
      <c r="J70" s="425">
        <v>0.48452941176478675</v>
      </c>
      <c r="K70" s="422">
        <v>0</v>
      </c>
      <c r="L70" s="422">
        <v>0</v>
      </c>
      <c r="M70" s="422">
        <v>0</v>
      </c>
      <c r="N70" s="426">
        <v>0</v>
      </c>
      <c r="O70" s="426">
        <v>0</v>
      </c>
      <c r="P70" s="426">
        <v>0</v>
      </c>
      <c r="Q70" s="426">
        <v>0</v>
      </c>
      <c r="R70" s="426">
        <v>0</v>
      </c>
      <c r="S70" s="426">
        <v>0</v>
      </c>
      <c r="T70" s="426">
        <v>0</v>
      </c>
      <c r="U70" s="426">
        <v>0</v>
      </c>
      <c r="V70" s="426">
        <v>0</v>
      </c>
      <c r="W70" s="426">
        <v>0</v>
      </c>
      <c r="X70" s="426">
        <v>0</v>
      </c>
      <c r="Y70" s="426">
        <v>0</v>
      </c>
      <c r="Z70" s="426">
        <v>0</v>
      </c>
      <c r="AA70" s="426">
        <v>0</v>
      </c>
      <c r="AB70" s="426">
        <v>0</v>
      </c>
      <c r="AC70" s="426">
        <v>0</v>
      </c>
      <c r="AD70" s="426">
        <v>0</v>
      </c>
      <c r="AE70" s="426">
        <v>0</v>
      </c>
      <c r="AF70" s="426">
        <v>0</v>
      </c>
      <c r="AG70" s="426">
        <v>0</v>
      </c>
      <c r="AH70" s="426">
        <v>0</v>
      </c>
      <c r="AI70" s="426">
        <v>0</v>
      </c>
      <c r="AJ70" s="426">
        <v>0</v>
      </c>
      <c r="AK70" s="426">
        <v>0</v>
      </c>
      <c r="AL70" s="426">
        <v>0</v>
      </c>
      <c r="AM70" s="427">
        <v>0</v>
      </c>
      <c r="AN70" s="427">
        <v>0</v>
      </c>
      <c r="AO70" s="427">
        <v>0</v>
      </c>
      <c r="AP70" s="427">
        <v>0</v>
      </c>
      <c r="AQ70" s="427">
        <v>0</v>
      </c>
      <c r="AR70" s="427">
        <v>0</v>
      </c>
      <c r="AS70" s="427">
        <v>0</v>
      </c>
      <c r="AT70" s="427">
        <v>0</v>
      </c>
      <c r="AU70" s="427">
        <v>0</v>
      </c>
      <c r="AV70" s="427">
        <v>0</v>
      </c>
      <c r="AW70" s="427">
        <v>0</v>
      </c>
      <c r="AX70" s="427">
        <v>0</v>
      </c>
      <c r="AY70" s="427">
        <v>0</v>
      </c>
      <c r="AZ70" s="427">
        <v>0</v>
      </c>
      <c r="BA70" s="427">
        <v>0</v>
      </c>
      <c r="BB70" s="427">
        <v>0</v>
      </c>
      <c r="BC70" s="427">
        <v>0</v>
      </c>
      <c r="BD70" s="427">
        <v>0</v>
      </c>
      <c r="BE70" s="427">
        <v>0</v>
      </c>
      <c r="BF70" s="427">
        <v>0</v>
      </c>
      <c r="BG70" s="427">
        <v>0</v>
      </c>
      <c r="BH70" s="427">
        <v>0</v>
      </c>
      <c r="BI70" s="427">
        <v>0</v>
      </c>
      <c r="BJ70" s="427">
        <v>0</v>
      </c>
      <c r="BK70" s="427">
        <v>0</v>
      </c>
      <c r="BL70" s="427">
        <v>0</v>
      </c>
      <c r="BM70" s="427">
        <v>0</v>
      </c>
      <c r="BN70" s="427">
        <v>0</v>
      </c>
      <c r="BO70" s="427">
        <v>0</v>
      </c>
      <c r="BP70" s="427">
        <v>0</v>
      </c>
      <c r="BQ70" s="427">
        <v>0</v>
      </c>
      <c r="BR70" s="427">
        <v>0</v>
      </c>
      <c r="BS70" s="427">
        <v>0</v>
      </c>
      <c r="BT70" s="427">
        <v>0</v>
      </c>
      <c r="BU70" s="427">
        <v>0</v>
      </c>
      <c r="BV70" s="427">
        <v>0</v>
      </c>
      <c r="BW70" s="427">
        <v>0</v>
      </c>
      <c r="BX70" s="427">
        <v>0</v>
      </c>
      <c r="BY70" s="427">
        <v>0</v>
      </c>
      <c r="BZ70" s="427">
        <v>0</v>
      </c>
      <c r="CA70" s="427">
        <v>0</v>
      </c>
      <c r="CB70" s="427">
        <v>0</v>
      </c>
      <c r="CC70" s="427">
        <v>0</v>
      </c>
      <c r="CD70" s="427">
        <v>0</v>
      </c>
      <c r="CE70" s="427">
        <v>0</v>
      </c>
      <c r="CF70" s="427">
        <v>0</v>
      </c>
      <c r="CG70" s="427">
        <v>0</v>
      </c>
      <c r="CH70" s="427">
        <v>0</v>
      </c>
      <c r="CI70" s="427">
        <v>0</v>
      </c>
      <c r="CJ70" s="427">
        <v>0</v>
      </c>
      <c r="CK70" s="428">
        <v>0</v>
      </c>
      <c r="CL70" s="428">
        <v>0</v>
      </c>
      <c r="CM70" s="428">
        <v>0</v>
      </c>
      <c r="CN70" s="428">
        <v>0</v>
      </c>
      <c r="CO70" s="428">
        <v>0</v>
      </c>
      <c r="CP70" s="428">
        <v>0</v>
      </c>
      <c r="CQ70" s="428">
        <v>0</v>
      </c>
      <c r="CR70" s="428">
        <v>0</v>
      </c>
      <c r="CS70" s="428">
        <v>0</v>
      </c>
      <c r="CT70" s="428">
        <v>0</v>
      </c>
      <c r="CU70" s="428">
        <v>0</v>
      </c>
      <c r="CV70" s="428">
        <v>0</v>
      </c>
      <c r="CW70" s="428">
        <v>0</v>
      </c>
      <c r="CX70" s="428"/>
      <c r="CY70" s="428"/>
      <c r="CZ70" s="428"/>
      <c r="DA70" s="428"/>
      <c r="DB70" s="428"/>
      <c r="DC70" s="428"/>
      <c r="DD70" s="428"/>
      <c r="DE70" s="428"/>
      <c r="DF70" s="428"/>
      <c r="DG70" s="428"/>
      <c r="DH70" s="428"/>
      <c r="DI70" s="428"/>
    </row>
    <row r="71" spans="1:113" s="388" customFormat="1">
      <c r="A71" s="421" t="s">
        <v>370</v>
      </c>
      <c r="B71" s="421" t="s">
        <v>21</v>
      </c>
      <c r="C71" s="421" t="s">
        <v>407</v>
      </c>
      <c r="D71" s="422" t="s">
        <v>376</v>
      </c>
      <c r="E71" s="422">
        <v>2017</v>
      </c>
      <c r="F71" s="423">
        <v>0.86640664997332184</v>
      </c>
      <c r="G71" s="424">
        <v>967.29181065222474</v>
      </c>
      <c r="H71" s="422">
        <v>4</v>
      </c>
      <c r="I71" s="425">
        <v>0.48452941176478675</v>
      </c>
      <c r="J71" s="425">
        <v>0.48452941176478675</v>
      </c>
      <c r="K71" s="422">
        <v>0</v>
      </c>
      <c r="L71" s="422">
        <v>0</v>
      </c>
      <c r="M71" s="422">
        <v>0</v>
      </c>
      <c r="N71" s="426">
        <v>0</v>
      </c>
      <c r="O71" s="426">
        <v>0</v>
      </c>
      <c r="P71" s="426">
        <v>0</v>
      </c>
      <c r="Q71" s="426">
        <v>0</v>
      </c>
      <c r="R71" s="426">
        <v>0</v>
      </c>
      <c r="S71" s="426">
        <v>0</v>
      </c>
      <c r="T71" s="426">
        <v>0</v>
      </c>
      <c r="U71" s="426">
        <v>0</v>
      </c>
      <c r="V71" s="426">
        <v>0</v>
      </c>
      <c r="W71" s="426">
        <v>0</v>
      </c>
      <c r="X71" s="426">
        <v>0</v>
      </c>
      <c r="Y71" s="426">
        <v>0</v>
      </c>
      <c r="Z71" s="426">
        <v>0</v>
      </c>
      <c r="AA71" s="426">
        <v>0</v>
      </c>
      <c r="AB71" s="426">
        <v>0</v>
      </c>
      <c r="AC71" s="426">
        <v>0</v>
      </c>
      <c r="AD71" s="426">
        <v>0</v>
      </c>
      <c r="AE71" s="426">
        <v>0</v>
      </c>
      <c r="AF71" s="426">
        <v>0</v>
      </c>
      <c r="AG71" s="426">
        <v>0</v>
      </c>
      <c r="AH71" s="426">
        <v>0</v>
      </c>
      <c r="AI71" s="426">
        <v>0</v>
      </c>
      <c r="AJ71" s="426">
        <v>0</v>
      </c>
      <c r="AK71" s="426">
        <v>0</v>
      </c>
      <c r="AL71" s="426">
        <v>0</v>
      </c>
      <c r="AM71" s="427">
        <v>0</v>
      </c>
      <c r="AN71" s="427">
        <v>0</v>
      </c>
      <c r="AO71" s="427">
        <v>0</v>
      </c>
      <c r="AP71" s="427">
        <v>0</v>
      </c>
      <c r="AQ71" s="427">
        <v>0</v>
      </c>
      <c r="AR71" s="427">
        <v>0</v>
      </c>
      <c r="AS71" s="427">
        <v>0</v>
      </c>
      <c r="AT71" s="427">
        <v>0</v>
      </c>
      <c r="AU71" s="427">
        <v>0</v>
      </c>
      <c r="AV71" s="427">
        <v>0</v>
      </c>
      <c r="AW71" s="427">
        <v>0</v>
      </c>
      <c r="AX71" s="427">
        <v>0</v>
      </c>
      <c r="AY71" s="427">
        <v>0</v>
      </c>
      <c r="AZ71" s="427">
        <v>0</v>
      </c>
      <c r="BA71" s="427">
        <v>0</v>
      </c>
      <c r="BB71" s="427">
        <v>0</v>
      </c>
      <c r="BC71" s="427">
        <v>0</v>
      </c>
      <c r="BD71" s="427">
        <v>0</v>
      </c>
      <c r="BE71" s="427">
        <v>0</v>
      </c>
      <c r="BF71" s="427">
        <v>0</v>
      </c>
      <c r="BG71" s="427">
        <v>0</v>
      </c>
      <c r="BH71" s="427">
        <v>0</v>
      </c>
      <c r="BI71" s="427">
        <v>0</v>
      </c>
      <c r="BJ71" s="427">
        <v>0</v>
      </c>
      <c r="BK71" s="427">
        <v>0</v>
      </c>
      <c r="BL71" s="427">
        <v>0</v>
      </c>
      <c r="BM71" s="427">
        <v>0</v>
      </c>
      <c r="BN71" s="427">
        <v>0</v>
      </c>
      <c r="BO71" s="427">
        <v>0</v>
      </c>
      <c r="BP71" s="427">
        <v>0</v>
      </c>
      <c r="BQ71" s="427">
        <v>0</v>
      </c>
      <c r="BR71" s="427">
        <v>0</v>
      </c>
      <c r="BS71" s="427">
        <v>0</v>
      </c>
      <c r="BT71" s="427">
        <v>0</v>
      </c>
      <c r="BU71" s="427">
        <v>0</v>
      </c>
      <c r="BV71" s="427">
        <v>0</v>
      </c>
      <c r="BW71" s="427">
        <v>0</v>
      </c>
      <c r="BX71" s="427">
        <v>0</v>
      </c>
      <c r="BY71" s="427">
        <v>0</v>
      </c>
      <c r="BZ71" s="427">
        <v>0</v>
      </c>
      <c r="CA71" s="427">
        <v>0</v>
      </c>
      <c r="CB71" s="427">
        <v>0</v>
      </c>
      <c r="CC71" s="427">
        <v>0</v>
      </c>
      <c r="CD71" s="427">
        <v>0</v>
      </c>
      <c r="CE71" s="427">
        <v>0</v>
      </c>
      <c r="CF71" s="427">
        <v>0</v>
      </c>
      <c r="CG71" s="427">
        <v>0</v>
      </c>
      <c r="CH71" s="427">
        <v>0</v>
      </c>
      <c r="CI71" s="427">
        <v>0</v>
      </c>
      <c r="CJ71" s="427">
        <v>0</v>
      </c>
      <c r="CK71" s="428">
        <v>0</v>
      </c>
      <c r="CL71" s="428">
        <v>0</v>
      </c>
      <c r="CM71" s="428">
        <v>0</v>
      </c>
      <c r="CN71" s="428">
        <v>0</v>
      </c>
      <c r="CO71" s="428">
        <v>0</v>
      </c>
      <c r="CP71" s="428">
        <v>0</v>
      </c>
      <c r="CQ71" s="428">
        <v>0</v>
      </c>
      <c r="CR71" s="428">
        <v>0</v>
      </c>
      <c r="CS71" s="428">
        <v>0</v>
      </c>
      <c r="CT71" s="428">
        <v>0</v>
      </c>
      <c r="CU71" s="428">
        <v>0</v>
      </c>
      <c r="CV71" s="428">
        <v>0</v>
      </c>
      <c r="CW71" s="428">
        <v>0</v>
      </c>
      <c r="CX71" s="428"/>
      <c r="CY71" s="428"/>
      <c r="CZ71" s="428"/>
      <c r="DA71" s="428"/>
      <c r="DB71" s="428"/>
      <c r="DC71" s="428"/>
      <c r="DD71" s="428"/>
      <c r="DE71" s="428"/>
      <c r="DF71" s="428"/>
      <c r="DG71" s="428"/>
      <c r="DH71" s="428"/>
      <c r="DI71" s="428"/>
    </row>
    <row r="72" spans="1:113" s="388" customFormat="1">
      <c r="A72" s="421" t="s">
        <v>370</v>
      </c>
      <c r="B72" s="421" t="s">
        <v>21</v>
      </c>
      <c r="C72" s="421" t="s">
        <v>407</v>
      </c>
      <c r="D72" s="422" t="s">
        <v>376</v>
      </c>
      <c r="E72" s="422">
        <v>2018</v>
      </c>
      <c r="F72" s="423">
        <v>0.86640664997332184</v>
      </c>
      <c r="G72" s="424">
        <v>967.29181065222474</v>
      </c>
      <c r="H72" s="422">
        <v>4</v>
      </c>
      <c r="I72" s="425">
        <v>0.48452941176478675</v>
      </c>
      <c r="J72" s="425">
        <v>0.48452941176478675</v>
      </c>
      <c r="K72" s="422">
        <v>0</v>
      </c>
      <c r="L72" s="422">
        <v>0</v>
      </c>
      <c r="M72" s="422">
        <v>0</v>
      </c>
      <c r="N72" s="426">
        <v>0</v>
      </c>
      <c r="O72" s="426">
        <v>0</v>
      </c>
      <c r="P72" s="426">
        <v>0</v>
      </c>
      <c r="Q72" s="426">
        <v>0</v>
      </c>
      <c r="R72" s="426">
        <v>0</v>
      </c>
      <c r="S72" s="426">
        <v>0</v>
      </c>
      <c r="T72" s="426">
        <v>0</v>
      </c>
      <c r="U72" s="426">
        <v>0</v>
      </c>
      <c r="V72" s="426">
        <v>0</v>
      </c>
      <c r="W72" s="426">
        <v>0</v>
      </c>
      <c r="X72" s="426">
        <v>0</v>
      </c>
      <c r="Y72" s="426">
        <v>0</v>
      </c>
      <c r="Z72" s="426">
        <v>0</v>
      </c>
      <c r="AA72" s="426">
        <v>0</v>
      </c>
      <c r="AB72" s="426">
        <v>0</v>
      </c>
      <c r="AC72" s="426">
        <v>0</v>
      </c>
      <c r="AD72" s="426">
        <v>0</v>
      </c>
      <c r="AE72" s="426">
        <v>0</v>
      </c>
      <c r="AF72" s="426">
        <v>0</v>
      </c>
      <c r="AG72" s="426">
        <v>0</v>
      </c>
      <c r="AH72" s="426">
        <v>0</v>
      </c>
      <c r="AI72" s="426">
        <v>0</v>
      </c>
      <c r="AJ72" s="426">
        <v>0</v>
      </c>
      <c r="AK72" s="426">
        <v>0</v>
      </c>
      <c r="AL72" s="426">
        <v>0</v>
      </c>
      <c r="AM72" s="427">
        <v>0</v>
      </c>
      <c r="AN72" s="427">
        <v>0</v>
      </c>
      <c r="AO72" s="427">
        <v>0</v>
      </c>
      <c r="AP72" s="427">
        <v>0</v>
      </c>
      <c r="AQ72" s="427">
        <v>0</v>
      </c>
      <c r="AR72" s="427">
        <v>0</v>
      </c>
      <c r="AS72" s="427">
        <v>0</v>
      </c>
      <c r="AT72" s="427">
        <v>0</v>
      </c>
      <c r="AU72" s="427">
        <v>0</v>
      </c>
      <c r="AV72" s="427">
        <v>0</v>
      </c>
      <c r="AW72" s="427">
        <v>0</v>
      </c>
      <c r="AX72" s="427">
        <v>0</v>
      </c>
      <c r="AY72" s="427">
        <v>0</v>
      </c>
      <c r="AZ72" s="427">
        <v>0</v>
      </c>
      <c r="BA72" s="427">
        <v>0</v>
      </c>
      <c r="BB72" s="427">
        <v>0</v>
      </c>
      <c r="BC72" s="427">
        <v>0</v>
      </c>
      <c r="BD72" s="427">
        <v>0</v>
      </c>
      <c r="BE72" s="427">
        <v>0</v>
      </c>
      <c r="BF72" s="427">
        <v>0</v>
      </c>
      <c r="BG72" s="427">
        <v>0</v>
      </c>
      <c r="BH72" s="427">
        <v>0</v>
      </c>
      <c r="BI72" s="427">
        <v>0</v>
      </c>
      <c r="BJ72" s="427">
        <v>0</v>
      </c>
      <c r="BK72" s="427">
        <v>0</v>
      </c>
      <c r="BL72" s="427">
        <v>0</v>
      </c>
      <c r="BM72" s="427">
        <v>0</v>
      </c>
      <c r="BN72" s="427">
        <v>0</v>
      </c>
      <c r="BO72" s="427">
        <v>0</v>
      </c>
      <c r="BP72" s="427">
        <v>0</v>
      </c>
      <c r="BQ72" s="427">
        <v>0</v>
      </c>
      <c r="BR72" s="427">
        <v>0</v>
      </c>
      <c r="BS72" s="427">
        <v>0</v>
      </c>
      <c r="BT72" s="427">
        <v>0</v>
      </c>
      <c r="BU72" s="427">
        <v>0</v>
      </c>
      <c r="BV72" s="427">
        <v>0</v>
      </c>
      <c r="BW72" s="427">
        <v>0</v>
      </c>
      <c r="BX72" s="427">
        <v>0</v>
      </c>
      <c r="BY72" s="427">
        <v>0</v>
      </c>
      <c r="BZ72" s="427">
        <v>0</v>
      </c>
      <c r="CA72" s="427">
        <v>0</v>
      </c>
      <c r="CB72" s="427">
        <v>0</v>
      </c>
      <c r="CC72" s="427">
        <v>0</v>
      </c>
      <c r="CD72" s="427">
        <v>0</v>
      </c>
      <c r="CE72" s="427">
        <v>0</v>
      </c>
      <c r="CF72" s="427">
        <v>0</v>
      </c>
      <c r="CG72" s="427">
        <v>0</v>
      </c>
      <c r="CH72" s="427">
        <v>0</v>
      </c>
      <c r="CI72" s="427">
        <v>0</v>
      </c>
      <c r="CJ72" s="427">
        <v>0</v>
      </c>
      <c r="CK72" s="428">
        <v>0</v>
      </c>
      <c r="CL72" s="428">
        <v>0</v>
      </c>
      <c r="CM72" s="428">
        <v>0</v>
      </c>
      <c r="CN72" s="428">
        <v>0</v>
      </c>
      <c r="CO72" s="428">
        <v>0</v>
      </c>
      <c r="CP72" s="428">
        <v>0</v>
      </c>
      <c r="CQ72" s="428">
        <v>0</v>
      </c>
      <c r="CR72" s="428">
        <v>0</v>
      </c>
      <c r="CS72" s="428">
        <v>0</v>
      </c>
      <c r="CT72" s="428">
        <v>0</v>
      </c>
      <c r="CU72" s="428">
        <v>0</v>
      </c>
      <c r="CV72" s="428">
        <v>0</v>
      </c>
      <c r="CW72" s="428">
        <v>0</v>
      </c>
      <c r="CX72" s="428"/>
      <c r="CY72" s="428"/>
      <c r="CZ72" s="428"/>
      <c r="DA72" s="428"/>
      <c r="DB72" s="428"/>
      <c r="DC72" s="428"/>
      <c r="DD72" s="428"/>
      <c r="DE72" s="428"/>
      <c r="DF72" s="428"/>
      <c r="DG72" s="428"/>
      <c r="DH72" s="428"/>
      <c r="DI72" s="428"/>
    </row>
    <row r="73" spans="1:113" s="388" customFormat="1">
      <c r="A73" s="421" t="s">
        <v>370</v>
      </c>
      <c r="B73" s="421" t="s">
        <v>21</v>
      </c>
      <c r="C73" s="421" t="s">
        <v>407</v>
      </c>
      <c r="D73" s="422" t="s">
        <v>376</v>
      </c>
      <c r="E73" s="422">
        <v>2019</v>
      </c>
      <c r="F73" s="423">
        <v>0.86640664997332184</v>
      </c>
      <c r="G73" s="424">
        <v>967.29181065222474</v>
      </c>
      <c r="H73" s="422">
        <v>4</v>
      </c>
      <c r="I73" s="425">
        <v>0.48452941176478675</v>
      </c>
      <c r="J73" s="425">
        <v>0.48452941176478675</v>
      </c>
      <c r="K73" s="422">
        <v>0</v>
      </c>
      <c r="L73" s="422">
        <v>0</v>
      </c>
      <c r="M73" s="422">
        <v>0</v>
      </c>
      <c r="N73" s="426">
        <v>0</v>
      </c>
      <c r="O73" s="426">
        <v>0</v>
      </c>
      <c r="P73" s="426">
        <v>0</v>
      </c>
      <c r="Q73" s="426">
        <v>0</v>
      </c>
      <c r="R73" s="426">
        <v>0</v>
      </c>
      <c r="S73" s="426">
        <v>0</v>
      </c>
      <c r="T73" s="426">
        <v>0</v>
      </c>
      <c r="U73" s="426">
        <v>0</v>
      </c>
      <c r="V73" s="426">
        <v>0</v>
      </c>
      <c r="W73" s="426">
        <v>0</v>
      </c>
      <c r="X73" s="426">
        <v>0</v>
      </c>
      <c r="Y73" s="426">
        <v>0</v>
      </c>
      <c r="Z73" s="426">
        <v>0</v>
      </c>
      <c r="AA73" s="426">
        <v>0</v>
      </c>
      <c r="AB73" s="426">
        <v>0</v>
      </c>
      <c r="AC73" s="426">
        <v>0</v>
      </c>
      <c r="AD73" s="426">
        <v>0</v>
      </c>
      <c r="AE73" s="426">
        <v>0</v>
      </c>
      <c r="AF73" s="426">
        <v>0</v>
      </c>
      <c r="AG73" s="426">
        <v>0</v>
      </c>
      <c r="AH73" s="426">
        <v>0</v>
      </c>
      <c r="AI73" s="426">
        <v>0</v>
      </c>
      <c r="AJ73" s="426">
        <v>0</v>
      </c>
      <c r="AK73" s="426">
        <v>0</v>
      </c>
      <c r="AL73" s="426">
        <v>0</v>
      </c>
      <c r="AM73" s="427">
        <v>0</v>
      </c>
      <c r="AN73" s="427">
        <v>0</v>
      </c>
      <c r="AO73" s="427">
        <v>0</v>
      </c>
      <c r="AP73" s="427">
        <v>0</v>
      </c>
      <c r="AQ73" s="427">
        <v>0</v>
      </c>
      <c r="AR73" s="427">
        <v>0</v>
      </c>
      <c r="AS73" s="427">
        <v>0</v>
      </c>
      <c r="AT73" s="427">
        <v>0</v>
      </c>
      <c r="AU73" s="427">
        <v>0</v>
      </c>
      <c r="AV73" s="427">
        <v>0</v>
      </c>
      <c r="AW73" s="427">
        <v>0</v>
      </c>
      <c r="AX73" s="427">
        <v>0</v>
      </c>
      <c r="AY73" s="427">
        <v>0</v>
      </c>
      <c r="AZ73" s="427">
        <v>0</v>
      </c>
      <c r="BA73" s="427">
        <v>0</v>
      </c>
      <c r="BB73" s="427">
        <v>0</v>
      </c>
      <c r="BC73" s="427">
        <v>0</v>
      </c>
      <c r="BD73" s="427">
        <v>0</v>
      </c>
      <c r="BE73" s="427">
        <v>0</v>
      </c>
      <c r="BF73" s="427">
        <v>0</v>
      </c>
      <c r="BG73" s="427">
        <v>0</v>
      </c>
      <c r="BH73" s="427">
        <v>0</v>
      </c>
      <c r="BI73" s="427">
        <v>0</v>
      </c>
      <c r="BJ73" s="427">
        <v>0</v>
      </c>
      <c r="BK73" s="427">
        <v>0</v>
      </c>
      <c r="BL73" s="427">
        <v>0</v>
      </c>
      <c r="BM73" s="427">
        <v>0</v>
      </c>
      <c r="BN73" s="427">
        <v>0</v>
      </c>
      <c r="BO73" s="427">
        <v>0</v>
      </c>
      <c r="BP73" s="427">
        <v>0</v>
      </c>
      <c r="BQ73" s="427">
        <v>0</v>
      </c>
      <c r="BR73" s="427">
        <v>0</v>
      </c>
      <c r="BS73" s="427">
        <v>0</v>
      </c>
      <c r="BT73" s="427">
        <v>0</v>
      </c>
      <c r="BU73" s="427">
        <v>0</v>
      </c>
      <c r="BV73" s="427">
        <v>0</v>
      </c>
      <c r="BW73" s="427">
        <v>0</v>
      </c>
      <c r="BX73" s="427">
        <v>0</v>
      </c>
      <c r="BY73" s="427">
        <v>0</v>
      </c>
      <c r="BZ73" s="427">
        <v>0</v>
      </c>
      <c r="CA73" s="427">
        <v>0</v>
      </c>
      <c r="CB73" s="427">
        <v>0</v>
      </c>
      <c r="CC73" s="427">
        <v>0</v>
      </c>
      <c r="CD73" s="427">
        <v>0</v>
      </c>
      <c r="CE73" s="427">
        <v>0</v>
      </c>
      <c r="CF73" s="427">
        <v>0</v>
      </c>
      <c r="CG73" s="427">
        <v>0</v>
      </c>
      <c r="CH73" s="427">
        <v>0</v>
      </c>
      <c r="CI73" s="427">
        <v>0</v>
      </c>
      <c r="CJ73" s="427">
        <v>0</v>
      </c>
      <c r="CK73" s="428">
        <v>0</v>
      </c>
      <c r="CL73" s="428">
        <v>0</v>
      </c>
      <c r="CM73" s="428">
        <v>0</v>
      </c>
      <c r="CN73" s="428">
        <v>0</v>
      </c>
      <c r="CO73" s="428">
        <v>0</v>
      </c>
      <c r="CP73" s="428">
        <v>0</v>
      </c>
      <c r="CQ73" s="428">
        <v>0</v>
      </c>
      <c r="CR73" s="428">
        <v>0</v>
      </c>
      <c r="CS73" s="428">
        <v>0</v>
      </c>
      <c r="CT73" s="428">
        <v>0</v>
      </c>
      <c r="CU73" s="428">
        <v>0</v>
      </c>
      <c r="CV73" s="428">
        <v>0</v>
      </c>
      <c r="CW73" s="428">
        <v>0</v>
      </c>
      <c r="CX73" s="428"/>
      <c r="CY73" s="428"/>
      <c r="CZ73" s="428"/>
      <c r="DA73" s="428"/>
      <c r="DB73" s="428"/>
      <c r="DC73" s="428"/>
      <c r="DD73" s="428"/>
      <c r="DE73" s="428"/>
      <c r="DF73" s="428"/>
      <c r="DG73" s="428"/>
      <c r="DH73" s="428"/>
      <c r="DI73" s="428"/>
    </row>
    <row r="74" spans="1:113" s="388" customFormat="1">
      <c r="A74" s="421" t="s">
        <v>370</v>
      </c>
      <c r="B74" s="421" t="s">
        <v>21</v>
      </c>
      <c r="C74" s="421" t="s">
        <v>407</v>
      </c>
      <c r="D74" s="422" t="s">
        <v>376</v>
      </c>
      <c r="E74" s="422">
        <v>2020</v>
      </c>
      <c r="F74" s="423">
        <v>0.86640664997332184</v>
      </c>
      <c r="G74" s="424">
        <v>967.29181065222474</v>
      </c>
      <c r="H74" s="422">
        <v>4</v>
      </c>
      <c r="I74" s="425">
        <v>0.48452941176478675</v>
      </c>
      <c r="J74" s="425">
        <v>0.48452941176478675</v>
      </c>
      <c r="K74" s="422">
        <v>0</v>
      </c>
      <c r="L74" s="422">
        <v>0</v>
      </c>
      <c r="M74" s="422">
        <v>0</v>
      </c>
      <c r="N74" s="426">
        <v>0</v>
      </c>
      <c r="O74" s="426">
        <v>0</v>
      </c>
      <c r="P74" s="426">
        <v>0</v>
      </c>
      <c r="Q74" s="426">
        <v>0</v>
      </c>
      <c r="R74" s="426">
        <v>0</v>
      </c>
      <c r="S74" s="426">
        <v>0</v>
      </c>
      <c r="T74" s="426">
        <v>0</v>
      </c>
      <c r="U74" s="426">
        <v>0</v>
      </c>
      <c r="V74" s="426">
        <v>0</v>
      </c>
      <c r="W74" s="426">
        <v>0</v>
      </c>
      <c r="X74" s="426">
        <v>0</v>
      </c>
      <c r="Y74" s="426">
        <v>0</v>
      </c>
      <c r="Z74" s="426">
        <v>0</v>
      </c>
      <c r="AA74" s="426">
        <v>0</v>
      </c>
      <c r="AB74" s="426">
        <v>0</v>
      </c>
      <c r="AC74" s="426">
        <v>0</v>
      </c>
      <c r="AD74" s="426">
        <v>0</v>
      </c>
      <c r="AE74" s="426">
        <v>0</v>
      </c>
      <c r="AF74" s="426">
        <v>0</v>
      </c>
      <c r="AG74" s="426">
        <v>0</v>
      </c>
      <c r="AH74" s="426">
        <v>0</v>
      </c>
      <c r="AI74" s="426">
        <v>0</v>
      </c>
      <c r="AJ74" s="426">
        <v>0</v>
      </c>
      <c r="AK74" s="426">
        <v>0</v>
      </c>
      <c r="AL74" s="426">
        <v>0</v>
      </c>
      <c r="AM74" s="427">
        <v>0</v>
      </c>
      <c r="AN74" s="427">
        <v>0</v>
      </c>
      <c r="AO74" s="427">
        <v>0</v>
      </c>
      <c r="AP74" s="427">
        <v>0</v>
      </c>
      <c r="AQ74" s="427">
        <v>0</v>
      </c>
      <c r="AR74" s="427">
        <v>0</v>
      </c>
      <c r="AS74" s="427">
        <v>0</v>
      </c>
      <c r="AT74" s="427">
        <v>0</v>
      </c>
      <c r="AU74" s="427">
        <v>0</v>
      </c>
      <c r="AV74" s="427">
        <v>0</v>
      </c>
      <c r="AW74" s="427">
        <v>0</v>
      </c>
      <c r="AX74" s="427">
        <v>0</v>
      </c>
      <c r="AY74" s="427">
        <v>0</v>
      </c>
      <c r="AZ74" s="427">
        <v>0</v>
      </c>
      <c r="BA74" s="427">
        <v>0</v>
      </c>
      <c r="BB74" s="427">
        <v>0</v>
      </c>
      <c r="BC74" s="427">
        <v>0</v>
      </c>
      <c r="BD74" s="427">
        <v>0</v>
      </c>
      <c r="BE74" s="427">
        <v>0</v>
      </c>
      <c r="BF74" s="427">
        <v>0</v>
      </c>
      <c r="BG74" s="427">
        <v>0</v>
      </c>
      <c r="BH74" s="427">
        <v>0</v>
      </c>
      <c r="BI74" s="427">
        <v>0</v>
      </c>
      <c r="BJ74" s="427">
        <v>0</v>
      </c>
      <c r="BK74" s="427">
        <v>0</v>
      </c>
      <c r="BL74" s="427">
        <v>0</v>
      </c>
      <c r="BM74" s="427">
        <v>0</v>
      </c>
      <c r="BN74" s="427">
        <v>0</v>
      </c>
      <c r="BO74" s="427">
        <v>0</v>
      </c>
      <c r="BP74" s="427">
        <v>0</v>
      </c>
      <c r="BQ74" s="427">
        <v>0</v>
      </c>
      <c r="BR74" s="427">
        <v>0</v>
      </c>
      <c r="BS74" s="427">
        <v>0</v>
      </c>
      <c r="BT74" s="427">
        <v>0</v>
      </c>
      <c r="BU74" s="427">
        <v>0</v>
      </c>
      <c r="BV74" s="427">
        <v>0</v>
      </c>
      <c r="BW74" s="427">
        <v>0</v>
      </c>
      <c r="BX74" s="427">
        <v>0</v>
      </c>
      <c r="BY74" s="427">
        <v>0</v>
      </c>
      <c r="BZ74" s="427">
        <v>0</v>
      </c>
      <c r="CA74" s="427">
        <v>0</v>
      </c>
      <c r="CB74" s="427">
        <v>0</v>
      </c>
      <c r="CC74" s="427">
        <v>0</v>
      </c>
      <c r="CD74" s="427">
        <v>0</v>
      </c>
      <c r="CE74" s="427">
        <v>0</v>
      </c>
      <c r="CF74" s="427">
        <v>0</v>
      </c>
      <c r="CG74" s="427">
        <v>0</v>
      </c>
      <c r="CH74" s="427">
        <v>0</v>
      </c>
      <c r="CI74" s="427">
        <v>0</v>
      </c>
      <c r="CJ74" s="427">
        <v>0</v>
      </c>
      <c r="CK74" s="428">
        <v>0</v>
      </c>
      <c r="CL74" s="428">
        <v>0</v>
      </c>
      <c r="CM74" s="428">
        <v>0</v>
      </c>
      <c r="CN74" s="428">
        <v>0</v>
      </c>
      <c r="CO74" s="428">
        <v>0</v>
      </c>
      <c r="CP74" s="428">
        <v>0</v>
      </c>
      <c r="CQ74" s="428">
        <v>0</v>
      </c>
      <c r="CR74" s="428">
        <v>0</v>
      </c>
      <c r="CS74" s="428">
        <v>0</v>
      </c>
      <c r="CT74" s="428">
        <v>0</v>
      </c>
      <c r="CU74" s="428">
        <v>0</v>
      </c>
      <c r="CV74" s="428">
        <v>0</v>
      </c>
      <c r="CW74" s="428">
        <v>0</v>
      </c>
      <c r="CX74" s="428"/>
      <c r="CY74" s="428"/>
      <c r="CZ74" s="428"/>
      <c r="DA74" s="428"/>
      <c r="DB74" s="428"/>
      <c r="DC74" s="428"/>
      <c r="DD74" s="428"/>
      <c r="DE74" s="428"/>
      <c r="DF74" s="428"/>
      <c r="DG74" s="428"/>
      <c r="DH74" s="428"/>
      <c r="DI74" s="428"/>
    </row>
    <row r="75" spans="1:113" s="388" customFormat="1">
      <c r="A75" s="421" t="s">
        <v>370</v>
      </c>
      <c r="B75" s="421" t="s">
        <v>21</v>
      </c>
      <c r="C75" s="421" t="s">
        <v>410</v>
      </c>
      <c r="D75" s="422" t="s">
        <v>376</v>
      </c>
      <c r="E75" s="422">
        <v>2015</v>
      </c>
      <c r="F75" s="423">
        <v>0.86959558274132531</v>
      </c>
      <c r="G75" s="424">
        <v>887.29320008324521</v>
      </c>
      <c r="H75" s="422">
        <v>5</v>
      </c>
      <c r="I75" s="425">
        <v>0.46536965252313928</v>
      </c>
      <c r="J75" s="425">
        <v>0.46536965252313928</v>
      </c>
      <c r="K75" s="422">
        <v>0</v>
      </c>
      <c r="L75" s="422">
        <v>0</v>
      </c>
      <c r="M75" s="422">
        <v>0</v>
      </c>
      <c r="N75" s="426">
        <v>0</v>
      </c>
      <c r="O75" s="426">
        <v>0</v>
      </c>
      <c r="P75" s="426">
        <v>0</v>
      </c>
      <c r="Q75" s="426">
        <v>0</v>
      </c>
      <c r="R75" s="426">
        <v>0</v>
      </c>
      <c r="S75" s="426">
        <v>0</v>
      </c>
      <c r="T75" s="426">
        <v>0</v>
      </c>
      <c r="U75" s="426">
        <v>0</v>
      </c>
      <c r="V75" s="426">
        <v>0</v>
      </c>
      <c r="W75" s="426">
        <v>0</v>
      </c>
      <c r="X75" s="426">
        <v>0</v>
      </c>
      <c r="Y75" s="426">
        <v>0</v>
      </c>
      <c r="Z75" s="426">
        <v>0</v>
      </c>
      <c r="AA75" s="426">
        <v>0</v>
      </c>
      <c r="AB75" s="426">
        <v>0</v>
      </c>
      <c r="AC75" s="426">
        <v>0</v>
      </c>
      <c r="AD75" s="426">
        <v>0</v>
      </c>
      <c r="AE75" s="426">
        <v>0</v>
      </c>
      <c r="AF75" s="426">
        <v>0</v>
      </c>
      <c r="AG75" s="426">
        <v>0</v>
      </c>
      <c r="AH75" s="426">
        <v>0</v>
      </c>
      <c r="AI75" s="426">
        <v>0</v>
      </c>
      <c r="AJ75" s="426">
        <v>0</v>
      </c>
      <c r="AK75" s="426">
        <v>0</v>
      </c>
      <c r="AL75" s="426">
        <v>0</v>
      </c>
      <c r="AM75" s="427">
        <v>0</v>
      </c>
      <c r="AN75" s="427">
        <v>0</v>
      </c>
      <c r="AO75" s="427">
        <v>0</v>
      </c>
      <c r="AP75" s="427">
        <v>0</v>
      </c>
      <c r="AQ75" s="427">
        <v>0</v>
      </c>
      <c r="AR75" s="427">
        <v>0</v>
      </c>
      <c r="AS75" s="427">
        <v>0</v>
      </c>
      <c r="AT75" s="427">
        <v>0</v>
      </c>
      <c r="AU75" s="427">
        <v>0</v>
      </c>
      <c r="AV75" s="427">
        <v>0</v>
      </c>
      <c r="AW75" s="427">
        <v>0</v>
      </c>
      <c r="AX75" s="427">
        <v>0</v>
      </c>
      <c r="AY75" s="427">
        <v>0</v>
      </c>
      <c r="AZ75" s="427">
        <v>0</v>
      </c>
      <c r="BA75" s="427">
        <v>0</v>
      </c>
      <c r="BB75" s="427">
        <v>0</v>
      </c>
      <c r="BC75" s="427">
        <v>0</v>
      </c>
      <c r="BD75" s="427">
        <v>0</v>
      </c>
      <c r="BE75" s="427">
        <v>0</v>
      </c>
      <c r="BF75" s="427">
        <v>0</v>
      </c>
      <c r="BG75" s="427">
        <v>0</v>
      </c>
      <c r="BH75" s="427">
        <v>0</v>
      </c>
      <c r="BI75" s="427">
        <v>0</v>
      </c>
      <c r="BJ75" s="427">
        <v>0</v>
      </c>
      <c r="BK75" s="427">
        <v>0</v>
      </c>
      <c r="BL75" s="427">
        <v>0</v>
      </c>
      <c r="BM75" s="427">
        <v>0</v>
      </c>
      <c r="BN75" s="427">
        <v>0</v>
      </c>
      <c r="BO75" s="427">
        <v>0</v>
      </c>
      <c r="BP75" s="427">
        <v>0</v>
      </c>
      <c r="BQ75" s="427">
        <v>0</v>
      </c>
      <c r="BR75" s="427">
        <v>0</v>
      </c>
      <c r="BS75" s="427">
        <v>0</v>
      </c>
      <c r="BT75" s="427">
        <v>0</v>
      </c>
      <c r="BU75" s="427">
        <v>0</v>
      </c>
      <c r="BV75" s="427">
        <v>0</v>
      </c>
      <c r="BW75" s="427">
        <v>0</v>
      </c>
      <c r="BX75" s="427">
        <v>0</v>
      </c>
      <c r="BY75" s="427">
        <v>0</v>
      </c>
      <c r="BZ75" s="427">
        <v>0</v>
      </c>
      <c r="CA75" s="427">
        <v>0</v>
      </c>
      <c r="CB75" s="427">
        <v>0</v>
      </c>
      <c r="CC75" s="427">
        <v>0</v>
      </c>
      <c r="CD75" s="427">
        <v>0</v>
      </c>
      <c r="CE75" s="427">
        <v>0</v>
      </c>
      <c r="CF75" s="427">
        <v>0</v>
      </c>
      <c r="CG75" s="427">
        <v>0</v>
      </c>
      <c r="CH75" s="427">
        <v>0</v>
      </c>
      <c r="CI75" s="427">
        <v>0</v>
      </c>
      <c r="CJ75" s="427">
        <v>0</v>
      </c>
      <c r="CK75" s="428">
        <v>0</v>
      </c>
      <c r="CL75" s="428">
        <v>0</v>
      </c>
      <c r="CM75" s="428">
        <v>0</v>
      </c>
      <c r="CN75" s="428">
        <v>0</v>
      </c>
      <c r="CO75" s="428">
        <v>0</v>
      </c>
      <c r="CP75" s="428">
        <v>0</v>
      </c>
      <c r="CQ75" s="428">
        <v>0</v>
      </c>
      <c r="CR75" s="428">
        <v>0</v>
      </c>
      <c r="CS75" s="428">
        <v>0</v>
      </c>
      <c r="CT75" s="428">
        <v>0</v>
      </c>
      <c r="CU75" s="428">
        <v>0</v>
      </c>
      <c r="CV75" s="428">
        <v>0</v>
      </c>
      <c r="CW75" s="428">
        <v>0</v>
      </c>
      <c r="CX75" s="428"/>
      <c r="CY75" s="428"/>
      <c r="CZ75" s="428"/>
      <c r="DA75" s="428"/>
      <c r="DB75" s="428"/>
      <c r="DC75" s="428"/>
      <c r="DD75" s="428"/>
      <c r="DE75" s="428"/>
      <c r="DF75" s="428"/>
      <c r="DG75" s="428"/>
      <c r="DH75" s="428"/>
      <c r="DI75" s="428"/>
    </row>
    <row r="76" spans="1:113" s="388" customFormat="1">
      <c r="A76" s="421" t="s">
        <v>370</v>
      </c>
      <c r="B76" s="421" t="s">
        <v>21</v>
      </c>
      <c r="C76" s="421" t="s">
        <v>410</v>
      </c>
      <c r="D76" s="422" t="s">
        <v>376</v>
      </c>
      <c r="E76" s="422">
        <v>2016</v>
      </c>
      <c r="F76" s="423">
        <v>0.86959558274132531</v>
      </c>
      <c r="G76" s="424">
        <v>887.29320008324521</v>
      </c>
      <c r="H76" s="422">
        <v>5</v>
      </c>
      <c r="I76" s="425">
        <v>0.46536965252313928</v>
      </c>
      <c r="J76" s="425">
        <v>0.46536965252313928</v>
      </c>
      <c r="K76" s="422">
        <v>0</v>
      </c>
      <c r="L76" s="422">
        <v>0</v>
      </c>
      <c r="M76" s="422">
        <v>0</v>
      </c>
      <c r="N76" s="426">
        <v>0</v>
      </c>
      <c r="O76" s="426">
        <v>0</v>
      </c>
      <c r="P76" s="426">
        <v>0</v>
      </c>
      <c r="Q76" s="426">
        <v>0</v>
      </c>
      <c r="R76" s="426">
        <v>0</v>
      </c>
      <c r="S76" s="426">
        <v>0</v>
      </c>
      <c r="T76" s="426">
        <v>0</v>
      </c>
      <c r="U76" s="426">
        <v>0</v>
      </c>
      <c r="V76" s="426">
        <v>0</v>
      </c>
      <c r="W76" s="426">
        <v>0</v>
      </c>
      <c r="X76" s="426">
        <v>0</v>
      </c>
      <c r="Y76" s="426">
        <v>0</v>
      </c>
      <c r="Z76" s="426">
        <v>0</v>
      </c>
      <c r="AA76" s="426">
        <v>0</v>
      </c>
      <c r="AB76" s="426">
        <v>0</v>
      </c>
      <c r="AC76" s="426">
        <v>0</v>
      </c>
      <c r="AD76" s="426">
        <v>0</v>
      </c>
      <c r="AE76" s="426">
        <v>0</v>
      </c>
      <c r="AF76" s="426">
        <v>0</v>
      </c>
      <c r="AG76" s="426">
        <v>0</v>
      </c>
      <c r="AH76" s="426">
        <v>0</v>
      </c>
      <c r="AI76" s="426">
        <v>0</v>
      </c>
      <c r="AJ76" s="426">
        <v>0</v>
      </c>
      <c r="AK76" s="426">
        <v>0</v>
      </c>
      <c r="AL76" s="426">
        <v>0</v>
      </c>
      <c r="AM76" s="427">
        <v>0</v>
      </c>
      <c r="AN76" s="427">
        <v>0</v>
      </c>
      <c r="AO76" s="427">
        <v>0</v>
      </c>
      <c r="AP76" s="427">
        <v>0</v>
      </c>
      <c r="AQ76" s="427">
        <v>0</v>
      </c>
      <c r="AR76" s="427">
        <v>0</v>
      </c>
      <c r="AS76" s="427">
        <v>0</v>
      </c>
      <c r="AT76" s="427">
        <v>0</v>
      </c>
      <c r="AU76" s="427">
        <v>0</v>
      </c>
      <c r="AV76" s="427">
        <v>0</v>
      </c>
      <c r="AW76" s="427">
        <v>0</v>
      </c>
      <c r="AX76" s="427">
        <v>0</v>
      </c>
      <c r="AY76" s="427">
        <v>0</v>
      </c>
      <c r="AZ76" s="427">
        <v>0</v>
      </c>
      <c r="BA76" s="427">
        <v>0</v>
      </c>
      <c r="BB76" s="427">
        <v>0</v>
      </c>
      <c r="BC76" s="427">
        <v>0</v>
      </c>
      <c r="BD76" s="427">
        <v>0</v>
      </c>
      <c r="BE76" s="427">
        <v>0</v>
      </c>
      <c r="BF76" s="427">
        <v>0</v>
      </c>
      <c r="BG76" s="427">
        <v>0</v>
      </c>
      <c r="BH76" s="427">
        <v>0</v>
      </c>
      <c r="BI76" s="427">
        <v>0</v>
      </c>
      <c r="BJ76" s="427">
        <v>0</v>
      </c>
      <c r="BK76" s="427">
        <v>0</v>
      </c>
      <c r="BL76" s="427">
        <v>0</v>
      </c>
      <c r="BM76" s="427">
        <v>0</v>
      </c>
      <c r="BN76" s="427">
        <v>0</v>
      </c>
      <c r="BO76" s="427">
        <v>0</v>
      </c>
      <c r="BP76" s="427">
        <v>0</v>
      </c>
      <c r="BQ76" s="427">
        <v>0</v>
      </c>
      <c r="BR76" s="427">
        <v>0</v>
      </c>
      <c r="BS76" s="427">
        <v>0</v>
      </c>
      <c r="BT76" s="427">
        <v>0</v>
      </c>
      <c r="BU76" s="427">
        <v>0</v>
      </c>
      <c r="BV76" s="427">
        <v>0</v>
      </c>
      <c r="BW76" s="427">
        <v>0</v>
      </c>
      <c r="BX76" s="427">
        <v>0</v>
      </c>
      <c r="BY76" s="427">
        <v>0</v>
      </c>
      <c r="BZ76" s="427">
        <v>0</v>
      </c>
      <c r="CA76" s="427">
        <v>0</v>
      </c>
      <c r="CB76" s="427">
        <v>0</v>
      </c>
      <c r="CC76" s="427">
        <v>0</v>
      </c>
      <c r="CD76" s="427">
        <v>0</v>
      </c>
      <c r="CE76" s="427">
        <v>0</v>
      </c>
      <c r="CF76" s="427">
        <v>0</v>
      </c>
      <c r="CG76" s="427">
        <v>0</v>
      </c>
      <c r="CH76" s="427">
        <v>0</v>
      </c>
      <c r="CI76" s="427">
        <v>0</v>
      </c>
      <c r="CJ76" s="427">
        <v>0</v>
      </c>
      <c r="CK76" s="428">
        <v>0</v>
      </c>
      <c r="CL76" s="428">
        <v>0</v>
      </c>
      <c r="CM76" s="428">
        <v>0</v>
      </c>
      <c r="CN76" s="428">
        <v>0</v>
      </c>
      <c r="CO76" s="428">
        <v>0</v>
      </c>
      <c r="CP76" s="428">
        <v>0</v>
      </c>
      <c r="CQ76" s="428">
        <v>0</v>
      </c>
      <c r="CR76" s="428">
        <v>0</v>
      </c>
      <c r="CS76" s="428">
        <v>0</v>
      </c>
      <c r="CT76" s="428">
        <v>0</v>
      </c>
      <c r="CU76" s="428">
        <v>0</v>
      </c>
      <c r="CV76" s="428">
        <v>0</v>
      </c>
      <c r="CW76" s="428">
        <v>0</v>
      </c>
      <c r="CX76" s="428"/>
      <c r="CY76" s="428"/>
      <c r="CZ76" s="428"/>
      <c r="DA76" s="428"/>
      <c r="DB76" s="428"/>
      <c r="DC76" s="428"/>
      <c r="DD76" s="428"/>
      <c r="DE76" s="428"/>
      <c r="DF76" s="428"/>
      <c r="DG76" s="428"/>
      <c r="DH76" s="428"/>
      <c r="DI76" s="428"/>
    </row>
    <row r="77" spans="1:113" s="388" customFormat="1">
      <c r="A77" s="421" t="s">
        <v>370</v>
      </c>
      <c r="B77" s="421" t="s">
        <v>21</v>
      </c>
      <c r="C77" s="421" t="s">
        <v>410</v>
      </c>
      <c r="D77" s="422" t="s">
        <v>376</v>
      </c>
      <c r="E77" s="422">
        <v>2017</v>
      </c>
      <c r="F77" s="423">
        <v>0.86959558274132531</v>
      </c>
      <c r="G77" s="424">
        <v>887.29320008324521</v>
      </c>
      <c r="H77" s="422">
        <v>5</v>
      </c>
      <c r="I77" s="425">
        <v>0.46536965252313928</v>
      </c>
      <c r="J77" s="425">
        <v>0.46536965252313928</v>
      </c>
      <c r="K77" s="422">
        <v>0</v>
      </c>
      <c r="L77" s="422">
        <v>0</v>
      </c>
      <c r="M77" s="422">
        <v>0</v>
      </c>
      <c r="N77" s="426">
        <v>0</v>
      </c>
      <c r="O77" s="426">
        <v>0</v>
      </c>
      <c r="P77" s="426">
        <v>0</v>
      </c>
      <c r="Q77" s="426">
        <v>0</v>
      </c>
      <c r="R77" s="426">
        <v>0</v>
      </c>
      <c r="S77" s="426">
        <v>0</v>
      </c>
      <c r="T77" s="426">
        <v>0</v>
      </c>
      <c r="U77" s="426">
        <v>0</v>
      </c>
      <c r="V77" s="426">
        <v>0</v>
      </c>
      <c r="W77" s="426">
        <v>0</v>
      </c>
      <c r="X77" s="426">
        <v>0</v>
      </c>
      <c r="Y77" s="426">
        <v>0</v>
      </c>
      <c r="Z77" s="426">
        <v>0</v>
      </c>
      <c r="AA77" s="426">
        <v>0</v>
      </c>
      <c r="AB77" s="426">
        <v>0</v>
      </c>
      <c r="AC77" s="426">
        <v>0</v>
      </c>
      <c r="AD77" s="426">
        <v>0</v>
      </c>
      <c r="AE77" s="426">
        <v>0</v>
      </c>
      <c r="AF77" s="426">
        <v>0</v>
      </c>
      <c r="AG77" s="426">
        <v>0</v>
      </c>
      <c r="AH77" s="426">
        <v>0</v>
      </c>
      <c r="AI77" s="426">
        <v>0</v>
      </c>
      <c r="AJ77" s="426">
        <v>0</v>
      </c>
      <c r="AK77" s="426">
        <v>0</v>
      </c>
      <c r="AL77" s="426">
        <v>0</v>
      </c>
      <c r="AM77" s="427">
        <v>0</v>
      </c>
      <c r="AN77" s="427">
        <v>0</v>
      </c>
      <c r="AO77" s="427">
        <v>0</v>
      </c>
      <c r="AP77" s="427">
        <v>0</v>
      </c>
      <c r="AQ77" s="427">
        <v>0</v>
      </c>
      <c r="AR77" s="427">
        <v>0</v>
      </c>
      <c r="AS77" s="427">
        <v>0</v>
      </c>
      <c r="AT77" s="427">
        <v>0</v>
      </c>
      <c r="AU77" s="427">
        <v>0</v>
      </c>
      <c r="AV77" s="427">
        <v>0</v>
      </c>
      <c r="AW77" s="427">
        <v>0</v>
      </c>
      <c r="AX77" s="427">
        <v>0</v>
      </c>
      <c r="AY77" s="427">
        <v>0</v>
      </c>
      <c r="AZ77" s="427">
        <v>0</v>
      </c>
      <c r="BA77" s="427">
        <v>0</v>
      </c>
      <c r="BB77" s="427">
        <v>0</v>
      </c>
      <c r="BC77" s="427">
        <v>0</v>
      </c>
      <c r="BD77" s="427">
        <v>0</v>
      </c>
      <c r="BE77" s="427">
        <v>0</v>
      </c>
      <c r="BF77" s="427">
        <v>0</v>
      </c>
      <c r="BG77" s="427">
        <v>0</v>
      </c>
      <c r="BH77" s="427">
        <v>0</v>
      </c>
      <c r="BI77" s="427">
        <v>0</v>
      </c>
      <c r="BJ77" s="427">
        <v>0</v>
      </c>
      <c r="BK77" s="427">
        <v>0</v>
      </c>
      <c r="BL77" s="427">
        <v>0</v>
      </c>
      <c r="BM77" s="427">
        <v>0</v>
      </c>
      <c r="BN77" s="427">
        <v>0</v>
      </c>
      <c r="BO77" s="427">
        <v>0</v>
      </c>
      <c r="BP77" s="427">
        <v>0</v>
      </c>
      <c r="BQ77" s="427">
        <v>0</v>
      </c>
      <c r="BR77" s="427">
        <v>0</v>
      </c>
      <c r="BS77" s="427">
        <v>0</v>
      </c>
      <c r="BT77" s="427">
        <v>0</v>
      </c>
      <c r="BU77" s="427">
        <v>0</v>
      </c>
      <c r="BV77" s="427">
        <v>0</v>
      </c>
      <c r="BW77" s="427">
        <v>0</v>
      </c>
      <c r="BX77" s="427">
        <v>0</v>
      </c>
      <c r="BY77" s="427">
        <v>0</v>
      </c>
      <c r="BZ77" s="427">
        <v>0</v>
      </c>
      <c r="CA77" s="427">
        <v>0</v>
      </c>
      <c r="CB77" s="427">
        <v>0</v>
      </c>
      <c r="CC77" s="427">
        <v>0</v>
      </c>
      <c r="CD77" s="427">
        <v>0</v>
      </c>
      <c r="CE77" s="427">
        <v>0</v>
      </c>
      <c r="CF77" s="427">
        <v>0</v>
      </c>
      <c r="CG77" s="427">
        <v>0</v>
      </c>
      <c r="CH77" s="427">
        <v>0</v>
      </c>
      <c r="CI77" s="427">
        <v>0</v>
      </c>
      <c r="CJ77" s="427">
        <v>0</v>
      </c>
      <c r="CK77" s="428">
        <v>0</v>
      </c>
      <c r="CL77" s="428">
        <v>0</v>
      </c>
      <c r="CM77" s="428">
        <v>0</v>
      </c>
      <c r="CN77" s="428">
        <v>0</v>
      </c>
      <c r="CO77" s="428">
        <v>0</v>
      </c>
      <c r="CP77" s="428">
        <v>0</v>
      </c>
      <c r="CQ77" s="428">
        <v>0</v>
      </c>
      <c r="CR77" s="428">
        <v>0</v>
      </c>
      <c r="CS77" s="428">
        <v>0</v>
      </c>
      <c r="CT77" s="428">
        <v>0</v>
      </c>
      <c r="CU77" s="428">
        <v>0</v>
      </c>
      <c r="CV77" s="428">
        <v>0</v>
      </c>
      <c r="CW77" s="428">
        <v>0</v>
      </c>
      <c r="CX77" s="428"/>
      <c r="CY77" s="428"/>
      <c r="CZ77" s="428"/>
      <c r="DA77" s="428"/>
      <c r="DB77" s="428"/>
      <c r="DC77" s="428"/>
      <c r="DD77" s="428"/>
      <c r="DE77" s="428"/>
      <c r="DF77" s="428"/>
      <c r="DG77" s="428"/>
      <c r="DH77" s="428"/>
      <c r="DI77" s="428"/>
    </row>
    <row r="78" spans="1:113" s="388" customFormat="1">
      <c r="A78" s="421" t="s">
        <v>370</v>
      </c>
      <c r="B78" s="421" t="s">
        <v>21</v>
      </c>
      <c r="C78" s="421" t="s">
        <v>410</v>
      </c>
      <c r="D78" s="422" t="s">
        <v>376</v>
      </c>
      <c r="E78" s="422">
        <v>2018</v>
      </c>
      <c r="F78" s="423">
        <v>0.86959558274132531</v>
      </c>
      <c r="G78" s="424">
        <v>887.29320008324521</v>
      </c>
      <c r="H78" s="422">
        <v>5</v>
      </c>
      <c r="I78" s="425">
        <v>0.46536965252313928</v>
      </c>
      <c r="J78" s="425">
        <v>0.46536965252313928</v>
      </c>
      <c r="K78" s="422">
        <v>0</v>
      </c>
      <c r="L78" s="422">
        <v>0</v>
      </c>
      <c r="M78" s="422">
        <v>0</v>
      </c>
      <c r="N78" s="426">
        <v>0</v>
      </c>
      <c r="O78" s="426">
        <v>0</v>
      </c>
      <c r="P78" s="426">
        <v>0</v>
      </c>
      <c r="Q78" s="426">
        <v>0</v>
      </c>
      <c r="R78" s="426">
        <v>0</v>
      </c>
      <c r="S78" s="426">
        <v>0</v>
      </c>
      <c r="T78" s="426">
        <v>0</v>
      </c>
      <c r="U78" s="426">
        <v>0</v>
      </c>
      <c r="V78" s="426">
        <v>0</v>
      </c>
      <c r="W78" s="426">
        <v>0</v>
      </c>
      <c r="X78" s="426">
        <v>0</v>
      </c>
      <c r="Y78" s="426">
        <v>0</v>
      </c>
      <c r="Z78" s="426">
        <v>0</v>
      </c>
      <c r="AA78" s="426">
        <v>0</v>
      </c>
      <c r="AB78" s="426">
        <v>0</v>
      </c>
      <c r="AC78" s="426">
        <v>0</v>
      </c>
      <c r="AD78" s="426">
        <v>0</v>
      </c>
      <c r="AE78" s="426">
        <v>0</v>
      </c>
      <c r="AF78" s="426">
        <v>0</v>
      </c>
      <c r="AG78" s="426">
        <v>0</v>
      </c>
      <c r="AH78" s="426">
        <v>0</v>
      </c>
      <c r="AI78" s="426">
        <v>0</v>
      </c>
      <c r="AJ78" s="426">
        <v>0</v>
      </c>
      <c r="AK78" s="426">
        <v>0</v>
      </c>
      <c r="AL78" s="426">
        <v>0</v>
      </c>
      <c r="AM78" s="427">
        <v>0</v>
      </c>
      <c r="AN78" s="427">
        <v>0</v>
      </c>
      <c r="AO78" s="427">
        <v>0</v>
      </c>
      <c r="AP78" s="427">
        <v>0</v>
      </c>
      <c r="AQ78" s="427">
        <v>0</v>
      </c>
      <c r="AR78" s="427">
        <v>0</v>
      </c>
      <c r="AS78" s="427">
        <v>0</v>
      </c>
      <c r="AT78" s="427">
        <v>0</v>
      </c>
      <c r="AU78" s="427">
        <v>0</v>
      </c>
      <c r="AV78" s="427">
        <v>0</v>
      </c>
      <c r="AW78" s="427">
        <v>0</v>
      </c>
      <c r="AX78" s="427">
        <v>0</v>
      </c>
      <c r="AY78" s="427">
        <v>0</v>
      </c>
      <c r="AZ78" s="427">
        <v>0</v>
      </c>
      <c r="BA78" s="427">
        <v>0</v>
      </c>
      <c r="BB78" s="427">
        <v>0</v>
      </c>
      <c r="BC78" s="427">
        <v>0</v>
      </c>
      <c r="BD78" s="427">
        <v>0</v>
      </c>
      <c r="BE78" s="427">
        <v>0</v>
      </c>
      <c r="BF78" s="427">
        <v>0</v>
      </c>
      <c r="BG78" s="427">
        <v>0</v>
      </c>
      <c r="BH78" s="427">
        <v>0</v>
      </c>
      <c r="BI78" s="427">
        <v>0</v>
      </c>
      <c r="BJ78" s="427">
        <v>0</v>
      </c>
      <c r="BK78" s="427">
        <v>0</v>
      </c>
      <c r="BL78" s="427">
        <v>0</v>
      </c>
      <c r="BM78" s="427">
        <v>0</v>
      </c>
      <c r="BN78" s="427">
        <v>0</v>
      </c>
      <c r="BO78" s="427">
        <v>0</v>
      </c>
      <c r="BP78" s="427">
        <v>0</v>
      </c>
      <c r="BQ78" s="427">
        <v>0</v>
      </c>
      <c r="BR78" s="427">
        <v>0</v>
      </c>
      <c r="BS78" s="427">
        <v>0</v>
      </c>
      <c r="BT78" s="427">
        <v>0</v>
      </c>
      <c r="BU78" s="427">
        <v>0</v>
      </c>
      <c r="BV78" s="427">
        <v>0</v>
      </c>
      <c r="BW78" s="427">
        <v>0</v>
      </c>
      <c r="BX78" s="427">
        <v>0</v>
      </c>
      <c r="BY78" s="427">
        <v>0</v>
      </c>
      <c r="BZ78" s="427">
        <v>0</v>
      </c>
      <c r="CA78" s="427">
        <v>0</v>
      </c>
      <c r="CB78" s="427">
        <v>0</v>
      </c>
      <c r="CC78" s="427">
        <v>0</v>
      </c>
      <c r="CD78" s="427">
        <v>0</v>
      </c>
      <c r="CE78" s="427">
        <v>0</v>
      </c>
      <c r="CF78" s="427">
        <v>0</v>
      </c>
      <c r="CG78" s="427">
        <v>0</v>
      </c>
      <c r="CH78" s="427">
        <v>0</v>
      </c>
      <c r="CI78" s="427">
        <v>0</v>
      </c>
      <c r="CJ78" s="427">
        <v>0</v>
      </c>
      <c r="CK78" s="428">
        <v>0</v>
      </c>
      <c r="CL78" s="428">
        <v>0</v>
      </c>
      <c r="CM78" s="428">
        <v>0</v>
      </c>
      <c r="CN78" s="428">
        <v>0</v>
      </c>
      <c r="CO78" s="428">
        <v>0</v>
      </c>
      <c r="CP78" s="428">
        <v>0</v>
      </c>
      <c r="CQ78" s="428">
        <v>0</v>
      </c>
      <c r="CR78" s="428">
        <v>0</v>
      </c>
      <c r="CS78" s="428">
        <v>0</v>
      </c>
      <c r="CT78" s="428">
        <v>0</v>
      </c>
      <c r="CU78" s="428">
        <v>0</v>
      </c>
      <c r="CV78" s="428">
        <v>0</v>
      </c>
      <c r="CW78" s="428">
        <v>0</v>
      </c>
      <c r="CX78" s="428"/>
      <c r="CY78" s="428"/>
      <c r="CZ78" s="428"/>
      <c r="DA78" s="428"/>
      <c r="DB78" s="428"/>
      <c r="DC78" s="428"/>
      <c r="DD78" s="428"/>
      <c r="DE78" s="428"/>
      <c r="DF78" s="428"/>
      <c r="DG78" s="428"/>
      <c r="DH78" s="428"/>
      <c r="DI78" s="428"/>
    </row>
    <row r="79" spans="1:113" s="388" customFormat="1">
      <c r="A79" s="421" t="s">
        <v>370</v>
      </c>
      <c r="B79" s="421" t="s">
        <v>21</v>
      </c>
      <c r="C79" s="421" t="s">
        <v>410</v>
      </c>
      <c r="D79" s="422" t="s">
        <v>376</v>
      </c>
      <c r="E79" s="422">
        <v>2019</v>
      </c>
      <c r="F79" s="423">
        <v>0.86959558274132531</v>
      </c>
      <c r="G79" s="424">
        <v>887.29320008324521</v>
      </c>
      <c r="H79" s="422">
        <v>5</v>
      </c>
      <c r="I79" s="425">
        <v>0.46536965252313928</v>
      </c>
      <c r="J79" s="425">
        <v>0.46536965252313928</v>
      </c>
      <c r="K79" s="422">
        <v>0</v>
      </c>
      <c r="L79" s="422">
        <v>0</v>
      </c>
      <c r="M79" s="422">
        <v>0</v>
      </c>
      <c r="N79" s="426">
        <v>0</v>
      </c>
      <c r="O79" s="426">
        <v>0</v>
      </c>
      <c r="P79" s="426">
        <v>0</v>
      </c>
      <c r="Q79" s="426">
        <v>0</v>
      </c>
      <c r="R79" s="426">
        <v>0</v>
      </c>
      <c r="S79" s="426">
        <v>0</v>
      </c>
      <c r="T79" s="426">
        <v>0</v>
      </c>
      <c r="U79" s="426">
        <v>0</v>
      </c>
      <c r="V79" s="426">
        <v>0</v>
      </c>
      <c r="W79" s="426">
        <v>0</v>
      </c>
      <c r="X79" s="426">
        <v>0</v>
      </c>
      <c r="Y79" s="426">
        <v>0</v>
      </c>
      <c r="Z79" s="426">
        <v>0</v>
      </c>
      <c r="AA79" s="426">
        <v>0</v>
      </c>
      <c r="AB79" s="426">
        <v>0</v>
      </c>
      <c r="AC79" s="426">
        <v>0</v>
      </c>
      <c r="AD79" s="426">
        <v>0</v>
      </c>
      <c r="AE79" s="426">
        <v>0</v>
      </c>
      <c r="AF79" s="426">
        <v>0</v>
      </c>
      <c r="AG79" s="426">
        <v>0</v>
      </c>
      <c r="AH79" s="426">
        <v>0</v>
      </c>
      <c r="AI79" s="426">
        <v>0</v>
      </c>
      <c r="AJ79" s="426">
        <v>0</v>
      </c>
      <c r="AK79" s="426">
        <v>0</v>
      </c>
      <c r="AL79" s="426">
        <v>0</v>
      </c>
      <c r="AM79" s="427">
        <v>0</v>
      </c>
      <c r="AN79" s="427">
        <v>0</v>
      </c>
      <c r="AO79" s="427">
        <v>0</v>
      </c>
      <c r="AP79" s="427">
        <v>0</v>
      </c>
      <c r="AQ79" s="427">
        <v>0</v>
      </c>
      <c r="AR79" s="427">
        <v>0</v>
      </c>
      <c r="AS79" s="427">
        <v>0</v>
      </c>
      <c r="AT79" s="427">
        <v>0</v>
      </c>
      <c r="AU79" s="427">
        <v>0</v>
      </c>
      <c r="AV79" s="427">
        <v>0</v>
      </c>
      <c r="AW79" s="427">
        <v>0</v>
      </c>
      <c r="AX79" s="427">
        <v>0</v>
      </c>
      <c r="AY79" s="427">
        <v>0</v>
      </c>
      <c r="AZ79" s="427">
        <v>0</v>
      </c>
      <c r="BA79" s="427">
        <v>0</v>
      </c>
      <c r="BB79" s="427">
        <v>0</v>
      </c>
      <c r="BC79" s="427">
        <v>0</v>
      </c>
      <c r="BD79" s="427">
        <v>0</v>
      </c>
      <c r="BE79" s="427">
        <v>0</v>
      </c>
      <c r="BF79" s="427">
        <v>0</v>
      </c>
      <c r="BG79" s="427">
        <v>0</v>
      </c>
      <c r="BH79" s="427">
        <v>0</v>
      </c>
      <c r="BI79" s="427">
        <v>0</v>
      </c>
      <c r="BJ79" s="427">
        <v>0</v>
      </c>
      <c r="BK79" s="427">
        <v>0</v>
      </c>
      <c r="BL79" s="427">
        <v>0</v>
      </c>
      <c r="BM79" s="427">
        <v>0</v>
      </c>
      <c r="BN79" s="427">
        <v>0</v>
      </c>
      <c r="BO79" s="427">
        <v>0</v>
      </c>
      <c r="BP79" s="427">
        <v>0</v>
      </c>
      <c r="BQ79" s="427">
        <v>0</v>
      </c>
      <c r="BR79" s="427">
        <v>0</v>
      </c>
      <c r="BS79" s="427">
        <v>0</v>
      </c>
      <c r="BT79" s="427">
        <v>0</v>
      </c>
      <c r="BU79" s="427">
        <v>0</v>
      </c>
      <c r="BV79" s="427">
        <v>0</v>
      </c>
      <c r="BW79" s="427">
        <v>0</v>
      </c>
      <c r="BX79" s="427">
        <v>0</v>
      </c>
      <c r="BY79" s="427">
        <v>0</v>
      </c>
      <c r="BZ79" s="427">
        <v>0</v>
      </c>
      <c r="CA79" s="427">
        <v>0</v>
      </c>
      <c r="CB79" s="427">
        <v>0</v>
      </c>
      <c r="CC79" s="427">
        <v>0</v>
      </c>
      <c r="CD79" s="427">
        <v>0</v>
      </c>
      <c r="CE79" s="427">
        <v>0</v>
      </c>
      <c r="CF79" s="427">
        <v>0</v>
      </c>
      <c r="CG79" s="427">
        <v>0</v>
      </c>
      <c r="CH79" s="427">
        <v>0</v>
      </c>
      <c r="CI79" s="427">
        <v>0</v>
      </c>
      <c r="CJ79" s="427">
        <v>0</v>
      </c>
      <c r="CK79" s="428">
        <v>0</v>
      </c>
      <c r="CL79" s="428">
        <v>0</v>
      </c>
      <c r="CM79" s="428">
        <v>0</v>
      </c>
      <c r="CN79" s="428">
        <v>0</v>
      </c>
      <c r="CO79" s="428">
        <v>0</v>
      </c>
      <c r="CP79" s="428">
        <v>0</v>
      </c>
      <c r="CQ79" s="428">
        <v>0</v>
      </c>
      <c r="CR79" s="428">
        <v>0</v>
      </c>
      <c r="CS79" s="428">
        <v>0</v>
      </c>
      <c r="CT79" s="428">
        <v>0</v>
      </c>
      <c r="CU79" s="428">
        <v>0</v>
      </c>
      <c r="CV79" s="428">
        <v>0</v>
      </c>
      <c r="CW79" s="428">
        <v>0</v>
      </c>
      <c r="CX79" s="428"/>
      <c r="CY79" s="428"/>
      <c r="CZ79" s="428"/>
      <c r="DA79" s="428"/>
      <c r="DB79" s="428"/>
      <c r="DC79" s="428"/>
      <c r="DD79" s="428"/>
      <c r="DE79" s="428"/>
      <c r="DF79" s="428"/>
      <c r="DG79" s="428"/>
      <c r="DH79" s="428"/>
      <c r="DI79" s="428"/>
    </row>
    <row r="80" spans="1:113" s="388" customFormat="1">
      <c r="A80" s="421" t="s">
        <v>370</v>
      </c>
      <c r="B80" s="421" t="s">
        <v>21</v>
      </c>
      <c r="C80" s="421" t="s">
        <v>410</v>
      </c>
      <c r="D80" s="422" t="s">
        <v>376</v>
      </c>
      <c r="E80" s="422">
        <v>2020</v>
      </c>
      <c r="F80" s="423">
        <v>0.86959558274132531</v>
      </c>
      <c r="G80" s="424">
        <v>887.29320008324521</v>
      </c>
      <c r="H80" s="422">
        <v>5</v>
      </c>
      <c r="I80" s="425">
        <v>0.46536965252313928</v>
      </c>
      <c r="J80" s="425">
        <v>0.46536965252313928</v>
      </c>
      <c r="K80" s="422">
        <v>0</v>
      </c>
      <c r="L80" s="422">
        <v>0</v>
      </c>
      <c r="M80" s="422">
        <v>0</v>
      </c>
      <c r="N80" s="426">
        <v>0</v>
      </c>
      <c r="O80" s="426">
        <v>0</v>
      </c>
      <c r="P80" s="426">
        <v>0</v>
      </c>
      <c r="Q80" s="426">
        <v>0</v>
      </c>
      <c r="R80" s="426">
        <v>0</v>
      </c>
      <c r="S80" s="426">
        <v>0</v>
      </c>
      <c r="T80" s="426">
        <v>0</v>
      </c>
      <c r="U80" s="426">
        <v>0</v>
      </c>
      <c r="V80" s="426">
        <v>0</v>
      </c>
      <c r="W80" s="426">
        <v>0</v>
      </c>
      <c r="X80" s="426">
        <v>0</v>
      </c>
      <c r="Y80" s="426">
        <v>0</v>
      </c>
      <c r="Z80" s="426">
        <v>0</v>
      </c>
      <c r="AA80" s="426">
        <v>0</v>
      </c>
      <c r="AB80" s="426">
        <v>0</v>
      </c>
      <c r="AC80" s="426">
        <v>0</v>
      </c>
      <c r="AD80" s="426">
        <v>0</v>
      </c>
      <c r="AE80" s="426">
        <v>0</v>
      </c>
      <c r="AF80" s="426">
        <v>0</v>
      </c>
      <c r="AG80" s="426">
        <v>0</v>
      </c>
      <c r="AH80" s="426">
        <v>0</v>
      </c>
      <c r="AI80" s="426">
        <v>0</v>
      </c>
      <c r="AJ80" s="426">
        <v>0</v>
      </c>
      <c r="AK80" s="426">
        <v>0</v>
      </c>
      <c r="AL80" s="426">
        <v>0</v>
      </c>
      <c r="AM80" s="427">
        <v>0</v>
      </c>
      <c r="AN80" s="427">
        <v>0</v>
      </c>
      <c r="AO80" s="427">
        <v>0</v>
      </c>
      <c r="AP80" s="427">
        <v>0</v>
      </c>
      <c r="AQ80" s="427">
        <v>0</v>
      </c>
      <c r="AR80" s="427">
        <v>0</v>
      </c>
      <c r="AS80" s="427">
        <v>0</v>
      </c>
      <c r="AT80" s="427">
        <v>0</v>
      </c>
      <c r="AU80" s="427">
        <v>0</v>
      </c>
      <c r="AV80" s="427">
        <v>0</v>
      </c>
      <c r="AW80" s="427">
        <v>0</v>
      </c>
      <c r="AX80" s="427">
        <v>0</v>
      </c>
      <c r="AY80" s="427">
        <v>0</v>
      </c>
      <c r="AZ80" s="427">
        <v>0</v>
      </c>
      <c r="BA80" s="427">
        <v>0</v>
      </c>
      <c r="BB80" s="427">
        <v>0</v>
      </c>
      <c r="BC80" s="427">
        <v>0</v>
      </c>
      <c r="BD80" s="427">
        <v>0</v>
      </c>
      <c r="BE80" s="427">
        <v>0</v>
      </c>
      <c r="BF80" s="427">
        <v>0</v>
      </c>
      <c r="BG80" s="427">
        <v>0</v>
      </c>
      <c r="BH80" s="427">
        <v>0</v>
      </c>
      <c r="BI80" s="427">
        <v>0</v>
      </c>
      <c r="BJ80" s="427">
        <v>0</v>
      </c>
      <c r="BK80" s="427">
        <v>0</v>
      </c>
      <c r="BL80" s="427">
        <v>0</v>
      </c>
      <c r="BM80" s="427">
        <v>0</v>
      </c>
      <c r="BN80" s="427">
        <v>0</v>
      </c>
      <c r="BO80" s="427">
        <v>0</v>
      </c>
      <c r="BP80" s="427">
        <v>0</v>
      </c>
      <c r="BQ80" s="427">
        <v>0</v>
      </c>
      <c r="BR80" s="427">
        <v>0</v>
      </c>
      <c r="BS80" s="427">
        <v>0</v>
      </c>
      <c r="BT80" s="427">
        <v>0</v>
      </c>
      <c r="BU80" s="427">
        <v>0</v>
      </c>
      <c r="BV80" s="427">
        <v>0</v>
      </c>
      <c r="BW80" s="427">
        <v>0</v>
      </c>
      <c r="BX80" s="427">
        <v>0</v>
      </c>
      <c r="BY80" s="427">
        <v>0</v>
      </c>
      <c r="BZ80" s="427">
        <v>0</v>
      </c>
      <c r="CA80" s="427">
        <v>0</v>
      </c>
      <c r="CB80" s="427">
        <v>0</v>
      </c>
      <c r="CC80" s="427">
        <v>0</v>
      </c>
      <c r="CD80" s="427">
        <v>0</v>
      </c>
      <c r="CE80" s="427">
        <v>0</v>
      </c>
      <c r="CF80" s="427">
        <v>0</v>
      </c>
      <c r="CG80" s="427">
        <v>0</v>
      </c>
      <c r="CH80" s="427">
        <v>0</v>
      </c>
      <c r="CI80" s="427">
        <v>0</v>
      </c>
      <c r="CJ80" s="427">
        <v>0</v>
      </c>
      <c r="CK80" s="428">
        <v>0</v>
      </c>
      <c r="CL80" s="428">
        <v>0</v>
      </c>
      <c r="CM80" s="428">
        <v>0</v>
      </c>
      <c r="CN80" s="428">
        <v>0</v>
      </c>
      <c r="CO80" s="428">
        <v>0</v>
      </c>
      <c r="CP80" s="428">
        <v>0</v>
      </c>
      <c r="CQ80" s="428">
        <v>0</v>
      </c>
      <c r="CR80" s="428">
        <v>0</v>
      </c>
      <c r="CS80" s="428">
        <v>0</v>
      </c>
      <c r="CT80" s="428">
        <v>0</v>
      </c>
      <c r="CU80" s="428">
        <v>0</v>
      </c>
      <c r="CV80" s="428">
        <v>0</v>
      </c>
      <c r="CW80" s="428">
        <v>0</v>
      </c>
      <c r="CX80" s="428"/>
      <c r="CY80" s="428"/>
      <c r="CZ80" s="428"/>
      <c r="DA80" s="428"/>
      <c r="DB80" s="428"/>
      <c r="DC80" s="428"/>
      <c r="DD80" s="428"/>
      <c r="DE80" s="428"/>
      <c r="DF80" s="428"/>
      <c r="DG80" s="428"/>
      <c r="DH80" s="428"/>
      <c r="DI80" s="428"/>
    </row>
    <row r="81" spans="1:113" s="388" customFormat="1">
      <c r="A81" s="421" t="s">
        <v>370</v>
      </c>
      <c r="B81" s="421" t="s">
        <v>412</v>
      </c>
      <c r="C81" s="421" t="s">
        <v>415</v>
      </c>
      <c r="D81" s="422" t="s">
        <v>376</v>
      </c>
      <c r="E81" s="422">
        <v>2015</v>
      </c>
      <c r="F81" s="423">
        <v>1.9600953141020185E-3</v>
      </c>
      <c r="G81" s="424">
        <v>28.92</v>
      </c>
      <c r="H81" s="422">
        <v>10</v>
      </c>
      <c r="I81" s="425">
        <v>1</v>
      </c>
      <c r="J81" s="425">
        <v>1</v>
      </c>
      <c r="K81" s="422">
        <v>0</v>
      </c>
      <c r="L81" s="422">
        <v>0</v>
      </c>
      <c r="M81" s="422">
        <v>0</v>
      </c>
      <c r="N81" s="426">
        <v>9000</v>
      </c>
      <c r="O81" s="426">
        <v>18.907671840212398</v>
      </c>
      <c r="P81" s="426">
        <v>18.907671840212398</v>
      </c>
      <c r="Q81" s="426">
        <v>18.907671840212398</v>
      </c>
      <c r="R81" s="426">
        <v>18.907671840212398</v>
      </c>
      <c r="S81" s="426">
        <v>18.907671840212398</v>
      </c>
      <c r="T81" s="426">
        <v>18.907671840212398</v>
      </c>
      <c r="U81" s="426">
        <v>18.907671840212398</v>
      </c>
      <c r="V81" s="426">
        <v>18.907671840212398</v>
      </c>
      <c r="W81" s="426">
        <v>18.907671840212398</v>
      </c>
      <c r="X81" s="426">
        <v>18.907671840212398</v>
      </c>
      <c r="Y81" s="426">
        <v>0</v>
      </c>
      <c r="Z81" s="426">
        <v>0</v>
      </c>
      <c r="AA81" s="426">
        <v>0</v>
      </c>
      <c r="AB81" s="426">
        <v>0</v>
      </c>
      <c r="AC81" s="426">
        <v>0</v>
      </c>
      <c r="AD81" s="426">
        <v>0</v>
      </c>
      <c r="AE81" s="426">
        <v>0</v>
      </c>
      <c r="AF81" s="426">
        <v>0</v>
      </c>
      <c r="AG81" s="426">
        <v>0</v>
      </c>
      <c r="AH81" s="426">
        <v>0</v>
      </c>
      <c r="AI81" s="426">
        <v>0</v>
      </c>
      <c r="AJ81" s="426">
        <v>0</v>
      </c>
      <c r="AK81" s="426">
        <v>0</v>
      </c>
      <c r="AL81" s="426">
        <v>0</v>
      </c>
      <c r="AM81" s="427">
        <v>0</v>
      </c>
      <c r="AN81" s="427">
        <v>278971.06109324761</v>
      </c>
      <c r="AO81" s="427">
        <v>278971.06109324761</v>
      </c>
      <c r="AP81" s="427">
        <v>278971.06109324761</v>
      </c>
      <c r="AQ81" s="427">
        <v>278971.06109324761</v>
      </c>
      <c r="AR81" s="427">
        <v>278971.06109324761</v>
      </c>
      <c r="AS81" s="427">
        <v>278971.06109324761</v>
      </c>
      <c r="AT81" s="427">
        <v>278971.06109324761</v>
      </c>
      <c r="AU81" s="427">
        <v>278971.06109324761</v>
      </c>
      <c r="AV81" s="427">
        <v>278971.06109324761</v>
      </c>
      <c r="AW81" s="427">
        <v>278971.06109324761</v>
      </c>
      <c r="AX81" s="427">
        <v>0</v>
      </c>
      <c r="AY81" s="427">
        <v>0</v>
      </c>
      <c r="AZ81" s="427">
        <v>0</v>
      </c>
      <c r="BA81" s="427">
        <v>0</v>
      </c>
      <c r="BB81" s="427">
        <v>0</v>
      </c>
      <c r="BC81" s="427">
        <v>0</v>
      </c>
      <c r="BD81" s="427">
        <v>0</v>
      </c>
      <c r="BE81" s="427">
        <v>0</v>
      </c>
      <c r="BF81" s="427">
        <v>0</v>
      </c>
      <c r="BG81" s="427">
        <v>0</v>
      </c>
      <c r="BH81" s="427">
        <v>0</v>
      </c>
      <c r="BI81" s="427">
        <v>0</v>
      </c>
      <c r="BJ81" s="427">
        <v>0</v>
      </c>
      <c r="BK81" s="427">
        <v>0</v>
      </c>
      <c r="BL81" s="427">
        <v>0</v>
      </c>
      <c r="BM81" s="427">
        <v>0</v>
      </c>
      <c r="BN81" s="427">
        <v>0</v>
      </c>
      <c r="BO81" s="427">
        <v>0</v>
      </c>
      <c r="BP81" s="427">
        <v>0</v>
      </c>
      <c r="BQ81" s="427">
        <v>0</v>
      </c>
      <c r="BR81" s="427">
        <v>0</v>
      </c>
      <c r="BS81" s="427">
        <v>0</v>
      </c>
      <c r="BT81" s="427">
        <v>0</v>
      </c>
      <c r="BU81" s="427">
        <v>0</v>
      </c>
      <c r="BV81" s="427">
        <v>0</v>
      </c>
      <c r="BW81" s="427">
        <v>0</v>
      </c>
      <c r="BX81" s="427">
        <v>0</v>
      </c>
      <c r="BY81" s="427">
        <v>0</v>
      </c>
      <c r="BZ81" s="427">
        <v>0</v>
      </c>
      <c r="CA81" s="427">
        <v>0</v>
      </c>
      <c r="CB81" s="427">
        <v>0</v>
      </c>
      <c r="CC81" s="427">
        <v>0</v>
      </c>
      <c r="CD81" s="427">
        <v>0</v>
      </c>
      <c r="CE81" s="427">
        <v>0</v>
      </c>
      <c r="CF81" s="427">
        <v>0</v>
      </c>
      <c r="CG81" s="427">
        <v>0</v>
      </c>
      <c r="CH81" s="427">
        <v>0</v>
      </c>
      <c r="CI81" s="427">
        <v>0</v>
      </c>
      <c r="CJ81" s="427">
        <v>0</v>
      </c>
      <c r="CK81" s="428">
        <v>0</v>
      </c>
      <c r="CL81" s="428">
        <v>0</v>
      </c>
      <c r="CM81" s="428">
        <v>0</v>
      </c>
      <c r="CN81" s="428">
        <v>0</v>
      </c>
      <c r="CO81" s="428">
        <v>0</v>
      </c>
      <c r="CP81" s="428">
        <v>0</v>
      </c>
      <c r="CQ81" s="428">
        <v>0</v>
      </c>
      <c r="CR81" s="428">
        <v>0</v>
      </c>
      <c r="CS81" s="428">
        <v>0</v>
      </c>
      <c r="CT81" s="428">
        <v>0</v>
      </c>
      <c r="CU81" s="428">
        <v>0</v>
      </c>
      <c r="CV81" s="428">
        <v>0</v>
      </c>
      <c r="CW81" s="428">
        <v>0</v>
      </c>
      <c r="CX81" s="428"/>
      <c r="CY81" s="428"/>
      <c r="CZ81" s="428"/>
      <c r="DA81" s="428"/>
      <c r="DB81" s="428"/>
      <c r="DC81" s="428"/>
      <c r="DD81" s="428"/>
      <c r="DE81" s="428"/>
      <c r="DF81" s="428"/>
      <c r="DG81" s="428"/>
      <c r="DH81" s="428"/>
      <c r="DI81" s="428"/>
    </row>
    <row r="82" spans="1:113" s="388" customFormat="1">
      <c r="A82" s="421" t="s">
        <v>370</v>
      </c>
      <c r="B82" s="421" t="s">
        <v>412</v>
      </c>
      <c r="C82" s="421" t="s">
        <v>415</v>
      </c>
      <c r="D82" s="422" t="s">
        <v>376</v>
      </c>
      <c r="E82" s="422">
        <v>2016</v>
      </c>
      <c r="F82" s="423">
        <v>1.9600953141020185E-3</v>
      </c>
      <c r="G82" s="424">
        <v>28.92</v>
      </c>
      <c r="H82" s="422">
        <v>10</v>
      </c>
      <c r="I82" s="425">
        <v>1</v>
      </c>
      <c r="J82" s="425">
        <v>1</v>
      </c>
      <c r="K82" s="422">
        <v>0</v>
      </c>
      <c r="L82" s="422">
        <v>0</v>
      </c>
      <c r="M82" s="422">
        <v>0</v>
      </c>
      <c r="N82" s="426">
        <v>300</v>
      </c>
      <c r="O82" s="426">
        <v>0</v>
      </c>
      <c r="P82" s="426">
        <v>0.63025572800707996</v>
      </c>
      <c r="Q82" s="426">
        <v>0.63025572800707996</v>
      </c>
      <c r="R82" s="426">
        <v>0.63025572800707996</v>
      </c>
      <c r="S82" s="426">
        <v>0.63025572800707996</v>
      </c>
      <c r="T82" s="426">
        <v>0.63025572800707996</v>
      </c>
      <c r="U82" s="426">
        <v>0.63025572800707996</v>
      </c>
      <c r="V82" s="426">
        <v>0.63025572800707996</v>
      </c>
      <c r="W82" s="426">
        <v>0.63025572800707996</v>
      </c>
      <c r="X82" s="426">
        <v>0.63025572800707996</v>
      </c>
      <c r="Y82" s="426">
        <v>0.63025572800707996</v>
      </c>
      <c r="Z82" s="426">
        <v>0</v>
      </c>
      <c r="AA82" s="426">
        <v>0</v>
      </c>
      <c r="AB82" s="426">
        <v>0</v>
      </c>
      <c r="AC82" s="426">
        <v>0</v>
      </c>
      <c r="AD82" s="426">
        <v>0</v>
      </c>
      <c r="AE82" s="426">
        <v>0</v>
      </c>
      <c r="AF82" s="426">
        <v>0</v>
      </c>
      <c r="AG82" s="426">
        <v>0</v>
      </c>
      <c r="AH82" s="426">
        <v>0</v>
      </c>
      <c r="AI82" s="426">
        <v>0</v>
      </c>
      <c r="AJ82" s="426">
        <v>0</v>
      </c>
      <c r="AK82" s="426">
        <v>0</v>
      </c>
      <c r="AL82" s="426">
        <v>0</v>
      </c>
      <c r="AM82" s="427">
        <v>0</v>
      </c>
      <c r="AN82" s="427">
        <v>0</v>
      </c>
      <c r="AO82" s="427">
        <v>9299.0353697749197</v>
      </c>
      <c r="AP82" s="427">
        <v>9299.0353697749197</v>
      </c>
      <c r="AQ82" s="427">
        <v>9299.0353697749197</v>
      </c>
      <c r="AR82" s="427">
        <v>9299.0353697749197</v>
      </c>
      <c r="AS82" s="427">
        <v>9299.0353697749197</v>
      </c>
      <c r="AT82" s="427">
        <v>9299.0353697749197</v>
      </c>
      <c r="AU82" s="427">
        <v>9299.0353697749197</v>
      </c>
      <c r="AV82" s="427">
        <v>9299.0353697749197</v>
      </c>
      <c r="AW82" s="427">
        <v>9299.0353697749197</v>
      </c>
      <c r="AX82" s="427">
        <v>9299.0353697749197</v>
      </c>
      <c r="AY82" s="427">
        <v>0</v>
      </c>
      <c r="AZ82" s="427">
        <v>0</v>
      </c>
      <c r="BA82" s="427">
        <v>0</v>
      </c>
      <c r="BB82" s="427">
        <v>0</v>
      </c>
      <c r="BC82" s="427">
        <v>0</v>
      </c>
      <c r="BD82" s="427">
        <v>0</v>
      </c>
      <c r="BE82" s="427">
        <v>0</v>
      </c>
      <c r="BF82" s="427">
        <v>0</v>
      </c>
      <c r="BG82" s="427">
        <v>0</v>
      </c>
      <c r="BH82" s="427">
        <v>0</v>
      </c>
      <c r="BI82" s="427">
        <v>0</v>
      </c>
      <c r="BJ82" s="427">
        <v>0</v>
      </c>
      <c r="BK82" s="427">
        <v>0</v>
      </c>
      <c r="BL82" s="427">
        <v>0</v>
      </c>
      <c r="BM82" s="427">
        <v>0</v>
      </c>
      <c r="BN82" s="427">
        <v>0</v>
      </c>
      <c r="BO82" s="427">
        <v>0</v>
      </c>
      <c r="BP82" s="427">
        <v>0</v>
      </c>
      <c r="BQ82" s="427">
        <v>0</v>
      </c>
      <c r="BR82" s="427">
        <v>0</v>
      </c>
      <c r="BS82" s="427">
        <v>0</v>
      </c>
      <c r="BT82" s="427">
        <v>0</v>
      </c>
      <c r="BU82" s="427">
        <v>0</v>
      </c>
      <c r="BV82" s="427">
        <v>0</v>
      </c>
      <c r="BW82" s="427">
        <v>0</v>
      </c>
      <c r="BX82" s="427">
        <v>0</v>
      </c>
      <c r="BY82" s="427">
        <v>0</v>
      </c>
      <c r="BZ82" s="427">
        <v>0</v>
      </c>
      <c r="CA82" s="427">
        <v>0</v>
      </c>
      <c r="CB82" s="427">
        <v>0</v>
      </c>
      <c r="CC82" s="427">
        <v>0</v>
      </c>
      <c r="CD82" s="427">
        <v>0</v>
      </c>
      <c r="CE82" s="427">
        <v>0</v>
      </c>
      <c r="CF82" s="427">
        <v>0</v>
      </c>
      <c r="CG82" s="427">
        <v>0</v>
      </c>
      <c r="CH82" s="427">
        <v>0</v>
      </c>
      <c r="CI82" s="427">
        <v>0</v>
      </c>
      <c r="CJ82" s="427">
        <v>0</v>
      </c>
      <c r="CK82" s="428">
        <v>0</v>
      </c>
      <c r="CL82" s="428">
        <v>0</v>
      </c>
      <c r="CM82" s="428">
        <v>0</v>
      </c>
      <c r="CN82" s="428">
        <v>0</v>
      </c>
      <c r="CO82" s="428">
        <v>0</v>
      </c>
      <c r="CP82" s="428">
        <v>0</v>
      </c>
      <c r="CQ82" s="428">
        <v>0</v>
      </c>
      <c r="CR82" s="428">
        <v>0</v>
      </c>
      <c r="CS82" s="428">
        <v>0</v>
      </c>
      <c r="CT82" s="428">
        <v>0</v>
      </c>
      <c r="CU82" s="428">
        <v>0</v>
      </c>
      <c r="CV82" s="428">
        <v>0</v>
      </c>
      <c r="CW82" s="428">
        <v>0</v>
      </c>
      <c r="CX82" s="428"/>
      <c r="CY82" s="428"/>
      <c r="CZ82" s="428"/>
      <c r="DA82" s="428"/>
      <c r="DB82" s="428"/>
      <c r="DC82" s="428"/>
      <c r="DD82" s="428"/>
      <c r="DE82" s="428"/>
      <c r="DF82" s="428"/>
      <c r="DG82" s="428"/>
      <c r="DH82" s="428"/>
      <c r="DI82" s="428"/>
    </row>
    <row r="83" spans="1:113" s="388" customFormat="1">
      <c r="A83" s="421" t="s">
        <v>370</v>
      </c>
      <c r="B83" s="421" t="s">
        <v>412</v>
      </c>
      <c r="C83" s="421" t="s">
        <v>415</v>
      </c>
      <c r="D83" s="422" t="s">
        <v>376</v>
      </c>
      <c r="E83" s="422">
        <v>2017</v>
      </c>
      <c r="F83" s="423">
        <v>1.9600953141020185E-3</v>
      </c>
      <c r="G83" s="424">
        <v>28.92</v>
      </c>
      <c r="H83" s="422">
        <v>10</v>
      </c>
      <c r="I83" s="425">
        <v>1</v>
      </c>
      <c r="J83" s="425">
        <v>1</v>
      </c>
      <c r="K83" s="422">
        <v>0</v>
      </c>
      <c r="L83" s="422">
        <v>0</v>
      </c>
      <c r="M83" s="422">
        <v>0</v>
      </c>
      <c r="N83" s="426">
        <v>300</v>
      </c>
      <c r="O83" s="426">
        <v>0</v>
      </c>
      <c r="P83" s="426">
        <v>0</v>
      </c>
      <c r="Q83" s="426">
        <v>0.63025572800707996</v>
      </c>
      <c r="R83" s="426">
        <v>0.63025572800707996</v>
      </c>
      <c r="S83" s="426">
        <v>0.63025572800707996</v>
      </c>
      <c r="T83" s="426">
        <v>0.63025572800707996</v>
      </c>
      <c r="U83" s="426">
        <v>0.63025572800707996</v>
      </c>
      <c r="V83" s="426">
        <v>0.63025572800707996</v>
      </c>
      <c r="W83" s="426">
        <v>0.63025572800707996</v>
      </c>
      <c r="X83" s="426">
        <v>0.63025572800707996</v>
      </c>
      <c r="Y83" s="426">
        <v>0.63025572800707996</v>
      </c>
      <c r="Z83" s="426">
        <v>0.63025572800707996</v>
      </c>
      <c r="AA83" s="426">
        <v>0</v>
      </c>
      <c r="AB83" s="426">
        <v>0</v>
      </c>
      <c r="AC83" s="426">
        <v>0</v>
      </c>
      <c r="AD83" s="426">
        <v>0</v>
      </c>
      <c r="AE83" s="426">
        <v>0</v>
      </c>
      <c r="AF83" s="426">
        <v>0</v>
      </c>
      <c r="AG83" s="426">
        <v>0</v>
      </c>
      <c r="AH83" s="426">
        <v>0</v>
      </c>
      <c r="AI83" s="426">
        <v>0</v>
      </c>
      <c r="AJ83" s="426">
        <v>0</v>
      </c>
      <c r="AK83" s="426">
        <v>0</v>
      </c>
      <c r="AL83" s="426">
        <v>0</v>
      </c>
      <c r="AM83" s="427">
        <v>0</v>
      </c>
      <c r="AN83" s="427">
        <v>0</v>
      </c>
      <c r="AO83" s="427">
        <v>0</v>
      </c>
      <c r="AP83" s="427">
        <v>9299.0353697749197</v>
      </c>
      <c r="AQ83" s="427">
        <v>9299.0353697749197</v>
      </c>
      <c r="AR83" s="427">
        <v>9299.0353697749197</v>
      </c>
      <c r="AS83" s="427">
        <v>9299.0353697749197</v>
      </c>
      <c r="AT83" s="427">
        <v>9299.0353697749197</v>
      </c>
      <c r="AU83" s="427">
        <v>9299.0353697749197</v>
      </c>
      <c r="AV83" s="427">
        <v>9299.0353697749197</v>
      </c>
      <c r="AW83" s="427">
        <v>9299.0353697749197</v>
      </c>
      <c r="AX83" s="427">
        <v>9299.0353697749197</v>
      </c>
      <c r="AY83" s="427">
        <v>9299.0353697749197</v>
      </c>
      <c r="AZ83" s="427">
        <v>0</v>
      </c>
      <c r="BA83" s="427">
        <v>0</v>
      </c>
      <c r="BB83" s="427">
        <v>0</v>
      </c>
      <c r="BC83" s="427">
        <v>0</v>
      </c>
      <c r="BD83" s="427">
        <v>0</v>
      </c>
      <c r="BE83" s="427">
        <v>0</v>
      </c>
      <c r="BF83" s="427">
        <v>0</v>
      </c>
      <c r="BG83" s="427">
        <v>0</v>
      </c>
      <c r="BH83" s="427">
        <v>0</v>
      </c>
      <c r="BI83" s="427">
        <v>0</v>
      </c>
      <c r="BJ83" s="427">
        <v>0</v>
      </c>
      <c r="BK83" s="427">
        <v>0</v>
      </c>
      <c r="BL83" s="427">
        <v>0</v>
      </c>
      <c r="BM83" s="427">
        <v>0</v>
      </c>
      <c r="BN83" s="427">
        <v>0</v>
      </c>
      <c r="BO83" s="427">
        <v>0</v>
      </c>
      <c r="BP83" s="427">
        <v>0</v>
      </c>
      <c r="BQ83" s="427">
        <v>0</v>
      </c>
      <c r="BR83" s="427">
        <v>0</v>
      </c>
      <c r="BS83" s="427">
        <v>0</v>
      </c>
      <c r="BT83" s="427">
        <v>0</v>
      </c>
      <c r="BU83" s="427">
        <v>0</v>
      </c>
      <c r="BV83" s="427">
        <v>0</v>
      </c>
      <c r="BW83" s="427">
        <v>0</v>
      </c>
      <c r="BX83" s="427">
        <v>0</v>
      </c>
      <c r="BY83" s="427">
        <v>0</v>
      </c>
      <c r="BZ83" s="427">
        <v>0</v>
      </c>
      <c r="CA83" s="427">
        <v>0</v>
      </c>
      <c r="CB83" s="427">
        <v>0</v>
      </c>
      <c r="CC83" s="427">
        <v>0</v>
      </c>
      <c r="CD83" s="427">
        <v>0</v>
      </c>
      <c r="CE83" s="427">
        <v>0</v>
      </c>
      <c r="CF83" s="427">
        <v>0</v>
      </c>
      <c r="CG83" s="427">
        <v>0</v>
      </c>
      <c r="CH83" s="427">
        <v>0</v>
      </c>
      <c r="CI83" s="427">
        <v>0</v>
      </c>
      <c r="CJ83" s="427">
        <v>0</v>
      </c>
      <c r="CK83" s="428">
        <v>0</v>
      </c>
      <c r="CL83" s="428">
        <v>0</v>
      </c>
      <c r="CM83" s="428">
        <v>0</v>
      </c>
      <c r="CN83" s="428">
        <v>0</v>
      </c>
      <c r="CO83" s="428">
        <v>0</v>
      </c>
      <c r="CP83" s="428">
        <v>0</v>
      </c>
      <c r="CQ83" s="428">
        <v>0</v>
      </c>
      <c r="CR83" s="428">
        <v>0</v>
      </c>
      <c r="CS83" s="428">
        <v>0</v>
      </c>
      <c r="CT83" s="428">
        <v>0</v>
      </c>
      <c r="CU83" s="428">
        <v>0</v>
      </c>
      <c r="CV83" s="428">
        <v>0</v>
      </c>
      <c r="CW83" s="428">
        <v>0</v>
      </c>
      <c r="CX83" s="428"/>
      <c r="CY83" s="428"/>
      <c r="CZ83" s="428"/>
      <c r="DA83" s="428"/>
      <c r="DB83" s="428"/>
      <c r="DC83" s="428"/>
      <c r="DD83" s="428"/>
      <c r="DE83" s="428"/>
      <c r="DF83" s="428"/>
      <c r="DG83" s="428"/>
      <c r="DH83" s="428"/>
      <c r="DI83" s="428"/>
    </row>
    <row r="84" spans="1:113" s="388" customFormat="1">
      <c r="A84" s="421" t="s">
        <v>370</v>
      </c>
      <c r="B84" s="421" t="s">
        <v>412</v>
      </c>
      <c r="C84" s="421" t="s">
        <v>415</v>
      </c>
      <c r="D84" s="422" t="s">
        <v>376</v>
      </c>
      <c r="E84" s="422">
        <v>2018</v>
      </c>
      <c r="F84" s="423">
        <v>1.9600953141020185E-3</v>
      </c>
      <c r="G84" s="424">
        <v>28.92</v>
      </c>
      <c r="H84" s="422">
        <v>10</v>
      </c>
      <c r="I84" s="425">
        <v>1</v>
      </c>
      <c r="J84" s="425">
        <v>1</v>
      </c>
      <c r="K84" s="422">
        <v>0</v>
      </c>
      <c r="L84" s="422">
        <v>0</v>
      </c>
      <c r="M84" s="422">
        <v>0</v>
      </c>
      <c r="N84" s="426">
        <v>300</v>
      </c>
      <c r="O84" s="426">
        <v>0</v>
      </c>
      <c r="P84" s="426">
        <v>0</v>
      </c>
      <c r="Q84" s="426">
        <v>0</v>
      </c>
      <c r="R84" s="426">
        <v>0.63025572800707996</v>
      </c>
      <c r="S84" s="426">
        <v>0.63025572800707996</v>
      </c>
      <c r="T84" s="426">
        <v>0.63025572800707996</v>
      </c>
      <c r="U84" s="426">
        <v>0.63025572800707996</v>
      </c>
      <c r="V84" s="426">
        <v>0.63025572800707996</v>
      </c>
      <c r="W84" s="426">
        <v>0.63025572800707996</v>
      </c>
      <c r="X84" s="426">
        <v>0.63025572800707996</v>
      </c>
      <c r="Y84" s="426">
        <v>0.63025572800707996</v>
      </c>
      <c r="Z84" s="426">
        <v>0.63025572800707996</v>
      </c>
      <c r="AA84" s="426">
        <v>0.63025572800707996</v>
      </c>
      <c r="AB84" s="426">
        <v>0</v>
      </c>
      <c r="AC84" s="426">
        <v>0</v>
      </c>
      <c r="AD84" s="426">
        <v>0</v>
      </c>
      <c r="AE84" s="426">
        <v>0</v>
      </c>
      <c r="AF84" s="426">
        <v>0</v>
      </c>
      <c r="AG84" s="426">
        <v>0</v>
      </c>
      <c r="AH84" s="426">
        <v>0</v>
      </c>
      <c r="AI84" s="426">
        <v>0</v>
      </c>
      <c r="AJ84" s="426">
        <v>0</v>
      </c>
      <c r="AK84" s="426">
        <v>0</v>
      </c>
      <c r="AL84" s="426">
        <v>0</v>
      </c>
      <c r="AM84" s="427">
        <v>0</v>
      </c>
      <c r="AN84" s="427">
        <v>0</v>
      </c>
      <c r="AO84" s="427">
        <v>0</v>
      </c>
      <c r="AP84" s="427">
        <v>0</v>
      </c>
      <c r="AQ84" s="427">
        <v>9299.0353697749197</v>
      </c>
      <c r="AR84" s="427">
        <v>9299.0353697749197</v>
      </c>
      <c r="AS84" s="427">
        <v>9299.0353697749197</v>
      </c>
      <c r="AT84" s="427">
        <v>9299.0353697749197</v>
      </c>
      <c r="AU84" s="427">
        <v>9299.0353697749197</v>
      </c>
      <c r="AV84" s="427">
        <v>9299.0353697749197</v>
      </c>
      <c r="AW84" s="427">
        <v>9299.0353697749197</v>
      </c>
      <c r="AX84" s="427">
        <v>9299.0353697749197</v>
      </c>
      <c r="AY84" s="427">
        <v>9299.0353697749197</v>
      </c>
      <c r="AZ84" s="427">
        <v>9299.0353697749197</v>
      </c>
      <c r="BA84" s="427">
        <v>0</v>
      </c>
      <c r="BB84" s="427">
        <v>0</v>
      </c>
      <c r="BC84" s="427">
        <v>0</v>
      </c>
      <c r="BD84" s="427">
        <v>0</v>
      </c>
      <c r="BE84" s="427">
        <v>0</v>
      </c>
      <c r="BF84" s="427">
        <v>0</v>
      </c>
      <c r="BG84" s="427">
        <v>0</v>
      </c>
      <c r="BH84" s="427">
        <v>0</v>
      </c>
      <c r="BI84" s="427">
        <v>0</v>
      </c>
      <c r="BJ84" s="427">
        <v>0</v>
      </c>
      <c r="BK84" s="427">
        <v>0</v>
      </c>
      <c r="BL84" s="427">
        <v>0</v>
      </c>
      <c r="BM84" s="427">
        <v>0</v>
      </c>
      <c r="BN84" s="427">
        <v>0</v>
      </c>
      <c r="BO84" s="427">
        <v>0</v>
      </c>
      <c r="BP84" s="427">
        <v>0</v>
      </c>
      <c r="BQ84" s="427">
        <v>0</v>
      </c>
      <c r="BR84" s="427">
        <v>0</v>
      </c>
      <c r="BS84" s="427">
        <v>0</v>
      </c>
      <c r="BT84" s="427">
        <v>0</v>
      </c>
      <c r="BU84" s="427">
        <v>0</v>
      </c>
      <c r="BV84" s="427">
        <v>0</v>
      </c>
      <c r="BW84" s="427">
        <v>0</v>
      </c>
      <c r="BX84" s="427">
        <v>0</v>
      </c>
      <c r="BY84" s="427">
        <v>0</v>
      </c>
      <c r="BZ84" s="427">
        <v>0</v>
      </c>
      <c r="CA84" s="427">
        <v>0</v>
      </c>
      <c r="CB84" s="427">
        <v>0</v>
      </c>
      <c r="CC84" s="427">
        <v>0</v>
      </c>
      <c r="CD84" s="427">
        <v>0</v>
      </c>
      <c r="CE84" s="427">
        <v>0</v>
      </c>
      <c r="CF84" s="427">
        <v>0</v>
      </c>
      <c r="CG84" s="427">
        <v>0</v>
      </c>
      <c r="CH84" s="427">
        <v>0</v>
      </c>
      <c r="CI84" s="427">
        <v>0</v>
      </c>
      <c r="CJ84" s="427">
        <v>0</v>
      </c>
      <c r="CK84" s="428">
        <v>0</v>
      </c>
      <c r="CL84" s="428">
        <v>0</v>
      </c>
      <c r="CM84" s="428">
        <v>0</v>
      </c>
      <c r="CN84" s="428">
        <v>0</v>
      </c>
      <c r="CO84" s="428">
        <v>0</v>
      </c>
      <c r="CP84" s="428">
        <v>0</v>
      </c>
      <c r="CQ84" s="428">
        <v>0</v>
      </c>
      <c r="CR84" s="428">
        <v>0</v>
      </c>
      <c r="CS84" s="428">
        <v>0</v>
      </c>
      <c r="CT84" s="428">
        <v>0</v>
      </c>
      <c r="CU84" s="428">
        <v>0</v>
      </c>
      <c r="CV84" s="428">
        <v>0</v>
      </c>
      <c r="CW84" s="428">
        <v>0</v>
      </c>
      <c r="CX84" s="428"/>
      <c r="CY84" s="428"/>
      <c r="CZ84" s="428"/>
      <c r="DA84" s="428"/>
      <c r="DB84" s="428"/>
      <c r="DC84" s="428"/>
      <c r="DD84" s="428"/>
      <c r="DE84" s="428"/>
      <c r="DF84" s="428"/>
      <c r="DG84" s="428"/>
      <c r="DH84" s="428"/>
      <c r="DI84" s="428"/>
    </row>
    <row r="85" spans="1:113" s="388" customFormat="1">
      <c r="A85" s="421" t="s">
        <v>370</v>
      </c>
      <c r="B85" s="421" t="s">
        <v>412</v>
      </c>
      <c r="C85" s="421" t="s">
        <v>415</v>
      </c>
      <c r="D85" s="422" t="s">
        <v>376</v>
      </c>
      <c r="E85" s="422">
        <v>2019</v>
      </c>
      <c r="F85" s="423">
        <v>1.9600953141020185E-3</v>
      </c>
      <c r="G85" s="424">
        <v>28.92</v>
      </c>
      <c r="H85" s="422">
        <v>10</v>
      </c>
      <c r="I85" s="425">
        <v>1</v>
      </c>
      <c r="J85" s="425">
        <v>1</v>
      </c>
      <c r="K85" s="422">
        <v>0</v>
      </c>
      <c r="L85" s="422">
        <v>0</v>
      </c>
      <c r="M85" s="422">
        <v>0</v>
      </c>
      <c r="N85" s="426">
        <v>300</v>
      </c>
      <c r="O85" s="426">
        <v>0</v>
      </c>
      <c r="P85" s="426">
        <v>0</v>
      </c>
      <c r="Q85" s="426">
        <v>0</v>
      </c>
      <c r="R85" s="426">
        <v>0</v>
      </c>
      <c r="S85" s="426">
        <v>0.63025572800707996</v>
      </c>
      <c r="T85" s="426">
        <v>0.63025572800707996</v>
      </c>
      <c r="U85" s="426">
        <v>0.63025572800707996</v>
      </c>
      <c r="V85" s="426">
        <v>0.63025572800707996</v>
      </c>
      <c r="W85" s="426">
        <v>0.63025572800707996</v>
      </c>
      <c r="X85" s="426">
        <v>0.63025572800707996</v>
      </c>
      <c r="Y85" s="426">
        <v>0.63025572800707996</v>
      </c>
      <c r="Z85" s="426">
        <v>0.63025572800707996</v>
      </c>
      <c r="AA85" s="426">
        <v>0.63025572800707996</v>
      </c>
      <c r="AB85" s="426">
        <v>0.63025572800707996</v>
      </c>
      <c r="AC85" s="426">
        <v>0</v>
      </c>
      <c r="AD85" s="426">
        <v>0</v>
      </c>
      <c r="AE85" s="426">
        <v>0</v>
      </c>
      <c r="AF85" s="426">
        <v>0</v>
      </c>
      <c r="AG85" s="426">
        <v>0</v>
      </c>
      <c r="AH85" s="426">
        <v>0</v>
      </c>
      <c r="AI85" s="426">
        <v>0</v>
      </c>
      <c r="AJ85" s="426">
        <v>0</v>
      </c>
      <c r="AK85" s="426">
        <v>0</v>
      </c>
      <c r="AL85" s="426">
        <v>0</v>
      </c>
      <c r="AM85" s="427">
        <v>0</v>
      </c>
      <c r="AN85" s="427">
        <v>0</v>
      </c>
      <c r="AO85" s="427">
        <v>0</v>
      </c>
      <c r="AP85" s="427">
        <v>0</v>
      </c>
      <c r="AQ85" s="427">
        <v>0</v>
      </c>
      <c r="AR85" s="427">
        <v>9299.0353697749197</v>
      </c>
      <c r="AS85" s="427">
        <v>9299.0353697749197</v>
      </c>
      <c r="AT85" s="427">
        <v>9299.0353697749197</v>
      </c>
      <c r="AU85" s="427">
        <v>9299.0353697749197</v>
      </c>
      <c r="AV85" s="427">
        <v>9299.0353697749197</v>
      </c>
      <c r="AW85" s="427">
        <v>9299.0353697749197</v>
      </c>
      <c r="AX85" s="427">
        <v>9299.0353697749197</v>
      </c>
      <c r="AY85" s="427">
        <v>9299.0353697749197</v>
      </c>
      <c r="AZ85" s="427">
        <v>9299.0353697749197</v>
      </c>
      <c r="BA85" s="427">
        <v>9299.0353697749197</v>
      </c>
      <c r="BB85" s="427">
        <v>0</v>
      </c>
      <c r="BC85" s="427">
        <v>0</v>
      </c>
      <c r="BD85" s="427">
        <v>0</v>
      </c>
      <c r="BE85" s="427">
        <v>0</v>
      </c>
      <c r="BF85" s="427">
        <v>0</v>
      </c>
      <c r="BG85" s="427">
        <v>0</v>
      </c>
      <c r="BH85" s="427">
        <v>0</v>
      </c>
      <c r="BI85" s="427">
        <v>0</v>
      </c>
      <c r="BJ85" s="427">
        <v>0</v>
      </c>
      <c r="BK85" s="427">
        <v>0</v>
      </c>
      <c r="BL85" s="427">
        <v>0</v>
      </c>
      <c r="BM85" s="427">
        <v>0</v>
      </c>
      <c r="BN85" s="427">
        <v>0</v>
      </c>
      <c r="BO85" s="427">
        <v>0</v>
      </c>
      <c r="BP85" s="427">
        <v>0</v>
      </c>
      <c r="BQ85" s="427">
        <v>0</v>
      </c>
      <c r="BR85" s="427">
        <v>0</v>
      </c>
      <c r="BS85" s="427">
        <v>0</v>
      </c>
      <c r="BT85" s="427">
        <v>0</v>
      </c>
      <c r="BU85" s="427">
        <v>0</v>
      </c>
      <c r="BV85" s="427">
        <v>0</v>
      </c>
      <c r="BW85" s="427">
        <v>0</v>
      </c>
      <c r="BX85" s="427">
        <v>0</v>
      </c>
      <c r="BY85" s="427">
        <v>0</v>
      </c>
      <c r="BZ85" s="427">
        <v>0</v>
      </c>
      <c r="CA85" s="427">
        <v>0</v>
      </c>
      <c r="CB85" s="427">
        <v>0</v>
      </c>
      <c r="CC85" s="427">
        <v>0</v>
      </c>
      <c r="CD85" s="427">
        <v>0</v>
      </c>
      <c r="CE85" s="427">
        <v>0</v>
      </c>
      <c r="CF85" s="427">
        <v>0</v>
      </c>
      <c r="CG85" s="427">
        <v>0</v>
      </c>
      <c r="CH85" s="427">
        <v>0</v>
      </c>
      <c r="CI85" s="427">
        <v>0</v>
      </c>
      <c r="CJ85" s="427">
        <v>0</v>
      </c>
      <c r="CK85" s="428">
        <v>0</v>
      </c>
      <c r="CL85" s="428">
        <v>0</v>
      </c>
      <c r="CM85" s="428">
        <v>0</v>
      </c>
      <c r="CN85" s="428">
        <v>0</v>
      </c>
      <c r="CO85" s="428">
        <v>0</v>
      </c>
      <c r="CP85" s="428">
        <v>0</v>
      </c>
      <c r="CQ85" s="428">
        <v>0</v>
      </c>
      <c r="CR85" s="428">
        <v>0</v>
      </c>
      <c r="CS85" s="428">
        <v>0</v>
      </c>
      <c r="CT85" s="428">
        <v>0</v>
      </c>
      <c r="CU85" s="428">
        <v>0</v>
      </c>
      <c r="CV85" s="428">
        <v>0</v>
      </c>
      <c r="CW85" s="428">
        <v>0</v>
      </c>
      <c r="CX85" s="428"/>
      <c r="CY85" s="428"/>
      <c r="CZ85" s="428"/>
      <c r="DA85" s="428"/>
      <c r="DB85" s="428"/>
      <c r="DC85" s="428"/>
      <c r="DD85" s="428"/>
      <c r="DE85" s="428"/>
      <c r="DF85" s="428"/>
      <c r="DG85" s="428"/>
      <c r="DH85" s="428"/>
      <c r="DI85" s="428"/>
    </row>
    <row r="86" spans="1:113" s="388" customFormat="1">
      <c r="A86" s="421" t="s">
        <v>370</v>
      </c>
      <c r="B86" s="421" t="s">
        <v>412</v>
      </c>
      <c r="C86" s="421" t="s">
        <v>415</v>
      </c>
      <c r="D86" s="422" t="s">
        <v>376</v>
      </c>
      <c r="E86" s="422">
        <v>2020</v>
      </c>
      <c r="F86" s="423">
        <v>1.9600953141020185E-3</v>
      </c>
      <c r="G86" s="424">
        <v>28.92</v>
      </c>
      <c r="H86" s="422">
        <v>10</v>
      </c>
      <c r="I86" s="425">
        <v>1</v>
      </c>
      <c r="J86" s="425">
        <v>1</v>
      </c>
      <c r="K86" s="422">
        <v>0</v>
      </c>
      <c r="L86" s="422">
        <v>0</v>
      </c>
      <c r="M86" s="422">
        <v>0</v>
      </c>
      <c r="N86" s="426">
        <v>300</v>
      </c>
      <c r="O86" s="426">
        <v>0</v>
      </c>
      <c r="P86" s="426">
        <v>0</v>
      </c>
      <c r="Q86" s="426">
        <v>0</v>
      </c>
      <c r="R86" s="426">
        <v>0</v>
      </c>
      <c r="S86" s="426">
        <v>0</v>
      </c>
      <c r="T86" s="426">
        <v>0.63025572800707996</v>
      </c>
      <c r="U86" s="426">
        <v>0.63025572800707996</v>
      </c>
      <c r="V86" s="426">
        <v>0.63025572800707996</v>
      </c>
      <c r="W86" s="426">
        <v>0.63025572800707996</v>
      </c>
      <c r="X86" s="426">
        <v>0.63025572800707996</v>
      </c>
      <c r="Y86" s="426">
        <v>0.63025572800707996</v>
      </c>
      <c r="Z86" s="426">
        <v>0.63025572800707996</v>
      </c>
      <c r="AA86" s="426">
        <v>0.63025572800707996</v>
      </c>
      <c r="AB86" s="426">
        <v>0.63025572800707996</v>
      </c>
      <c r="AC86" s="426">
        <v>0.63025572800707996</v>
      </c>
      <c r="AD86" s="426">
        <v>0</v>
      </c>
      <c r="AE86" s="426">
        <v>0</v>
      </c>
      <c r="AF86" s="426">
        <v>0</v>
      </c>
      <c r="AG86" s="426">
        <v>0</v>
      </c>
      <c r="AH86" s="426">
        <v>0</v>
      </c>
      <c r="AI86" s="426">
        <v>0</v>
      </c>
      <c r="AJ86" s="426">
        <v>0</v>
      </c>
      <c r="AK86" s="426">
        <v>0</v>
      </c>
      <c r="AL86" s="426">
        <v>0</v>
      </c>
      <c r="AM86" s="427">
        <v>0</v>
      </c>
      <c r="AN86" s="427">
        <v>0</v>
      </c>
      <c r="AO86" s="427">
        <v>0</v>
      </c>
      <c r="AP86" s="427">
        <v>0</v>
      </c>
      <c r="AQ86" s="427">
        <v>0</v>
      </c>
      <c r="AR86" s="427">
        <v>0</v>
      </c>
      <c r="AS86" s="427">
        <v>9299.0353697749197</v>
      </c>
      <c r="AT86" s="427">
        <v>9299.0353697749197</v>
      </c>
      <c r="AU86" s="427">
        <v>9299.0353697749197</v>
      </c>
      <c r="AV86" s="427">
        <v>9299.0353697749197</v>
      </c>
      <c r="AW86" s="427">
        <v>9299.0353697749197</v>
      </c>
      <c r="AX86" s="427">
        <v>9299.0353697749197</v>
      </c>
      <c r="AY86" s="427">
        <v>9299.0353697749197</v>
      </c>
      <c r="AZ86" s="427">
        <v>9299.0353697749197</v>
      </c>
      <c r="BA86" s="427">
        <v>9299.0353697749197</v>
      </c>
      <c r="BB86" s="427">
        <v>9299.0353697749197</v>
      </c>
      <c r="BC86" s="427">
        <v>0</v>
      </c>
      <c r="BD86" s="427">
        <v>0</v>
      </c>
      <c r="BE86" s="427">
        <v>0</v>
      </c>
      <c r="BF86" s="427">
        <v>0</v>
      </c>
      <c r="BG86" s="427">
        <v>0</v>
      </c>
      <c r="BH86" s="427">
        <v>0</v>
      </c>
      <c r="BI86" s="427">
        <v>0</v>
      </c>
      <c r="BJ86" s="427">
        <v>0</v>
      </c>
      <c r="BK86" s="427">
        <v>0</v>
      </c>
      <c r="BL86" s="427">
        <v>0</v>
      </c>
      <c r="BM86" s="427">
        <v>0</v>
      </c>
      <c r="BN86" s="427">
        <v>0</v>
      </c>
      <c r="BO86" s="427">
        <v>0</v>
      </c>
      <c r="BP86" s="427">
        <v>0</v>
      </c>
      <c r="BQ86" s="427">
        <v>0</v>
      </c>
      <c r="BR86" s="427">
        <v>0</v>
      </c>
      <c r="BS86" s="427">
        <v>0</v>
      </c>
      <c r="BT86" s="427">
        <v>0</v>
      </c>
      <c r="BU86" s="427">
        <v>0</v>
      </c>
      <c r="BV86" s="427">
        <v>0</v>
      </c>
      <c r="BW86" s="427">
        <v>0</v>
      </c>
      <c r="BX86" s="427">
        <v>0</v>
      </c>
      <c r="BY86" s="427">
        <v>0</v>
      </c>
      <c r="BZ86" s="427">
        <v>0</v>
      </c>
      <c r="CA86" s="427">
        <v>0</v>
      </c>
      <c r="CB86" s="427">
        <v>0</v>
      </c>
      <c r="CC86" s="427">
        <v>0</v>
      </c>
      <c r="CD86" s="427">
        <v>0</v>
      </c>
      <c r="CE86" s="427">
        <v>0</v>
      </c>
      <c r="CF86" s="427">
        <v>0</v>
      </c>
      <c r="CG86" s="427">
        <v>0</v>
      </c>
      <c r="CH86" s="427">
        <v>0</v>
      </c>
      <c r="CI86" s="427">
        <v>0</v>
      </c>
      <c r="CJ86" s="427">
        <v>0</v>
      </c>
      <c r="CK86" s="428">
        <v>0</v>
      </c>
      <c r="CL86" s="428">
        <v>0</v>
      </c>
      <c r="CM86" s="428">
        <v>0</v>
      </c>
      <c r="CN86" s="428">
        <v>0</v>
      </c>
      <c r="CO86" s="428">
        <v>0</v>
      </c>
      <c r="CP86" s="428">
        <v>0</v>
      </c>
      <c r="CQ86" s="428">
        <v>0</v>
      </c>
      <c r="CR86" s="428">
        <v>0</v>
      </c>
      <c r="CS86" s="428">
        <v>0</v>
      </c>
      <c r="CT86" s="428">
        <v>0</v>
      </c>
      <c r="CU86" s="428">
        <v>0</v>
      </c>
      <c r="CV86" s="428">
        <v>0</v>
      </c>
      <c r="CW86" s="428">
        <v>0</v>
      </c>
      <c r="CX86" s="428"/>
      <c r="CY86" s="428"/>
      <c r="CZ86" s="428"/>
      <c r="DA86" s="428"/>
      <c r="DB86" s="428"/>
      <c r="DC86" s="428"/>
      <c r="DD86" s="428"/>
      <c r="DE86" s="428"/>
      <c r="DF86" s="428"/>
      <c r="DG86" s="428"/>
      <c r="DH86" s="428"/>
      <c r="DI86" s="428"/>
    </row>
    <row r="87" spans="1:113" s="388" customFormat="1">
      <c r="A87" s="421" t="s">
        <v>370</v>
      </c>
      <c r="B87" s="421" t="s">
        <v>412</v>
      </c>
      <c r="C87" s="421" t="s">
        <v>418</v>
      </c>
      <c r="D87" s="422" t="s">
        <v>376</v>
      </c>
      <c r="E87" s="422">
        <v>2015</v>
      </c>
      <c r="F87" s="423">
        <v>2.3225656233775275E-3</v>
      </c>
      <c r="G87" s="424">
        <v>33.446838421603843</v>
      </c>
      <c r="H87" s="422">
        <v>10</v>
      </c>
      <c r="I87" s="425">
        <v>0.99</v>
      </c>
      <c r="J87" s="425">
        <v>0.99</v>
      </c>
      <c r="K87" s="422">
        <v>0</v>
      </c>
      <c r="L87" s="422">
        <v>0</v>
      </c>
      <c r="M87" s="422">
        <v>0</v>
      </c>
      <c r="N87" s="426">
        <v>0</v>
      </c>
      <c r="O87" s="426">
        <v>0</v>
      </c>
      <c r="P87" s="426">
        <v>0</v>
      </c>
      <c r="Q87" s="426">
        <v>0</v>
      </c>
      <c r="R87" s="426">
        <v>0</v>
      </c>
      <c r="S87" s="426">
        <v>0</v>
      </c>
      <c r="T87" s="426">
        <v>0</v>
      </c>
      <c r="U87" s="426">
        <v>0</v>
      </c>
      <c r="V87" s="426">
        <v>0</v>
      </c>
      <c r="W87" s="426">
        <v>0</v>
      </c>
      <c r="X87" s="426">
        <v>0</v>
      </c>
      <c r="Y87" s="426">
        <v>0</v>
      </c>
      <c r="Z87" s="426">
        <v>0</v>
      </c>
      <c r="AA87" s="426">
        <v>0</v>
      </c>
      <c r="AB87" s="426">
        <v>0</v>
      </c>
      <c r="AC87" s="426">
        <v>0</v>
      </c>
      <c r="AD87" s="426">
        <v>0</v>
      </c>
      <c r="AE87" s="426">
        <v>0</v>
      </c>
      <c r="AF87" s="426">
        <v>0</v>
      </c>
      <c r="AG87" s="426">
        <v>0</v>
      </c>
      <c r="AH87" s="426">
        <v>0</v>
      </c>
      <c r="AI87" s="426">
        <v>0</v>
      </c>
      <c r="AJ87" s="426">
        <v>0</v>
      </c>
      <c r="AK87" s="426">
        <v>0</v>
      </c>
      <c r="AL87" s="426">
        <v>0</v>
      </c>
      <c r="AM87" s="427">
        <v>0</v>
      </c>
      <c r="AN87" s="427">
        <v>0</v>
      </c>
      <c r="AO87" s="427">
        <v>0</v>
      </c>
      <c r="AP87" s="427">
        <v>0</v>
      </c>
      <c r="AQ87" s="427">
        <v>0</v>
      </c>
      <c r="AR87" s="427">
        <v>0</v>
      </c>
      <c r="AS87" s="427">
        <v>0</v>
      </c>
      <c r="AT87" s="427">
        <v>0</v>
      </c>
      <c r="AU87" s="427">
        <v>0</v>
      </c>
      <c r="AV87" s="427">
        <v>0</v>
      </c>
      <c r="AW87" s="427">
        <v>0</v>
      </c>
      <c r="AX87" s="427">
        <v>0</v>
      </c>
      <c r="AY87" s="427">
        <v>0</v>
      </c>
      <c r="AZ87" s="427">
        <v>0</v>
      </c>
      <c r="BA87" s="427">
        <v>0</v>
      </c>
      <c r="BB87" s="427">
        <v>0</v>
      </c>
      <c r="BC87" s="427">
        <v>0</v>
      </c>
      <c r="BD87" s="427">
        <v>0</v>
      </c>
      <c r="BE87" s="427">
        <v>0</v>
      </c>
      <c r="BF87" s="427">
        <v>0</v>
      </c>
      <c r="BG87" s="427">
        <v>0</v>
      </c>
      <c r="BH87" s="427">
        <v>0</v>
      </c>
      <c r="BI87" s="427">
        <v>0</v>
      </c>
      <c r="BJ87" s="427">
        <v>0</v>
      </c>
      <c r="BK87" s="427">
        <v>0</v>
      </c>
      <c r="BL87" s="427">
        <v>0</v>
      </c>
      <c r="BM87" s="427">
        <v>0</v>
      </c>
      <c r="BN87" s="427">
        <v>0</v>
      </c>
      <c r="BO87" s="427">
        <v>0</v>
      </c>
      <c r="BP87" s="427">
        <v>0</v>
      </c>
      <c r="BQ87" s="427">
        <v>0</v>
      </c>
      <c r="BR87" s="427">
        <v>0</v>
      </c>
      <c r="BS87" s="427">
        <v>0</v>
      </c>
      <c r="BT87" s="427">
        <v>0</v>
      </c>
      <c r="BU87" s="427">
        <v>0</v>
      </c>
      <c r="BV87" s="427">
        <v>0</v>
      </c>
      <c r="BW87" s="427">
        <v>0</v>
      </c>
      <c r="BX87" s="427">
        <v>0</v>
      </c>
      <c r="BY87" s="427">
        <v>0</v>
      </c>
      <c r="BZ87" s="427">
        <v>0</v>
      </c>
      <c r="CA87" s="427">
        <v>0</v>
      </c>
      <c r="CB87" s="427">
        <v>0</v>
      </c>
      <c r="CC87" s="427">
        <v>0</v>
      </c>
      <c r="CD87" s="427">
        <v>0</v>
      </c>
      <c r="CE87" s="427">
        <v>0</v>
      </c>
      <c r="CF87" s="427">
        <v>0</v>
      </c>
      <c r="CG87" s="427">
        <v>0</v>
      </c>
      <c r="CH87" s="427">
        <v>0</v>
      </c>
      <c r="CI87" s="427">
        <v>0</v>
      </c>
      <c r="CJ87" s="427">
        <v>0</v>
      </c>
      <c r="CK87" s="428">
        <v>0</v>
      </c>
      <c r="CL87" s="428">
        <v>0</v>
      </c>
      <c r="CM87" s="428">
        <v>0</v>
      </c>
      <c r="CN87" s="428">
        <v>0</v>
      </c>
      <c r="CO87" s="428">
        <v>0</v>
      </c>
      <c r="CP87" s="428">
        <v>0</v>
      </c>
      <c r="CQ87" s="428">
        <v>0</v>
      </c>
      <c r="CR87" s="428">
        <v>0</v>
      </c>
      <c r="CS87" s="428">
        <v>0</v>
      </c>
      <c r="CT87" s="428">
        <v>0</v>
      </c>
      <c r="CU87" s="428">
        <v>0</v>
      </c>
      <c r="CV87" s="428">
        <v>0</v>
      </c>
      <c r="CW87" s="428">
        <v>0</v>
      </c>
      <c r="CX87" s="428"/>
      <c r="CY87" s="428"/>
      <c r="CZ87" s="428"/>
      <c r="DA87" s="428"/>
      <c r="DB87" s="428"/>
      <c r="DC87" s="428"/>
      <c r="DD87" s="428"/>
      <c r="DE87" s="428"/>
      <c r="DF87" s="428"/>
      <c r="DG87" s="428"/>
      <c r="DH87" s="428"/>
      <c r="DI87" s="428"/>
    </row>
    <row r="88" spans="1:113" s="388" customFormat="1">
      <c r="A88" s="421" t="s">
        <v>370</v>
      </c>
      <c r="B88" s="421" t="s">
        <v>412</v>
      </c>
      <c r="C88" s="421" t="s">
        <v>418</v>
      </c>
      <c r="D88" s="422" t="s">
        <v>376</v>
      </c>
      <c r="E88" s="422">
        <v>2016</v>
      </c>
      <c r="F88" s="423">
        <v>2.3225656233775275E-3</v>
      </c>
      <c r="G88" s="424">
        <v>33.446838421603843</v>
      </c>
      <c r="H88" s="422">
        <v>10</v>
      </c>
      <c r="I88" s="425">
        <v>0.99</v>
      </c>
      <c r="J88" s="425">
        <v>0.99</v>
      </c>
      <c r="K88" s="422">
        <v>0</v>
      </c>
      <c r="L88" s="422">
        <v>0</v>
      </c>
      <c r="M88" s="422">
        <v>0</v>
      </c>
      <c r="N88" s="426">
        <v>0</v>
      </c>
      <c r="O88" s="426">
        <v>0</v>
      </c>
      <c r="P88" s="426">
        <v>0</v>
      </c>
      <c r="Q88" s="426">
        <v>0</v>
      </c>
      <c r="R88" s="426">
        <v>0</v>
      </c>
      <c r="S88" s="426">
        <v>0</v>
      </c>
      <c r="T88" s="426">
        <v>0</v>
      </c>
      <c r="U88" s="426">
        <v>0</v>
      </c>
      <c r="V88" s="426">
        <v>0</v>
      </c>
      <c r="W88" s="426">
        <v>0</v>
      </c>
      <c r="X88" s="426">
        <v>0</v>
      </c>
      <c r="Y88" s="426">
        <v>0</v>
      </c>
      <c r="Z88" s="426">
        <v>0</v>
      </c>
      <c r="AA88" s="426">
        <v>0</v>
      </c>
      <c r="AB88" s="426">
        <v>0</v>
      </c>
      <c r="AC88" s="426">
        <v>0</v>
      </c>
      <c r="AD88" s="426">
        <v>0</v>
      </c>
      <c r="AE88" s="426">
        <v>0</v>
      </c>
      <c r="AF88" s="426">
        <v>0</v>
      </c>
      <c r="AG88" s="426">
        <v>0</v>
      </c>
      <c r="AH88" s="426">
        <v>0</v>
      </c>
      <c r="AI88" s="426">
        <v>0</v>
      </c>
      <c r="AJ88" s="426">
        <v>0</v>
      </c>
      <c r="AK88" s="426">
        <v>0</v>
      </c>
      <c r="AL88" s="426">
        <v>0</v>
      </c>
      <c r="AM88" s="427">
        <v>0</v>
      </c>
      <c r="AN88" s="427">
        <v>0</v>
      </c>
      <c r="AO88" s="427">
        <v>0</v>
      </c>
      <c r="AP88" s="427">
        <v>0</v>
      </c>
      <c r="AQ88" s="427">
        <v>0</v>
      </c>
      <c r="AR88" s="427">
        <v>0</v>
      </c>
      <c r="AS88" s="427">
        <v>0</v>
      </c>
      <c r="AT88" s="427">
        <v>0</v>
      </c>
      <c r="AU88" s="427">
        <v>0</v>
      </c>
      <c r="AV88" s="427">
        <v>0</v>
      </c>
      <c r="AW88" s="427">
        <v>0</v>
      </c>
      <c r="AX88" s="427">
        <v>0</v>
      </c>
      <c r="AY88" s="427">
        <v>0</v>
      </c>
      <c r="AZ88" s="427">
        <v>0</v>
      </c>
      <c r="BA88" s="427">
        <v>0</v>
      </c>
      <c r="BB88" s="427">
        <v>0</v>
      </c>
      <c r="BC88" s="427">
        <v>0</v>
      </c>
      <c r="BD88" s="427">
        <v>0</v>
      </c>
      <c r="BE88" s="427">
        <v>0</v>
      </c>
      <c r="BF88" s="427">
        <v>0</v>
      </c>
      <c r="BG88" s="427">
        <v>0</v>
      </c>
      <c r="BH88" s="427">
        <v>0</v>
      </c>
      <c r="BI88" s="427">
        <v>0</v>
      </c>
      <c r="BJ88" s="427">
        <v>0</v>
      </c>
      <c r="BK88" s="427">
        <v>0</v>
      </c>
      <c r="BL88" s="427">
        <v>0</v>
      </c>
      <c r="BM88" s="427">
        <v>0</v>
      </c>
      <c r="BN88" s="427">
        <v>0</v>
      </c>
      <c r="BO88" s="427">
        <v>0</v>
      </c>
      <c r="BP88" s="427">
        <v>0</v>
      </c>
      <c r="BQ88" s="427">
        <v>0</v>
      </c>
      <c r="BR88" s="427">
        <v>0</v>
      </c>
      <c r="BS88" s="427">
        <v>0</v>
      </c>
      <c r="BT88" s="427">
        <v>0</v>
      </c>
      <c r="BU88" s="427">
        <v>0</v>
      </c>
      <c r="BV88" s="427">
        <v>0</v>
      </c>
      <c r="BW88" s="427">
        <v>0</v>
      </c>
      <c r="BX88" s="427">
        <v>0</v>
      </c>
      <c r="BY88" s="427">
        <v>0</v>
      </c>
      <c r="BZ88" s="427">
        <v>0</v>
      </c>
      <c r="CA88" s="427">
        <v>0</v>
      </c>
      <c r="CB88" s="427">
        <v>0</v>
      </c>
      <c r="CC88" s="427">
        <v>0</v>
      </c>
      <c r="CD88" s="427">
        <v>0</v>
      </c>
      <c r="CE88" s="427">
        <v>0</v>
      </c>
      <c r="CF88" s="427">
        <v>0</v>
      </c>
      <c r="CG88" s="427">
        <v>0</v>
      </c>
      <c r="CH88" s="427">
        <v>0</v>
      </c>
      <c r="CI88" s="427">
        <v>0</v>
      </c>
      <c r="CJ88" s="427">
        <v>0</v>
      </c>
      <c r="CK88" s="428">
        <v>0</v>
      </c>
      <c r="CL88" s="428">
        <v>0</v>
      </c>
      <c r="CM88" s="428">
        <v>0</v>
      </c>
      <c r="CN88" s="428">
        <v>0</v>
      </c>
      <c r="CO88" s="428">
        <v>0</v>
      </c>
      <c r="CP88" s="428">
        <v>0</v>
      </c>
      <c r="CQ88" s="428">
        <v>0</v>
      </c>
      <c r="CR88" s="428">
        <v>0</v>
      </c>
      <c r="CS88" s="428">
        <v>0</v>
      </c>
      <c r="CT88" s="428">
        <v>0</v>
      </c>
      <c r="CU88" s="428">
        <v>0</v>
      </c>
      <c r="CV88" s="428">
        <v>0</v>
      </c>
      <c r="CW88" s="428">
        <v>0</v>
      </c>
      <c r="CX88" s="428"/>
      <c r="CY88" s="428"/>
      <c r="CZ88" s="428"/>
      <c r="DA88" s="428"/>
      <c r="DB88" s="428"/>
      <c r="DC88" s="428"/>
      <c r="DD88" s="428"/>
      <c r="DE88" s="428"/>
      <c r="DF88" s="428"/>
      <c r="DG88" s="428"/>
      <c r="DH88" s="428"/>
      <c r="DI88" s="428"/>
    </row>
    <row r="89" spans="1:113" s="388" customFormat="1">
      <c r="A89" s="421" t="s">
        <v>370</v>
      </c>
      <c r="B89" s="421" t="s">
        <v>412</v>
      </c>
      <c r="C89" s="421" t="s">
        <v>418</v>
      </c>
      <c r="D89" s="422" t="s">
        <v>376</v>
      </c>
      <c r="E89" s="422">
        <v>2017</v>
      </c>
      <c r="F89" s="423">
        <v>2.3225656233775275E-3</v>
      </c>
      <c r="G89" s="424">
        <v>33.446838421603843</v>
      </c>
      <c r="H89" s="422">
        <v>10</v>
      </c>
      <c r="I89" s="425">
        <v>0.99</v>
      </c>
      <c r="J89" s="425">
        <v>0.99</v>
      </c>
      <c r="K89" s="422">
        <v>0</v>
      </c>
      <c r="L89" s="422">
        <v>0</v>
      </c>
      <c r="M89" s="422">
        <v>0</v>
      </c>
      <c r="N89" s="426">
        <v>0</v>
      </c>
      <c r="O89" s="426">
        <v>0</v>
      </c>
      <c r="P89" s="426">
        <v>0</v>
      </c>
      <c r="Q89" s="426">
        <v>0</v>
      </c>
      <c r="R89" s="426">
        <v>0</v>
      </c>
      <c r="S89" s="426">
        <v>0</v>
      </c>
      <c r="T89" s="426">
        <v>0</v>
      </c>
      <c r="U89" s="426">
        <v>0</v>
      </c>
      <c r="V89" s="426">
        <v>0</v>
      </c>
      <c r="W89" s="426">
        <v>0</v>
      </c>
      <c r="X89" s="426">
        <v>0</v>
      </c>
      <c r="Y89" s="426">
        <v>0</v>
      </c>
      <c r="Z89" s="426">
        <v>0</v>
      </c>
      <c r="AA89" s="426">
        <v>0</v>
      </c>
      <c r="AB89" s="426">
        <v>0</v>
      </c>
      <c r="AC89" s="426">
        <v>0</v>
      </c>
      <c r="AD89" s="426">
        <v>0</v>
      </c>
      <c r="AE89" s="426">
        <v>0</v>
      </c>
      <c r="AF89" s="426">
        <v>0</v>
      </c>
      <c r="AG89" s="426">
        <v>0</v>
      </c>
      <c r="AH89" s="426">
        <v>0</v>
      </c>
      <c r="AI89" s="426">
        <v>0</v>
      </c>
      <c r="AJ89" s="426">
        <v>0</v>
      </c>
      <c r="AK89" s="426">
        <v>0</v>
      </c>
      <c r="AL89" s="426">
        <v>0</v>
      </c>
      <c r="AM89" s="427">
        <v>0</v>
      </c>
      <c r="AN89" s="427">
        <v>0</v>
      </c>
      <c r="AO89" s="427">
        <v>0</v>
      </c>
      <c r="AP89" s="427">
        <v>0</v>
      </c>
      <c r="AQ89" s="427">
        <v>0</v>
      </c>
      <c r="AR89" s="427">
        <v>0</v>
      </c>
      <c r="AS89" s="427">
        <v>0</v>
      </c>
      <c r="AT89" s="427">
        <v>0</v>
      </c>
      <c r="AU89" s="427">
        <v>0</v>
      </c>
      <c r="AV89" s="427">
        <v>0</v>
      </c>
      <c r="AW89" s="427">
        <v>0</v>
      </c>
      <c r="AX89" s="427">
        <v>0</v>
      </c>
      <c r="AY89" s="427">
        <v>0</v>
      </c>
      <c r="AZ89" s="427">
        <v>0</v>
      </c>
      <c r="BA89" s="427">
        <v>0</v>
      </c>
      <c r="BB89" s="427">
        <v>0</v>
      </c>
      <c r="BC89" s="427">
        <v>0</v>
      </c>
      <c r="BD89" s="427">
        <v>0</v>
      </c>
      <c r="BE89" s="427">
        <v>0</v>
      </c>
      <c r="BF89" s="427">
        <v>0</v>
      </c>
      <c r="BG89" s="427">
        <v>0</v>
      </c>
      <c r="BH89" s="427">
        <v>0</v>
      </c>
      <c r="BI89" s="427">
        <v>0</v>
      </c>
      <c r="BJ89" s="427">
        <v>0</v>
      </c>
      <c r="BK89" s="427">
        <v>0</v>
      </c>
      <c r="BL89" s="427">
        <v>0</v>
      </c>
      <c r="BM89" s="427">
        <v>0</v>
      </c>
      <c r="BN89" s="427">
        <v>0</v>
      </c>
      <c r="BO89" s="427">
        <v>0</v>
      </c>
      <c r="BP89" s="427">
        <v>0</v>
      </c>
      <c r="BQ89" s="427">
        <v>0</v>
      </c>
      <c r="BR89" s="427">
        <v>0</v>
      </c>
      <c r="BS89" s="427">
        <v>0</v>
      </c>
      <c r="BT89" s="427">
        <v>0</v>
      </c>
      <c r="BU89" s="427">
        <v>0</v>
      </c>
      <c r="BV89" s="427">
        <v>0</v>
      </c>
      <c r="BW89" s="427">
        <v>0</v>
      </c>
      <c r="BX89" s="427">
        <v>0</v>
      </c>
      <c r="BY89" s="427">
        <v>0</v>
      </c>
      <c r="BZ89" s="427">
        <v>0</v>
      </c>
      <c r="CA89" s="427">
        <v>0</v>
      </c>
      <c r="CB89" s="427">
        <v>0</v>
      </c>
      <c r="CC89" s="427">
        <v>0</v>
      </c>
      <c r="CD89" s="427">
        <v>0</v>
      </c>
      <c r="CE89" s="427">
        <v>0</v>
      </c>
      <c r="CF89" s="427">
        <v>0</v>
      </c>
      <c r="CG89" s="427">
        <v>0</v>
      </c>
      <c r="CH89" s="427">
        <v>0</v>
      </c>
      <c r="CI89" s="427">
        <v>0</v>
      </c>
      <c r="CJ89" s="427">
        <v>0</v>
      </c>
      <c r="CK89" s="428">
        <v>0</v>
      </c>
      <c r="CL89" s="428">
        <v>0</v>
      </c>
      <c r="CM89" s="428">
        <v>0</v>
      </c>
      <c r="CN89" s="428">
        <v>0</v>
      </c>
      <c r="CO89" s="428">
        <v>0</v>
      </c>
      <c r="CP89" s="428">
        <v>0</v>
      </c>
      <c r="CQ89" s="428">
        <v>0</v>
      </c>
      <c r="CR89" s="428">
        <v>0</v>
      </c>
      <c r="CS89" s="428">
        <v>0</v>
      </c>
      <c r="CT89" s="428">
        <v>0</v>
      </c>
      <c r="CU89" s="428">
        <v>0</v>
      </c>
      <c r="CV89" s="428">
        <v>0</v>
      </c>
      <c r="CW89" s="428">
        <v>0</v>
      </c>
      <c r="CX89" s="428"/>
      <c r="CY89" s="428"/>
      <c r="CZ89" s="428"/>
      <c r="DA89" s="428"/>
      <c r="DB89" s="428"/>
      <c r="DC89" s="428"/>
      <c r="DD89" s="428"/>
      <c r="DE89" s="428"/>
      <c r="DF89" s="428"/>
      <c r="DG89" s="428"/>
      <c r="DH89" s="428"/>
      <c r="DI89" s="428"/>
    </row>
    <row r="90" spans="1:113" s="388" customFormat="1">
      <c r="A90" s="421" t="s">
        <v>370</v>
      </c>
      <c r="B90" s="421" t="s">
        <v>412</v>
      </c>
      <c r="C90" s="421" t="s">
        <v>418</v>
      </c>
      <c r="D90" s="422" t="s">
        <v>376</v>
      </c>
      <c r="E90" s="422">
        <v>2018</v>
      </c>
      <c r="F90" s="423">
        <v>2.3225656233775275E-3</v>
      </c>
      <c r="G90" s="424">
        <v>33.446838421603843</v>
      </c>
      <c r="H90" s="422">
        <v>10</v>
      </c>
      <c r="I90" s="425">
        <v>0.99</v>
      </c>
      <c r="J90" s="425">
        <v>0.99</v>
      </c>
      <c r="K90" s="422">
        <v>0</v>
      </c>
      <c r="L90" s="422">
        <v>0</v>
      </c>
      <c r="M90" s="422">
        <v>0</v>
      </c>
      <c r="N90" s="426">
        <v>0</v>
      </c>
      <c r="O90" s="426">
        <v>0</v>
      </c>
      <c r="P90" s="426">
        <v>0</v>
      </c>
      <c r="Q90" s="426">
        <v>0</v>
      </c>
      <c r="R90" s="426">
        <v>0</v>
      </c>
      <c r="S90" s="426">
        <v>0</v>
      </c>
      <c r="T90" s="426">
        <v>0</v>
      </c>
      <c r="U90" s="426">
        <v>0</v>
      </c>
      <c r="V90" s="426">
        <v>0</v>
      </c>
      <c r="W90" s="426">
        <v>0</v>
      </c>
      <c r="X90" s="426">
        <v>0</v>
      </c>
      <c r="Y90" s="426">
        <v>0</v>
      </c>
      <c r="Z90" s="426">
        <v>0</v>
      </c>
      <c r="AA90" s="426">
        <v>0</v>
      </c>
      <c r="AB90" s="426">
        <v>0</v>
      </c>
      <c r="AC90" s="426">
        <v>0</v>
      </c>
      <c r="AD90" s="426">
        <v>0</v>
      </c>
      <c r="AE90" s="426">
        <v>0</v>
      </c>
      <c r="AF90" s="426">
        <v>0</v>
      </c>
      <c r="AG90" s="426">
        <v>0</v>
      </c>
      <c r="AH90" s="426">
        <v>0</v>
      </c>
      <c r="AI90" s="426">
        <v>0</v>
      </c>
      <c r="AJ90" s="426">
        <v>0</v>
      </c>
      <c r="AK90" s="426">
        <v>0</v>
      </c>
      <c r="AL90" s="426">
        <v>0</v>
      </c>
      <c r="AM90" s="427">
        <v>0</v>
      </c>
      <c r="AN90" s="427">
        <v>0</v>
      </c>
      <c r="AO90" s="427">
        <v>0</v>
      </c>
      <c r="AP90" s="427">
        <v>0</v>
      </c>
      <c r="AQ90" s="427">
        <v>0</v>
      </c>
      <c r="AR90" s="427">
        <v>0</v>
      </c>
      <c r="AS90" s="427">
        <v>0</v>
      </c>
      <c r="AT90" s="427">
        <v>0</v>
      </c>
      <c r="AU90" s="427">
        <v>0</v>
      </c>
      <c r="AV90" s="427">
        <v>0</v>
      </c>
      <c r="AW90" s="427">
        <v>0</v>
      </c>
      <c r="AX90" s="427">
        <v>0</v>
      </c>
      <c r="AY90" s="427">
        <v>0</v>
      </c>
      <c r="AZ90" s="427">
        <v>0</v>
      </c>
      <c r="BA90" s="427">
        <v>0</v>
      </c>
      <c r="BB90" s="427">
        <v>0</v>
      </c>
      <c r="BC90" s="427">
        <v>0</v>
      </c>
      <c r="BD90" s="427">
        <v>0</v>
      </c>
      <c r="BE90" s="427">
        <v>0</v>
      </c>
      <c r="BF90" s="427">
        <v>0</v>
      </c>
      <c r="BG90" s="427">
        <v>0</v>
      </c>
      <c r="BH90" s="427">
        <v>0</v>
      </c>
      <c r="BI90" s="427">
        <v>0</v>
      </c>
      <c r="BJ90" s="427">
        <v>0</v>
      </c>
      <c r="BK90" s="427">
        <v>0</v>
      </c>
      <c r="BL90" s="427">
        <v>0</v>
      </c>
      <c r="BM90" s="427">
        <v>0</v>
      </c>
      <c r="BN90" s="427">
        <v>0</v>
      </c>
      <c r="BO90" s="427">
        <v>0</v>
      </c>
      <c r="BP90" s="427">
        <v>0</v>
      </c>
      <c r="BQ90" s="427">
        <v>0</v>
      </c>
      <c r="BR90" s="427">
        <v>0</v>
      </c>
      <c r="BS90" s="427">
        <v>0</v>
      </c>
      <c r="BT90" s="427">
        <v>0</v>
      </c>
      <c r="BU90" s="427">
        <v>0</v>
      </c>
      <c r="BV90" s="427">
        <v>0</v>
      </c>
      <c r="BW90" s="427">
        <v>0</v>
      </c>
      <c r="BX90" s="427">
        <v>0</v>
      </c>
      <c r="BY90" s="427">
        <v>0</v>
      </c>
      <c r="BZ90" s="427">
        <v>0</v>
      </c>
      <c r="CA90" s="427">
        <v>0</v>
      </c>
      <c r="CB90" s="427">
        <v>0</v>
      </c>
      <c r="CC90" s="427">
        <v>0</v>
      </c>
      <c r="CD90" s="427">
        <v>0</v>
      </c>
      <c r="CE90" s="427">
        <v>0</v>
      </c>
      <c r="CF90" s="427">
        <v>0</v>
      </c>
      <c r="CG90" s="427">
        <v>0</v>
      </c>
      <c r="CH90" s="427">
        <v>0</v>
      </c>
      <c r="CI90" s="427">
        <v>0</v>
      </c>
      <c r="CJ90" s="427">
        <v>0</v>
      </c>
      <c r="CK90" s="428">
        <v>0</v>
      </c>
      <c r="CL90" s="428">
        <v>0</v>
      </c>
      <c r="CM90" s="428">
        <v>0</v>
      </c>
      <c r="CN90" s="428">
        <v>0</v>
      </c>
      <c r="CO90" s="428">
        <v>0</v>
      </c>
      <c r="CP90" s="428">
        <v>0</v>
      </c>
      <c r="CQ90" s="428">
        <v>0</v>
      </c>
      <c r="CR90" s="428">
        <v>0</v>
      </c>
      <c r="CS90" s="428">
        <v>0</v>
      </c>
      <c r="CT90" s="428">
        <v>0</v>
      </c>
      <c r="CU90" s="428">
        <v>0</v>
      </c>
      <c r="CV90" s="428">
        <v>0</v>
      </c>
      <c r="CW90" s="428">
        <v>0</v>
      </c>
      <c r="CX90" s="428"/>
      <c r="CY90" s="428"/>
      <c r="CZ90" s="428"/>
      <c r="DA90" s="428"/>
      <c r="DB90" s="428"/>
      <c r="DC90" s="428"/>
      <c r="DD90" s="428"/>
      <c r="DE90" s="428"/>
      <c r="DF90" s="428"/>
      <c r="DG90" s="428"/>
      <c r="DH90" s="428"/>
      <c r="DI90" s="428"/>
    </row>
    <row r="91" spans="1:113" s="388" customFormat="1">
      <c r="A91" s="421" t="s">
        <v>370</v>
      </c>
      <c r="B91" s="421" t="s">
        <v>412</v>
      </c>
      <c r="C91" s="421" t="s">
        <v>418</v>
      </c>
      <c r="D91" s="422" t="s">
        <v>376</v>
      </c>
      <c r="E91" s="422">
        <v>2019</v>
      </c>
      <c r="F91" s="423">
        <v>2.3225656233775275E-3</v>
      </c>
      <c r="G91" s="424">
        <v>33.446838421603843</v>
      </c>
      <c r="H91" s="422">
        <v>10</v>
      </c>
      <c r="I91" s="425">
        <v>0.99</v>
      </c>
      <c r="J91" s="425">
        <v>0.99</v>
      </c>
      <c r="K91" s="422">
        <v>0</v>
      </c>
      <c r="L91" s="422">
        <v>0</v>
      </c>
      <c r="M91" s="422">
        <v>0</v>
      </c>
      <c r="N91" s="426">
        <v>0</v>
      </c>
      <c r="O91" s="426">
        <v>0</v>
      </c>
      <c r="P91" s="426">
        <v>0</v>
      </c>
      <c r="Q91" s="426">
        <v>0</v>
      </c>
      <c r="R91" s="426">
        <v>0</v>
      </c>
      <c r="S91" s="426">
        <v>0</v>
      </c>
      <c r="T91" s="426">
        <v>0</v>
      </c>
      <c r="U91" s="426">
        <v>0</v>
      </c>
      <c r="V91" s="426">
        <v>0</v>
      </c>
      <c r="W91" s="426">
        <v>0</v>
      </c>
      <c r="X91" s="426">
        <v>0</v>
      </c>
      <c r="Y91" s="426">
        <v>0</v>
      </c>
      <c r="Z91" s="426">
        <v>0</v>
      </c>
      <c r="AA91" s="426">
        <v>0</v>
      </c>
      <c r="AB91" s="426">
        <v>0</v>
      </c>
      <c r="AC91" s="426">
        <v>0</v>
      </c>
      <c r="AD91" s="426">
        <v>0</v>
      </c>
      <c r="AE91" s="426">
        <v>0</v>
      </c>
      <c r="AF91" s="426">
        <v>0</v>
      </c>
      <c r="AG91" s="426">
        <v>0</v>
      </c>
      <c r="AH91" s="426">
        <v>0</v>
      </c>
      <c r="AI91" s="426">
        <v>0</v>
      </c>
      <c r="AJ91" s="426">
        <v>0</v>
      </c>
      <c r="AK91" s="426">
        <v>0</v>
      </c>
      <c r="AL91" s="426">
        <v>0</v>
      </c>
      <c r="AM91" s="427">
        <v>0</v>
      </c>
      <c r="AN91" s="427">
        <v>0</v>
      </c>
      <c r="AO91" s="427">
        <v>0</v>
      </c>
      <c r="AP91" s="427">
        <v>0</v>
      </c>
      <c r="AQ91" s="427">
        <v>0</v>
      </c>
      <c r="AR91" s="427">
        <v>0</v>
      </c>
      <c r="AS91" s="427">
        <v>0</v>
      </c>
      <c r="AT91" s="427">
        <v>0</v>
      </c>
      <c r="AU91" s="427">
        <v>0</v>
      </c>
      <c r="AV91" s="427">
        <v>0</v>
      </c>
      <c r="AW91" s="427">
        <v>0</v>
      </c>
      <c r="AX91" s="427">
        <v>0</v>
      </c>
      <c r="AY91" s="427">
        <v>0</v>
      </c>
      <c r="AZ91" s="427">
        <v>0</v>
      </c>
      <c r="BA91" s="427">
        <v>0</v>
      </c>
      <c r="BB91" s="427">
        <v>0</v>
      </c>
      <c r="BC91" s="427">
        <v>0</v>
      </c>
      <c r="BD91" s="427">
        <v>0</v>
      </c>
      <c r="BE91" s="427">
        <v>0</v>
      </c>
      <c r="BF91" s="427">
        <v>0</v>
      </c>
      <c r="BG91" s="427">
        <v>0</v>
      </c>
      <c r="BH91" s="427">
        <v>0</v>
      </c>
      <c r="BI91" s="427">
        <v>0</v>
      </c>
      <c r="BJ91" s="427">
        <v>0</v>
      </c>
      <c r="BK91" s="427">
        <v>0</v>
      </c>
      <c r="BL91" s="427">
        <v>0</v>
      </c>
      <c r="BM91" s="427">
        <v>0</v>
      </c>
      <c r="BN91" s="427">
        <v>0</v>
      </c>
      <c r="BO91" s="427">
        <v>0</v>
      </c>
      <c r="BP91" s="427">
        <v>0</v>
      </c>
      <c r="BQ91" s="427">
        <v>0</v>
      </c>
      <c r="BR91" s="427">
        <v>0</v>
      </c>
      <c r="BS91" s="427">
        <v>0</v>
      </c>
      <c r="BT91" s="427">
        <v>0</v>
      </c>
      <c r="BU91" s="427">
        <v>0</v>
      </c>
      <c r="BV91" s="427">
        <v>0</v>
      </c>
      <c r="BW91" s="427">
        <v>0</v>
      </c>
      <c r="BX91" s="427">
        <v>0</v>
      </c>
      <c r="BY91" s="427">
        <v>0</v>
      </c>
      <c r="BZ91" s="427">
        <v>0</v>
      </c>
      <c r="CA91" s="427">
        <v>0</v>
      </c>
      <c r="CB91" s="427">
        <v>0</v>
      </c>
      <c r="CC91" s="427">
        <v>0</v>
      </c>
      <c r="CD91" s="427">
        <v>0</v>
      </c>
      <c r="CE91" s="427">
        <v>0</v>
      </c>
      <c r="CF91" s="427">
        <v>0</v>
      </c>
      <c r="CG91" s="427">
        <v>0</v>
      </c>
      <c r="CH91" s="427">
        <v>0</v>
      </c>
      <c r="CI91" s="427">
        <v>0</v>
      </c>
      <c r="CJ91" s="427">
        <v>0</v>
      </c>
      <c r="CK91" s="428">
        <v>0</v>
      </c>
      <c r="CL91" s="428">
        <v>0</v>
      </c>
      <c r="CM91" s="428">
        <v>0</v>
      </c>
      <c r="CN91" s="428">
        <v>0</v>
      </c>
      <c r="CO91" s="428">
        <v>0</v>
      </c>
      <c r="CP91" s="428">
        <v>0</v>
      </c>
      <c r="CQ91" s="428">
        <v>0</v>
      </c>
      <c r="CR91" s="428">
        <v>0</v>
      </c>
      <c r="CS91" s="428">
        <v>0</v>
      </c>
      <c r="CT91" s="428">
        <v>0</v>
      </c>
      <c r="CU91" s="428">
        <v>0</v>
      </c>
      <c r="CV91" s="428">
        <v>0</v>
      </c>
      <c r="CW91" s="428">
        <v>0</v>
      </c>
      <c r="CX91" s="428"/>
      <c r="CY91" s="428"/>
      <c r="CZ91" s="428"/>
      <c r="DA91" s="428"/>
      <c r="DB91" s="428"/>
      <c r="DC91" s="428"/>
      <c r="DD91" s="428"/>
      <c r="DE91" s="428"/>
      <c r="DF91" s="428"/>
      <c r="DG91" s="428"/>
      <c r="DH91" s="428"/>
      <c r="DI91" s="428"/>
    </row>
    <row r="92" spans="1:113" s="388" customFormat="1">
      <c r="A92" s="421" t="s">
        <v>370</v>
      </c>
      <c r="B92" s="421" t="s">
        <v>412</v>
      </c>
      <c r="C92" s="421" t="s">
        <v>418</v>
      </c>
      <c r="D92" s="422" t="s">
        <v>376</v>
      </c>
      <c r="E92" s="422">
        <v>2020</v>
      </c>
      <c r="F92" s="423">
        <v>2.3225656233775275E-3</v>
      </c>
      <c r="G92" s="424">
        <v>33.446838421603843</v>
      </c>
      <c r="H92" s="422">
        <v>10</v>
      </c>
      <c r="I92" s="425">
        <v>0.99</v>
      </c>
      <c r="J92" s="425">
        <v>0.99</v>
      </c>
      <c r="K92" s="422">
        <v>0</v>
      </c>
      <c r="L92" s="422">
        <v>0</v>
      </c>
      <c r="M92" s="422">
        <v>0</v>
      </c>
      <c r="N92" s="426">
        <v>0</v>
      </c>
      <c r="O92" s="426">
        <v>0</v>
      </c>
      <c r="P92" s="426">
        <v>0</v>
      </c>
      <c r="Q92" s="426">
        <v>0</v>
      </c>
      <c r="R92" s="426">
        <v>0</v>
      </c>
      <c r="S92" s="426">
        <v>0</v>
      </c>
      <c r="T92" s="426">
        <v>0</v>
      </c>
      <c r="U92" s="426">
        <v>0</v>
      </c>
      <c r="V92" s="426">
        <v>0</v>
      </c>
      <c r="W92" s="426">
        <v>0</v>
      </c>
      <c r="X92" s="426">
        <v>0</v>
      </c>
      <c r="Y92" s="426">
        <v>0</v>
      </c>
      <c r="Z92" s="426">
        <v>0</v>
      </c>
      <c r="AA92" s="426">
        <v>0</v>
      </c>
      <c r="AB92" s="426">
        <v>0</v>
      </c>
      <c r="AC92" s="426">
        <v>0</v>
      </c>
      <c r="AD92" s="426">
        <v>0</v>
      </c>
      <c r="AE92" s="426">
        <v>0</v>
      </c>
      <c r="AF92" s="426">
        <v>0</v>
      </c>
      <c r="AG92" s="426">
        <v>0</v>
      </c>
      <c r="AH92" s="426">
        <v>0</v>
      </c>
      <c r="AI92" s="426">
        <v>0</v>
      </c>
      <c r="AJ92" s="426">
        <v>0</v>
      </c>
      <c r="AK92" s="426">
        <v>0</v>
      </c>
      <c r="AL92" s="426">
        <v>0</v>
      </c>
      <c r="AM92" s="427">
        <v>0</v>
      </c>
      <c r="AN92" s="427">
        <v>0</v>
      </c>
      <c r="AO92" s="427">
        <v>0</v>
      </c>
      <c r="AP92" s="427">
        <v>0</v>
      </c>
      <c r="AQ92" s="427">
        <v>0</v>
      </c>
      <c r="AR92" s="427">
        <v>0</v>
      </c>
      <c r="AS92" s="427">
        <v>0</v>
      </c>
      <c r="AT92" s="427">
        <v>0</v>
      </c>
      <c r="AU92" s="427">
        <v>0</v>
      </c>
      <c r="AV92" s="427">
        <v>0</v>
      </c>
      <c r="AW92" s="427">
        <v>0</v>
      </c>
      <c r="AX92" s="427">
        <v>0</v>
      </c>
      <c r="AY92" s="427">
        <v>0</v>
      </c>
      <c r="AZ92" s="427">
        <v>0</v>
      </c>
      <c r="BA92" s="427">
        <v>0</v>
      </c>
      <c r="BB92" s="427">
        <v>0</v>
      </c>
      <c r="BC92" s="427">
        <v>0</v>
      </c>
      <c r="BD92" s="427">
        <v>0</v>
      </c>
      <c r="BE92" s="427">
        <v>0</v>
      </c>
      <c r="BF92" s="427">
        <v>0</v>
      </c>
      <c r="BG92" s="427">
        <v>0</v>
      </c>
      <c r="BH92" s="427">
        <v>0</v>
      </c>
      <c r="BI92" s="427">
        <v>0</v>
      </c>
      <c r="BJ92" s="427">
        <v>0</v>
      </c>
      <c r="BK92" s="427">
        <v>0</v>
      </c>
      <c r="BL92" s="427">
        <v>0</v>
      </c>
      <c r="BM92" s="427">
        <v>0</v>
      </c>
      <c r="BN92" s="427">
        <v>0</v>
      </c>
      <c r="BO92" s="427">
        <v>0</v>
      </c>
      <c r="BP92" s="427">
        <v>0</v>
      </c>
      <c r="BQ92" s="427">
        <v>0</v>
      </c>
      <c r="BR92" s="427">
        <v>0</v>
      </c>
      <c r="BS92" s="427">
        <v>0</v>
      </c>
      <c r="BT92" s="427">
        <v>0</v>
      </c>
      <c r="BU92" s="427">
        <v>0</v>
      </c>
      <c r="BV92" s="427">
        <v>0</v>
      </c>
      <c r="BW92" s="427">
        <v>0</v>
      </c>
      <c r="BX92" s="427">
        <v>0</v>
      </c>
      <c r="BY92" s="427">
        <v>0</v>
      </c>
      <c r="BZ92" s="427">
        <v>0</v>
      </c>
      <c r="CA92" s="427">
        <v>0</v>
      </c>
      <c r="CB92" s="427">
        <v>0</v>
      </c>
      <c r="CC92" s="427">
        <v>0</v>
      </c>
      <c r="CD92" s="427">
        <v>0</v>
      </c>
      <c r="CE92" s="427">
        <v>0</v>
      </c>
      <c r="CF92" s="427">
        <v>0</v>
      </c>
      <c r="CG92" s="427">
        <v>0</v>
      </c>
      <c r="CH92" s="427">
        <v>0</v>
      </c>
      <c r="CI92" s="427">
        <v>0</v>
      </c>
      <c r="CJ92" s="427">
        <v>0</v>
      </c>
      <c r="CK92" s="428">
        <v>0</v>
      </c>
      <c r="CL92" s="428">
        <v>0</v>
      </c>
      <c r="CM92" s="428">
        <v>0</v>
      </c>
      <c r="CN92" s="428">
        <v>0</v>
      </c>
      <c r="CO92" s="428">
        <v>0</v>
      </c>
      <c r="CP92" s="428">
        <v>0</v>
      </c>
      <c r="CQ92" s="428">
        <v>0</v>
      </c>
      <c r="CR92" s="428">
        <v>0</v>
      </c>
      <c r="CS92" s="428">
        <v>0</v>
      </c>
      <c r="CT92" s="428">
        <v>0</v>
      </c>
      <c r="CU92" s="428">
        <v>0</v>
      </c>
      <c r="CV92" s="428">
        <v>0</v>
      </c>
      <c r="CW92" s="428">
        <v>0</v>
      </c>
      <c r="CX92" s="428"/>
      <c r="CY92" s="428"/>
      <c r="CZ92" s="428"/>
      <c r="DA92" s="428"/>
      <c r="DB92" s="428"/>
      <c r="DC92" s="428"/>
      <c r="DD92" s="428"/>
      <c r="DE92" s="428"/>
      <c r="DF92" s="428"/>
      <c r="DG92" s="428"/>
      <c r="DH92" s="428"/>
      <c r="DI92" s="428"/>
    </row>
    <row r="93" spans="1:113" s="388" customFormat="1">
      <c r="A93" s="421" t="s">
        <v>370</v>
      </c>
      <c r="B93" s="421" t="s">
        <v>11</v>
      </c>
      <c r="C93" s="421" t="s">
        <v>421</v>
      </c>
      <c r="D93" s="422" t="s">
        <v>376</v>
      </c>
      <c r="E93" s="422">
        <v>2015</v>
      </c>
      <c r="F93" s="423">
        <v>0.67403358398631319</v>
      </c>
      <c r="G93" s="424">
        <v>2919.3928424157311</v>
      </c>
      <c r="H93" s="422">
        <v>13</v>
      </c>
      <c r="I93" s="425">
        <v>0.62999999999999978</v>
      </c>
      <c r="J93" s="425">
        <v>0.62999999999999978</v>
      </c>
      <c r="K93" s="422">
        <v>0</v>
      </c>
      <c r="L93" s="422">
        <v>0</v>
      </c>
      <c r="M93" s="422">
        <v>0</v>
      </c>
      <c r="N93" s="426">
        <v>0</v>
      </c>
      <c r="O93" s="426">
        <v>0</v>
      </c>
      <c r="P93" s="426">
        <v>0</v>
      </c>
      <c r="Q93" s="426">
        <v>0</v>
      </c>
      <c r="R93" s="426">
        <v>0</v>
      </c>
      <c r="S93" s="426">
        <v>0</v>
      </c>
      <c r="T93" s="426">
        <v>0</v>
      </c>
      <c r="U93" s="426">
        <v>0</v>
      </c>
      <c r="V93" s="426">
        <v>0</v>
      </c>
      <c r="W93" s="426">
        <v>0</v>
      </c>
      <c r="X93" s="426">
        <v>0</v>
      </c>
      <c r="Y93" s="426">
        <v>0</v>
      </c>
      <c r="Z93" s="426">
        <v>0</v>
      </c>
      <c r="AA93" s="426">
        <v>0</v>
      </c>
      <c r="AB93" s="426">
        <v>0</v>
      </c>
      <c r="AC93" s="426">
        <v>0</v>
      </c>
      <c r="AD93" s="426">
        <v>0</v>
      </c>
      <c r="AE93" s="426">
        <v>0</v>
      </c>
      <c r="AF93" s="426">
        <v>0</v>
      </c>
      <c r="AG93" s="426">
        <v>0</v>
      </c>
      <c r="AH93" s="426">
        <v>0</v>
      </c>
      <c r="AI93" s="426">
        <v>0</v>
      </c>
      <c r="AJ93" s="426">
        <v>0</v>
      </c>
      <c r="AK93" s="426">
        <v>0</v>
      </c>
      <c r="AL93" s="426">
        <v>0</v>
      </c>
      <c r="AM93" s="427">
        <v>0</v>
      </c>
      <c r="AN93" s="427">
        <v>0</v>
      </c>
      <c r="AO93" s="427">
        <v>0</v>
      </c>
      <c r="AP93" s="427">
        <v>0</v>
      </c>
      <c r="AQ93" s="427">
        <v>0</v>
      </c>
      <c r="AR93" s="427">
        <v>0</v>
      </c>
      <c r="AS93" s="427">
        <v>0</v>
      </c>
      <c r="AT93" s="427">
        <v>0</v>
      </c>
      <c r="AU93" s="427">
        <v>0</v>
      </c>
      <c r="AV93" s="427">
        <v>0</v>
      </c>
      <c r="AW93" s="427">
        <v>0</v>
      </c>
      <c r="AX93" s="427">
        <v>0</v>
      </c>
      <c r="AY93" s="427">
        <v>0</v>
      </c>
      <c r="AZ93" s="427">
        <v>0</v>
      </c>
      <c r="BA93" s="427">
        <v>0</v>
      </c>
      <c r="BB93" s="427">
        <v>0</v>
      </c>
      <c r="BC93" s="427">
        <v>0</v>
      </c>
      <c r="BD93" s="427">
        <v>0</v>
      </c>
      <c r="BE93" s="427">
        <v>0</v>
      </c>
      <c r="BF93" s="427">
        <v>0</v>
      </c>
      <c r="BG93" s="427">
        <v>0</v>
      </c>
      <c r="BH93" s="427">
        <v>0</v>
      </c>
      <c r="BI93" s="427">
        <v>0</v>
      </c>
      <c r="BJ93" s="427">
        <v>0</v>
      </c>
      <c r="BK93" s="427">
        <v>0</v>
      </c>
      <c r="BL93" s="427">
        <v>0</v>
      </c>
      <c r="BM93" s="427">
        <v>0</v>
      </c>
      <c r="BN93" s="427">
        <v>0</v>
      </c>
      <c r="BO93" s="427">
        <v>0</v>
      </c>
      <c r="BP93" s="427">
        <v>0</v>
      </c>
      <c r="BQ93" s="427">
        <v>0</v>
      </c>
      <c r="BR93" s="427">
        <v>0</v>
      </c>
      <c r="BS93" s="427">
        <v>0</v>
      </c>
      <c r="BT93" s="427">
        <v>0</v>
      </c>
      <c r="BU93" s="427">
        <v>0</v>
      </c>
      <c r="BV93" s="427">
        <v>0</v>
      </c>
      <c r="BW93" s="427">
        <v>0</v>
      </c>
      <c r="BX93" s="427">
        <v>0</v>
      </c>
      <c r="BY93" s="427">
        <v>0</v>
      </c>
      <c r="BZ93" s="427">
        <v>0</v>
      </c>
      <c r="CA93" s="427">
        <v>0</v>
      </c>
      <c r="CB93" s="427">
        <v>0</v>
      </c>
      <c r="CC93" s="427">
        <v>0</v>
      </c>
      <c r="CD93" s="427">
        <v>0</v>
      </c>
      <c r="CE93" s="427">
        <v>0</v>
      </c>
      <c r="CF93" s="427">
        <v>0</v>
      </c>
      <c r="CG93" s="427">
        <v>0</v>
      </c>
      <c r="CH93" s="427">
        <v>0</v>
      </c>
      <c r="CI93" s="427">
        <v>0</v>
      </c>
      <c r="CJ93" s="427">
        <v>0</v>
      </c>
      <c r="CK93" s="428">
        <v>0</v>
      </c>
      <c r="CL93" s="428">
        <v>0</v>
      </c>
      <c r="CM93" s="428">
        <v>0</v>
      </c>
      <c r="CN93" s="428">
        <v>0</v>
      </c>
      <c r="CO93" s="428">
        <v>0</v>
      </c>
      <c r="CP93" s="428">
        <v>0</v>
      </c>
      <c r="CQ93" s="428">
        <v>0</v>
      </c>
      <c r="CR93" s="428">
        <v>0</v>
      </c>
      <c r="CS93" s="428">
        <v>0</v>
      </c>
      <c r="CT93" s="428">
        <v>0</v>
      </c>
      <c r="CU93" s="428">
        <v>0</v>
      </c>
      <c r="CV93" s="428">
        <v>0</v>
      </c>
      <c r="CW93" s="428">
        <v>0</v>
      </c>
      <c r="CX93" s="428"/>
      <c r="CY93" s="428"/>
      <c r="CZ93" s="428"/>
      <c r="DA93" s="428"/>
      <c r="DB93" s="428"/>
      <c r="DC93" s="428"/>
      <c r="DD93" s="428"/>
      <c r="DE93" s="428"/>
      <c r="DF93" s="428"/>
      <c r="DG93" s="428"/>
      <c r="DH93" s="428"/>
      <c r="DI93" s="428"/>
    </row>
    <row r="94" spans="1:113" s="388" customFormat="1">
      <c r="A94" s="421" t="s">
        <v>370</v>
      </c>
      <c r="B94" s="421" t="s">
        <v>11</v>
      </c>
      <c r="C94" s="421" t="s">
        <v>421</v>
      </c>
      <c r="D94" s="422" t="s">
        <v>376</v>
      </c>
      <c r="E94" s="422">
        <v>2016</v>
      </c>
      <c r="F94" s="423">
        <v>0.67403358398631319</v>
      </c>
      <c r="G94" s="424">
        <v>2919.3928424157311</v>
      </c>
      <c r="H94" s="422">
        <v>13</v>
      </c>
      <c r="I94" s="425">
        <v>0.62999999999999978</v>
      </c>
      <c r="J94" s="425">
        <v>0.62999999999999978</v>
      </c>
      <c r="K94" s="422">
        <v>0</v>
      </c>
      <c r="L94" s="422">
        <v>0</v>
      </c>
      <c r="M94" s="422">
        <v>0</v>
      </c>
      <c r="N94" s="426">
        <v>0</v>
      </c>
      <c r="O94" s="426">
        <v>0</v>
      </c>
      <c r="P94" s="426">
        <v>0</v>
      </c>
      <c r="Q94" s="426">
        <v>0</v>
      </c>
      <c r="R94" s="426">
        <v>0</v>
      </c>
      <c r="S94" s="426">
        <v>0</v>
      </c>
      <c r="T94" s="426">
        <v>0</v>
      </c>
      <c r="U94" s="426">
        <v>0</v>
      </c>
      <c r="V94" s="426">
        <v>0</v>
      </c>
      <c r="W94" s="426">
        <v>0</v>
      </c>
      <c r="X94" s="426">
        <v>0</v>
      </c>
      <c r="Y94" s="426">
        <v>0</v>
      </c>
      <c r="Z94" s="426">
        <v>0</v>
      </c>
      <c r="AA94" s="426">
        <v>0</v>
      </c>
      <c r="AB94" s="426">
        <v>0</v>
      </c>
      <c r="AC94" s="426">
        <v>0</v>
      </c>
      <c r="AD94" s="426">
        <v>0</v>
      </c>
      <c r="AE94" s="426">
        <v>0</v>
      </c>
      <c r="AF94" s="426">
        <v>0</v>
      </c>
      <c r="AG94" s="426">
        <v>0</v>
      </c>
      <c r="AH94" s="426">
        <v>0</v>
      </c>
      <c r="AI94" s="426">
        <v>0</v>
      </c>
      <c r="AJ94" s="426">
        <v>0</v>
      </c>
      <c r="AK94" s="426">
        <v>0</v>
      </c>
      <c r="AL94" s="426">
        <v>0</v>
      </c>
      <c r="AM94" s="427">
        <v>0</v>
      </c>
      <c r="AN94" s="427">
        <v>0</v>
      </c>
      <c r="AO94" s="427">
        <v>0</v>
      </c>
      <c r="AP94" s="427">
        <v>0</v>
      </c>
      <c r="AQ94" s="427">
        <v>0</v>
      </c>
      <c r="AR94" s="427">
        <v>0</v>
      </c>
      <c r="AS94" s="427">
        <v>0</v>
      </c>
      <c r="AT94" s="427">
        <v>0</v>
      </c>
      <c r="AU94" s="427">
        <v>0</v>
      </c>
      <c r="AV94" s="427">
        <v>0</v>
      </c>
      <c r="AW94" s="427">
        <v>0</v>
      </c>
      <c r="AX94" s="427">
        <v>0</v>
      </c>
      <c r="AY94" s="427">
        <v>0</v>
      </c>
      <c r="AZ94" s="427">
        <v>0</v>
      </c>
      <c r="BA94" s="427">
        <v>0</v>
      </c>
      <c r="BB94" s="427">
        <v>0</v>
      </c>
      <c r="BC94" s="427">
        <v>0</v>
      </c>
      <c r="BD94" s="427">
        <v>0</v>
      </c>
      <c r="BE94" s="427">
        <v>0</v>
      </c>
      <c r="BF94" s="427">
        <v>0</v>
      </c>
      <c r="BG94" s="427">
        <v>0</v>
      </c>
      <c r="BH94" s="427">
        <v>0</v>
      </c>
      <c r="BI94" s="427">
        <v>0</v>
      </c>
      <c r="BJ94" s="427">
        <v>0</v>
      </c>
      <c r="BK94" s="427">
        <v>0</v>
      </c>
      <c r="BL94" s="427">
        <v>0</v>
      </c>
      <c r="BM94" s="427">
        <v>0</v>
      </c>
      <c r="BN94" s="427">
        <v>0</v>
      </c>
      <c r="BO94" s="427">
        <v>0</v>
      </c>
      <c r="BP94" s="427">
        <v>0</v>
      </c>
      <c r="BQ94" s="427">
        <v>0</v>
      </c>
      <c r="BR94" s="427">
        <v>0</v>
      </c>
      <c r="BS94" s="427">
        <v>0</v>
      </c>
      <c r="BT94" s="427">
        <v>0</v>
      </c>
      <c r="BU94" s="427">
        <v>0</v>
      </c>
      <c r="BV94" s="427">
        <v>0</v>
      </c>
      <c r="BW94" s="427">
        <v>0</v>
      </c>
      <c r="BX94" s="427">
        <v>0</v>
      </c>
      <c r="BY94" s="427">
        <v>0</v>
      </c>
      <c r="BZ94" s="427">
        <v>0</v>
      </c>
      <c r="CA94" s="427">
        <v>0</v>
      </c>
      <c r="CB94" s="427">
        <v>0</v>
      </c>
      <c r="CC94" s="427">
        <v>0</v>
      </c>
      <c r="CD94" s="427">
        <v>0</v>
      </c>
      <c r="CE94" s="427">
        <v>0</v>
      </c>
      <c r="CF94" s="427">
        <v>0</v>
      </c>
      <c r="CG94" s="427">
        <v>0</v>
      </c>
      <c r="CH94" s="427">
        <v>0</v>
      </c>
      <c r="CI94" s="427">
        <v>0</v>
      </c>
      <c r="CJ94" s="427">
        <v>0</v>
      </c>
      <c r="CK94" s="428">
        <v>0</v>
      </c>
      <c r="CL94" s="428">
        <v>0</v>
      </c>
      <c r="CM94" s="428">
        <v>0</v>
      </c>
      <c r="CN94" s="428">
        <v>0</v>
      </c>
      <c r="CO94" s="428">
        <v>0</v>
      </c>
      <c r="CP94" s="428">
        <v>0</v>
      </c>
      <c r="CQ94" s="428">
        <v>0</v>
      </c>
      <c r="CR94" s="428">
        <v>0</v>
      </c>
      <c r="CS94" s="428">
        <v>0</v>
      </c>
      <c r="CT94" s="428">
        <v>0</v>
      </c>
      <c r="CU94" s="428">
        <v>0</v>
      </c>
      <c r="CV94" s="428">
        <v>0</v>
      </c>
      <c r="CW94" s="428">
        <v>0</v>
      </c>
      <c r="CX94" s="428"/>
      <c r="CY94" s="428"/>
      <c r="CZ94" s="428"/>
      <c r="DA94" s="428"/>
      <c r="DB94" s="428"/>
      <c r="DC94" s="428"/>
      <c r="DD94" s="428"/>
      <c r="DE94" s="428"/>
      <c r="DF94" s="428"/>
      <c r="DG94" s="428"/>
      <c r="DH94" s="428"/>
      <c r="DI94" s="428"/>
    </row>
    <row r="95" spans="1:113" s="388" customFormat="1">
      <c r="A95" s="421" t="s">
        <v>370</v>
      </c>
      <c r="B95" s="421" t="s">
        <v>11</v>
      </c>
      <c r="C95" s="421" t="s">
        <v>421</v>
      </c>
      <c r="D95" s="422" t="s">
        <v>376</v>
      </c>
      <c r="E95" s="422">
        <v>2017</v>
      </c>
      <c r="F95" s="423">
        <v>0.67403358398631319</v>
      </c>
      <c r="G95" s="424">
        <v>2919.3928424157311</v>
      </c>
      <c r="H95" s="422">
        <v>13</v>
      </c>
      <c r="I95" s="425">
        <v>0.62999999999999978</v>
      </c>
      <c r="J95" s="425">
        <v>0.62999999999999978</v>
      </c>
      <c r="K95" s="422">
        <v>0</v>
      </c>
      <c r="L95" s="422">
        <v>0</v>
      </c>
      <c r="M95" s="422">
        <v>0</v>
      </c>
      <c r="N95" s="426">
        <v>0</v>
      </c>
      <c r="O95" s="426">
        <v>0</v>
      </c>
      <c r="P95" s="426">
        <v>0</v>
      </c>
      <c r="Q95" s="426">
        <v>0</v>
      </c>
      <c r="R95" s="426">
        <v>0</v>
      </c>
      <c r="S95" s="426">
        <v>0</v>
      </c>
      <c r="T95" s="426">
        <v>0</v>
      </c>
      <c r="U95" s="426">
        <v>0</v>
      </c>
      <c r="V95" s="426">
        <v>0</v>
      </c>
      <c r="W95" s="426">
        <v>0</v>
      </c>
      <c r="X95" s="426">
        <v>0</v>
      </c>
      <c r="Y95" s="426">
        <v>0</v>
      </c>
      <c r="Z95" s="426">
        <v>0</v>
      </c>
      <c r="AA95" s="426">
        <v>0</v>
      </c>
      <c r="AB95" s="426">
        <v>0</v>
      </c>
      <c r="AC95" s="426">
        <v>0</v>
      </c>
      <c r="AD95" s="426">
        <v>0</v>
      </c>
      <c r="AE95" s="426">
        <v>0</v>
      </c>
      <c r="AF95" s="426">
        <v>0</v>
      </c>
      <c r="AG95" s="426">
        <v>0</v>
      </c>
      <c r="AH95" s="426">
        <v>0</v>
      </c>
      <c r="AI95" s="426">
        <v>0</v>
      </c>
      <c r="AJ95" s="426">
        <v>0</v>
      </c>
      <c r="AK95" s="426">
        <v>0</v>
      </c>
      <c r="AL95" s="426">
        <v>0</v>
      </c>
      <c r="AM95" s="427">
        <v>0</v>
      </c>
      <c r="AN95" s="427">
        <v>0</v>
      </c>
      <c r="AO95" s="427">
        <v>0</v>
      </c>
      <c r="AP95" s="427">
        <v>0</v>
      </c>
      <c r="AQ95" s="427">
        <v>0</v>
      </c>
      <c r="AR95" s="427">
        <v>0</v>
      </c>
      <c r="AS95" s="427">
        <v>0</v>
      </c>
      <c r="AT95" s="427">
        <v>0</v>
      </c>
      <c r="AU95" s="427">
        <v>0</v>
      </c>
      <c r="AV95" s="427">
        <v>0</v>
      </c>
      <c r="AW95" s="427">
        <v>0</v>
      </c>
      <c r="AX95" s="427">
        <v>0</v>
      </c>
      <c r="AY95" s="427">
        <v>0</v>
      </c>
      <c r="AZ95" s="427">
        <v>0</v>
      </c>
      <c r="BA95" s="427">
        <v>0</v>
      </c>
      <c r="BB95" s="427">
        <v>0</v>
      </c>
      <c r="BC95" s="427">
        <v>0</v>
      </c>
      <c r="BD95" s="427">
        <v>0</v>
      </c>
      <c r="BE95" s="427">
        <v>0</v>
      </c>
      <c r="BF95" s="427">
        <v>0</v>
      </c>
      <c r="BG95" s="427">
        <v>0</v>
      </c>
      <c r="BH95" s="427">
        <v>0</v>
      </c>
      <c r="BI95" s="427">
        <v>0</v>
      </c>
      <c r="BJ95" s="427">
        <v>0</v>
      </c>
      <c r="BK95" s="427">
        <v>0</v>
      </c>
      <c r="BL95" s="427">
        <v>0</v>
      </c>
      <c r="BM95" s="427">
        <v>0</v>
      </c>
      <c r="BN95" s="427">
        <v>0</v>
      </c>
      <c r="BO95" s="427">
        <v>0</v>
      </c>
      <c r="BP95" s="427">
        <v>0</v>
      </c>
      <c r="BQ95" s="427">
        <v>0</v>
      </c>
      <c r="BR95" s="427">
        <v>0</v>
      </c>
      <c r="BS95" s="427">
        <v>0</v>
      </c>
      <c r="BT95" s="427">
        <v>0</v>
      </c>
      <c r="BU95" s="427">
        <v>0</v>
      </c>
      <c r="BV95" s="427">
        <v>0</v>
      </c>
      <c r="BW95" s="427">
        <v>0</v>
      </c>
      <c r="BX95" s="427">
        <v>0</v>
      </c>
      <c r="BY95" s="427">
        <v>0</v>
      </c>
      <c r="BZ95" s="427">
        <v>0</v>
      </c>
      <c r="CA95" s="427">
        <v>0</v>
      </c>
      <c r="CB95" s="427">
        <v>0</v>
      </c>
      <c r="CC95" s="427">
        <v>0</v>
      </c>
      <c r="CD95" s="427">
        <v>0</v>
      </c>
      <c r="CE95" s="427">
        <v>0</v>
      </c>
      <c r="CF95" s="427">
        <v>0</v>
      </c>
      <c r="CG95" s="427">
        <v>0</v>
      </c>
      <c r="CH95" s="427">
        <v>0</v>
      </c>
      <c r="CI95" s="427">
        <v>0</v>
      </c>
      <c r="CJ95" s="427">
        <v>0</v>
      </c>
      <c r="CK95" s="428">
        <v>0</v>
      </c>
      <c r="CL95" s="428">
        <v>0</v>
      </c>
      <c r="CM95" s="428">
        <v>0</v>
      </c>
      <c r="CN95" s="428">
        <v>0</v>
      </c>
      <c r="CO95" s="428">
        <v>0</v>
      </c>
      <c r="CP95" s="428">
        <v>0</v>
      </c>
      <c r="CQ95" s="428">
        <v>0</v>
      </c>
      <c r="CR95" s="428">
        <v>0</v>
      </c>
      <c r="CS95" s="428">
        <v>0</v>
      </c>
      <c r="CT95" s="428">
        <v>0</v>
      </c>
      <c r="CU95" s="428">
        <v>0</v>
      </c>
      <c r="CV95" s="428">
        <v>0</v>
      </c>
      <c r="CW95" s="428">
        <v>0</v>
      </c>
      <c r="CX95" s="428"/>
      <c r="CY95" s="428"/>
      <c r="CZ95" s="428"/>
      <c r="DA95" s="428"/>
      <c r="DB95" s="428"/>
      <c r="DC95" s="428"/>
      <c r="DD95" s="428"/>
      <c r="DE95" s="428"/>
      <c r="DF95" s="428"/>
      <c r="DG95" s="428"/>
      <c r="DH95" s="428"/>
      <c r="DI95" s="428"/>
    </row>
    <row r="96" spans="1:113" s="388" customFormat="1">
      <c r="A96" s="421" t="s">
        <v>370</v>
      </c>
      <c r="B96" s="421" t="s">
        <v>11</v>
      </c>
      <c r="C96" s="421" t="s">
        <v>421</v>
      </c>
      <c r="D96" s="422" t="s">
        <v>376</v>
      </c>
      <c r="E96" s="422">
        <v>2018</v>
      </c>
      <c r="F96" s="423">
        <v>0.67403358398631319</v>
      </c>
      <c r="G96" s="424">
        <v>2919.3928424157311</v>
      </c>
      <c r="H96" s="422">
        <v>13</v>
      </c>
      <c r="I96" s="425">
        <v>0.62999999999999978</v>
      </c>
      <c r="J96" s="425">
        <v>0.62999999999999978</v>
      </c>
      <c r="K96" s="422">
        <v>0</v>
      </c>
      <c r="L96" s="422">
        <v>0</v>
      </c>
      <c r="M96" s="422">
        <v>0</v>
      </c>
      <c r="N96" s="426">
        <v>0</v>
      </c>
      <c r="O96" s="426">
        <v>0</v>
      </c>
      <c r="P96" s="426">
        <v>0</v>
      </c>
      <c r="Q96" s="426">
        <v>0</v>
      </c>
      <c r="R96" s="426">
        <v>0</v>
      </c>
      <c r="S96" s="426">
        <v>0</v>
      </c>
      <c r="T96" s="426">
        <v>0</v>
      </c>
      <c r="U96" s="426">
        <v>0</v>
      </c>
      <c r="V96" s="426">
        <v>0</v>
      </c>
      <c r="W96" s="426">
        <v>0</v>
      </c>
      <c r="X96" s="426">
        <v>0</v>
      </c>
      <c r="Y96" s="426">
        <v>0</v>
      </c>
      <c r="Z96" s="426">
        <v>0</v>
      </c>
      <c r="AA96" s="426">
        <v>0</v>
      </c>
      <c r="AB96" s="426">
        <v>0</v>
      </c>
      <c r="AC96" s="426">
        <v>0</v>
      </c>
      <c r="AD96" s="426">
        <v>0</v>
      </c>
      <c r="AE96" s="426">
        <v>0</v>
      </c>
      <c r="AF96" s="426">
        <v>0</v>
      </c>
      <c r="AG96" s="426">
        <v>0</v>
      </c>
      <c r="AH96" s="426">
        <v>0</v>
      </c>
      <c r="AI96" s="426">
        <v>0</v>
      </c>
      <c r="AJ96" s="426">
        <v>0</v>
      </c>
      <c r="AK96" s="426">
        <v>0</v>
      </c>
      <c r="AL96" s="426">
        <v>0</v>
      </c>
      <c r="AM96" s="427">
        <v>0</v>
      </c>
      <c r="AN96" s="427">
        <v>0</v>
      </c>
      <c r="AO96" s="427">
        <v>0</v>
      </c>
      <c r="AP96" s="427">
        <v>0</v>
      </c>
      <c r="AQ96" s="427">
        <v>0</v>
      </c>
      <c r="AR96" s="427">
        <v>0</v>
      </c>
      <c r="AS96" s="427">
        <v>0</v>
      </c>
      <c r="AT96" s="427">
        <v>0</v>
      </c>
      <c r="AU96" s="427">
        <v>0</v>
      </c>
      <c r="AV96" s="427">
        <v>0</v>
      </c>
      <c r="AW96" s="427">
        <v>0</v>
      </c>
      <c r="AX96" s="427">
        <v>0</v>
      </c>
      <c r="AY96" s="427">
        <v>0</v>
      </c>
      <c r="AZ96" s="427">
        <v>0</v>
      </c>
      <c r="BA96" s="427">
        <v>0</v>
      </c>
      <c r="BB96" s="427">
        <v>0</v>
      </c>
      <c r="BC96" s="427">
        <v>0</v>
      </c>
      <c r="BD96" s="427">
        <v>0</v>
      </c>
      <c r="BE96" s="427">
        <v>0</v>
      </c>
      <c r="BF96" s="427">
        <v>0</v>
      </c>
      <c r="BG96" s="427">
        <v>0</v>
      </c>
      <c r="BH96" s="427">
        <v>0</v>
      </c>
      <c r="BI96" s="427">
        <v>0</v>
      </c>
      <c r="BJ96" s="427">
        <v>0</v>
      </c>
      <c r="BK96" s="427">
        <v>0</v>
      </c>
      <c r="BL96" s="427">
        <v>0</v>
      </c>
      <c r="BM96" s="427">
        <v>0</v>
      </c>
      <c r="BN96" s="427">
        <v>0</v>
      </c>
      <c r="BO96" s="427">
        <v>0</v>
      </c>
      <c r="BP96" s="427">
        <v>0</v>
      </c>
      <c r="BQ96" s="427">
        <v>0</v>
      </c>
      <c r="BR96" s="427">
        <v>0</v>
      </c>
      <c r="BS96" s="427">
        <v>0</v>
      </c>
      <c r="BT96" s="427">
        <v>0</v>
      </c>
      <c r="BU96" s="427">
        <v>0</v>
      </c>
      <c r="BV96" s="427">
        <v>0</v>
      </c>
      <c r="BW96" s="427">
        <v>0</v>
      </c>
      <c r="BX96" s="427">
        <v>0</v>
      </c>
      <c r="BY96" s="427">
        <v>0</v>
      </c>
      <c r="BZ96" s="427">
        <v>0</v>
      </c>
      <c r="CA96" s="427">
        <v>0</v>
      </c>
      <c r="CB96" s="427">
        <v>0</v>
      </c>
      <c r="CC96" s="427">
        <v>0</v>
      </c>
      <c r="CD96" s="427">
        <v>0</v>
      </c>
      <c r="CE96" s="427">
        <v>0</v>
      </c>
      <c r="CF96" s="427">
        <v>0</v>
      </c>
      <c r="CG96" s="427">
        <v>0</v>
      </c>
      <c r="CH96" s="427">
        <v>0</v>
      </c>
      <c r="CI96" s="427">
        <v>0</v>
      </c>
      <c r="CJ96" s="427">
        <v>0</v>
      </c>
      <c r="CK96" s="428">
        <v>0</v>
      </c>
      <c r="CL96" s="428">
        <v>0</v>
      </c>
      <c r="CM96" s="428">
        <v>0</v>
      </c>
      <c r="CN96" s="428">
        <v>0</v>
      </c>
      <c r="CO96" s="428">
        <v>0</v>
      </c>
      <c r="CP96" s="428">
        <v>0</v>
      </c>
      <c r="CQ96" s="428">
        <v>0</v>
      </c>
      <c r="CR96" s="428">
        <v>0</v>
      </c>
      <c r="CS96" s="428">
        <v>0</v>
      </c>
      <c r="CT96" s="428">
        <v>0</v>
      </c>
      <c r="CU96" s="428">
        <v>0</v>
      </c>
      <c r="CV96" s="428">
        <v>0</v>
      </c>
      <c r="CW96" s="428">
        <v>0</v>
      </c>
      <c r="CX96" s="428"/>
      <c r="CY96" s="428"/>
      <c r="CZ96" s="428"/>
      <c r="DA96" s="428"/>
      <c r="DB96" s="428"/>
      <c r="DC96" s="428"/>
      <c r="DD96" s="428"/>
      <c r="DE96" s="428"/>
      <c r="DF96" s="428"/>
      <c r="DG96" s="428"/>
      <c r="DH96" s="428"/>
      <c r="DI96" s="428"/>
    </row>
    <row r="97" spans="1:113" s="388" customFormat="1">
      <c r="A97" s="421" t="s">
        <v>370</v>
      </c>
      <c r="B97" s="421" t="s">
        <v>11</v>
      </c>
      <c r="C97" s="421" t="s">
        <v>421</v>
      </c>
      <c r="D97" s="422" t="s">
        <v>376</v>
      </c>
      <c r="E97" s="422">
        <v>2019</v>
      </c>
      <c r="F97" s="423">
        <v>0.67403358398631319</v>
      </c>
      <c r="G97" s="424">
        <v>2919.3928424157311</v>
      </c>
      <c r="H97" s="422">
        <v>13</v>
      </c>
      <c r="I97" s="425">
        <v>0.62999999999999978</v>
      </c>
      <c r="J97" s="425">
        <v>0.62999999999999978</v>
      </c>
      <c r="K97" s="422">
        <v>0</v>
      </c>
      <c r="L97" s="422">
        <v>0</v>
      </c>
      <c r="M97" s="422">
        <v>0</v>
      </c>
      <c r="N97" s="426">
        <v>0</v>
      </c>
      <c r="O97" s="426">
        <v>0</v>
      </c>
      <c r="P97" s="426">
        <v>0</v>
      </c>
      <c r="Q97" s="426">
        <v>0</v>
      </c>
      <c r="R97" s="426">
        <v>0</v>
      </c>
      <c r="S97" s="426">
        <v>0</v>
      </c>
      <c r="T97" s="426">
        <v>0</v>
      </c>
      <c r="U97" s="426">
        <v>0</v>
      </c>
      <c r="V97" s="426">
        <v>0</v>
      </c>
      <c r="W97" s="426">
        <v>0</v>
      </c>
      <c r="X97" s="426">
        <v>0</v>
      </c>
      <c r="Y97" s="426">
        <v>0</v>
      </c>
      <c r="Z97" s="426">
        <v>0</v>
      </c>
      <c r="AA97" s="426">
        <v>0</v>
      </c>
      <c r="AB97" s="426">
        <v>0</v>
      </c>
      <c r="AC97" s="426">
        <v>0</v>
      </c>
      <c r="AD97" s="426">
        <v>0</v>
      </c>
      <c r="AE97" s="426">
        <v>0</v>
      </c>
      <c r="AF97" s="426">
        <v>0</v>
      </c>
      <c r="AG97" s="426">
        <v>0</v>
      </c>
      <c r="AH97" s="426">
        <v>0</v>
      </c>
      <c r="AI97" s="426">
        <v>0</v>
      </c>
      <c r="AJ97" s="426">
        <v>0</v>
      </c>
      <c r="AK97" s="426">
        <v>0</v>
      </c>
      <c r="AL97" s="426">
        <v>0</v>
      </c>
      <c r="AM97" s="427">
        <v>0</v>
      </c>
      <c r="AN97" s="427">
        <v>0</v>
      </c>
      <c r="AO97" s="427">
        <v>0</v>
      </c>
      <c r="AP97" s="427">
        <v>0</v>
      </c>
      <c r="AQ97" s="427">
        <v>0</v>
      </c>
      <c r="AR97" s="427">
        <v>0</v>
      </c>
      <c r="AS97" s="427">
        <v>0</v>
      </c>
      <c r="AT97" s="427">
        <v>0</v>
      </c>
      <c r="AU97" s="427">
        <v>0</v>
      </c>
      <c r="AV97" s="427">
        <v>0</v>
      </c>
      <c r="AW97" s="427">
        <v>0</v>
      </c>
      <c r="AX97" s="427">
        <v>0</v>
      </c>
      <c r="AY97" s="427">
        <v>0</v>
      </c>
      <c r="AZ97" s="427">
        <v>0</v>
      </c>
      <c r="BA97" s="427">
        <v>0</v>
      </c>
      <c r="BB97" s="427">
        <v>0</v>
      </c>
      <c r="BC97" s="427">
        <v>0</v>
      </c>
      <c r="BD97" s="427">
        <v>0</v>
      </c>
      <c r="BE97" s="427">
        <v>0</v>
      </c>
      <c r="BF97" s="427">
        <v>0</v>
      </c>
      <c r="BG97" s="427">
        <v>0</v>
      </c>
      <c r="BH97" s="427">
        <v>0</v>
      </c>
      <c r="BI97" s="427">
        <v>0</v>
      </c>
      <c r="BJ97" s="427">
        <v>0</v>
      </c>
      <c r="BK97" s="427">
        <v>0</v>
      </c>
      <c r="BL97" s="427">
        <v>0</v>
      </c>
      <c r="BM97" s="427">
        <v>0</v>
      </c>
      <c r="BN97" s="427">
        <v>0</v>
      </c>
      <c r="BO97" s="427">
        <v>0</v>
      </c>
      <c r="BP97" s="427">
        <v>0</v>
      </c>
      <c r="BQ97" s="427">
        <v>0</v>
      </c>
      <c r="BR97" s="427">
        <v>0</v>
      </c>
      <c r="BS97" s="427">
        <v>0</v>
      </c>
      <c r="BT97" s="427">
        <v>0</v>
      </c>
      <c r="BU97" s="427">
        <v>0</v>
      </c>
      <c r="BV97" s="427">
        <v>0</v>
      </c>
      <c r="BW97" s="427">
        <v>0</v>
      </c>
      <c r="BX97" s="427">
        <v>0</v>
      </c>
      <c r="BY97" s="427">
        <v>0</v>
      </c>
      <c r="BZ97" s="427">
        <v>0</v>
      </c>
      <c r="CA97" s="427">
        <v>0</v>
      </c>
      <c r="CB97" s="427">
        <v>0</v>
      </c>
      <c r="CC97" s="427">
        <v>0</v>
      </c>
      <c r="CD97" s="427">
        <v>0</v>
      </c>
      <c r="CE97" s="427">
        <v>0</v>
      </c>
      <c r="CF97" s="427">
        <v>0</v>
      </c>
      <c r="CG97" s="427">
        <v>0</v>
      </c>
      <c r="CH97" s="427">
        <v>0</v>
      </c>
      <c r="CI97" s="427">
        <v>0</v>
      </c>
      <c r="CJ97" s="427">
        <v>0</v>
      </c>
      <c r="CK97" s="428">
        <v>0</v>
      </c>
      <c r="CL97" s="428">
        <v>0</v>
      </c>
      <c r="CM97" s="428">
        <v>0</v>
      </c>
      <c r="CN97" s="428">
        <v>0</v>
      </c>
      <c r="CO97" s="428">
        <v>0</v>
      </c>
      <c r="CP97" s="428">
        <v>0</v>
      </c>
      <c r="CQ97" s="428">
        <v>0</v>
      </c>
      <c r="CR97" s="428">
        <v>0</v>
      </c>
      <c r="CS97" s="428">
        <v>0</v>
      </c>
      <c r="CT97" s="428">
        <v>0</v>
      </c>
      <c r="CU97" s="428">
        <v>0</v>
      </c>
      <c r="CV97" s="428">
        <v>0</v>
      </c>
      <c r="CW97" s="428">
        <v>0</v>
      </c>
      <c r="CX97" s="428"/>
      <c r="CY97" s="428"/>
      <c r="CZ97" s="428"/>
      <c r="DA97" s="428"/>
      <c r="DB97" s="428"/>
      <c r="DC97" s="428"/>
      <c r="DD97" s="428"/>
      <c r="DE97" s="428"/>
      <c r="DF97" s="428"/>
      <c r="DG97" s="428"/>
      <c r="DH97" s="428"/>
      <c r="DI97" s="428"/>
    </row>
    <row r="98" spans="1:113" s="388" customFormat="1">
      <c r="A98" s="421" t="s">
        <v>370</v>
      </c>
      <c r="B98" s="421" t="s">
        <v>11</v>
      </c>
      <c r="C98" s="421" t="s">
        <v>421</v>
      </c>
      <c r="D98" s="422" t="s">
        <v>376</v>
      </c>
      <c r="E98" s="422">
        <v>2020</v>
      </c>
      <c r="F98" s="423">
        <v>0.67403358398631319</v>
      </c>
      <c r="G98" s="424">
        <v>2919.3928424157311</v>
      </c>
      <c r="H98" s="422">
        <v>13</v>
      </c>
      <c r="I98" s="425">
        <v>0.62999999999999978</v>
      </c>
      <c r="J98" s="425">
        <v>0.62999999999999978</v>
      </c>
      <c r="K98" s="422">
        <v>0</v>
      </c>
      <c r="L98" s="422">
        <v>0</v>
      </c>
      <c r="M98" s="422">
        <v>0</v>
      </c>
      <c r="N98" s="426">
        <v>0</v>
      </c>
      <c r="O98" s="426">
        <v>0</v>
      </c>
      <c r="P98" s="426">
        <v>0</v>
      </c>
      <c r="Q98" s="426">
        <v>0</v>
      </c>
      <c r="R98" s="426">
        <v>0</v>
      </c>
      <c r="S98" s="426">
        <v>0</v>
      </c>
      <c r="T98" s="426">
        <v>0</v>
      </c>
      <c r="U98" s="426">
        <v>0</v>
      </c>
      <c r="V98" s="426">
        <v>0</v>
      </c>
      <c r="W98" s="426">
        <v>0</v>
      </c>
      <c r="X98" s="426">
        <v>0</v>
      </c>
      <c r="Y98" s="426">
        <v>0</v>
      </c>
      <c r="Z98" s="426">
        <v>0</v>
      </c>
      <c r="AA98" s="426">
        <v>0</v>
      </c>
      <c r="AB98" s="426">
        <v>0</v>
      </c>
      <c r="AC98" s="426">
        <v>0</v>
      </c>
      <c r="AD98" s="426">
        <v>0</v>
      </c>
      <c r="AE98" s="426">
        <v>0</v>
      </c>
      <c r="AF98" s="426">
        <v>0</v>
      </c>
      <c r="AG98" s="426">
        <v>0</v>
      </c>
      <c r="AH98" s="426">
        <v>0</v>
      </c>
      <c r="AI98" s="426">
        <v>0</v>
      </c>
      <c r="AJ98" s="426">
        <v>0</v>
      </c>
      <c r="AK98" s="426">
        <v>0</v>
      </c>
      <c r="AL98" s="426">
        <v>0</v>
      </c>
      <c r="AM98" s="427">
        <v>0</v>
      </c>
      <c r="AN98" s="427">
        <v>0</v>
      </c>
      <c r="AO98" s="427">
        <v>0</v>
      </c>
      <c r="AP98" s="427">
        <v>0</v>
      </c>
      <c r="AQ98" s="427">
        <v>0</v>
      </c>
      <c r="AR98" s="427">
        <v>0</v>
      </c>
      <c r="AS98" s="427">
        <v>0</v>
      </c>
      <c r="AT98" s="427">
        <v>0</v>
      </c>
      <c r="AU98" s="427">
        <v>0</v>
      </c>
      <c r="AV98" s="427">
        <v>0</v>
      </c>
      <c r="AW98" s="427">
        <v>0</v>
      </c>
      <c r="AX98" s="427">
        <v>0</v>
      </c>
      <c r="AY98" s="427">
        <v>0</v>
      </c>
      <c r="AZ98" s="427">
        <v>0</v>
      </c>
      <c r="BA98" s="427">
        <v>0</v>
      </c>
      <c r="BB98" s="427">
        <v>0</v>
      </c>
      <c r="BC98" s="427">
        <v>0</v>
      </c>
      <c r="BD98" s="427">
        <v>0</v>
      </c>
      <c r="BE98" s="427">
        <v>0</v>
      </c>
      <c r="BF98" s="427">
        <v>0</v>
      </c>
      <c r="BG98" s="427">
        <v>0</v>
      </c>
      <c r="BH98" s="427">
        <v>0</v>
      </c>
      <c r="BI98" s="427">
        <v>0</v>
      </c>
      <c r="BJ98" s="427">
        <v>0</v>
      </c>
      <c r="BK98" s="427">
        <v>0</v>
      </c>
      <c r="BL98" s="427">
        <v>0</v>
      </c>
      <c r="BM98" s="427">
        <v>0</v>
      </c>
      <c r="BN98" s="427">
        <v>0</v>
      </c>
      <c r="BO98" s="427">
        <v>0</v>
      </c>
      <c r="BP98" s="427">
        <v>0</v>
      </c>
      <c r="BQ98" s="427">
        <v>0</v>
      </c>
      <c r="BR98" s="427">
        <v>0</v>
      </c>
      <c r="BS98" s="427">
        <v>0</v>
      </c>
      <c r="BT98" s="427">
        <v>0</v>
      </c>
      <c r="BU98" s="427">
        <v>0</v>
      </c>
      <c r="BV98" s="427">
        <v>0</v>
      </c>
      <c r="BW98" s="427">
        <v>0</v>
      </c>
      <c r="BX98" s="427">
        <v>0</v>
      </c>
      <c r="BY98" s="427">
        <v>0</v>
      </c>
      <c r="BZ98" s="427">
        <v>0</v>
      </c>
      <c r="CA98" s="427">
        <v>0</v>
      </c>
      <c r="CB98" s="427">
        <v>0</v>
      </c>
      <c r="CC98" s="427">
        <v>0</v>
      </c>
      <c r="CD98" s="427">
        <v>0</v>
      </c>
      <c r="CE98" s="427">
        <v>0</v>
      </c>
      <c r="CF98" s="427">
        <v>0</v>
      </c>
      <c r="CG98" s="427">
        <v>0</v>
      </c>
      <c r="CH98" s="427">
        <v>0</v>
      </c>
      <c r="CI98" s="427">
        <v>0</v>
      </c>
      <c r="CJ98" s="427">
        <v>0</v>
      </c>
      <c r="CK98" s="428">
        <v>0</v>
      </c>
      <c r="CL98" s="428">
        <v>0</v>
      </c>
      <c r="CM98" s="428">
        <v>0</v>
      </c>
      <c r="CN98" s="428">
        <v>0</v>
      </c>
      <c r="CO98" s="428">
        <v>0</v>
      </c>
      <c r="CP98" s="428">
        <v>0</v>
      </c>
      <c r="CQ98" s="428">
        <v>0</v>
      </c>
      <c r="CR98" s="428">
        <v>0</v>
      </c>
      <c r="CS98" s="428">
        <v>0</v>
      </c>
      <c r="CT98" s="428">
        <v>0</v>
      </c>
      <c r="CU98" s="428">
        <v>0</v>
      </c>
      <c r="CV98" s="428">
        <v>0</v>
      </c>
      <c r="CW98" s="428">
        <v>0</v>
      </c>
      <c r="CX98" s="428"/>
      <c r="CY98" s="428"/>
      <c r="CZ98" s="428"/>
      <c r="DA98" s="428"/>
      <c r="DB98" s="428"/>
      <c r="DC98" s="428"/>
      <c r="DD98" s="428"/>
      <c r="DE98" s="428"/>
      <c r="DF98" s="428"/>
      <c r="DG98" s="428"/>
      <c r="DH98" s="428"/>
      <c r="DI98" s="428"/>
    </row>
    <row r="99" spans="1:113" s="388" customFormat="1">
      <c r="A99" s="421" t="s">
        <v>370</v>
      </c>
      <c r="B99" s="421" t="s">
        <v>23</v>
      </c>
      <c r="C99" s="421" t="s">
        <v>424</v>
      </c>
      <c r="D99" s="422" t="s">
        <v>376</v>
      </c>
      <c r="E99" s="422">
        <v>2015</v>
      </c>
      <c r="F99" s="423">
        <v>0.91174494444871801</v>
      </c>
      <c r="G99" s="424">
        <v>784.39508333084814</v>
      </c>
      <c r="H99" s="422">
        <v>9</v>
      </c>
      <c r="I99" s="425">
        <v>1</v>
      </c>
      <c r="J99" s="425">
        <v>1</v>
      </c>
      <c r="K99" s="422">
        <v>0</v>
      </c>
      <c r="L99" s="422">
        <v>0</v>
      </c>
      <c r="M99" s="422">
        <v>0</v>
      </c>
      <c r="N99" s="426">
        <v>0</v>
      </c>
      <c r="O99" s="426">
        <v>39.088743599087593</v>
      </c>
      <c r="P99" s="426">
        <v>39.088743599087593</v>
      </c>
      <c r="Q99" s="426">
        <v>39.088743599087593</v>
      </c>
      <c r="R99" s="426">
        <v>39.088743599087593</v>
      </c>
      <c r="S99" s="426">
        <v>39.088743599087593</v>
      </c>
      <c r="T99" s="426">
        <v>39.088743599087593</v>
      </c>
      <c r="U99" s="426">
        <v>39.088743599087593</v>
      </c>
      <c r="V99" s="426">
        <v>39.088743599087593</v>
      </c>
      <c r="W99" s="426">
        <v>39.088743599087593</v>
      </c>
      <c r="X99" s="426">
        <v>0</v>
      </c>
      <c r="Y99" s="426">
        <v>0</v>
      </c>
      <c r="Z99" s="426">
        <v>0</v>
      </c>
      <c r="AA99" s="426">
        <v>0</v>
      </c>
      <c r="AB99" s="426">
        <v>0</v>
      </c>
      <c r="AC99" s="426">
        <v>0</v>
      </c>
      <c r="AD99" s="426">
        <v>0</v>
      </c>
      <c r="AE99" s="426">
        <v>0</v>
      </c>
      <c r="AF99" s="426">
        <v>0</v>
      </c>
      <c r="AG99" s="426">
        <v>0</v>
      </c>
      <c r="AH99" s="426">
        <v>0</v>
      </c>
      <c r="AI99" s="426">
        <v>0</v>
      </c>
      <c r="AJ99" s="426">
        <v>0</v>
      </c>
      <c r="AK99" s="426">
        <v>0</v>
      </c>
      <c r="AL99" s="426">
        <v>0</v>
      </c>
      <c r="AM99" s="427">
        <v>0</v>
      </c>
      <c r="AN99" s="427">
        <v>0</v>
      </c>
      <c r="AO99" s="427">
        <v>0</v>
      </c>
      <c r="AP99" s="427">
        <v>0</v>
      </c>
      <c r="AQ99" s="427">
        <v>0</v>
      </c>
      <c r="AR99" s="427">
        <v>0</v>
      </c>
      <c r="AS99" s="427">
        <v>0</v>
      </c>
      <c r="AT99" s="427">
        <v>0</v>
      </c>
      <c r="AU99" s="427">
        <v>0</v>
      </c>
      <c r="AV99" s="427">
        <v>0</v>
      </c>
      <c r="AW99" s="427">
        <v>0</v>
      </c>
      <c r="AX99" s="427">
        <v>0</v>
      </c>
      <c r="AY99" s="427">
        <v>0</v>
      </c>
      <c r="AZ99" s="427">
        <v>0</v>
      </c>
      <c r="BA99" s="427">
        <v>0</v>
      </c>
      <c r="BB99" s="427">
        <v>0</v>
      </c>
      <c r="BC99" s="427">
        <v>0</v>
      </c>
      <c r="BD99" s="427">
        <v>0</v>
      </c>
      <c r="BE99" s="427">
        <v>0</v>
      </c>
      <c r="BF99" s="427">
        <v>0</v>
      </c>
      <c r="BG99" s="427">
        <v>0</v>
      </c>
      <c r="BH99" s="427">
        <v>0</v>
      </c>
      <c r="BI99" s="427">
        <v>0</v>
      </c>
      <c r="BJ99" s="427">
        <v>0</v>
      </c>
      <c r="BK99" s="427">
        <v>0</v>
      </c>
      <c r="BL99" s="427">
        <v>0</v>
      </c>
      <c r="BM99" s="427">
        <v>0</v>
      </c>
      <c r="BN99" s="427">
        <v>0</v>
      </c>
      <c r="BO99" s="427">
        <v>0</v>
      </c>
      <c r="BP99" s="427">
        <v>0</v>
      </c>
      <c r="BQ99" s="427">
        <v>0</v>
      </c>
      <c r="BR99" s="427">
        <v>0</v>
      </c>
      <c r="BS99" s="427">
        <v>0</v>
      </c>
      <c r="BT99" s="427">
        <v>0</v>
      </c>
      <c r="BU99" s="427">
        <v>0</v>
      </c>
      <c r="BV99" s="427">
        <v>0</v>
      </c>
      <c r="BW99" s="427">
        <v>0</v>
      </c>
      <c r="BX99" s="427">
        <v>0</v>
      </c>
      <c r="BY99" s="427">
        <v>0</v>
      </c>
      <c r="BZ99" s="427">
        <v>0</v>
      </c>
      <c r="CA99" s="427">
        <v>0</v>
      </c>
      <c r="CB99" s="427">
        <v>0</v>
      </c>
      <c r="CC99" s="427">
        <v>0</v>
      </c>
      <c r="CD99" s="427">
        <v>0</v>
      </c>
      <c r="CE99" s="427">
        <v>0</v>
      </c>
      <c r="CF99" s="427">
        <v>0</v>
      </c>
      <c r="CG99" s="427">
        <v>0</v>
      </c>
      <c r="CH99" s="427">
        <v>0</v>
      </c>
      <c r="CI99" s="427">
        <v>0</v>
      </c>
      <c r="CJ99" s="427">
        <v>0</v>
      </c>
      <c r="CK99" s="428">
        <v>0</v>
      </c>
      <c r="CL99" s="428">
        <v>0</v>
      </c>
      <c r="CM99" s="428">
        <v>0</v>
      </c>
      <c r="CN99" s="428">
        <v>0</v>
      </c>
      <c r="CO99" s="428">
        <v>0</v>
      </c>
      <c r="CP99" s="428">
        <v>0</v>
      </c>
      <c r="CQ99" s="428">
        <v>0</v>
      </c>
      <c r="CR99" s="428">
        <v>0</v>
      </c>
      <c r="CS99" s="428">
        <v>0</v>
      </c>
      <c r="CT99" s="428">
        <v>0</v>
      </c>
      <c r="CU99" s="428">
        <v>0</v>
      </c>
      <c r="CV99" s="428">
        <v>0</v>
      </c>
      <c r="CW99" s="428">
        <v>0</v>
      </c>
      <c r="CX99" s="428"/>
      <c r="CY99" s="428"/>
      <c r="CZ99" s="428"/>
      <c r="DA99" s="428"/>
      <c r="DB99" s="428"/>
      <c r="DC99" s="428"/>
      <c r="DD99" s="428"/>
      <c r="DE99" s="428"/>
      <c r="DF99" s="428"/>
      <c r="DG99" s="428"/>
      <c r="DH99" s="428"/>
      <c r="DI99" s="428"/>
    </row>
    <row r="100" spans="1:113" s="388" customFormat="1">
      <c r="A100" s="421" t="s">
        <v>370</v>
      </c>
      <c r="B100" s="421" t="s">
        <v>23</v>
      </c>
      <c r="C100" s="421" t="s">
        <v>424</v>
      </c>
      <c r="D100" s="422" t="s">
        <v>376</v>
      </c>
      <c r="E100" s="422">
        <v>2016</v>
      </c>
      <c r="F100" s="423">
        <v>0.91174494444871801</v>
      </c>
      <c r="G100" s="424">
        <v>784.39508333084814</v>
      </c>
      <c r="H100" s="422">
        <v>9</v>
      </c>
      <c r="I100" s="425">
        <v>1</v>
      </c>
      <c r="J100" s="425">
        <v>1</v>
      </c>
      <c r="K100" s="422">
        <v>0</v>
      </c>
      <c r="L100" s="422">
        <v>0</v>
      </c>
      <c r="M100" s="422">
        <v>0</v>
      </c>
      <c r="N100" s="426">
        <v>40</v>
      </c>
      <c r="O100" s="426">
        <v>0</v>
      </c>
      <c r="P100" s="426">
        <v>39.088743599087593</v>
      </c>
      <c r="Q100" s="426">
        <v>39.088743599087593</v>
      </c>
      <c r="R100" s="426">
        <v>39.088743599087593</v>
      </c>
      <c r="S100" s="426">
        <v>39.088743599087593</v>
      </c>
      <c r="T100" s="426">
        <v>39.088743599087593</v>
      </c>
      <c r="U100" s="426">
        <v>39.088743599087593</v>
      </c>
      <c r="V100" s="426">
        <v>39.088743599087593</v>
      </c>
      <c r="W100" s="426">
        <v>39.088743599087593</v>
      </c>
      <c r="X100" s="426">
        <v>39.088743599087593</v>
      </c>
      <c r="Y100" s="426">
        <v>0</v>
      </c>
      <c r="Z100" s="426">
        <v>0</v>
      </c>
      <c r="AA100" s="426">
        <v>0</v>
      </c>
      <c r="AB100" s="426">
        <v>0</v>
      </c>
      <c r="AC100" s="426">
        <v>0</v>
      </c>
      <c r="AD100" s="426">
        <v>0</v>
      </c>
      <c r="AE100" s="426">
        <v>0</v>
      </c>
      <c r="AF100" s="426">
        <v>0</v>
      </c>
      <c r="AG100" s="426">
        <v>0</v>
      </c>
      <c r="AH100" s="426">
        <v>0</v>
      </c>
      <c r="AI100" s="426">
        <v>0</v>
      </c>
      <c r="AJ100" s="426">
        <v>0</v>
      </c>
      <c r="AK100" s="426">
        <v>0</v>
      </c>
      <c r="AL100" s="426">
        <v>0</v>
      </c>
      <c r="AM100" s="427">
        <v>0</v>
      </c>
      <c r="AN100" s="427">
        <v>0</v>
      </c>
      <c r="AO100" s="427">
        <v>33628.9424793504</v>
      </c>
      <c r="AP100" s="427">
        <v>33628.9424793504</v>
      </c>
      <c r="AQ100" s="427">
        <v>33628.9424793504</v>
      </c>
      <c r="AR100" s="427">
        <v>33628.9424793504</v>
      </c>
      <c r="AS100" s="427">
        <v>33628.9424793504</v>
      </c>
      <c r="AT100" s="427">
        <v>33628.9424793504</v>
      </c>
      <c r="AU100" s="427">
        <v>33628.9424793504</v>
      </c>
      <c r="AV100" s="427">
        <v>33628.9424793504</v>
      </c>
      <c r="AW100" s="427">
        <v>33628.9424793504</v>
      </c>
      <c r="AX100" s="427">
        <v>0</v>
      </c>
      <c r="AY100" s="427">
        <v>0</v>
      </c>
      <c r="AZ100" s="427">
        <v>0</v>
      </c>
      <c r="BA100" s="427">
        <v>0</v>
      </c>
      <c r="BB100" s="427">
        <v>0</v>
      </c>
      <c r="BC100" s="427">
        <v>0</v>
      </c>
      <c r="BD100" s="427">
        <v>0</v>
      </c>
      <c r="BE100" s="427">
        <v>0</v>
      </c>
      <c r="BF100" s="427">
        <v>0</v>
      </c>
      <c r="BG100" s="427">
        <v>0</v>
      </c>
      <c r="BH100" s="427">
        <v>0</v>
      </c>
      <c r="BI100" s="427">
        <v>0</v>
      </c>
      <c r="BJ100" s="427">
        <v>0</v>
      </c>
      <c r="BK100" s="427">
        <v>0</v>
      </c>
      <c r="BL100" s="427">
        <v>0</v>
      </c>
      <c r="BM100" s="427">
        <v>0</v>
      </c>
      <c r="BN100" s="427">
        <v>0</v>
      </c>
      <c r="BO100" s="427">
        <v>0</v>
      </c>
      <c r="BP100" s="427">
        <v>0</v>
      </c>
      <c r="BQ100" s="427">
        <v>0</v>
      </c>
      <c r="BR100" s="427">
        <v>0</v>
      </c>
      <c r="BS100" s="427">
        <v>0</v>
      </c>
      <c r="BT100" s="427">
        <v>0</v>
      </c>
      <c r="BU100" s="427">
        <v>0</v>
      </c>
      <c r="BV100" s="427">
        <v>0</v>
      </c>
      <c r="BW100" s="427">
        <v>0</v>
      </c>
      <c r="BX100" s="427">
        <v>0</v>
      </c>
      <c r="BY100" s="427">
        <v>0</v>
      </c>
      <c r="BZ100" s="427">
        <v>0</v>
      </c>
      <c r="CA100" s="427">
        <v>0</v>
      </c>
      <c r="CB100" s="427">
        <v>0</v>
      </c>
      <c r="CC100" s="427">
        <v>0</v>
      </c>
      <c r="CD100" s="427">
        <v>0</v>
      </c>
      <c r="CE100" s="427">
        <v>0</v>
      </c>
      <c r="CF100" s="427">
        <v>0</v>
      </c>
      <c r="CG100" s="427">
        <v>0</v>
      </c>
      <c r="CH100" s="427">
        <v>0</v>
      </c>
      <c r="CI100" s="427">
        <v>0</v>
      </c>
      <c r="CJ100" s="427">
        <v>0</v>
      </c>
      <c r="CK100" s="428">
        <v>0</v>
      </c>
      <c r="CL100" s="428">
        <v>0</v>
      </c>
      <c r="CM100" s="428">
        <v>0</v>
      </c>
      <c r="CN100" s="428">
        <v>0</v>
      </c>
      <c r="CO100" s="428">
        <v>0</v>
      </c>
      <c r="CP100" s="428">
        <v>0</v>
      </c>
      <c r="CQ100" s="428">
        <v>0</v>
      </c>
      <c r="CR100" s="428">
        <v>0</v>
      </c>
      <c r="CS100" s="428">
        <v>0</v>
      </c>
      <c r="CT100" s="428">
        <v>0</v>
      </c>
      <c r="CU100" s="428">
        <v>0</v>
      </c>
      <c r="CV100" s="428">
        <v>0</v>
      </c>
      <c r="CW100" s="428">
        <v>0</v>
      </c>
      <c r="CX100" s="428"/>
      <c r="CY100" s="428"/>
      <c r="CZ100" s="428"/>
      <c r="DA100" s="428"/>
      <c r="DB100" s="428"/>
      <c r="DC100" s="428"/>
      <c r="DD100" s="428"/>
      <c r="DE100" s="428"/>
      <c r="DF100" s="428"/>
      <c r="DG100" s="428"/>
      <c r="DH100" s="428"/>
      <c r="DI100" s="428"/>
    </row>
    <row r="101" spans="1:113" s="388" customFormat="1">
      <c r="A101" s="421" t="s">
        <v>370</v>
      </c>
      <c r="B101" s="421" t="s">
        <v>23</v>
      </c>
      <c r="C101" s="421" t="s">
        <v>424</v>
      </c>
      <c r="D101" s="422" t="s">
        <v>376</v>
      </c>
      <c r="E101" s="422">
        <v>2017</v>
      </c>
      <c r="F101" s="423">
        <v>0.91174494444871801</v>
      </c>
      <c r="G101" s="424">
        <v>784.39508333084814</v>
      </c>
      <c r="H101" s="422">
        <v>9</v>
      </c>
      <c r="I101" s="425">
        <v>1</v>
      </c>
      <c r="J101" s="425">
        <v>1</v>
      </c>
      <c r="K101" s="422">
        <v>0</v>
      </c>
      <c r="L101" s="422">
        <v>0</v>
      </c>
      <c r="M101" s="422">
        <v>0</v>
      </c>
      <c r="N101" s="426">
        <v>40</v>
      </c>
      <c r="O101" s="426">
        <v>0</v>
      </c>
      <c r="P101" s="426">
        <v>0</v>
      </c>
      <c r="Q101" s="426">
        <v>39.088743599087593</v>
      </c>
      <c r="R101" s="426">
        <v>39.088743599087593</v>
      </c>
      <c r="S101" s="426">
        <v>39.088743599087593</v>
      </c>
      <c r="T101" s="426">
        <v>39.088743599087593</v>
      </c>
      <c r="U101" s="426">
        <v>39.088743599087593</v>
      </c>
      <c r="V101" s="426">
        <v>39.088743599087593</v>
      </c>
      <c r="W101" s="426">
        <v>39.088743599087593</v>
      </c>
      <c r="X101" s="426">
        <v>39.088743599087593</v>
      </c>
      <c r="Y101" s="426">
        <v>39.088743599087593</v>
      </c>
      <c r="Z101" s="426">
        <v>0</v>
      </c>
      <c r="AA101" s="426">
        <v>0</v>
      </c>
      <c r="AB101" s="426">
        <v>0</v>
      </c>
      <c r="AC101" s="426">
        <v>0</v>
      </c>
      <c r="AD101" s="426">
        <v>0</v>
      </c>
      <c r="AE101" s="426">
        <v>0</v>
      </c>
      <c r="AF101" s="426">
        <v>0</v>
      </c>
      <c r="AG101" s="426">
        <v>0</v>
      </c>
      <c r="AH101" s="426">
        <v>0</v>
      </c>
      <c r="AI101" s="426">
        <v>0</v>
      </c>
      <c r="AJ101" s="426">
        <v>0</v>
      </c>
      <c r="AK101" s="426">
        <v>0</v>
      </c>
      <c r="AL101" s="426">
        <v>0</v>
      </c>
      <c r="AM101" s="427">
        <v>0</v>
      </c>
      <c r="AN101" s="427">
        <v>0</v>
      </c>
      <c r="AO101" s="427">
        <v>0</v>
      </c>
      <c r="AP101" s="427">
        <v>33628.9424793504</v>
      </c>
      <c r="AQ101" s="427">
        <v>33628.9424793504</v>
      </c>
      <c r="AR101" s="427">
        <v>33628.9424793504</v>
      </c>
      <c r="AS101" s="427">
        <v>33628.9424793504</v>
      </c>
      <c r="AT101" s="427">
        <v>33628.9424793504</v>
      </c>
      <c r="AU101" s="427">
        <v>33628.9424793504</v>
      </c>
      <c r="AV101" s="427">
        <v>33628.9424793504</v>
      </c>
      <c r="AW101" s="427">
        <v>33628.9424793504</v>
      </c>
      <c r="AX101" s="427">
        <v>33628.9424793504</v>
      </c>
      <c r="AY101" s="427">
        <v>0</v>
      </c>
      <c r="AZ101" s="427">
        <v>0</v>
      </c>
      <c r="BA101" s="427">
        <v>0</v>
      </c>
      <c r="BB101" s="427">
        <v>0</v>
      </c>
      <c r="BC101" s="427">
        <v>0</v>
      </c>
      <c r="BD101" s="427">
        <v>0</v>
      </c>
      <c r="BE101" s="427">
        <v>0</v>
      </c>
      <c r="BF101" s="427">
        <v>0</v>
      </c>
      <c r="BG101" s="427">
        <v>0</v>
      </c>
      <c r="BH101" s="427">
        <v>0</v>
      </c>
      <c r="BI101" s="427">
        <v>0</v>
      </c>
      <c r="BJ101" s="427">
        <v>0</v>
      </c>
      <c r="BK101" s="427">
        <v>0</v>
      </c>
      <c r="BL101" s="427">
        <v>0</v>
      </c>
      <c r="BM101" s="427">
        <v>0</v>
      </c>
      <c r="BN101" s="427">
        <v>0</v>
      </c>
      <c r="BO101" s="427">
        <v>0</v>
      </c>
      <c r="BP101" s="427">
        <v>0</v>
      </c>
      <c r="BQ101" s="427">
        <v>0</v>
      </c>
      <c r="BR101" s="427">
        <v>0</v>
      </c>
      <c r="BS101" s="427">
        <v>0</v>
      </c>
      <c r="BT101" s="427">
        <v>0</v>
      </c>
      <c r="BU101" s="427">
        <v>0</v>
      </c>
      <c r="BV101" s="427">
        <v>0</v>
      </c>
      <c r="BW101" s="427">
        <v>0</v>
      </c>
      <c r="BX101" s="427">
        <v>0</v>
      </c>
      <c r="BY101" s="427">
        <v>0</v>
      </c>
      <c r="BZ101" s="427">
        <v>0</v>
      </c>
      <c r="CA101" s="427">
        <v>0</v>
      </c>
      <c r="CB101" s="427">
        <v>0</v>
      </c>
      <c r="CC101" s="427">
        <v>0</v>
      </c>
      <c r="CD101" s="427">
        <v>0</v>
      </c>
      <c r="CE101" s="427">
        <v>0</v>
      </c>
      <c r="CF101" s="427">
        <v>0</v>
      </c>
      <c r="CG101" s="427">
        <v>0</v>
      </c>
      <c r="CH101" s="427">
        <v>0</v>
      </c>
      <c r="CI101" s="427">
        <v>0</v>
      </c>
      <c r="CJ101" s="427">
        <v>0</v>
      </c>
      <c r="CK101" s="428">
        <v>0</v>
      </c>
      <c r="CL101" s="428">
        <v>0</v>
      </c>
      <c r="CM101" s="428">
        <v>0</v>
      </c>
      <c r="CN101" s="428">
        <v>0</v>
      </c>
      <c r="CO101" s="428">
        <v>0</v>
      </c>
      <c r="CP101" s="428">
        <v>0</v>
      </c>
      <c r="CQ101" s="428">
        <v>0</v>
      </c>
      <c r="CR101" s="428">
        <v>0</v>
      </c>
      <c r="CS101" s="428">
        <v>0</v>
      </c>
      <c r="CT101" s="428">
        <v>0</v>
      </c>
      <c r="CU101" s="428">
        <v>0</v>
      </c>
      <c r="CV101" s="428">
        <v>0</v>
      </c>
      <c r="CW101" s="428">
        <v>0</v>
      </c>
      <c r="CX101" s="428"/>
      <c r="CY101" s="428"/>
      <c r="CZ101" s="428"/>
      <c r="DA101" s="428"/>
      <c r="DB101" s="428"/>
      <c r="DC101" s="428"/>
      <c r="DD101" s="428"/>
      <c r="DE101" s="428"/>
      <c r="DF101" s="428"/>
      <c r="DG101" s="428"/>
      <c r="DH101" s="428"/>
      <c r="DI101" s="428"/>
    </row>
    <row r="102" spans="1:113" s="388" customFormat="1">
      <c r="A102" s="421" t="s">
        <v>370</v>
      </c>
      <c r="B102" s="421" t="s">
        <v>23</v>
      </c>
      <c r="C102" s="421" t="s">
        <v>424</v>
      </c>
      <c r="D102" s="422" t="s">
        <v>376</v>
      </c>
      <c r="E102" s="422">
        <v>2018</v>
      </c>
      <c r="F102" s="423">
        <v>0.91174494444871801</v>
      </c>
      <c r="G102" s="424">
        <v>784.39508333084814</v>
      </c>
      <c r="H102" s="422">
        <v>9</v>
      </c>
      <c r="I102" s="425">
        <v>1</v>
      </c>
      <c r="J102" s="425">
        <v>1</v>
      </c>
      <c r="K102" s="422">
        <v>0</v>
      </c>
      <c r="L102" s="422">
        <v>0</v>
      </c>
      <c r="M102" s="422">
        <v>0</v>
      </c>
      <c r="N102" s="426">
        <v>40</v>
      </c>
      <c r="O102" s="426">
        <v>0</v>
      </c>
      <c r="P102" s="426">
        <v>0</v>
      </c>
      <c r="Q102" s="426">
        <v>0</v>
      </c>
      <c r="R102" s="426">
        <v>39.088743599087593</v>
      </c>
      <c r="S102" s="426">
        <v>39.088743599087593</v>
      </c>
      <c r="T102" s="426">
        <v>39.088743599087593</v>
      </c>
      <c r="U102" s="426">
        <v>39.088743599087593</v>
      </c>
      <c r="V102" s="426">
        <v>39.088743599087593</v>
      </c>
      <c r="W102" s="426">
        <v>39.088743599087593</v>
      </c>
      <c r="X102" s="426">
        <v>39.088743599087593</v>
      </c>
      <c r="Y102" s="426">
        <v>39.088743599087593</v>
      </c>
      <c r="Z102" s="426">
        <v>39.088743599087593</v>
      </c>
      <c r="AA102" s="426">
        <v>0</v>
      </c>
      <c r="AB102" s="426">
        <v>0</v>
      </c>
      <c r="AC102" s="426">
        <v>0</v>
      </c>
      <c r="AD102" s="426">
        <v>0</v>
      </c>
      <c r="AE102" s="426">
        <v>0</v>
      </c>
      <c r="AF102" s="426">
        <v>0</v>
      </c>
      <c r="AG102" s="426">
        <v>0</v>
      </c>
      <c r="AH102" s="426">
        <v>0</v>
      </c>
      <c r="AI102" s="426">
        <v>0</v>
      </c>
      <c r="AJ102" s="426">
        <v>0</v>
      </c>
      <c r="AK102" s="426">
        <v>0</v>
      </c>
      <c r="AL102" s="426">
        <v>0</v>
      </c>
      <c r="AM102" s="427">
        <v>0</v>
      </c>
      <c r="AN102" s="427">
        <v>0</v>
      </c>
      <c r="AO102" s="427">
        <v>0</v>
      </c>
      <c r="AP102" s="427">
        <v>0</v>
      </c>
      <c r="AQ102" s="427">
        <v>33628.9424793504</v>
      </c>
      <c r="AR102" s="427">
        <v>33628.9424793504</v>
      </c>
      <c r="AS102" s="427">
        <v>33628.9424793504</v>
      </c>
      <c r="AT102" s="427">
        <v>33628.9424793504</v>
      </c>
      <c r="AU102" s="427">
        <v>33628.9424793504</v>
      </c>
      <c r="AV102" s="427">
        <v>33628.9424793504</v>
      </c>
      <c r="AW102" s="427">
        <v>33628.9424793504</v>
      </c>
      <c r="AX102" s="427">
        <v>33628.9424793504</v>
      </c>
      <c r="AY102" s="427">
        <v>33628.9424793504</v>
      </c>
      <c r="AZ102" s="427">
        <v>0</v>
      </c>
      <c r="BA102" s="427">
        <v>0</v>
      </c>
      <c r="BB102" s="427">
        <v>0</v>
      </c>
      <c r="BC102" s="427">
        <v>0</v>
      </c>
      <c r="BD102" s="427">
        <v>0</v>
      </c>
      <c r="BE102" s="427">
        <v>0</v>
      </c>
      <c r="BF102" s="427">
        <v>0</v>
      </c>
      <c r="BG102" s="427">
        <v>0</v>
      </c>
      <c r="BH102" s="427">
        <v>0</v>
      </c>
      <c r="BI102" s="427">
        <v>0</v>
      </c>
      <c r="BJ102" s="427">
        <v>0</v>
      </c>
      <c r="BK102" s="427">
        <v>0</v>
      </c>
      <c r="BL102" s="427">
        <v>0</v>
      </c>
      <c r="BM102" s="427">
        <v>0</v>
      </c>
      <c r="BN102" s="427">
        <v>0</v>
      </c>
      <c r="BO102" s="427">
        <v>0</v>
      </c>
      <c r="BP102" s="427">
        <v>0</v>
      </c>
      <c r="BQ102" s="427">
        <v>0</v>
      </c>
      <c r="BR102" s="427">
        <v>0</v>
      </c>
      <c r="BS102" s="427">
        <v>0</v>
      </c>
      <c r="BT102" s="427">
        <v>0</v>
      </c>
      <c r="BU102" s="427">
        <v>0</v>
      </c>
      <c r="BV102" s="427">
        <v>0</v>
      </c>
      <c r="BW102" s="427">
        <v>0</v>
      </c>
      <c r="BX102" s="427">
        <v>0</v>
      </c>
      <c r="BY102" s="427">
        <v>0</v>
      </c>
      <c r="BZ102" s="427">
        <v>0</v>
      </c>
      <c r="CA102" s="427">
        <v>0</v>
      </c>
      <c r="CB102" s="427">
        <v>0</v>
      </c>
      <c r="CC102" s="427">
        <v>0</v>
      </c>
      <c r="CD102" s="427">
        <v>0</v>
      </c>
      <c r="CE102" s="427">
        <v>0</v>
      </c>
      <c r="CF102" s="427">
        <v>0</v>
      </c>
      <c r="CG102" s="427">
        <v>0</v>
      </c>
      <c r="CH102" s="427">
        <v>0</v>
      </c>
      <c r="CI102" s="427">
        <v>0</v>
      </c>
      <c r="CJ102" s="427">
        <v>0</v>
      </c>
      <c r="CK102" s="428">
        <v>0</v>
      </c>
      <c r="CL102" s="428">
        <v>0</v>
      </c>
      <c r="CM102" s="428">
        <v>0</v>
      </c>
      <c r="CN102" s="428">
        <v>0</v>
      </c>
      <c r="CO102" s="428">
        <v>0</v>
      </c>
      <c r="CP102" s="428">
        <v>0</v>
      </c>
      <c r="CQ102" s="428">
        <v>0</v>
      </c>
      <c r="CR102" s="428">
        <v>0</v>
      </c>
      <c r="CS102" s="428">
        <v>0</v>
      </c>
      <c r="CT102" s="428">
        <v>0</v>
      </c>
      <c r="CU102" s="428">
        <v>0</v>
      </c>
      <c r="CV102" s="428">
        <v>0</v>
      </c>
      <c r="CW102" s="428">
        <v>0</v>
      </c>
      <c r="CX102" s="428"/>
      <c r="CY102" s="428"/>
      <c r="CZ102" s="428"/>
      <c r="DA102" s="428"/>
      <c r="DB102" s="428"/>
      <c r="DC102" s="428"/>
      <c r="DD102" s="428"/>
      <c r="DE102" s="428"/>
      <c r="DF102" s="428"/>
      <c r="DG102" s="428"/>
      <c r="DH102" s="428"/>
      <c r="DI102" s="428"/>
    </row>
    <row r="103" spans="1:113" s="388" customFormat="1">
      <c r="A103" s="421" t="s">
        <v>370</v>
      </c>
      <c r="B103" s="421" t="s">
        <v>23</v>
      </c>
      <c r="C103" s="421" t="s">
        <v>424</v>
      </c>
      <c r="D103" s="422" t="s">
        <v>376</v>
      </c>
      <c r="E103" s="422">
        <v>2019</v>
      </c>
      <c r="F103" s="423">
        <v>0.91174494444871801</v>
      </c>
      <c r="G103" s="424">
        <v>784.39508333084814</v>
      </c>
      <c r="H103" s="422">
        <v>9</v>
      </c>
      <c r="I103" s="425">
        <v>1</v>
      </c>
      <c r="J103" s="425">
        <v>1</v>
      </c>
      <c r="K103" s="422">
        <v>0</v>
      </c>
      <c r="L103" s="422">
        <v>0</v>
      </c>
      <c r="M103" s="422">
        <v>0</v>
      </c>
      <c r="N103" s="426">
        <v>40</v>
      </c>
      <c r="O103" s="426">
        <v>0</v>
      </c>
      <c r="P103" s="426">
        <v>0</v>
      </c>
      <c r="Q103" s="426">
        <v>0</v>
      </c>
      <c r="R103" s="426">
        <v>0</v>
      </c>
      <c r="S103" s="426">
        <v>39.088743599087593</v>
      </c>
      <c r="T103" s="426">
        <v>39.088743599087593</v>
      </c>
      <c r="U103" s="426">
        <v>39.088743599087593</v>
      </c>
      <c r="V103" s="426">
        <v>39.088743599087593</v>
      </c>
      <c r="W103" s="426">
        <v>39.088743599087593</v>
      </c>
      <c r="X103" s="426">
        <v>39.088743599087593</v>
      </c>
      <c r="Y103" s="426">
        <v>39.088743599087593</v>
      </c>
      <c r="Z103" s="426">
        <v>39.088743599087593</v>
      </c>
      <c r="AA103" s="426">
        <v>39.088743599087593</v>
      </c>
      <c r="AB103" s="426">
        <v>0</v>
      </c>
      <c r="AC103" s="426">
        <v>0</v>
      </c>
      <c r="AD103" s="426">
        <v>0</v>
      </c>
      <c r="AE103" s="426">
        <v>0</v>
      </c>
      <c r="AF103" s="426">
        <v>0</v>
      </c>
      <c r="AG103" s="426">
        <v>0</v>
      </c>
      <c r="AH103" s="426">
        <v>0</v>
      </c>
      <c r="AI103" s="426">
        <v>0</v>
      </c>
      <c r="AJ103" s="426">
        <v>0</v>
      </c>
      <c r="AK103" s="426">
        <v>0</v>
      </c>
      <c r="AL103" s="426">
        <v>0</v>
      </c>
      <c r="AM103" s="427">
        <v>0</v>
      </c>
      <c r="AN103" s="427">
        <v>0</v>
      </c>
      <c r="AO103" s="427">
        <v>0</v>
      </c>
      <c r="AP103" s="427">
        <v>0</v>
      </c>
      <c r="AQ103" s="427">
        <v>0</v>
      </c>
      <c r="AR103" s="427">
        <v>33628.9424793504</v>
      </c>
      <c r="AS103" s="427">
        <v>33628.9424793504</v>
      </c>
      <c r="AT103" s="427">
        <v>33628.9424793504</v>
      </c>
      <c r="AU103" s="427">
        <v>33628.9424793504</v>
      </c>
      <c r="AV103" s="427">
        <v>33628.9424793504</v>
      </c>
      <c r="AW103" s="427">
        <v>33628.9424793504</v>
      </c>
      <c r="AX103" s="427">
        <v>33628.9424793504</v>
      </c>
      <c r="AY103" s="427">
        <v>33628.9424793504</v>
      </c>
      <c r="AZ103" s="427">
        <v>33628.9424793504</v>
      </c>
      <c r="BA103" s="427">
        <v>0</v>
      </c>
      <c r="BB103" s="427">
        <v>0</v>
      </c>
      <c r="BC103" s="427">
        <v>0</v>
      </c>
      <c r="BD103" s="427">
        <v>0</v>
      </c>
      <c r="BE103" s="427">
        <v>0</v>
      </c>
      <c r="BF103" s="427">
        <v>0</v>
      </c>
      <c r="BG103" s="427">
        <v>0</v>
      </c>
      <c r="BH103" s="427">
        <v>0</v>
      </c>
      <c r="BI103" s="427">
        <v>0</v>
      </c>
      <c r="BJ103" s="427">
        <v>0</v>
      </c>
      <c r="BK103" s="427">
        <v>0</v>
      </c>
      <c r="BL103" s="427">
        <v>0</v>
      </c>
      <c r="BM103" s="427">
        <v>0</v>
      </c>
      <c r="BN103" s="427">
        <v>0</v>
      </c>
      <c r="BO103" s="427">
        <v>0</v>
      </c>
      <c r="BP103" s="427">
        <v>0</v>
      </c>
      <c r="BQ103" s="427">
        <v>0</v>
      </c>
      <c r="BR103" s="427">
        <v>0</v>
      </c>
      <c r="BS103" s="427">
        <v>0</v>
      </c>
      <c r="BT103" s="427">
        <v>0</v>
      </c>
      <c r="BU103" s="427">
        <v>0</v>
      </c>
      <c r="BV103" s="427">
        <v>0</v>
      </c>
      <c r="BW103" s="427">
        <v>0</v>
      </c>
      <c r="BX103" s="427">
        <v>0</v>
      </c>
      <c r="BY103" s="427">
        <v>0</v>
      </c>
      <c r="BZ103" s="427">
        <v>0</v>
      </c>
      <c r="CA103" s="427">
        <v>0</v>
      </c>
      <c r="CB103" s="427">
        <v>0</v>
      </c>
      <c r="CC103" s="427">
        <v>0</v>
      </c>
      <c r="CD103" s="427">
        <v>0</v>
      </c>
      <c r="CE103" s="427">
        <v>0</v>
      </c>
      <c r="CF103" s="427">
        <v>0</v>
      </c>
      <c r="CG103" s="427">
        <v>0</v>
      </c>
      <c r="CH103" s="427">
        <v>0</v>
      </c>
      <c r="CI103" s="427">
        <v>0</v>
      </c>
      <c r="CJ103" s="427">
        <v>0</v>
      </c>
      <c r="CK103" s="428">
        <v>0</v>
      </c>
      <c r="CL103" s="428">
        <v>0</v>
      </c>
      <c r="CM103" s="428">
        <v>0</v>
      </c>
      <c r="CN103" s="428">
        <v>0</v>
      </c>
      <c r="CO103" s="428">
        <v>0</v>
      </c>
      <c r="CP103" s="428">
        <v>0</v>
      </c>
      <c r="CQ103" s="428">
        <v>0</v>
      </c>
      <c r="CR103" s="428">
        <v>0</v>
      </c>
      <c r="CS103" s="428">
        <v>0</v>
      </c>
      <c r="CT103" s="428">
        <v>0</v>
      </c>
      <c r="CU103" s="428">
        <v>0</v>
      </c>
      <c r="CV103" s="428">
        <v>0</v>
      </c>
      <c r="CW103" s="428">
        <v>0</v>
      </c>
      <c r="CX103" s="428"/>
      <c r="CY103" s="428"/>
      <c r="CZ103" s="428"/>
      <c r="DA103" s="428"/>
      <c r="DB103" s="428"/>
      <c r="DC103" s="428"/>
      <c r="DD103" s="428"/>
      <c r="DE103" s="428"/>
      <c r="DF103" s="428"/>
      <c r="DG103" s="428"/>
      <c r="DH103" s="428"/>
      <c r="DI103" s="428"/>
    </row>
    <row r="104" spans="1:113" s="388" customFormat="1">
      <c r="A104" s="421" t="s">
        <v>370</v>
      </c>
      <c r="B104" s="421" t="s">
        <v>23</v>
      </c>
      <c r="C104" s="421" t="s">
        <v>424</v>
      </c>
      <c r="D104" s="422" t="s">
        <v>376</v>
      </c>
      <c r="E104" s="422">
        <v>2020</v>
      </c>
      <c r="F104" s="423">
        <v>0.91174494444871801</v>
      </c>
      <c r="G104" s="424">
        <v>784.39508333084814</v>
      </c>
      <c r="H104" s="422">
        <v>9</v>
      </c>
      <c r="I104" s="425">
        <v>1</v>
      </c>
      <c r="J104" s="425">
        <v>1</v>
      </c>
      <c r="K104" s="422">
        <v>0</v>
      </c>
      <c r="L104" s="422">
        <v>0</v>
      </c>
      <c r="M104" s="422">
        <v>0</v>
      </c>
      <c r="N104" s="426">
        <v>40</v>
      </c>
      <c r="O104" s="426">
        <v>0</v>
      </c>
      <c r="P104" s="426">
        <v>0</v>
      </c>
      <c r="Q104" s="426">
        <v>0</v>
      </c>
      <c r="R104" s="426">
        <v>0</v>
      </c>
      <c r="S104" s="426">
        <v>0</v>
      </c>
      <c r="T104" s="426">
        <v>39.088743599087593</v>
      </c>
      <c r="U104" s="426">
        <v>39.088743599087593</v>
      </c>
      <c r="V104" s="426">
        <v>39.088743599087593</v>
      </c>
      <c r="W104" s="426">
        <v>39.088743599087593</v>
      </c>
      <c r="X104" s="426">
        <v>39.088743599087593</v>
      </c>
      <c r="Y104" s="426">
        <v>39.088743599087593</v>
      </c>
      <c r="Z104" s="426">
        <v>39.088743599087593</v>
      </c>
      <c r="AA104" s="426">
        <v>39.088743599087593</v>
      </c>
      <c r="AB104" s="426">
        <v>39.088743599087593</v>
      </c>
      <c r="AC104" s="426">
        <v>0</v>
      </c>
      <c r="AD104" s="426">
        <v>0</v>
      </c>
      <c r="AE104" s="426">
        <v>0</v>
      </c>
      <c r="AF104" s="426">
        <v>0</v>
      </c>
      <c r="AG104" s="426">
        <v>0</v>
      </c>
      <c r="AH104" s="426">
        <v>0</v>
      </c>
      <c r="AI104" s="426">
        <v>0</v>
      </c>
      <c r="AJ104" s="426">
        <v>0</v>
      </c>
      <c r="AK104" s="426">
        <v>0</v>
      </c>
      <c r="AL104" s="426">
        <v>0</v>
      </c>
      <c r="AM104" s="427">
        <v>0</v>
      </c>
      <c r="AN104" s="427">
        <v>0</v>
      </c>
      <c r="AO104" s="427">
        <v>0</v>
      </c>
      <c r="AP104" s="427">
        <v>0</v>
      </c>
      <c r="AQ104" s="427">
        <v>0</v>
      </c>
      <c r="AR104" s="427">
        <v>0</v>
      </c>
      <c r="AS104" s="427">
        <v>33628.9424793504</v>
      </c>
      <c r="AT104" s="427">
        <v>33628.9424793504</v>
      </c>
      <c r="AU104" s="427">
        <v>33628.9424793504</v>
      </c>
      <c r="AV104" s="427">
        <v>33628.9424793504</v>
      </c>
      <c r="AW104" s="427">
        <v>33628.9424793504</v>
      </c>
      <c r="AX104" s="427">
        <v>33628.9424793504</v>
      </c>
      <c r="AY104" s="427">
        <v>33628.9424793504</v>
      </c>
      <c r="AZ104" s="427">
        <v>33628.9424793504</v>
      </c>
      <c r="BA104" s="427">
        <v>33628.9424793504</v>
      </c>
      <c r="BB104" s="427">
        <v>0</v>
      </c>
      <c r="BC104" s="427">
        <v>0</v>
      </c>
      <c r="BD104" s="427">
        <v>0</v>
      </c>
      <c r="BE104" s="427">
        <v>0</v>
      </c>
      <c r="BF104" s="427">
        <v>0</v>
      </c>
      <c r="BG104" s="427">
        <v>0</v>
      </c>
      <c r="BH104" s="427">
        <v>0</v>
      </c>
      <c r="BI104" s="427">
        <v>0</v>
      </c>
      <c r="BJ104" s="427">
        <v>0</v>
      </c>
      <c r="BK104" s="427">
        <v>0</v>
      </c>
      <c r="BL104" s="427">
        <v>0</v>
      </c>
      <c r="BM104" s="427">
        <v>0</v>
      </c>
      <c r="BN104" s="427">
        <v>0</v>
      </c>
      <c r="BO104" s="427">
        <v>0</v>
      </c>
      <c r="BP104" s="427">
        <v>0</v>
      </c>
      <c r="BQ104" s="427">
        <v>0</v>
      </c>
      <c r="BR104" s="427">
        <v>0</v>
      </c>
      <c r="BS104" s="427">
        <v>0</v>
      </c>
      <c r="BT104" s="427">
        <v>0</v>
      </c>
      <c r="BU104" s="427">
        <v>0</v>
      </c>
      <c r="BV104" s="427">
        <v>0</v>
      </c>
      <c r="BW104" s="427">
        <v>0</v>
      </c>
      <c r="BX104" s="427">
        <v>0</v>
      </c>
      <c r="BY104" s="427">
        <v>0</v>
      </c>
      <c r="BZ104" s="427">
        <v>0</v>
      </c>
      <c r="CA104" s="427">
        <v>0</v>
      </c>
      <c r="CB104" s="427">
        <v>0</v>
      </c>
      <c r="CC104" s="427">
        <v>0</v>
      </c>
      <c r="CD104" s="427">
        <v>0</v>
      </c>
      <c r="CE104" s="427">
        <v>0</v>
      </c>
      <c r="CF104" s="427">
        <v>0</v>
      </c>
      <c r="CG104" s="427">
        <v>0</v>
      </c>
      <c r="CH104" s="427">
        <v>0</v>
      </c>
      <c r="CI104" s="427">
        <v>0</v>
      </c>
      <c r="CJ104" s="427">
        <v>0</v>
      </c>
      <c r="CK104" s="428">
        <v>0</v>
      </c>
      <c r="CL104" s="428">
        <v>0</v>
      </c>
      <c r="CM104" s="428">
        <v>0</v>
      </c>
      <c r="CN104" s="428">
        <v>0</v>
      </c>
      <c r="CO104" s="428">
        <v>0</v>
      </c>
      <c r="CP104" s="428">
        <v>0</v>
      </c>
      <c r="CQ104" s="428">
        <v>0</v>
      </c>
      <c r="CR104" s="428">
        <v>0</v>
      </c>
      <c r="CS104" s="428">
        <v>0</v>
      </c>
      <c r="CT104" s="428">
        <v>0</v>
      </c>
      <c r="CU104" s="428">
        <v>0</v>
      </c>
      <c r="CV104" s="428">
        <v>0</v>
      </c>
      <c r="CW104" s="428">
        <v>0</v>
      </c>
      <c r="CX104" s="428"/>
      <c r="CY104" s="428"/>
      <c r="CZ104" s="428"/>
      <c r="DA104" s="428"/>
      <c r="DB104" s="428"/>
      <c r="DC104" s="428"/>
      <c r="DD104" s="428"/>
      <c r="DE104" s="428"/>
      <c r="DF104" s="428"/>
      <c r="DG104" s="428"/>
      <c r="DH104" s="428"/>
      <c r="DI104" s="428"/>
    </row>
    <row r="105" spans="1:113" s="388" customFormat="1">
      <c r="A105" s="421" t="s">
        <v>370</v>
      </c>
      <c r="B105" s="421" t="s">
        <v>38</v>
      </c>
      <c r="C105" s="421" t="s">
        <v>425</v>
      </c>
      <c r="D105" s="422" t="s">
        <v>376</v>
      </c>
      <c r="E105" s="422">
        <v>2015</v>
      </c>
      <c r="F105" s="423">
        <v>1.1138999999999999</v>
      </c>
      <c r="G105" s="424">
        <v>3831.82</v>
      </c>
      <c r="H105" s="422">
        <v>9</v>
      </c>
      <c r="I105" s="425">
        <v>0.94</v>
      </c>
      <c r="J105" s="425">
        <v>0.94</v>
      </c>
      <c r="K105" s="422">
        <v>0</v>
      </c>
      <c r="L105" s="422">
        <v>0</v>
      </c>
      <c r="M105" s="422">
        <v>0</v>
      </c>
      <c r="N105" s="426">
        <v>0</v>
      </c>
      <c r="O105" s="426">
        <v>123.44799999999999</v>
      </c>
      <c r="P105" s="426">
        <v>123.44799999999999</v>
      </c>
      <c r="Q105" s="426">
        <v>123.44799999999999</v>
      </c>
      <c r="R105" s="426">
        <v>123.44799999999999</v>
      </c>
      <c r="S105" s="426">
        <v>123.44799999999999</v>
      </c>
      <c r="T105" s="426">
        <v>123.44799999999999</v>
      </c>
      <c r="U105" s="426">
        <v>123.44799999999999</v>
      </c>
      <c r="V105" s="426">
        <v>123.44799999999999</v>
      </c>
      <c r="W105" s="426">
        <v>123.44799999999999</v>
      </c>
      <c r="X105" s="426">
        <v>0</v>
      </c>
      <c r="Y105" s="426">
        <v>0</v>
      </c>
      <c r="Z105" s="426">
        <v>0</v>
      </c>
      <c r="AA105" s="426">
        <v>0</v>
      </c>
      <c r="AB105" s="426">
        <v>0</v>
      </c>
      <c r="AC105" s="426">
        <v>0</v>
      </c>
      <c r="AD105" s="426">
        <v>0</v>
      </c>
      <c r="AE105" s="426">
        <v>0</v>
      </c>
      <c r="AF105" s="426">
        <v>0</v>
      </c>
      <c r="AG105" s="426">
        <v>0</v>
      </c>
      <c r="AH105" s="426">
        <v>0</v>
      </c>
      <c r="AI105" s="426">
        <v>0</v>
      </c>
      <c r="AJ105" s="426">
        <v>0</v>
      </c>
      <c r="AK105" s="426">
        <v>0</v>
      </c>
      <c r="AL105" s="426">
        <v>0</v>
      </c>
      <c r="AM105" s="427">
        <v>0</v>
      </c>
      <c r="AN105" s="427">
        <v>0</v>
      </c>
      <c r="AO105" s="427">
        <v>0</v>
      </c>
      <c r="AP105" s="427">
        <v>0</v>
      </c>
      <c r="AQ105" s="427">
        <v>0</v>
      </c>
      <c r="AR105" s="427">
        <v>0</v>
      </c>
      <c r="AS105" s="427">
        <v>0</v>
      </c>
      <c r="AT105" s="427">
        <v>0</v>
      </c>
      <c r="AU105" s="427">
        <v>0</v>
      </c>
      <c r="AV105" s="427">
        <v>0</v>
      </c>
      <c r="AW105" s="427">
        <v>0</v>
      </c>
      <c r="AX105" s="427">
        <v>0</v>
      </c>
      <c r="AY105" s="427">
        <v>0</v>
      </c>
      <c r="AZ105" s="427">
        <v>0</v>
      </c>
      <c r="BA105" s="427">
        <v>0</v>
      </c>
      <c r="BB105" s="427">
        <v>0</v>
      </c>
      <c r="BC105" s="427">
        <v>0</v>
      </c>
      <c r="BD105" s="427">
        <v>0</v>
      </c>
      <c r="BE105" s="427">
        <v>0</v>
      </c>
      <c r="BF105" s="427">
        <v>0</v>
      </c>
      <c r="BG105" s="427">
        <v>0</v>
      </c>
      <c r="BH105" s="427">
        <v>0</v>
      </c>
      <c r="BI105" s="427">
        <v>0</v>
      </c>
      <c r="BJ105" s="427">
        <v>0</v>
      </c>
      <c r="BK105" s="427">
        <v>0</v>
      </c>
      <c r="BL105" s="427">
        <v>0</v>
      </c>
      <c r="BM105" s="427">
        <v>0</v>
      </c>
      <c r="BN105" s="427">
        <v>0</v>
      </c>
      <c r="BO105" s="427">
        <v>0</v>
      </c>
      <c r="BP105" s="427">
        <v>0</v>
      </c>
      <c r="BQ105" s="427">
        <v>0</v>
      </c>
      <c r="BR105" s="427">
        <v>0</v>
      </c>
      <c r="BS105" s="427">
        <v>0</v>
      </c>
      <c r="BT105" s="427">
        <v>0</v>
      </c>
      <c r="BU105" s="427">
        <v>0</v>
      </c>
      <c r="BV105" s="427">
        <v>0</v>
      </c>
      <c r="BW105" s="427">
        <v>0</v>
      </c>
      <c r="BX105" s="427">
        <v>0</v>
      </c>
      <c r="BY105" s="427">
        <v>0</v>
      </c>
      <c r="BZ105" s="427">
        <v>0</v>
      </c>
      <c r="CA105" s="427">
        <v>0</v>
      </c>
      <c r="CB105" s="427">
        <v>0</v>
      </c>
      <c r="CC105" s="427">
        <v>0</v>
      </c>
      <c r="CD105" s="427">
        <v>0</v>
      </c>
      <c r="CE105" s="427">
        <v>0</v>
      </c>
      <c r="CF105" s="427">
        <v>0</v>
      </c>
      <c r="CG105" s="427">
        <v>0</v>
      </c>
      <c r="CH105" s="427">
        <v>0</v>
      </c>
      <c r="CI105" s="427">
        <v>0</v>
      </c>
      <c r="CJ105" s="427">
        <v>0</v>
      </c>
      <c r="CK105" s="428">
        <v>0</v>
      </c>
      <c r="CL105" s="428">
        <v>0</v>
      </c>
      <c r="CM105" s="428">
        <v>0</v>
      </c>
      <c r="CN105" s="428">
        <v>0</v>
      </c>
      <c r="CO105" s="428">
        <v>0</v>
      </c>
      <c r="CP105" s="428">
        <v>0</v>
      </c>
      <c r="CQ105" s="428">
        <v>0</v>
      </c>
      <c r="CR105" s="428">
        <v>0</v>
      </c>
      <c r="CS105" s="428">
        <v>0</v>
      </c>
      <c r="CT105" s="428">
        <v>0</v>
      </c>
      <c r="CU105" s="428">
        <v>0</v>
      </c>
      <c r="CV105" s="428">
        <v>0</v>
      </c>
      <c r="CW105" s="428">
        <v>0</v>
      </c>
      <c r="CX105" s="428"/>
      <c r="CY105" s="428"/>
      <c r="CZ105" s="428"/>
      <c r="DA105" s="428"/>
      <c r="DB105" s="428"/>
      <c r="DC105" s="428"/>
      <c r="DD105" s="428"/>
      <c r="DE105" s="428"/>
      <c r="DF105" s="428"/>
      <c r="DG105" s="428"/>
      <c r="DH105" s="428"/>
      <c r="DI105" s="428"/>
    </row>
    <row r="106" spans="1:113" s="388" customFormat="1">
      <c r="A106" s="421" t="s">
        <v>370</v>
      </c>
      <c r="B106" s="421" t="s">
        <v>38</v>
      </c>
      <c r="C106" s="421" t="s">
        <v>425</v>
      </c>
      <c r="D106" s="422" t="s">
        <v>376</v>
      </c>
      <c r="E106" s="422">
        <v>2016</v>
      </c>
      <c r="F106" s="423">
        <v>1.1138999999999999</v>
      </c>
      <c r="G106" s="424">
        <v>3831.82</v>
      </c>
      <c r="H106" s="422">
        <v>9</v>
      </c>
      <c r="I106" s="425">
        <v>0.94</v>
      </c>
      <c r="J106" s="425">
        <v>0.94</v>
      </c>
      <c r="K106" s="422">
        <v>0</v>
      </c>
      <c r="L106" s="422">
        <v>0</v>
      </c>
      <c r="M106" s="422">
        <v>0</v>
      </c>
      <c r="N106" s="426">
        <v>110</v>
      </c>
      <c r="O106" s="426">
        <v>0</v>
      </c>
      <c r="P106" s="426">
        <v>123.44829581993567</v>
      </c>
      <c r="Q106" s="426">
        <v>123.44829581993567</v>
      </c>
      <c r="R106" s="426">
        <v>123.44829581993567</v>
      </c>
      <c r="S106" s="426">
        <v>123.44829581993567</v>
      </c>
      <c r="T106" s="426">
        <v>123.44829581993567</v>
      </c>
      <c r="U106" s="426">
        <v>123.44829581993567</v>
      </c>
      <c r="V106" s="426">
        <v>123.44829581993567</v>
      </c>
      <c r="W106" s="426">
        <v>123.44829581993567</v>
      </c>
      <c r="X106" s="426">
        <v>123.44829581993567</v>
      </c>
      <c r="Y106" s="426">
        <v>0</v>
      </c>
      <c r="Z106" s="426">
        <v>0</v>
      </c>
      <c r="AA106" s="426">
        <v>0</v>
      </c>
      <c r="AB106" s="426">
        <v>0</v>
      </c>
      <c r="AC106" s="426">
        <v>0</v>
      </c>
      <c r="AD106" s="426">
        <v>0</v>
      </c>
      <c r="AE106" s="426">
        <v>0</v>
      </c>
      <c r="AF106" s="426">
        <v>0</v>
      </c>
      <c r="AG106" s="426">
        <v>0</v>
      </c>
      <c r="AH106" s="426">
        <v>0</v>
      </c>
      <c r="AI106" s="426">
        <v>0</v>
      </c>
      <c r="AJ106" s="426">
        <v>0</v>
      </c>
      <c r="AK106" s="426">
        <v>0</v>
      </c>
      <c r="AL106" s="426">
        <v>0</v>
      </c>
      <c r="AM106" s="427">
        <v>0</v>
      </c>
      <c r="AN106" s="427">
        <v>0</v>
      </c>
      <c r="AO106" s="427">
        <v>424662.58092175779</v>
      </c>
      <c r="AP106" s="427">
        <v>424662.58092175779</v>
      </c>
      <c r="AQ106" s="427">
        <v>424662.58092175779</v>
      </c>
      <c r="AR106" s="427">
        <v>424662.58092175779</v>
      </c>
      <c r="AS106" s="427">
        <v>424662.58092175779</v>
      </c>
      <c r="AT106" s="427">
        <v>424662.58092175779</v>
      </c>
      <c r="AU106" s="427">
        <v>424662.58092175779</v>
      </c>
      <c r="AV106" s="427">
        <v>424662.58092175779</v>
      </c>
      <c r="AW106" s="427">
        <v>424662.58092175779</v>
      </c>
      <c r="AX106" s="427">
        <v>0</v>
      </c>
      <c r="AY106" s="427">
        <v>0</v>
      </c>
      <c r="AZ106" s="427">
        <v>0</v>
      </c>
      <c r="BA106" s="427">
        <v>0</v>
      </c>
      <c r="BB106" s="427">
        <v>0</v>
      </c>
      <c r="BC106" s="427">
        <v>0</v>
      </c>
      <c r="BD106" s="427">
        <v>0</v>
      </c>
      <c r="BE106" s="427">
        <v>0</v>
      </c>
      <c r="BF106" s="427">
        <v>0</v>
      </c>
      <c r="BG106" s="427">
        <v>0</v>
      </c>
      <c r="BH106" s="427">
        <v>0</v>
      </c>
      <c r="BI106" s="427">
        <v>0</v>
      </c>
      <c r="BJ106" s="427">
        <v>0</v>
      </c>
      <c r="BK106" s="427">
        <v>0</v>
      </c>
      <c r="BL106" s="427">
        <v>0</v>
      </c>
      <c r="BM106" s="427">
        <v>0</v>
      </c>
      <c r="BN106" s="427">
        <v>0</v>
      </c>
      <c r="BO106" s="427">
        <v>0</v>
      </c>
      <c r="BP106" s="427">
        <v>0</v>
      </c>
      <c r="BQ106" s="427">
        <v>0</v>
      </c>
      <c r="BR106" s="427">
        <v>0</v>
      </c>
      <c r="BS106" s="427">
        <v>0</v>
      </c>
      <c r="BT106" s="427">
        <v>0</v>
      </c>
      <c r="BU106" s="427">
        <v>0</v>
      </c>
      <c r="BV106" s="427">
        <v>0</v>
      </c>
      <c r="BW106" s="427">
        <v>0</v>
      </c>
      <c r="BX106" s="427">
        <v>0</v>
      </c>
      <c r="BY106" s="427">
        <v>0</v>
      </c>
      <c r="BZ106" s="427">
        <v>0</v>
      </c>
      <c r="CA106" s="427">
        <v>0</v>
      </c>
      <c r="CB106" s="427">
        <v>0</v>
      </c>
      <c r="CC106" s="427">
        <v>0</v>
      </c>
      <c r="CD106" s="427">
        <v>0</v>
      </c>
      <c r="CE106" s="427">
        <v>0</v>
      </c>
      <c r="CF106" s="427">
        <v>0</v>
      </c>
      <c r="CG106" s="427">
        <v>0</v>
      </c>
      <c r="CH106" s="427">
        <v>0</v>
      </c>
      <c r="CI106" s="427">
        <v>0</v>
      </c>
      <c r="CJ106" s="427">
        <v>0</v>
      </c>
      <c r="CK106" s="428">
        <v>0</v>
      </c>
      <c r="CL106" s="428">
        <v>0</v>
      </c>
      <c r="CM106" s="428">
        <v>0</v>
      </c>
      <c r="CN106" s="428">
        <v>0</v>
      </c>
      <c r="CO106" s="428">
        <v>0</v>
      </c>
      <c r="CP106" s="428">
        <v>0</v>
      </c>
      <c r="CQ106" s="428">
        <v>0</v>
      </c>
      <c r="CR106" s="428">
        <v>0</v>
      </c>
      <c r="CS106" s="428">
        <v>0</v>
      </c>
      <c r="CT106" s="428">
        <v>0</v>
      </c>
      <c r="CU106" s="428">
        <v>0</v>
      </c>
      <c r="CV106" s="428">
        <v>0</v>
      </c>
      <c r="CW106" s="428">
        <v>0</v>
      </c>
      <c r="CX106" s="428"/>
      <c r="CY106" s="428"/>
      <c r="CZ106" s="428"/>
      <c r="DA106" s="428"/>
      <c r="DB106" s="428"/>
      <c r="DC106" s="428"/>
      <c r="DD106" s="428"/>
      <c r="DE106" s="428"/>
      <c r="DF106" s="428"/>
      <c r="DG106" s="428"/>
      <c r="DH106" s="428"/>
      <c r="DI106" s="428"/>
    </row>
    <row r="107" spans="1:113" s="388" customFormat="1">
      <c r="A107" s="421" t="s">
        <v>370</v>
      </c>
      <c r="B107" s="421" t="s">
        <v>38</v>
      </c>
      <c r="C107" s="421" t="s">
        <v>425</v>
      </c>
      <c r="D107" s="422" t="s">
        <v>376</v>
      </c>
      <c r="E107" s="422">
        <v>2017</v>
      </c>
      <c r="F107" s="423">
        <v>1.1138999999999999</v>
      </c>
      <c r="G107" s="424">
        <v>3831.82</v>
      </c>
      <c r="H107" s="422">
        <v>9</v>
      </c>
      <c r="I107" s="425">
        <v>0.94</v>
      </c>
      <c r="J107" s="425">
        <v>0.94</v>
      </c>
      <c r="K107" s="422">
        <v>0</v>
      </c>
      <c r="L107" s="422">
        <v>0</v>
      </c>
      <c r="M107" s="422">
        <v>0</v>
      </c>
      <c r="N107" s="426">
        <v>120</v>
      </c>
      <c r="O107" s="426">
        <v>0</v>
      </c>
      <c r="P107" s="426">
        <v>0</v>
      </c>
      <c r="Q107" s="426">
        <v>134.67086816720257</v>
      </c>
      <c r="R107" s="426">
        <v>134.67086816720257</v>
      </c>
      <c r="S107" s="426">
        <v>134.67086816720257</v>
      </c>
      <c r="T107" s="426">
        <v>134.67086816720257</v>
      </c>
      <c r="U107" s="426">
        <v>134.67086816720257</v>
      </c>
      <c r="V107" s="426">
        <v>134.67086816720257</v>
      </c>
      <c r="W107" s="426">
        <v>134.67086816720257</v>
      </c>
      <c r="X107" s="426">
        <v>134.67086816720257</v>
      </c>
      <c r="Y107" s="426">
        <v>134.67086816720257</v>
      </c>
      <c r="Z107" s="426">
        <v>0</v>
      </c>
      <c r="AA107" s="426">
        <v>0</v>
      </c>
      <c r="AB107" s="426">
        <v>0</v>
      </c>
      <c r="AC107" s="426">
        <v>0</v>
      </c>
      <c r="AD107" s="426">
        <v>0</v>
      </c>
      <c r="AE107" s="426">
        <v>0</v>
      </c>
      <c r="AF107" s="426">
        <v>0</v>
      </c>
      <c r="AG107" s="426">
        <v>0</v>
      </c>
      <c r="AH107" s="426">
        <v>0</v>
      </c>
      <c r="AI107" s="426">
        <v>0</v>
      </c>
      <c r="AJ107" s="426">
        <v>0</v>
      </c>
      <c r="AK107" s="426">
        <v>0</v>
      </c>
      <c r="AL107" s="426">
        <v>0</v>
      </c>
      <c r="AM107" s="427">
        <v>0</v>
      </c>
      <c r="AN107" s="427">
        <v>0</v>
      </c>
      <c r="AO107" s="427">
        <v>0</v>
      </c>
      <c r="AP107" s="427">
        <v>463268.27009646309</v>
      </c>
      <c r="AQ107" s="427">
        <v>463268.27009646309</v>
      </c>
      <c r="AR107" s="427">
        <v>463268.27009646309</v>
      </c>
      <c r="AS107" s="427">
        <v>463268.27009646309</v>
      </c>
      <c r="AT107" s="427">
        <v>463268.27009646309</v>
      </c>
      <c r="AU107" s="427">
        <v>463268.27009646309</v>
      </c>
      <c r="AV107" s="427">
        <v>463268.27009646309</v>
      </c>
      <c r="AW107" s="427">
        <v>463268.27009646309</v>
      </c>
      <c r="AX107" s="427">
        <v>463268.27009646309</v>
      </c>
      <c r="AY107" s="427">
        <v>0</v>
      </c>
      <c r="AZ107" s="427">
        <v>0</v>
      </c>
      <c r="BA107" s="427">
        <v>0</v>
      </c>
      <c r="BB107" s="427">
        <v>0</v>
      </c>
      <c r="BC107" s="427">
        <v>0</v>
      </c>
      <c r="BD107" s="427">
        <v>0</v>
      </c>
      <c r="BE107" s="427">
        <v>0</v>
      </c>
      <c r="BF107" s="427">
        <v>0</v>
      </c>
      <c r="BG107" s="427">
        <v>0</v>
      </c>
      <c r="BH107" s="427">
        <v>0</v>
      </c>
      <c r="BI107" s="427">
        <v>0</v>
      </c>
      <c r="BJ107" s="427">
        <v>0</v>
      </c>
      <c r="BK107" s="427">
        <v>0</v>
      </c>
      <c r="BL107" s="427">
        <v>0</v>
      </c>
      <c r="BM107" s="427">
        <v>0</v>
      </c>
      <c r="BN107" s="427">
        <v>0</v>
      </c>
      <c r="BO107" s="427">
        <v>0</v>
      </c>
      <c r="BP107" s="427">
        <v>0</v>
      </c>
      <c r="BQ107" s="427">
        <v>0</v>
      </c>
      <c r="BR107" s="427">
        <v>0</v>
      </c>
      <c r="BS107" s="427">
        <v>0</v>
      </c>
      <c r="BT107" s="427">
        <v>0</v>
      </c>
      <c r="BU107" s="427">
        <v>0</v>
      </c>
      <c r="BV107" s="427">
        <v>0</v>
      </c>
      <c r="BW107" s="427">
        <v>0</v>
      </c>
      <c r="BX107" s="427">
        <v>0</v>
      </c>
      <c r="BY107" s="427">
        <v>0</v>
      </c>
      <c r="BZ107" s="427">
        <v>0</v>
      </c>
      <c r="CA107" s="427">
        <v>0</v>
      </c>
      <c r="CB107" s="427">
        <v>0</v>
      </c>
      <c r="CC107" s="427">
        <v>0</v>
      </c>
      <c r="CD107" s="427">
        <v>0</v>
      </c>
      <c r="CE107" s="427">
        <v>0</v>
      </c>
      <c r="CF107" s="427">
        <v>0</v>
      </c>
      <c r="CG107" s="427">
        <v>0</v>
      </c>
      <c r="CH107" s="427">
        <v>0</v>
      </c>
      <c r="CI107" s="427">
        <v>0</v>
      </c>
      <c r="CJ107" s="427">
        <v>0</v>
      </c>
      <c r="CK107" s="428">
        <v>0</v>
      </c>
      <c r="CL107" s="428">
        <v>0</v>
      </c>
      <c r="CM107" s="428">
        <v>0</v>
      </c>
      <c r="CN107" s="428">
        <v>0</v>
      </c>
      <c r="CO107" s="428">
        <v>0</v>
      </c>
      <c r="CP107" s="428">
        <v>0</v>
      </c>
      <c r="CQ107" s="428">
        <v>0</v>
      </c>
      <c r="CR107" s="428">
        <v>0</v>
      </c>
      <c r="CS107" s="428">
        <v>0</v>
      </c>
      <c r="CT107" s="428">
        <v>0</v>
      </c>
      <c r="CU107" s="428">
        <v>0</v>
      </c>
      <c r="CV107" s="428">
        <v>0</v>
      </c>
      <c r="CW107" s="428">
        <v>0</v>
      </c>
      <c r="CX107" s="428"/>
      <c r="CY107" s="428"/>
      <c r="CZ107" s="428"/>
      <c r="DA107" s="428"/>
      <c r="DB107" s="428"/>
      <c r="DC107" s="428"/>
      <c r="DD107" s="428"/>
      <c r="DE107" s="428"/>
      <c r="DF107" s="428"/>
      <c r="DG107" s="428"/>
      <c r="DH107" s="428"/>
      <c r="DI107" s="428"/>
    </row>
    <row r="108" spans="1:113" s="388" customFormat="1">
      <c r="A108" s="421" t="s">
        <v>370</v>
      </c>
      <c r="B108" s="421" t="s">
        <v>38</v>
      </c>
      <c r="C108" s="421" t="s">
        <v>425</v>
      </c>
      <c r="D108" s="422" t="s">
        <v>376</v>
      </c>
      <c r="E108" s="422">
        <v>2018</v>
      </c>
      <c r="F108" s="423">
        <v>1.1138999999999999</v>
      </c>
      <c r="G108" s="424">
        <v>3831.82</v>
      </c>
      <c r="H108" s="422">
        <v>9</v>
      </c>
      <c r="I108" s="425">
        <v>0.94</v>
      </c>
      <c r="J108" s="425">
        <v>0.94</v>
      </c>
      <c r="K108" s="422">
        <v>0</v>
      </c>
      <c r="L108" s="422">
        <v>0</v>
      </c>
      <c r="M108" s="422">
        <v>0</v>
      </c>
      <c r="N108" s="426">
        <v>130</v>
      </c>
      <c r="O108" s="426">
        <v>0</v>
      </c>
      <c r="P108" s="426">
        <v>0</v>
      </c>
      <c r="Q108" s="426">
        <v>0</v>
      </c>
      <c r="R108" s="426">
        <v>145.89344051446943</v>
      </c>
      <c r="S108" s="426">
        <v>145.89344051446943</v>
      </c>
      <c r="T108" s="426">
        <v>145.89344051446943</v>
      </c>
      <c r="U108" s="426">
        <v>145.89344051446943</v>
      </c>
      <c r="V108" s="426">
        <v>145.89344051446943</v>
      </c>
      <c r="W108" s="426">
        <v>145.89344051446943</v>
      </c>
      <c r="X108" s="426">
        <v>145.89344051446943</v>
      </c>
      <c r="Y108" s="426">
        <v>145.89344051446943</v>
      </c>
      <c r="Z108" s="426">
        <v>145.89344051446943</v>
      </c>
      <c r="AA108" s="426">
        <v>0</v>
      </c>
      <c r="AB108" s="426">
        <v>0</v>
      </c>
      <c r="AC108" s="426">
        <v>0</v>
      </c>
      <c r="AD108" s="426">
        <v>0</v>
      </c>
      <c r="AE108" s="426">
        <v>0</v>
      </c>
      <c r="AF108" s="426">
        <v>0</v>
      </c>
      <c r="AG108" s="426">
        <v>0</v>
      </c>
      <c r="AH108" s="426">
        <v>0</v>
      </c>
      <c r="AI108" s="426">
        <v>0</v>
      </c>
      <c r="AJ108" s="426">
        <v>0</v>
      </c>
      <c r="AK108" s="426">
        <v>0</v>
      </c>
      <c r="AL108" s="426">
        <v>0</v>
      </c>
      <c r="AM108" s="427">
        <v>0</v>
      </c>
      <c r="AN108" s="427">
        <v>0</v>
      </c>
      <c r="AO108" s="427">
        <v>0</v>
      </c>
      <c r="AP108" s="427">
        <v>0</v>
      </c>
      <c r="AQ108" s="427">
        <v>501873.95927116834</v>
      </c>
      <c r="AR108" s="427">
        <v>501873.95927116834</v>
      </c>
      <c r="AS108" s="427">
        <v>501873.95927116834</v>
      </c>
      <c r="AT108" s="427">
        <v>501873.95927116834</v>
      </c>
      <c r="AU108" s="427">
        <v>501873.95927116834</v>
      </c>
      <c r="AV108" s="427">
        <v>501873.95927116834</v>
      </c>
      <c r="AW108" s="427">
        <v>501873.95927116834</v>
      </c>
      <c r="AX108" s="427">
        <v>501873.95927116834</v>
      </c>
      <c r="AY108" s="427">
        <v>501873.95927116834</v>
      </c>
      <c r="AZ108" s="427">
        <v>0</v>
      </c>
      <c r="BA108" s="427">
        <v>0</v>
      </c>
      <c r="BB108" s="427">
        <v>0</v>
      </c>
      <c r="BC108" s="427">
        <v>0</v>
      </c>
      <c r="BD108" s="427">
        <v>0</v>
      </c>
      <c r="BE108" s="427">
        <v>0</v>
      </c>
      <c r="BF108" s="427">
        <v>0</v>
      </c>
      <c r="BG108" s="427">
        <v>0</v>
      </c>
      <c r="BH108" s="427">
        <v>0</v>
      </c>
      <c r="BI108" s="427">
        <v>0</v>
      </c>
      <c r="BJ108" s="427">
        <v>0</v>
      </c>
      <c r="BK108" s="427">
        <v>0</v>
      </c>
      <c r="BL108" s="427">
        <v>0</v>
      </c>
      <c r="BM108" s="427">
        <v>0</v>
      </c>
      <c r="BN108" s="427">
        <v>0</v>
      </c>
      <c r="BO108" s="427">
        <v>0</v>
      </c>
      <c r="BP108" s="427">
        <v>0</v>
      </c>
      <c r="BQ108" s="427">
        <v>0</v>
      </c>
      <c r="BR108" s="427">
        <v>0</v>
      </c>
      <c r="BS108" s="427">
        <v>0</v>
      </c>
      <c r="BT108" s="427">
        <v>0</v>
      </c>
      <c r="BU108" s="427">
        <v>0</v>
      </c>
      <c r="BV108" s="427">
        <v>0</v>
      </c>
      <c r="BW108" s="427">
        <v>0</v>
      </c>
      <c r="BX108" s="427">
        <v>0</v>
      </c>
      <c r="BY108" s="427">
        <v>0</v>
      </c>
      <c r="BZ108" s="427">
        <v>0</v>
      </c>
      <c r="CA108" s="427">
        <v>0</v>
      </c>
      <c r="CB108" s="427">
        <v>0</v>
      </c>
      <c r="CC108" s="427">
        <v>0</v>
      </c>
      <c r="CD108" s="427">
        <v>0</v>
      </c>
      <c r="CE108" s="427">
        <v>0</v>
      </c>
      <c r="CF108" s="427">
        <v>0</v>
      </c>
      <c r="CG108" s="427">
        <v>0</v>
      </c>
      <c r="CH108" s="427">
        <v>0</v>
      </c>
      <c r="CI108" s="427">
        <v>0</v>
      </c>
      <c r="CJ108" s="427">
        <v>0</v>
      </c>
      <c r="CK108" s="428">
        <v>0</v>
      </c>
      <c r="CL108" s="428">
        <v>0</v>
      </c>
      <c r="CM108" s="428">
        <v>0</v>
      </c>
      <c r="CN108" s="428">
        <v>0</v>
      </c>
      <c r="CO108" s="428">
        <v>0</v>
      </c>
      <c r="CP108" s="428">
        <v>0</v>
      </c>
      <c r="CQ108" s="428">
        <v>0</v>
      </c>
      <c r="CR108" s="428">
        <v>0</v>
      </c>
      <c r="CS108" s="428">
        <v>0</v>
      </c>
      <c r="CT108" s="428">
        <v>0</v>
      </c>
      <c r="CU108" s="428">
        <v>0</v>
      </c>
      <c r="CV108" s="428">
        <v>0</v>
      </c>
      <c r="CW108" s="428">
        <v>0</v>
      </c>
      <c r="CX108" s="428"/>
      <c r="CY108" s="428"/>
      <c r="CZ108" s="428"/>
      <c r="DA108" s="428"/>
      <c r="DB108" s="428"/>
      <c r="DC108" s="428"/>
      <c r="DD108" s="428"/>
      <c r="DE108" s="428"/>
      <c r="DF108" s="428"/>
      <c r="DG108" s="428"/>
      <c r="DH108" s="428"/>
      <c r="DI108" s="428"/>
    </row>
    <row r="109" spans="1:113" s="388" customFormat="1">
      <c r="A109" s="421" t="s">
        <v>370</v>
      </c>
      <c r="B109" s="421" t="s">
        <v>38</v>
      </c>
      <c r="C109" s="421" t="s">
        <v>425</v>
      </c>
      <c r="D109" s="422" t="s">
        <v>376</v>
      </c>
      <c r="E109" s="422">
        <v>2019</v>
      </c>
      <c r="F109" s="423">
        <v>1.1138999999999999</v>
      </c>
      <c r="G109" s="424">
        <v>3831.82</v>
      </c>
      <c r="H109" s="422">
        <v>9</v>
      </c>
      <c r="I109" s="425">
        <v>0.94</v>
      </c>
      <c r="J109" s="425">
        <v>0.94</v>
      </c>
      <c r="K109" s="422">
        <v>0</v>
      </c>
      <c r="L109" s="422">
        <v>0</v>
      </c>
      <c r="M109" s="422">
        <v>0</v>
      </c>
      <c r="N109" s="426">
        <v>140</v>
      </c>
      <c r="O109" s="426">
        <v>0</v>
      </c>
      <c r="P109" s="426">
        <v>0</v>
      </c>
      <c r="Q109" s="426">
        <v>0</v>
      </c>
      <c r="R109" s="426">
        <v>0</v>
      </c>
      <c r="S109" s="426">
        <v>157.11601286173632</v>
      </c>
      <c r="T109" s="426">
        <v>157.11601286173632</v>
      </c>
      <c r="U109" s="426">
        <v>157.11601286173632</v>
      </c>
      <c r="V109" s="426">
        <v>157.11601286173632</v>
      </c>
      <c r="W109" s="426">
        <v>157.11601286173632</v>
      </c>
      <c r="X109" s="426">
        <v>157.11601286173632</v>
      </c>
      <c r="Y109" s="426">
        <v>157.11601286173632</v>
      </c>
      <c r="Z109" s="426">
        <v>157.11601286173632</v>
      </c>
      <c r="AA109" s="426">
        <v>157.11601286173632</v>
      </c>
      <c r="AB109" s="426">
        <v>0</v>
      </c>
      <c r="AC109" s="426">
        <v>0</v>
      </c>
      <c r="AD109" s="426">
        <v>0</v>
      </c>
      <c r="AE109" s="426">
        <v>0</v>
      </c>
      <c r="AF109" s="426">
        <v>0</v>
      </c>
      <c r="AG109" s="426">
        <v>0</v>
      </c>
      <c r="AH109" s="426">
        <v>0</v>
      </c>
      <c r="AI109" s="426">
        <v>0</v>
      </c>
      <c r="AJ109" s="426">
        <v>0</v>
      </c>
      <c r="AK109" s="426">
        <v>0</v>
      </c>
      <c r="AL109" s="426">
        <v>0</v>
      </c>
      <c r="AM109" s="427">
        <v>0</v>
      </c>
      <c r="AN109" s="427">
        <v>0</v>
      </c>
      <c r="AO109" s="427">
        <v>0</v>
      </c>
      <c r="AP109" s="427">
        <v>0</v>
      </c>
      <c r="AQ109" s="427">
        <v>0</v>
      </c>
      <c r="AR109" s="427">
        <v>540479.64844587352</v>
      </c>
      <c r="AS109" s="427">
        <v>540479.64844587352</v>
      </c>
      <c r="AT109" s="427">
        <v>540479.64844587352</v>
      </c>
      <c r="AU109" s="427">
        <v>540479.64844587352</v>
      </c>
      <c r="AV109" s="427">
        <v>540479.64844587352</v>
      </c>
      <c r="AW109" s="427">
        <v>540479.64844587352</v>
      </c>
      <c r="AX109" s="427">
        <v>540479.64844587352</v>
      </c>
      <c r="AY109" s="427">
        <v>540479.64844587352</v>
      </c>
      <c r="AZ109" s="427">
        <v>540479.64844587352</v>
      </c>
      <c r="BA109" s="427">
        <v>0</v>
      </c>
      <c r="BB109" s="427">
        <v>0</v>
      </c>
      <c r="BC109" s="427">
        <v>0</v>
      </c>
      <c r="BD109" s="427">
        <v>0</v>
      </c>
      <c r="BE109" s="427">
        <v>0</v>
      </c>
      <c r="BF109" s="427">
        <v>0</v>
      </c>
      <c r="BG109" s="427">
        <v>0</v>
      </c>
      <c r="BH109" s="427">
        <v>0</v>
      </c>
      <c r="BI109" s="427">
        <v>0</v>
      </c>
      <c r="BJ109" s="427">
        <v>0</v>
      </c>
      <c r="BK109" s="427">
        <v>0</v>
      </c>
      <c r="BL109" s="427">
        <v>0</v>
      </c>
      <c r="BM109" s="427">
        <v>0</v>
      </c>
      <c r="BN109" s="427">
        <v>0</v>
      </c>
      <c r="BO109" s="427">
        <v>0</v>
      </c>
      <c r="BP109" s="427">
        <v>0</v>
      </c>
      <c r="BQ109" s="427">
        <v>0</v>
      </c>
      <c r="BR109" s="427">
        <v>0</v>
      </c>
      <c r="BS109" s="427">
        <v>0</v>
      </c>
      <c r="BT109" s="427">
        <v>0</v>
      </c>
      <c r="BU109" s="427">
        <v>0</v>
      </c>
      <c r="BV109" s="427">
        <v>0</v>
      </c>
      <c r="BW109" s="427">
        <v>0</v>
      </c>
      <c r="BX109" s="427">
        <v>0</v>
      </c>
      <c r="BY109" s="427">
        <v>0</v>
      </c>
      <c r="BZ109" s="427">
        <v>0</v>
      </c>
      <c r="CA109" s="427">
        <v>0</v>
      </c>
      <c r="CB109" s="427">
        <v>0</v>
      </c>
      <c r="CC109" s="427">
        <v>0</v>
      </c>
      <c r="CD109" s="427">
        <v>0</v>
      </c>
      <c r="CE109" s="427">
        <v>0</v>
      </c>
      <c r="CF109" s="427">
        <v>0</v>
      </c>
      <c r="CG109" s="427">
        <v>0</v>
      </c>
      <c r="CH109" s="427">
        <v>0</v>
      </c>
      <c r="CI109" s="427">
        <v>0</v>
      </c>
      <c r="CJ109" s="427">
        <v>0</v>
      </c>
      <c r="CK109" s="428">
        <v>0</v>
      </c>
      <c r="CL109" s="428">
        <v>0</v>
      </c>
      <c r="CM109" s="428">
        <v>0</v>
      </c>
      <c r="CN109" s="428">
        <v>0</v>
      </c>
      <c r="CO109" s="428">
        <v>0</v>
      </c>
      <c r="CP109" s="428">
        <v>0</v>
      </c>
      <c r="CQ109" s="428">
        <v>0</v>
      </c>
      <c r="CR109" s="428">
        <v>0</v>
      </c>
      <c r="CS109" s="428">
        <v>0</v>
      </c>
      <c r="CT109" s="428">
        <v>0</v>
      </c>
      <c r="CU109" s="428">
        <v>0</v>
      </c>
      <c r="CV109" s="428">
        <v>0</v>
      </c>
      <c r="CW109" s="428">
        <v>0</v>
      </c>
      <c r="CX109" s="428"/>
      <c r="CY109" s="428"/>
      <c r="CZ109" s="428"/>
      <c r="DA109" s="428"/>
      <c r="DB109" s="428"/>
      <c r="DC109" s="428"/>
      <c r="DD109" s="428"/>
      <c r="DE109" s="428"/>
      <c r="DF109" s="428"/>
      <c r="DG109" s="428"/>
      <c r="DH109" s="428"/>
      <c r="DI109" s="428"/>
    </row>
    <row r="110" spans="1:113" s="388" customFormat="1">
      <c r="A110" s="421" t="s">
        <v>370</v>
      </c>
      <c r="B110" s="421" t="s">
        <v>38</v>
      </c>
      <c r="C110" s="421" t="s">
        <v>425</v>
      </c>
      <c r="D110" s="422" t="s">
        <v>376</v>
      </c>
      <c r="E110" s="422">
        <v>2020</v>
      </c>
      <c r="F110" s="423">
        <v>1.1138999999999999</v>
      </c>
      <c r="G110" s="424">
        <v>3831.82</v>
      </c>
      <c r="H110" s="422">
        <v>9</v>
      </c>
      <c r="I110" s="425">
        <v>0.94</v>
      </c>
      <c r="J110" s="425">
        <v>0.94</v>
      </c>
      <c r="K110" s="422">
        <v>0</v>
      </c>
      <c r="L110" s="422">
        <v>0</v>
      </c>
      <c r="M110" s="422">
        <v>0</v>
      </c>
      <c r="N110" s="426">
        <v>150</v>
      </c>
      <c r="O110" s="426">
        <v>0</v>
      </c>
      <c r="P110" s="426">
        <v>0</v>
      </c>
      <c r="Q110" s="426">
        <v>0</v>
      </c>
      <c r="R110" s="426">
        <v>0</v>
      </c>
      <c r="S110" s="426">
        <v>0</v>
      </c>
      <c r="T110" s="426">
        <v>168.33858520900318</v>
      </c>
      <c r="U110" s="426">
        <v>168.33858520900318</v>
      </c>
      <c r="V110" s="426">
        <v>168.33858520900318</v>
      </c>
      <c r="W110" s="426">
        <v>168.33858520900318</v>
      </c>
      <c r="X110" s="426">
        <v>168.33858520900318</v>
      </c>
      <c r="Y110" s="426">
        <v>168.33858520900318</v>
      </c>
      <c r="Z110" s="426">
        <v>168.33858520900318</v>
      </c>
      <c r="AA110" s="426">
        <v>168.33858520900318</v>
      </c>
      <c r="AB110" s="426">
        <v>168.33858520900318</v>
      </c>
      <c r="AC110" s="426">
        <v>0</v>
      </c>
      <c r="AD110" s="426">
        <v>0</v>
      </c>
      <c r="AE110" s="426">
        <v>0</v>
      </c>
      <c r="AF110" s="426">
        <v>0</v>
      </c>
      <c r="AG110" s="426">
        <v>0</v>
      </c>
      <c r="AH110" s="426">
        <v>0</v>
      </c>
      <c r="AI110" s="426">
        <v>0</v>
      </c>
      <c r="AJ110" s="426">
        <v>0</v>
      </c>
      <c r="AK110" s="426">
        <v>0</v>
      </c>
      <c r="AL110" s="426">
        <v>0</v>
      </c>
      <c r="AM110" s="427">
        <v>0</v>
      </c>
      <c r="AN110" s="427">
        <v>0</v>
      </c>
      <c r="AO110" s="427">
        <v>0</v>
      </c>
      <c r="AP110" s="427">
        <v>0</v>
      </c>
      <c r="AQ110" s="427">
        <v>0</v>
      </c>
      <c r="AR110" s="427">
        <v>0</v>
      </c>
      <c r="AS110" s="427">
        <v>579085.33762057882</v>
      </c>
      <c r="AT110" s="427">
        <v>579085.33762057882</v>
      </c>
      <c r="AU110" s="427">
        <v>579085.33762057882</v>
      </c>
      <c r="AV110" s="427">
        <v>579085.33762057882</v>
      </c>
      <c r="AW110" s="427">
        <v>579085.33762057882</v>
      </c>
      <c r="AX110" s="427">
        <v>579085.33762057882</v>
      </c>
      <c r="AY110" s="427">
        <v>579085.33762057882</v>
      </c>
      <c r="AZ110" s="427">
        <v>579085.33762057882</v>
      </c>
      <c r="BA110" s="427">
        <v>579085.33762057882</v>
      </c>
      <c r="BB110" s="427">
        <v>0</v>
      </c>
      <c r="BC110" s="427">
        <v>0</v>
      </c>
      <c r="BD110" s="427">
        <v>0</v>
      </c>
      <c r="BE110" s="427">
        <v>0</v>
      </c>
      <c r="BF110" s="427">
        <v>0</v>
      </c>
      <c r="BG110" s="427">
        <v>0</v>
      </c>
      <c r="BH110" s="427">
        <v>0</v>
      </c>
      <c r="BI110" s="427">
        <v>0</v>
      </c>
      <c r="BJ110" s="427">
        <v>0</v>
      </c>
      <c r="BK110" s="427">
        <v>0</v>
      </c>
      <c r="BL110" s="427">
        <v>0</v>
      </c>
      <c r="BM110" s="427">
        <v>0</v>
      </c>
      <c r="BN110" s="427">
        <v>0</v>
      </c>
      <c r="BO110" s="427">
        <v>0</v>
      </c>
      <c r="BP110" s="427">
        <v>0</v>
      </c>
      <c r="BQ110" s="427">
        <v>0</v>
      </c>
      <c r="BR110" s="427">
        <v>0</v>
      </c>
      <c r="BS110" s="427">
        <v>0</v>
      </c>
      <c r="BT110" s="427">
        <v>0</v>
      </c>
      <c r="BU110" s="427">
        <v>0</v>
      </c>
      <c r="BV110" s="427">
        <v>0</v>
      </c>
      <c r="BW110" s="427">
        <v>0</v>
      </c>
      <c r="BX110" s="427">
        <v>0</v>
      </c>
      <c r="BY110" s="427">
        <v>0</v>
      </c>
      <c r="BZ110" s="427">
        <v>0</v>
      </c>
      <c r="CA110" s="427">
        <v>0</v>
      </c>
      <c r="CB110" s="427">
        <v>0</v>
      </c>
      <c r="CC110" s="427">
        <v>0</v>
      </c>
      <c r="CD110" s="427">
        <v>0</v>
      </c>
      <c r="CE110" s="427">
        <v>0</v>
      </c>
      <c r="CF110" s="427">
        <v>0</v>
      </c>
      <c r="CG110" s="427">
        <v>0</v>
      </c>
      <c r="CH110" s="427">
        <v>0</v>
      </c>
      <c r="CI110" s="427">
        <v>0</v>
      </c>
      <c r="CJ110" s="427">
        <v>0</v>
      </c>
      <c r="CK110" s="428">
        <v>0</v>
      </c>
      <c r="CL110" s="428">
        <v>0</v>
      </c>
      <c r="CM110" s="428">
        <v>0</v>
      </c>
      <c r="CN110" s="428">
        <v>0</v>
      </c>
      <c r="CO110" s="428">
        <v>0</v>
      </c>
      <c r="CP110" s="428">
        <v>0</v>
      </c>
      <c r="CQ110" s="428">
        <v>0</v>
      </c>
      <c r="CR110" s="428">
        <v>0</v>
      </c>
      <c r="CS110" s="428">
        <v>0</v>
      </c>
      <c r="CT110" s="428">
        <v>0</v>
      </c>
      <c r="CU110" s="428">
        <v>0</v>
      </c>
      <c r="CV110" s="428">
        <v>0</v>
      </c>
      <c r="CW110" s="428">
        <v>0</v>
      </c>
      <c r="CX110" s="428"/>
      <c r="CY110" s="428"/>
      <c r="CZ110" s="428"/>
      <c r="DA110" s="428"/>
      <c r="DB110" s="428"/>
      <c r="DC110" s="428"/>
      <c r="DD110" s="428"/>
      <c r="DE110" s="428"/>
      <c r="DF110" s="428"/>
      <c r="DG110" s="428"/>
      <c r="DH110" s="428"/>
      <c r="DI110" s="428"/>
    </row>
    <row r="111" spans="1:113" s="388" customFormat="1">
      <c r="A111" s="421" t="s">
        <v>370</v>
      </c>
      <c r="B111" s="421" t="s">
        <v>427</v>
      </c>
      <c r="C111" s="421" t="s">
        <v>430</v>
      </c>
      <c r="D111" s="422" t="s">
        <v>376</v>
      </c>
      <c r="E111" s="422">
        <v>2015</v>
      </c>
      <c r="F111" s="423">
        <v>33.723799999999997</v>
      </c>
      <c r="G111" s="424">
        <v>105555.49</v>
      </c>
      <c r="H111" s="422">
        <v>14</v>
      </c>
      <c r="I111" s="425">
        <v>0.54</v>
      </c>
      <c r="J111" s="425">
        <v>0.54</v>
      </c>
      <c r="K111" s="422">
        <v>0</v>
      </c>
      <c r="L111" s="422">
        <v>0</v>
      </c>
      <c r="M111" s="422">
        <v>0</v>
      </c>
      <c r="N111" s="426">
        <v>1.05</v>
      </c>
      <c r="O111" s="426">
        <v>20.494527974276526</v>
      </c>
      <c r="P111" s="426">
        <v>20.494527974276526</v>
      </c>
      <c r="Q111" s="426">
        <v>20.494527974276526</v>
      </c>
      <c r="R111" s="426">
        <v>20.494527974276526</v>
      </c>
      <c r="S111" s="426">
        <v>20.494527974276526</v>
      </c>
      <c r="T111" s="426">
        <v>20.494527974276526</v>
      </c>
      <c r="U111" s="426">
        <v>20.494527974276526</v>
      </c>
      <c r="V111" s="426">
        <v>20.494527974276526</v>
      </c>
      <c r="W111" s="426">
        <v>20.494527974276526</v>
      </c>
      <c r="X111" s="426">
        <v>20.494527974276526</v>
      </c>
      <c r="Y111" s="426">
        <v>20.494527974276526</v>
      </c>
      <c r="Z111" s="426">
        <v>20.494527974276526</v>
      </c>
      <c r="AA111" s="426">
        <v>20.494527974276526</v>
      </c>
      <c r="AB111" s="426">
        <v>20.494527974276526</v>
      </c>
      <c r="AC111" s="426">
        <v>0</v>
      </c>
      <c r="AD111" s="426">
        <v>0</v>
      </c>
      <c r="AE111" s="426">
        <v>0</v>
      </c>
      <c r="AF111" s="426">
        <v>0</v>
      </c>
      <c r="AG111" s="426">
        <v>0</v>
      </c>
      <c r="AH111" s="426">
        <v>0</v>
      </c>
      <c r="AI111" s="426">
        <v>0</v>
      </c>
      <c r="AJ111" s="426">
        <v>0</v>
      </c>
      <c r="AK111" s="426">
        <v>0</v>
      </c>
      <c r="AL111" s="426">
        <v>0</v>
      </c>
      <c r="AM111" s="427">
        <v>0</v>
      </c>
      <c r="AN111" s="427">
        <v>64147.870128617375</v>
      </c>
      <c r="AO111" s="427">
        <v>64147.870128617375</v>
      </c>
      <c r="AP111" s="427">
        <v>64147.870128617375</v>
      </c>
      <c r="AQ111" s="427">
        <v>64147.870128617375</v>
      </c>
      <c r="AR111" s="427">
        <v>64147.870128617375</v>
      </c>
      <c r="AS111" s="427">
        <v>64147.870128617375</v>
      </c>
      <c r="AT111" s="427">
        <v>64147.870128617375</v>
      </c>
      <c r="AU111" s="427">
        <v>64147.870128617375</v>
      </c>
      <c r="AV111" s="427">
        <v>64147.870128617375</v>
      </c>
      <c r="AW111" s="427">
        <v>64147.870128617375</v>
      </c>
      <c r="AX111" s="427">
        <v>64147.870128617375</v>
      </c>
      <c r="AY111" s="427">
        <v>64147.870128617375</v>
      </c>
      <c r="AZ111" s="427">
        <v>64147.870128617375</v>
      </c>
      <c r="BA111" s="427">
        <v>64147.870128617375</v>
      </c>
      <c r="BB111" s="427">
        <v>0</v>
      </c>
      <c r="BC111" s="427">
        <v>0</v>
      </c>
      <c r="BD111" s="427">
        <v>0</v>
      </c>
      <c r="BE111" s="427">
        <v>0</v>
      </c>
      <c r="BF111" s="427">
        <v>0</v>
      </c>
      <c r="BG111" s="427">
        <v>0</v>
      </c>
      <c r="BH111" s="427">
        <v>0</v>
      </c>
      <c r="BI111" s="427">
        <v>0</v>
      </c>
      <c r="BJ111" s="427">
        <v>0</v>
      </c>
      <c r="BK111" s="427">
        <v>0</v>
      </c>
      <c r="BL111" s="427">
        <v>0</v>
      </c>
      <c r="BM111" s="427">
        <v>0</v>
      </c>
      <c r="BN111" s="427">
        <v>0</v>
      </c>
      <c r="BO111" s="427">
        <v>0</v>
      </c>
      <c r="BP111" s="427">
        <v>0</v>
      </c>
      <c r="BQ111" s="427">
        <v>0</v>
      </c>
      <c r="BR111" s="427">
        <v>0</v>
      </c>
      <c r="BS111" s="427">
        <v>0</v>
      </c>
      <c r="BT111" s="427">
        <v>0</v>
      </c>
      <c r="BU111" s="427">
        <v>0</v>
      </c>
      <c r="BV111" s="427">
        <v>0</v>
      </c>
      <c r="BW111" s="427">
        <v>0</v>
      </c>
      <c r="BX111" s="427">
        <v>0</v>
      </c>
      <c r="BY111" s="427">
        <v>0</v>
      </c>
      <c r="BZ111" s="427">
        <v>0</v>
      </c>
      <c r="CA111" s="427">
        <v>0</v>
      </c>
      <c r="CB111" s="427">
        <v>0</v>
      </c>
      <c r="CC111" s="427">
        <v>0</v>
      </c>
      <c r="CD111" s="427">
        <v>0</v>
      </c>
      <c r="CE111" s="427">
        <v>0</v>
      </c>
      <c r="CF111" s="427">
        <v>0</v>
      </c>
      <c r="CG111" s="427">
        <v>0</v>
      </c>
      <c r="CH111" s="427">
        <v>0</v>
      </c>
      <c r="CI111" s="427">
        <v>0</v>
      </c>
      <c r="CJ111" s="427">
        <v>0</v>
      </c>
      <c r="CK111" s="428">
        <v>0</v>
      </c>
      <c r="CL111" s="428">
        <v>0</v>
      </c>
      <c r="CM111" s="428">
        <v>0</v>
      </c>
      <c r="CN111" s="428">
        <v>0</v>
      </c>
      <c r="CO111" s="428">
        <v>0</v>
      </c>
      <c r="CP111" s="428">
        <v>0</v>
      </c>
      <c r="CQ111" s="428">
        <v>0</v>
      </c>
      <c r="CR111" s="428">
        <v>0</v>
      </c>
      <c r="CS111" s="428">
        <v>0</v>
      </c>
      <c r="CT111" s="428">
        <v>0</v>
      </c>
      <c r="CU111" s="428">
        <v>0</v>
      </c>
      <c r="CV111" s="428">
        <v>0</v>
      </c>
      <c r="CW111" s="428">
        <v>0</v>
      </c>
      <c r="CX111" s="428"/>
      <c r="CY111" s="428"/>
      <c r="CZ111" s="428"/>
      <c r="DA111" s="428"/>
      <c r="DB111" s="428"/>
      <c r="DC111" s="428"/>
      <c r="DD111" s="428"/>
      <c r="DE111" s="428"/>
      <c r="DF111" s="428"/>
      <c r="DG111" s="428"/>
      <c r="DH111" s="428"/>
      <c r="DI111" s="428"/>
    </row>
    <row r="112" spans="1:113" s="388" customFormat="1">
      <c r="A112" s="421" t="s">
        <v>370</v>
      </c>
      <c r="B112" s="421" t="s">
        <v>427</v>
      </c>
      <c r="C112" s="421" t="s">
        <v>430</v>
      </c>
      <c r="D112" s="422" t="s">
        <v>376</v>
      </c>
      <c r="E112" s="422">
        <v>2016</v>
      </c>
      <c r="F112" s="423">
        <v>33.723799999999997</v>
      </c>
      <c r="G112" s="424">
        <v>105555.49</v>
      </c>
      <c r="H112" s="422">
        <v>14</v>
      </c>
      <c r="I112" s="425">
        <v>0.54</v>
      </c>
      <c r="J112" s="425">
        <v>0.54</v>
      </c>
      <c r="K112" s="422">
        <v>0</v>
      </c>
      <c r="L112" s="422">
        <v>0</v>
      </c>
      <c r="M112" s="422">
        <v>0</v>
      </c>
      <c r="N112" s="426">
        <v>2</v>
      </c>
      <c r="O112" s="426">
        <v>0</v>
      </c>
      <c r="P112" s="426">
        <v>39.0371961414791</v>
      </c>
      <c r="Q112" s="426">
        <v>39.0371961414791</v>
      </c>
      <c r="R112" s="426">
        <v>39.0371961414791</v>
      </c>
      <c r="S112" s="426">
        <v>39.0371961414791</v>
      </c>
      <c r="T112" s="426">
        <v>39.0371961414791</v>
      </c>
      <c r="U112" s="426">
        <v>39.0371961414791</v>
      </c>
      <c r="V112" s="426">
        <v>39.0371961414791</v>
      </c>
      <c r="W112" s="426">
        <v>39.0371961414791</v>
      </c>
      <c r="X112" s="426">
        <v>39.0371961414791</v>
      </c>
      <c r="Y112" s="426">
        <v>39.0371961414791</v>
      </c>
      <c r="Z112" s="426">
        <v>39.0371961414791</v>
      </c>
      <c r="AA112" s="426">
        <v>39.0371961414791</v>
      </c>
      <c r="AB112" s="426">
        <v>39.0371961414791</v>
      </c>
      <c r="AC112" s="426">
        <v>39.0371961414791</v>
      </c>
      <c r="AD112" s="426">
        <v>0</v>
      </c>
      <c r="AE112" s="426">
        <v>0</v>
      </c>
      <c r="AF112" s="426">
        <v>0</v>
      </c>
      <c r="AG112" s="426">
        <v>0</v>
      </c>
      <c r="AH112" s="426">
        <v>0</v>
      </c>
      <c r="AI112" s="426">
        <v>0</v>
      </c>
      <c r="AJ112" s="426">
        <v>0</v>
      </c>
      <c r="AK112" s="426">
        <v>0</v>
      </c>
      <c r="AL112" s="426">
        <v>0</v>
      </c>
      <c r="AM112" s="427">
        <v>0</v>
      </c>
      <c r="AN112" s="427">
        <v>0</v>
      </c>
      <c r="AO112" s="427">
        <v>122186.41929260452</v>
      </c>
      <c r="AP112" s="427">
        <v>122186.41929260452</v>
      </c>
      <c r="AQ112" s="427">
        <v>122186.41929260452</v>
      </c>
      <c r="AR112" s="427">
        <v>122186.41929260452</v>
      </c>
      <c r="AS112" s="427">
        <v>122186.41929260452</v>
      </c>
      <c r="AT112" s="427">
        <v>122186.41929260452</v>
      </c>
      <c r="AU112" s="427">
        <v>122186.41929260452</v>
      </c>
      <c r="AV112" s="427">
        <v>122186.41929260452</v>
      </c>
      <c r="AW112" s="427">
        <v>122186.41929260452</v>
      </c>
      <c r="AX112" s="427">
        <v>122186.41929260452</v>
      </c>
      <c r="AY112" s="427">
        <v>122186.41929260452</v>
      </c>
      <c r="AZ112" s="427">
        <v>122186.41929260452</v>
      </c>
      <c r="BA112" s="427">
        <v>122186.41929260452</v>
      </c>
      <c r="BB112" s="427">
        <v>122186.41929260452</v>
      </c>
      <c r="BC112" s="427">
        <v>0</v>
      </c>
      <c r="BD112" s="427">
        <v>0</v>
      </c>
      <c r="BE112" s="427">
        <v>0</v>
      </c>
      <c r="BF112" s="427">
        <v>0</v>
      </c>
      <c r="BG112" s="427">
        <v>0</v>
      </c>
      <c r="BH112" s="427">
        <v>0</v>
      </c>
      <c r="BI112" s="427">
        <v>0</v>
      </c>
      <c r="BJ112" s="427">
        <v>0</v>
      </c>
      <c r="BK112" s="427">
        <v>0</v>
      </c>
      <c r="BL112" s="427">
        <v>0</v>
      </c>
      <c r="BM112" s="427">
        <v>0</v>
      </c>
      <c r="BN112" s="427">
        <v>0</v>
      </c>
      <c r="BO112" s="427">
        <v>0</v>
      </c>
      <c r="BP112" s="427">
        <v>0</v>
      </c>
      <c r="BQ112" s="427">
        <v>0</v>
      </c>
      <c r="BR112" s="427">
        <v>0</v>
      </c>
      <c r="BS112" s="427">
        <v>0</v>
      </c>
      <c r="BT112" s="427">
        <v>0</v>
      </c>
      <c r="BU112" s="427">
        <v>0</v>
      </c>
      <c r="BV112" s="427">
        <v>0</v>
      </c>
      <c r="BW112" s="427">
        <v>0</v>
      </c>
      <c r="BX112" s="427">
        <v>0</v>
      </c>
      <c r="BY112" s="427">
        <v>0</v>
      </c>
      <c r="BZ112" s="427">
        <v>0</v>
      </c>
      <c r="CA112" s="427">
        <v>0</v>
      </c>
      <c r="CB112" s="427">
        <v>0</v>
      </c>
      <c r="CC112" s="427">
        <v>0</v>
      </c>
      <c r="CD112" s="427">
        <v>0</v>
      </c>
      <c r="CE112" s="427">
        <v>0</v>
      </c>
      <c r="CF112" s="427">
        <v>0</v>
      </c>
      <c r="CG112" s="427">
        <v>0</v>
      </c>
      <c r="CH112" s="427">
        <v>0</v>
      </c>
      <c r="CI112" s="427">
        <v>0</v>
      </c>
      <c r="CJ112" s="427">
        <v>0</v>
      </c>
      <c r="CK112" s="428">
        <v>0</v>
      </c>
      <c r="CL112" s="428">
        <v>0</v>
      </c>
      <c r="CM112" s="428">
        <v>0</v>
      </c>
      <c r="CN112" s="428">
        <v>0</v>
      </c>
      <c r="CO112" s="428">
        <v>0</v>
      </c>
      <c r="CP112" s="428">
        <v>0</v>
      </c>
      <c r="CQ112" s="428">
        <v>0</v>
      </c>
      <c r="CR112" s="428">
        <v>0</v>
      </c>
      <c r="CS112" s="428">
        <v>0</v>
      </c>
      <c r="CT112" s="428">
        <v>0</v>
      </c>
      <c r="CU112" s="428">
        <v>0</v>
      </c>
      <c r="CV112" s="428">
        <v>0</v>
      </c>
      <c r="CW112" s="428">
        <v>0</v>
      </c>
      <c r="CX112" s="428"/>
      <c r="CY112" s="428"/>
      <c r="CZ112" s="428"/>
      <c r="DA112" s="428"/>
      <c r="DB112" s="428"/>
      <c r="DC112" s="428"/>
      <c r="DD112" s="428"/>
      <c r="DE112" s="428"/>
      <c r="DF112" s="428"/>
      <c r="DG112" s="428"/>
      <c r="DH112" s="428"/>
      <c r="DI112" s="428"/>
    </row>
    <row r="113" spans="1:113" s="388" customFormat="1">
      <c r="A113" s="421" t="s">
        <v>370</v>
      </c>
      <c r="B113" s="421" t="s">
        <v>427</v>
      </c>
      <c r="C113" s="421" t="s">
        <v>430</v>
      </c>
      <c r="D113" s="422" t="s">
        <v>376</v>
      </c>
      <c r="E113" s="422">
        <v>2017</v>
      </c>
      <c r="F113" s="423">
        <v>33.723799999999997</v>
      </c>
      <c r="G113" s="424">
        <v>105555.49</v>
      </c>
      <c r="H113" s="422">
        <v>14</v>
      </c>
      <c r="I113" s="425">
        <v>0.54</v>
      </c>
      <c r="J113" s="425">
        <v>0.54</v>
      </c>
      <c r="K113" s="422">
        <v>0</v>
      </c>
      <c r="L113" s="422">
        <v>0</v>
      </c>
      <c r="M113" s="422">
        <v>0</v>
      </c>
      <c r="N113" s="426">
        <v>2</v>
      </c>
      <c r="O113" s="426">
        <v>0</v>
      </c>
      <c r="P113" s="426">
        <v>0</v>
      </c>
      <c r="Q113" s="426">
        <v>39.0371961414791</v>
      </c>
      <c r="R113" s="426">
        <v>39.0371961414791</v>
      </c>
      <c r="S113" s="426">
        <v>39.0371961414791</v>
      </c>
      <c r="T113" s="426">
        <v>39.0371961414791</v>
      </c>
      <c r="U113" s="426">
        <v>39.0371961414791</v>
      </c>
      <c r="V113" s="426">
        <v>39.0371961414791</v>
      </c>
      <c r="W113" s="426">
        <v>39.0371961414791</v>
      </c>
      <c r="X113" s="426">
        <v>39.0371961414791</v>
      </c>
      <c r="Y113" s="426">
        <v>39.0371961414791</v>
      </c>
      <c r="Z113" s="426">
        <v>39.0371961414791</v>
      </c>
      <c r="AA113" s="426">
        <v>39.0371961414791</v>
      </c>
      <c r="AB113" s="426">
        <v>39.0371961414791</v>
      </c>
      <c r="AC113" s="426">
        <v>39.0371961414791</v>
      </c>
      <c r="AD113" s="426">
        <v>39.0371961414791</v>
      </c>
      <c r="AE113" s="426">
        <v>0</v>
      </c>
      <c r="AF113" s="426">
        <v>0</v>
      </c>
      <c r="AG113" s="426">
        <v>0</v>
      </c>
      <c r="AH113" s="426">
        <v>0</v>
      </c>
      <c r="AI113" s="426">
        <v>0</v>
      </c>
      <c r="AJ113" s="426">
        <v>0</v>
      </c>
      <c r="AK113" s="426">
        <v>0</v>
      </c>
      <c r="AL113" s="426">
        <v>0</v>
      </c>
      <c r="AM113" s="427">
        <v>0</v>
      </c>
      <c r="AN113" s="427">
        <v>0</v>
      </c>
      <c r="AO113" s="427">
        <v>0</v>
      </c>
      <c r="AP113" s="427">
        <v>122186.41929260452</v>
      </c>
      <c r="AQ113" s="427">
        <v>122186.41929260452</v>
      </c>
      <c r="AR113" s="427">
        <v>122186.41929260452</v>
      </c>
      <c r="AS113" s="427">
        <v>122186.41929260452</v>
      </c>
      <c r="AT113" s="427">
        <v>122186.41929260452</v>
      </c>
      <c r="AU113" s="427">
        <v>122186.41929260452</v>
      </c>
      <c r="AV113" s="427">
        <v>122186.41929260452</v>
      </c>
      <c r="AW113" s="427">
        <v>122186.41929260452</v>
      </c>
      <c r="AX113" s="427">
        <v>122186.41929260452</v>
      </c>
      <c r="AY113" s="427">
        <v>122186.41929260452</v>
      </c>
      <c r="AZ113" s="427">
        <v>122186.41929260452</v>
      </c>
      <c r="BA113" s="427">
        <v>122186.41929260452</v>
      </c>
      <c r="BB113" s="427">
        <v>122186.41929260452</v>
      </c>
      <c r="BC113" s="427">
        <v>122186.41929260452</v>
      </c>
      <c r="BD113" s="427">
        <v>0</v>
      </c>
      <c r="BE113" s="427">
        <v>0</v>
      </c>
      <c r="BF113" s="427">
        <v>0</v>
      </c>
      <c r="BG113" s="427">
        <v>0</v>
      </c>
      <c r="BH113" s="427">
        <v>0</v>
      </c>
      <c r="BI113" s="427">
        <v>0</v>
      </c>
      <c r="BJ113" s="427">
        <v>0</v>
      </c>
      <c r="BK113" s="427">
        <v>0</v>
      </c>
      <c r="BL113" s="427">
        <v>0</v>
      </c>
      <c r="BM113" s="427">
        <v>0</v>
      </c>
      <c r="BN113" s="427">
        <v>0</v>
      </c>
      <c r="BO113" s="427">
        <v>0</v>
      </c>
      <c r="BP113" s="427">
        <v>0</v>
      </c>
      <c r="BQ113" s="427">
        <v>0</v>
      </c>
      <c r="BR113" s="427">
        <v>0</v>
      </c>
      <c r="BS113" s="427">
        <v>0</v>
      </c>
      <c r="BT113" s="427">
        <v>0</v>
      </c>
      <c r="BU113" s="427">
        <v>0</v>
      </c>
      <c r="BV113" s="427">
        <v>0</v>
      </c>
      <c r="BW113" s="427">
        <v>0</v>
      </c>
      <c r="BX113" s="427">
        <v>0</v>
      </c>
      <c r="BY113" s="427">
        <v>0</v>
      </c>
      <c r="BZ113" s="427">
        <v>0</v>
      </c>
      <c r="CA113" s="427">
        <v>0</v>
      </c>
      <c r="CB113" s="427">
        <v>0</v>
      </c>
      <c r="CC113" s="427">
        <v>0</v>
      </c>
      <c r="CD113" s="427">
        <v>0</v>
      </c>
      <c r="CE113" s="427">
        <v>0</v>
      </c>
      <c r="CF113" s="427">
        <v>0</v>
      </c>
      <c r="CG113" s="427">
        <v>0</v>
      </c>
      <c r="CH113" s="427">
        <v>0</v>
      </c>
      <c r="CI113" s="427">
        <v>0</v>
      </c>
      <c r="CJ113" s="427">
        <v>0</v>
      </c>
      <c r="CK113" s="428">
        <v>0</v>
      </c>
      <c r="CL113" s="428">
        <v>0</v>
      </c>
      <c r="CM113" s="428">
        <v>0</v>
      </c>
      <c r="CN113" s="428">
        <v>0</v>
      </c>
      <c r="CO113" s="428">
        <v>0</v>
      </c>
      <c r="CP113" s="428">
        <v>0</v>
      </c>
      <c r="CQ113" s="428">
        <v>0</v>
      </c>
      <c r="CR113" s="428">
        <v>0</v>
      </c>
      <c r="CS113" s="428">
        <v>0</v>
      </c>
      <c r="CT113" s="428">
        <v>0</v>
      </c>
      <c r="CU113" s="428">
        <v>0</v>
      </c>
      <c r="CV113" s="428">
        <v>0</v>
      </c>
      <c r="CW113" s="428">
        <v>0</v>
      </c>
      <c r="CX113" s="428"/>
      <c r="CY113" s="428"/>
      <c r="CZ113" s="428"/>
      <c r="DA113" s="428"/>
      <c r="DB113" s="428"/>
      <c r="DC113" s="428"/>
      <c r="DD113" s="428"/>
      <c r="DE113" s="428"/>
      <c r="DF113" s="428"/>
      <c r="DG113" s="428"/>
      <c r="DH113" s="428"/>
      <c r="DI113" s="428"/>
    </row>
    <row r="114" spans="1:113" s="388" customFormat="1">
      <c r="A114" s="421" t="s">
        <v>370</v>
      </c>
      <c r="B114" s="421" t="s">
        <v>427</v>
      </c>
      <c r="C114" s="421" t="s">
        <v>430</v>
      </c>
      <c r="D114" s="422" t="s">
        <v>376</v>
      </c>
      <c r="E114" s="422">
        <v>2018</v>
      </c>
      <c r="F114" s="423">
        <v>33.723799999999997</v>
      </c>
      <c r="G114" s="424">
        <v>105555.49</v>
      </c>
      <c r="H114" s="422">
        <v>14</v>
      </c>
      <c r="I114" s="425">
        <v>0.54</v>
      </c>
      <c r="J114" s="425">
        <v>0.54</v>
      </c>
      <c r="K114" s="422">
        <v>0</v>
      </c>
      <c r="L114" s="422">
        <v>0</v>
      </c>
      <c r="M114" s="422">
        <v>0</v>
      </c>
      <c r="N114" s="426">
        <v>2</v>
      </c>
      <c r="O114" s="426">
        <v>0</v>
      </c>
      <c r="P114" s="426">
        <v>0</v>
      </c>
      <c r="Q114" s="426">
        <v>0</v>
      </c>
      <c r="R114" s="426">
        <v>39.0371961414791</v>
      </c>
      <c r="S114" s="426">
        <v>39.0371961414791</v>
      </c>
      <c r="T114" s="426">
        <v>39.0371961414791</v>
      </c>
      <c r="U114" s="426">
        <v>39.0371961414791</v>
      </c>
      <c r="V114" s="426">
        <v>39.0371961414791</v>
      </c>
      <c r="W114" s="426">
        <v>39.0371961414791</v>
      </c>
      <c r="X114" s="426">
        <v>39.0371961414791</v>
      </c>
      <c r="Y114" s="426">
        <v>39.0371961414791</v>
      </c>
      <c r="Z114" s="426">
        <v>39.0371961414791</v>
      </c>
      <c r="AA114" s="426">
        <v>39.0371961414791</v>
      </c>
      <c r="AB114" s="426">
        <v>39.0371961414791</v>
      </c>
      <c r="AC114" s="426">
        <v>39.0371961414791</v>
      </c>
      <c r="AD114" s="426">
        <v>39.0371961414791</v>
      </c>
      <c r="AE114" s="426">
        <v>39.0371961414791</v>
      </c>
      <c r="AF114" s="426">
        <v>0</v>
      </c>
      <c r="AG114" s="426">
        <v>0</v>
      </c>
      <c r="AH114" s="426">
        <v>0</v>
      </c>
      <c r="AI114" s="426">
        <v>0</v>
      </c>
      <c r="AJ114" s="426">
        <v>0</v>
      </c>
      <c r="AK114" s="426">
        <v>0</v>
      </c>
      <c r="AL114" s="426">
        <v>0</v>
      </c>
      <c r="AM114" s="427">
        <v>0</v>
      </c>
      <c r="AN114" s="427">
        <v>0</v>
      </c>
      <c r="AO114" s="427">
        <v>0</v>
      </c>
      <c r="AP114" s="427">
        <v>0</v>
      </c>
      <c r="AQ114" s="427">
        <v>122186.41929260452</v>
      </c>
      <c r="AR114" s="427">
        <v>122186.41929260452</v>
      </c>
      <c r="AS114" s="427">
        <v>122186.41929260452</v>
      </c>
      <c r="AT114" s="427">
        <v>122186.41929260452</v>
      </c>
      <c r="AU114" s="427">
        <v>122186.41929260452</v>
      </c>
      <c r="AV114" s="427">
        <v>122186.41929260452</v>
      </c>
      <c r="AW114" s="427">
        <v>122186.41929260452</v>
      </c>
      <c r="AX114" s="427">
        <v>122186.41929260452</v>
      </c>
      <c r="AY114" s="427">
        <v>122186.41929260452</v>
      </c>
      <c r="AZ114" s="427">
        <v>122186.41929260452</v>
      </c>
      <c r="BA114" s="427">
        <v>122186.41929260452</v>
      </c>
      <c r="BB114" s="427">
        <v>122186.41929260452</v>
      </c>
      <c r="BC114" s="427">
        <v>122186.41929260452</v>
      </c>
      <c r="BD114" s="427">
        <v>122186.41929260452</v>
      </c>
      <c r="BE114" s="427">
        <v>0</v>
      </c>
      <c r="BF114" s="427">
        <v>0</v>
      </c>
      <c r="BG114" s="427">
        <v>0</v>
      </c>
      <c r="BH114" s="427">
        <v>0</v>
      </c>
      <c r="BI114" s="427">
        <v>0</v>
      </c>
      <c r="BJ114" s="427">
        <v>0</v>
      </c>
      <c r="BK114" s="427">
        <v>0</v>
      </c>
      <c r="BL114" s="427">
        <v>0</v>
      </c>
      <c r="BM114" s="427">
        <v>0</v>
      </c>
      <c r="BN114" s="427">
        <v>0</v>
      </c>
      <c r="BO114" s="427">
        <v>0</v>
      </c>
      <c r="BP114" s="427">
        <v>0</v>
      </c>
      <c r="BQ114" s="427">
        <v>0</v>
      </c>
      <c r="BR114" s="427">
        <v>0</v>
      </c>
      <c r="BS114" s="427">
        <v>0</v>
      </c>
      <c r="BT114" s="427">
        <v>0</v>
      </c>
      <c r="BU114" s="427">
        <v>0</v>
      </c>
      <c r="BV114" s="427">
        <v>0</v>
      </c>
      <c r="BW114" s="427">
        <v>0</v>
      </c>
      <c r="BX114" s="427">
        <v>0</v>
      </c>
      <c r="BY114" s="427">
        <v>0</v>
      </c>
      <c r="BZ114" s="427">
        <v>0</v>
      </c>
      <c r="CA114" s="427">
        <v>0</v>
      </c>
      <c r="CB114" s="427">
        <v>0</v>
      </c>
      <c r="CC114" s="427">
        <v>0</v>
      </c>
      <c r="CD114" s="427">
        <v>0</v>
      </c>
      <c r="CE114" s="427">
        <v>0</v>
      </c>
      <c r="CF114" s="427">
        <v>0</v>
      </c>
      <c r="CG114" s="427">
        <v>0</v>
      </c>
      <c r="CH114" s="427">
        <v>0</v>
      </c>
      <c r="CI114" s="427">
        <v>0</v>
      </c>
      <c r="CJ114" s="427">
        <v>0</v>
      </c>
      <c r="CK114" s="428">
        <v>0</v>
      </c>
      <c r="CL114" s="428">
        <v>0</v>
      </c>
      <c r="CM114" s="428">
        <v>0</v>
      </c>
      <c r="CN114" s="428">
        <v>0</v>
      </c>
      <c r="CO114" s="428">
        <v>0</v>
      </c>
      <c r="CP114" s="428">
        <v>0</v>
      </c>
      <c r="CQ114" s="428">
        <v>0</v>
      </c>
      <c r="CR114" s="428">
        <v>0</v>
      </c>
      <c r="CS114" s="428">
        <v>0</v>
      </c>
      <c r="CT114" s="428">
        <v>0</v>
      </c>
      <c r="CU114" s="428">
        <v>0</v>
      </c>
      <c r="CV114" s="428">
        <v>0</v>
      </c>
      <c r="CW114" s="428">
        <v>0</v>
      </c>
      <c r="CX114" s="428"/>
      <c r="CY114" s="428"/>
      <c r="CZ114" s="428"/>
      <c r="DA114" s="428"/>
      <c r="DB114" s="428"/>
      <c r="DC114" s="428"/>
      <c r="DD114" s="428"/>
      <c r="DE114" s="428"/>
      <c r="DF114" s="428"/>
      <c r="DG114" s="428"/>
      <c r="DH114" s="428"/>
      <c r="DI114" s="428"/>
    </row>
    <row r="115" spans="1:113" s="388" customFormat="1">
      <c r="A115" s="421" t="s">
        <v>370</v>
      </c>
      <c r="B115" s="421" t="s">
        <v>427</v>
      </c>
      <c r="C115" s="421" t="s">
        <v>430</v>
      </c>
      <c r="D115" s="422" t="s">
        <v>376</v>
      </c>
      <c r="E115" s="422">
        <v>2019</v>
      </c>
      <c r="F115" s="423">
        <v>33.723799999999997</v>
      </c>
      <c r="G115" s="424">
        <v>105555.49</v>
      </c>
      <c r="H115" s="422">
        <v>14</v>
      </c>
      <c r="I115" s="425">
        <v>0.54</v>
      </c>
      <c r="J115" s="425">
        <v>0.54</v>
      </c>
      <c r="K115" s="422">
        <v>0</v>
      </c>
      <c r="L115" s="422">
        <v>0</v>
      </c>
      <c r="M115" s="422">
        <v>0</v>
      </c>
      <c r="N115" s="426">
        <v>2</v>
      </c>
      <c r="O115" s="426">
        <v>0</v>
      </c>
      <c r="P115" s="426">
        <v>0</v>
      </c>
      <c r="Q115" s="426">
        <v>0</v>
      </c>
      <c r="R115" s="426">
        <v>0</v>
      </c>
      <c r="S115" s="426">
        <v>39.0371961414791</v>
      </c>
      <c r="T115" s="426">
        <v>39.0371961414791</v>
      </c>
      <c r="U115" s="426">
        <v>39.0371961414791</v>
      </c>
      <c r="V115" s="426">
        <v>39.0371961414791</v>
      </c>
      <c r="W115" s="426">
        <v>39.0371961414791</v>
      </c>
      <c r="X115" s="426">
        <v>39.0371961414791</v>
      </c>
      <c r="Y115" s="426">
        <v>39.0371961414791</v>
      </c>
      <c r="Z115" s="426">
        <v>39.0371961414791</v>
      </c>
      <c r="AA115" s="426">
        <v>39.0371961414791</v>
      </c>
      <c r="AB115" s="426">
        <v>39.0371961414791</v>
      </c>
      <c r="AC115" s="426">
        <v>39.0371961414791</v>
      </c>
      <c r="AD115" s="426">
        <v>39.0371961414791</v>
      </c>
      <c r="AE115" s="426">
        <v>39.0371961414791</v>
      </c>
      <c r="AF115" s="426">
        <v>39.0371961414791</v>
      </c>
      <c r="AG115" s="426">
        <v>0</v>
      </c>
      <c r="AH115" s="426">
        <v>0</v>
      </c>
      <c r="AI115" s="426">
        <v>0</v>
      </c>
      <c r="AJ115" s="426">
        <v>0</v>
      </c>
      <c r="AK115" s="426">
        <v>0</v>
      </c>
      <c r="AL115" s="426">
        <v>0</v>
      </c>
      <c r="AM115" s="427">
        <v>0</v>
      </c>
      <c r="AN115" s="427">
        <v>0</v>
      </c>
      <c r="AO115" s="427">
        <v>0</v>
      </c>
      <c r="AP115" s="427">
        <v>0</v>
      </c>
      <c r="AQ115" s="427">
        <v>0</v>
      </c>
      <c r="AR115" s="427">
        <v>122186.41929260452</v>
      </c>
      <c r="AS115" s="427">
        <v>122186.41929260452</v>
      </c>
      <c r="AT115" s="427">
        <v>122186.41929260452</v>
      </c>
      <c r="AU115" s="427">
        <v>122186.41929260452</v>
      </c>
      <c r="AV115" s="427">
        <v>122186.41929260452</v>
      </c>
      <c r="AW115" s="427">
        <v>122186.41929260452</v>
      </c>
      <c r="AX115" s="427">
        <v>122186.41929260452</v>
      </c>
      <c r="AY115" s="427">
        <v>122186.41929260452</v>
      </c>
      <c r="AZ115" s="427">
        <v>122186.41929260452</v>
      </c>
      <c r="BA115" s="427">
        <v>122186.41929260452</v>
      </c>
      <c r="BB115" s="427">
        <v>122186.41929260452</v>
      </c>
      <c r="BC115" s="427">
        <v>122186.41929260452</v>
      </c>
      <c r="BD115" s="427">
        <v>122186.41929260452</v>
      </c>
      <c r="BE115" s="427">
        <v>122186.41929260452</v>
      </c>
      <c r="BF115" s="427">
        <v>0</v>
      </c>
      <c r="BG115" s="427">
        <v>0</v>
      </c>
      <c r="BH115" s="427">
        <v>0</v>
      </c>
      <c r="BI115" s="427">
        <v>0</v>
      </c>
      <c r="BJ115" s="427">
        <v>0</v>
      </c>
      <c r="BK115" s="427">
        <v>0</v>
      </c>
      <c r="BL115" s="427">
        <v>0</v>
      </c>
      <c r="BM115" s="427">
        <v>0</v>
      </c>
      <c r="BN115" s="427">
        <v>0</v>
      </c>
      <c r="BO115" s="427">
        <v>0</v>
      </c>
      <c r="BP115" s="427">
        <v>0</v>
      </c>
      <c r="BQ115" s="427">
        <v>0</v>
      </c>
      <c r="BR115" s="427">
        <v>0</v>
      </c>
      <c r="BS115" s="427">
        <v>0</v>
      </c>
      <c r="BT115" s="427">
        <v>0</v>
      </c>
      <c r="BU115" s="427">
        <v>0</v>
      </c>
      <c r="BV115" s="427">
        <v>0</v>
      </c>
      <c r="BW115" s="427">
        <v>0</v>
      </c>
      <c r="BX115" s="427">
        <v>0</v>
      </c>
      <c r="BY115" s="427">
        <v>0</v>
      </c>
      <c r="BZ115" s="427">
        <v>0</v>
      </c>
      <c r="CA115" s="427">
        <v>0</v>
      </c>
      <c r="CB115" s="427">
        <v>0</v>
      </c>
      <c r="CC115" s="427">
        <v>0</v>
      </c>
      <c r="CD115" s="427">
        <v>0</v>
      </c>
      <c r="CE115" s="427">
        <v>0</v>
      </c>
      <c r="CF115" s="427">
        <v>0</v>
      </c>
      <c r="CG115" s="427">
        <v>0</v>
      </c>
      <c r="CH115" s="427">
        <v>0</v>
      </c>
      <c r="CI115" s="427">
        <v>0</v>
      </c>
      <c r="CJ115" s="427">
        <v>0</v>
      </c>
      <c r="CK115" s="428">
        <v>0</v>
      </c>
      <c r="CL115" s="428">
        <v>0</v>
      </c>
      <c r="CM115" s="428">
        <v>0</v>
      </c>
      <c r="CN115" s="428">
        <v>0</v>
      </c>
      <c r="CO115" s="428">
        <v>0</v>
      </c>
      <c r="CP115" s="428">
        <v>0</v>
      </c>
      <c r="CQ115" s="428">
        <v>0</v>
      </c>
      <c r="CR115" s="428">
        <v>0</v>
      </c>
      <c r="CS115" s="428">
        <v>0</v>
      </c>
      <c r="CT115" s="428">
        <v>0</v>
      </c>
      <c r="CU115" s="428">
        <v>0</v>
      </c>
      <c r="CV115" s="428">
        <v>0</v>
      </c>
      <c r="CW115" s="428">
        <v>0</v>
      </c>
      <c r="CX115" s="428"/>
      <c r="CY115" s="428"/>
      <c r="CZ115" s="428"/>
      <c r="DA115" s="428"/>
      <c r="DB115" s="428"/>
      <c r="DC115" s="428"/>
      <c r="DD115" s="428"/>
      <c r="DE115" s="428"/>
      <c r="DF115" s="428"/>
      <c r="DG115" s="428"/>
      <c r="DH115" s="428"/>
      <c r="DI115" s="428"/>
    </row>
    <row r="116" spans="1:113" s="388" customFormat="1">
      <c r="A116" s="421" t="s">
        <v>370</v>
      </c>
      <c r="B116" s="421" t="s">
        <v>427</v>
      </c>
      <c r="C116" s="421" t="s">
        <v>430</v>
      </c>
      <c r="D116" s="422" t="s">
        <v>376</v>
      </c>
      <c r="E116" s="422">
        <v>2020</v>
      </c>
      <c r="F116" s="423">
        <v>33.723799999999997</v>
      </c>
      <c r="G116" s="424">
        <v>105555.49</v>
      </c>
      <c r="H116" s="422">
        <v>14</v>
      </c>
      <c r="I116" s="425">
        <v>0.54</v>
      </c>
      <c r="J116" s="425">
        <v>0.54</v>
      </c>
      <c r="K116" s="422">
        <v>0</v>
      </c>
      <c r="L116" s="422">
        <v>0</v>
      </c>
      <c r="M116" s="422">
        <v>0</v>
      </c>
      <c r="N116" s="426">
        <v>2</v>
      </c>
      <c r="O116" s="426">
        <v>0</v>
      </c>
      <c r="P116" s="426">
        <v>0</v>
      </c>
      <c r="Q116" s="426">
        <v>0</v>
      </c>
      <c r="R116" s="426">
        <v>0</v>
      </c>
      <c r="S116" s="426">
        <v>0</v>
      </c>
      <c r="T116" s="426">
        <v>39.0371961414791</v>
      </c>
      <c r="U116" s="426">
        <v>39.0371961414791</v>
      </c>
      <c r="V116" s="426">
        <v>39.0371961414791</v>
      </c>
      <c r="W116" s="426">
        <v>39.0371961414791</v>
      </c>
      <c r="X116" s="426">
        <v>39.0371961414791</v>
      </c>
      <c r="Y116" s="426">
        <v>39.0371961414791</v>
      </c>
      <c r="Z116" s="426">
        <v>39.0371961414791</v>
      </c>
      <c r="AA116" s="426">
        <v>39.0371961414791</v>
      </c>
      <c r="AB116" s="426">
        <v>39.0371961414791</v>
      </c>
      <c r="AC116" s="426">
        <v>39.0371961414791</v>
      </c>
      <c r="AD116" s="426">
        <v>39.0371961414791</v>
      </c>
      <c r="AE116" s="426">
        <v>39.0371961414791</v>
      </c>
      <c r="AF116" s="426">
        <v>39.0371961414791</v>
      </c>
      <c r="AG116" s="426">
        <v>39.0371961414791</v>
      </c>
      <c r="AH116" s="426">
        <v>0</v>
      </c>
      <c r="AI116" s="426">
        <v>0</v>
      </c>
      <c r="AJ116" s="426">
        <v>0</v>
      </c>
      <c r="AK116" s="426">
        <v>0</v>
      </c>
      <c r="AL116" s="426">
        <v>0</v>
      </c>
      <c r="AM116" s="427">
        <v>0</v>
      </c>
      <c r="AN116" s="427">
        <v>0</v>
      </c>
      <c r="AO116" s="427">
        <v>0</v>
      </c>
      <c r="AP116" s="427">
        <v>0</v>
      </c>
      <c r="AQ116" s="427">
        <v>0</v>
      </c>
      <c r="AR116" s="427">
        <v>0</v>
      </c>
      <c r="AS116" s="427">
        <v>122186.41929260452</v>
      </c>
      <c r="AT116" s="427">
        <v>122186.41929260452</v>
      </c>
      <c r="AU116" s="427">
        <v>122186.41929260452</v>
      </c>
      <c r="AV116" s="427">
        <v>122186.41929260452</v>
      </c>
      <c r="AW116" s="427">
        <v>122186.41929260452</v>
      </c>
      <c r="AX116" s="427">
        <v>122186.41929260452</v>
      </c>
      <c r="AY116" s="427">
        <v>122186.41929260452</v>
      </c>
      <c r="AZ116" s="427">
        <v>122186.41929260452</v>
      </c>
      <c r="BA116" s="427">
        <v>122186.41929260452</v>
      </c>
      <c r="BB116" s="427">
        <v>122186.41929260452</v>
      </c>
      <c r="BC116" s="427">
        <v>122186.41929260452</v>
      </c>
      <c r="BD116" s="427">
        <v>122186.41929260452</v>
      </c>
      <c r="BE116" s="427">
        <v>122186.41929260452</v>
      </c>
      <c r="BF116" s="427">
        <v>122186.41929260452</v>
      </c>
      <c r="BG116" s="427">
        <v>0</v>
      </c>
      <c r="BH116" s="427">
        <v>0</v>
      </c>
      <c r="BI116" s="427">
        <v>0</v>
      </c>
      <c r="BJ116" s="427">
        <v>0</v>
      </c>
      <c r="BK116" s="427">
        <v>0</v>
      </c>
      <c r="BL116" s="427">
        <v>0</v>
      </c>
      <c r="BM116" s="427">
        <v>0</v>
      </c>
      <c r="BN116" s="427">
        <v>0</v>
      </c>
      <c r="BO116" s="427">
        <v>0</v>
      </c>
      <c r="BP116" s="427">
        <v>0</v>
      </c>
      <c r="BQ116" s="427">
        <v>0</v>
      </c>
      <c r="BR116" s="427">
        <v>0</v>
      </c>
      <c r="BS116" s="427">
        <v>0</v>
      </c>
      <c r="BT116" s="427">
        <v>0</v>
      </c>
      <c r="BU116" s="427">
        <v>0</v>
      </c>
      <c r="BV116" s="427">
        <v>0</v>
      </c>
      <c r="BW116" s="427">
        <v>0</v>
      </c>
      <c r="BX116" s="427">
        <v>0</v>
      </c>
      <c r="BY116" s="427">
        <v>0</v>
      </c>
      <c r="BZ116" s="427">
        <v>0</v>
      </c>
      <c r="CA116" s="427">
        <v>0</v>
      </c>
      <c r="CB116" s="427">
        <v>0</v>
      </c>
      <c r="CC116" s="427">
        <v>0</v>
      </c>
      <c r="CD116" s="427">
        <v>0</v>
      </c>
      <c r="CE116" s="427">
        <v>0</v>
      </c>
      <c r="CF116" s="427">
        <v>0</v>
      </c>
      <c r="CG116" s="427">
        <v>0</v>
      </c>
      <c r="CH116" s="427">
        <v>0</v>
      </c>
      <c r="CI116" s="427">
        <v>0</v>
      </c>
      <c r="CJ116" s="427">
        <v>0</v>
      </c>
      <c r="CK116" s="428">
        <v>0</v>
      </c>
      <c r="CL116" s="428">
        <v>0</v>
      </c>
      <c r="CM116" s="428">
        <v>0</v>
      </c>
      <c r="CN116" s="428">
        <v>0</v>
      </c>
      <c r="CO116" s="428">
        <v>0</v>
      </c>
      <c r="CP116" s="428">
        <v>0</v>
      </c>
      <c r="CQ116" s="428">
        <v>0</v>
      </c>
      <c r="CR116" s="428">
        <v>0</v>
      </c>
      <c r="CS116" s="428">
        <v>0</v>
      </c>
      <c r="CT116" s="428">
        <v>0</v>
      </c>
      <c r="CU116" s="428">
        <v>0</v>
      </c>
      <c r="CV116" s="428">
        <v>0</v>
      </c>
      <c r="CW116" s="428">
        <v>0</v>
      </c>
      <c r="CX116" s="428"/>
      <c r="CY116" s="428"/>
      <c r="CZ116" s="428"/>
      <c r="DA116" s="428"/>
      <c r="DB116" s="428"/>
      <c r="DC116" s="428"/>
      <c r="DD116" s="428"/>
      <c r="DE116" s="428"/>
      <c r="DF116" s="428"/>
      <c r="DG116" s="428"/>
      <c r="DH116" s="428"/>
      <c r="DI116" s="428"/>
    </row>
    <row r="117" spans="1:113" s="388" customFormat="1">
      <c r="A117" s="421" t="s">
        <v>370</v>
      </c>
      <c r="B117" s="421" t="s">
        <v>243</v>
      </c>
      <c r="C117" s="421" t="s">
        <v>432</v>
      </c>
      <c r="D117" s="422" t="s">
        <v>376</v>
      </c>
      <c r="E117" s="422">
        <v>2015</v>
      </c>
      <c r="F117" s="423">
        <v>13.21</v>
      </c>
      <c r="G117" s="424">
        <v>75853.53</v>
      </c>
      <c r="H117" s="422">
        <v>4</v>
      </c>
      <c r="I117" s="425">
        <v>1</v>
      </c>
      <c r="J117" s="425">
        <v>1</v>
      </c>
      <c r="K117" s="422">
        <v>0</v>
      </c>
      <c r="L117" s="422">
        <v>0</v>
      </c>
      <c r="M117" s="422">
        <v>0</v>
      </c>
      <c r="N117" s="426">
        <v>1.32</v>
      </c>
      <c r="O117" s="426">
        <v>18.689389067524118</v>
      </c>
      <c r="P117" s="426">
        <v>18.689389067524118</v>
      </c>
      <c r="Q117" s="426">
        <v>18.689389067524118</v>
      </c>
      <c r="R117" s="426">
        <v>18.689389067524118</v>
      </c>
      <c r="S117" s="426">
        <v>0</v>
      </c>
      <c r="T117" s="426">
        <v>0</v>
      </c>
      <c r="U117" s="426">
        <v>0</v>
      </c>
      <c r="V117" s="426">
        <v>0</v>
      </c>
      <c r="W117" s="426">
        <v>0</v>
      </c>
      <c r="X117" s="426">
        <v>0</v>
      </c>
      <c r="Y117" s="426">
        <v>0</v>
      </c>
      <c r="Z117" s="426">
        <v>0</v>
      </c>
      <c r="AA117" s="426">
        <v>0</v>
      </c>
      <c r="AB117" s="426">
        <v>0</v>
      </c>
      <c r="AC117" s="426">
        <v>0</v>
      </c>
      <c r="AD117" s="426">
        <v>0</v>
      </c>
      <c r="AE117" s="426">
        <v>0</v>
      </c>
      <c r="AF117" s="426">
        <v>0</v>
      </c>
      <c r="AG117" s="426">
        <v>0</v>
      </c>
      <c r="AH117" s="426">
        <v>0</v>
      </c>
      <c r="AI117" s="426">
        <v>0</v>
      </c>
      <c r="AJ117" s="426">
        <v>0</v>
      </c>
      <c r="AK117" s="426">
        <v>0</v>
      </c>
      <c r="AL117" s="426">
        <v>0</v>
      </c>
      <c r="AM117" s="427">
        <v>0</v>
      </c>
      <c r="AN117" s="427">
        <v>107316.89131832798</v>
      </c>
      <c r="AO117" s="427">
        <v>107316.89131832798</v>
      </c>
      <c r="AP117" s="427">
        <v>107316.89131832798</v>
      </c>
      <c r="AQ117" s="427">
        <v>107316.89131832798</v>
      </c>
      <c r="AR117" s="427">
        <v>0</v>
      </c>
      <c r="AS117" s="427">
        <v>0</v>
      </c>
      <c r="AT117" s="427">
        <v>0</v>
      </c>
      <c r="AU117" s="427">
        <v>0</v>
      </c>
      <c r="AV117" s="427">
        <v>0</v>
      </c>
      <c r="AW117" s="427">
        <v>0</v>
      </c>
      <c r="AX117" s="427">
        <v>0</v>
      </c>
      <c r="AY117" s="427">
        <v>0</v>
      </c>
      <c r="AZ117" s="427">
        <v>0</v>
      </c>
      <c r="BA117" s="427">
        <v>0</v>
      </c>
      <c r="BB117" s="427">
        <v>0</v>
      </c>
      <c r="BC117" s="427">
        <v>0</v>
      </c>
      <c r="BD117" s="427">
        <v>0</v>
      </c>
      <c r="BE117" s="427">
        <v>0</v>
      </c>
      <c r="BF117" s="427">
        <v>0</v>
      </c>
      <c r="BG117" s="427">
        <v>0</v>
      </c>
      <c r="BH117" s="427">
        <v>0</v>
      </c>
      <c r="BI117" s="427">
        <v>0</v>
      </c>
      <c r="BJ117" s="427">
        <v>0</v>
      </c>
      <c r="BK117" s="427">
        <v>0</v>
      </c>
      <c r="BL117" s="427">
        <v>0</v>
      </c>
      <c r="BM117" s="427">
        <v>0</v>
      </c>
      <c r="BN117" s="427">
        <v>0</v>
      </c>
      <c r="BO117" s="427">
        <v>0</v>
      </c>
      <c r="BP117" s="427">
        <v>0</v>
      </c>
      <c r="BQ117" s="427">
        <v>0</v>
      </c>
      <c r="BR117" s="427">
        <v>0</v>
      </c>
      <c r="BS117" s="427">
        <v>0</v>
      </c>
      <c r="BT117" s="427">
        <v>0</v>
      </c>
      <c r="BU117" s="427">
        <v>0</v>
      </c>
      <c r="BV117" s="427">
        <v>0</v>
      </c>
      <c r="BW117" s="427">
        <v>0</v>
      </c>
      <c r="BX117" s="427">
        <v>0</v>
      </c>
      <c r="BY117" s="427">
        <v>0</v>
      </c>
      <c r="BZ117" s="427">
        <v>0</v>
      </c>
      <c r="CA117" s="427">
        <v>0</v>
      </c>
      <c r="CB117" s="427">
        <v>0</v>
      </c>
      <c r="CC117" s="427">
        <v>0</v>
      </c>
      <c r="CD117" s="427">
        <v>0</v>
      </c>
      <c r="CE117" s="427">
        <v>0</v>
      </c>
      <c r="CF117" s="427">
        <v>0</v>
      </c>
      <c r="CG117" s="427">
        <v>0</v>
      </c>
      <c r="CH117" s="427">
        <v>0</v>
      </c>
      <c r="CI117" s="427">
        <v>0</v>
      </c>
      <c r="CJ117" s="427">
        <v>0</v>
      </c>
      <c r="CK117" s="428">
        <v>0</v>
      </c>
      <c r="CL117" s="428">
        <v>0</v>
      </c>
      <c r="CM117" s="428">
        <v>0</v>
      </c>
      <c r="CN117" s="428">
        <v>0</v>
      </c>
      <c r="CO117" s="428">
        <v>0</v>
      </c>
      <c r="CP117" s="428">
        <v>0</v>
      </c>
      <c r="CQ117" s="428">
        <v>0</v>
      </c>
      <c r="CR117" s="428">
        <v>0</v>
      </c>
      <c r="CS117" s="428">
        <v>0</v>
      </c>
      <c r="CT117" s="428">
        <v>0</v>
      </c>
      <c r="CU117" s="428">
        <v>0</v>
      </c>
      <c r="CV117" s="428">
        <v>0</v>
      </c>
      <c r="CW117" s="428">
        <v>0</v>
      </c>
      <c r="CX117" s="428"/>
      <c r="CY117" s="428"/>
      <c r="CZ117" s="428"/>
      <c r="DA117" s="428"/>
      <c r="DB117" s="428"/>
      <c r="DC117" s="428"/>
      <c r="DD117" s="428"/>
      <c r="DE117" s="428"/>
      <c r="DF117" s="428"/>
      <c r="DG117" s="428"/>
      <c r="DH117" s="428"/>
      <c r="DI117" s="428"/>
    </row>
    <row r="118" spans="1:113" s="388" customFormat="1">
      <c r="A118" s="421" t="s">
        <v>370</v>
      </c>
      <c r="B118" s="421" t="s">
        <v>243</v>
      </c>
      <c r="C118" s="421" t="s">
        <v>432</v>
      </c>
      <c r="D118" s="422" t="s">
        <v>376</v>
      </c>
      <c r="E118" s="422">
        <v>2016</v>
      </c>
      <c r="F118" s="423">
        <v>13.21</v>
      </c>
      <c r="G118" s="424">
        <v>75853.53</v>
      </c>
      <c r="H118" s="422">
        <v>4</v>
      </c>
      <c r="I118" s="425">
        <v>1</v>
      </c>
      <c r="J118" s="425">
        <v>1</v>
      </c>
      <c r="K118" s="422">
        <v>0</v>
      </c>
      <c r="L118" s="422">
        <v>0</v>
      </c>
      <c r="M118" s="422">
        <v>0</v>
      </c>
      <c r="N118" s="426">
        <v>2</v>
      </c>
      <c r="O118" s="426">
        <v>0</v>
      </c>
      <c r="P118" s="426">
        <v>28.317256162915328</v>
      </c>
      <c r="Q118" s="426">
        <v>28.317256162915328</v>
      </c>
      <c r="R118" s="426">
        <v>28.317256162915328</v>
      </c>
      <c r="S118" s="426">
        <v>28.317256162915328</v>
      </c>
      <c r="T118" s="426">
        <v>0</v>
      </c>
      <c r="U118" s="426">
        <v>0</v>
      </c>
      <c r="V118" s="426">
        <v>0</v>
      </c>
      <c r="W118" s="426">
        <v>0</v>
      </c>
      <c r="X118" s="426">
        <v>0</v>
      </c>
      <c r="Y118" s="426">
        <v>0</v>
      </c>
      <c r="Z118" s="426">
        <v>0</v>
      </c>
      <c r="AA118" s="426">
        <v>0</v>
      </c>
      <c r="AB118" s="426">
        <v>0</v>
      </c>
      <c r="AC118" s="426">
        <v>0</v>
      </c>
      <c r="AD118" s="426">
        <v>0</v>
      </c>
      <c r="AE118" s="426">
        <v>0</v>
      </c>
      <c r="AF118" s="426">
        <v>0</v>
      </c>
      <c r="AG118" s="426">
        <v>0</v>
      </c>
      <c r="AH118" s="426">
        <v>0</v>
      </c>
      <c r="AI118" s="426">
        <v>0</v>
      </c>
      <c r="AJ118" s="426">
        <v>0</v>
      </c>
      <c r="AK118" s="426">
        <v>0</v>
      </c>
      <c r="AL118" s="426">
        <v>0</v>
      </c>
      <c r="AM118" s="427">
        <v>0</v>
      </c>
      <c r="AN118" s="427">
        <v>0</v>
      </c>
      <c r="AO118" s="427">
        <v>162601.35048231512</v>
      </c>
      <c r="AP118" s="427">
        <v>162601.35048231512</v>
      </c>
      <c r="AQ118" s="427">
        <v>162601.35048231512</v>
      </c>
      <c r="AR118" s="427">
        <v>162601.35048231512</v>
      </c>
      <c r="AS118" s="427">
        <v>0</v>
      </c>
      <c r="AT118" s="427">
        <v>0</v>
      </c>
      <c r="AU118" s="427">
        <v>0</v>
      </c>
      <c r="AV118" s="427">
        <v>0</v>
      </c>
      <c r="AW118" s="427">
        <v>0</v>
      </c>
      <c r="AX118" s="427">
        <v>0</v>
      </c>
      <c r="AY118" s="427">
        <v>0</v>
      </c>
      <c r="AZ118" s="427">
        <v>0</v>
      </c>
      <c r="BA118" s="427">
        <v>0</v>
      </c>
      <c r="BB118" s="427">
        <v>0</v>
      </c>
      <c r="BC118" s="427">
        <v>0</v>
      </c>
      <c r="BD118" s="427">
        <v>0</v>
      </c>
      <c r="BE118" s="427">
        <v>0</v>
      </c>
      <c r="BF118" s="427">
        <v>0</v>
      </c>
      <c r="BG118" s="427">
        <v>0</v>
      </c>
      <c r="BH118" s="427">
        <v>0</v>
      </c>
      <c r="BI118" s="427">
        <v>0</v>
      </c>
      <c r="BJ118" s="427">
        <v>0</v>
      </c>
      <c r="BK118" s="427">
        <v>0</v>
      </c>
      <c r="BL118" s="427">
        <v>0</v>
      </c>
      <c r="BM118" s="427">
        <v>0</v>
      </c>
      <c r="BN118" s="427">
        <v>0</v>
      </c>
      <c r="BO118" s="427">
        <v>0</v>
      </c>
      <c r="BP118" s="427">
        <v>0</v>
      </c>
      <c r="BQ118" s="427">
        <v>0</v>
      </c>
      <c r="BR118" s="427">
        <v>0</v>
      </c>
      <c r="BS118" s="427">
        <v>0</v>
      </c>
      <c r="BT118" s="427">
        <v>0</v>
      </c>
      <c r="BU118" s="427">
        <v>0</v>
      </c>
      <c r="BV118" s="427">
        <v>0</v>
      </c>
      <c r="BW118" s="427">
        <v>0</v>
      </c>
      <c r="BX118" s="427">
        <v>0</v>
      </c>
      <c r="BY118" s="427">
        <v>0</v>
      </c>
      <c r="BZ118" s="427">
        <v>0</v>
      </c>
      <c r="CA118" s="427">
        <v>0</v>
      </c>
      <c r="CB118" s="427">
        <v>0</v>
      </c>
      <c r="CC118" s="427">
        <v>0</v>
      </c>
      <c r="CD118" s="427">
        <v>0</v>
      </c>
      <c r="CE118" s="427">
        <v>0</v>
      </c>
      <c r="CF118" s="427">
        <v>0</v>
      </c>
      <c r="CG118" s="427">
        <v>0</v>
      </c>
      <c r="CH118" s="427">
        <v>0</v>
      </c>
      <c r="CI118" s="427">
        <v>0</v>
      </c>
      <c r="CJ118" s="427">
        <v>0</v>
      </c>
      <c r="CK118" s="428">
        <v>0</v>
      </c>
      <c r="CL118" s="428">
        <v>0</v>
      </c>
      <c r="CM118" s="428">
        <v>0</v>
      </c>
      <c r="CN118" s="428">
        <v>0</v>
      </c>
      <c r="CO118" s="428">
        <v>0</v>
      </c>
      <c r="CP118" s="428">
        <v>0</v>
      </c>
      <c r="CQ118" s="428">
        <v>0</v>
      </c>
      <c r="CR118" s="428">
        <v>0</v>
      </c>
      <c r="CS118" s="428">
        <v>0</v>
      </c>
      <c r="CT118" s="428">
        <v>0</v>
      </c>
      <c r="CU118" s="428">
        <v>0</v>
      </c>
      <c r="CV118" s="428">
        <v>0</v>
      </c>
      <c r="CW118" s="428">
        <v>0</v>
      </c>
      <c r="CX118" s="428"/>
      <c r="CY118" s="428"/>
      <c r="CZ118" s="428"/>
      <c r="DA118" s="428"/>
      <c r="DB118" s="428"/>
      <c r="DC118" s="428"/>
      <c r="DD118" s="428"/>
      <c r="DE118" s="428"/>
      <c r="DF118" s="428"/>
      <c r="DG118" s="428"/>
      <c r="DH118" s="428"/>
      <c r="DI118" s="428"/>
    </row>
    <row r="119" spans="1:113" s="388" customFormat="1">
      <c r="A119" s="421" t="s">
        <v>370</v>
      </c>
      <c r="B119" s="421" t="s">
        <v>243</v>
      </c>
      <c r="C119" s="421" t="s">
        <v>432</v>
      </c>
      <c r="D119" s="422" t="s">
        <v>376</v>
      </c>
      <c r="E119" s="422">
        <v>2017</v>
      </c>
      <c r="F119" s="423">
        <v>13.21</v>
      </c>
      <c r="G119" s="424">
        <v>75853.53</v>
      </c>
      <c r="H119" s="422">
        <v>4</v>
      </c>
      <c r="I119" s="425">
        <v>1</v>
      </c>
      <c r="J119" s="425">
        <v>1</v>
      </c>
      <c r="K119" s="422">
        <v>0</v>
      </c>
      <c r="L119" s="422">
        <v>0</v>
      </c>
      <c r="M119" s="422">
        <v>0</v>
      </c>
      <c r="N119" s="426">
        <v>2</v>
      </c>
      <c r="O119" s="426">
        <v>0</v>
      </c>
      <c r="P119" s="426">
        <v>0</v>
      </c>
      <c r="Q119" s="426">
        <v>28.317256162915328</v>
      </c>
      <c r="R119" s="426">
        <v>28.317256162915328</v>
      </c>
      <c r="S119" s="426">
        <v>28.317256162915328</v>
      </c>
      <c r="T119" s="426">
        <v>28.317256162915328</v>
      </c>
      <c r="U119" s="426">
        <v>0</v>
      </c>
      <c r="V119" s="426">
        <v>0</v>
      </c>
      <c r="W119" s="426">
        <v>0</v>
      </c>
      <c r="X119" s="426">
        <v>0</v>
      </c>
      <c r="Y119" s="426">
        <v>0</v>
      </c>
      <c r="Z119" s="426">
        <v>0</v>
      </c>
      <c r="AA119" s="426">
        <v>0</v>
      </c>
      <c r="AB119" s="426">
        <v>0</v>
      </c>
      <c r="AC119" s="426">
        <v>0</v>
      </c>
      <c r="AD119" s="426">
        <v>0</v>
      </c>
      <c r="AE119" s="426">
        <v>0</v>
      </c>
      <c r="AF119" s="426">
        <v>0</v>
      </c>
      <c r="AG119" s="426">
        <v>0</v>
      </c>
      <c r="AH119" s="426">
        <v>0</v>
      </c>
      <c r="AI119" s="426">
        <v>0</v>
      </c>
      <c r="AJ119" s="426">
        <v>0</v>
      </c>
      <c r="AK119" s="426">
        <v>0</v>
      </c>
      <c r="AL119" s="426">
        <v>0</v>
      </c>
      <c r="AM119" s="427">
        <v>0</v>
      </c>
      <c r="AN119" s="427">
        <v>0</v>
      </c>
      <c r="AO119" s="427">
        <v>0</v>
      </c>
      <c r="AP119" s="427">
        <v>162601.35048231512</v>
      </c>
      <c r="AQ119" s="427">
        <v>162601.35048231512</v>
      </c>
      <c r="AR119" s="427">
        <v>162601.35048231512</v>
      </c>
      <c r="AS119" s="427">
        <v>162601.35048231512</v>
      </c>
      <c r="AT119" s="427">
        <v>0</v>
      </c>
      <c r="AU119" s="427">
        <v>0</v>
      </c>
      <c r="AV119" s="427">
        <v>0</v>
      </c>
      <c r="AW119" s="427">
        <v>0</v>
      </c>
      <c r="AX119" s="427">
        <v>0</v>
      </c>
      <c r="AY119" s="427">
        <v>0</v>
      </c>
      <c r="AZ119" s="427">
        <v>0</v>
      </c>
      <c r="BA119" s="427">
        <v>0</v>
      </c>
      <c r="BB119" s="427">
        <v>0</v>
      </c>
      <c r="BC119" s="427">
        <v>0</v>
      </c>
      <c r="BD119" s="427">
        <v>0</v>
      </c>
      <c r="BE119" s="427">
        <v>0</v>
      </c>
      <c r="BF119" s="427">
        <v>0</v>
      </c>
      <c r="BG119" s="427">
        <v>0</v>
      </c>
      <c r="BH119" s="427">
        <v>0</v>
      </c>
      <c r="BI119" s="427">
        <v>0</v>
      </c>
      <c r="BJ119" s="427">
        <v>0</v>
      </c>
      <c r="BK119" s="427">
        <v>0</v>
      </c>
      <c r="BL119" s="427">
        <v>0</v>
      </c>
      <c r="BM119" s="427">
        <v>0</v>
      </c>
      <c r="BN119" s="427">
        <v>0</v>
      </c>
      <c r="BO119" s="427">
        <v>0</v>
      </c>
      <c r="BP119" s="427">
        <v>0</v>
      </c>
      <c r="BQ119" s="427">
        <v>0</v>
      </c>
      <c r="BR119" s="427">
        <v>0</v>
      </c>
      <c r="BS119" s="427">
        <v>0</v>
      </c>
      <c r="BT119" s="427">
        <v>0</v>
      </c>
      <c r="BU119" s="427">
        <v>0</v>
      </c>
      <c r="BV119" s="427">
        <v>0</v>
      </c>
      <c r="BW119" s="427">
        <v>0</v>
      </c>
      <c r="BX119" s="427">
        <v>0</v>
      </c>
      <c r="BY119" s="427">
        <v>0</v>
      </c>
      <c r="BZ119" s="427">
        <v>0</v>
      </c>
      <c r="CA119" s="427">
        <v>0</v>
      </c>
      <c r="CB119" s="427">
        <v>0</v>
      </c>
      <c r="CC119" s="427">
        <v>0</v>
      </c>
      <c r="CD119" s="427">
        <v>0</v>
      </c>
      <c r="CE119" s="427">
        <v>0</v>
      </c>
      <c r="CF119" s="427">
        <v>0</v>
      </c>
      <c r="CG119" s="427">
        <v>0</v>
      </c>
      <c r="CH119" s="427">
        <v>0</v>
      </c>
      <c r="CI119" s="427">
        <v>0</v>
      </c>
      <c r="CJ119" s="427">
        <v>0</v>
      </c>
      <c r="CK119" s="428">
        <v>0</v>
      </c>
      <c r="CL119" s="428">
        <v>0</v>
      </c>
      <c r="CM119" s="428">
        <v>0</v>
      </c>
      <c r="CN119" s="428">
        <v>0</v>
      </c>
      <c r="CO119" s="428">
        <v>0</v>
      </c>
      <c r="CP119" s="428">
        <v>0</v>
      </c>
      <c r="CQ119" s="428">
        <v>0</v>
      </c>
      <c r="CR119" s="428">
        <v>0</v>
      </c>
      <c r="CS119" s="428">
        <v>0</v>
      </c>
      <c r="CT119" s="428">
        <v>0</v>
      </c>
      <c r="CU119" s="428">
        <v>0</v>
      </c>
      <c r="CV119" s="428">
        <v>0</v>
      </c>
      <c r="CW119" s="428">
        <v>0</v>
      </c>
      <c r="CX119" s="428"/>
      <c r="CY119" s="428"/>
      <c r="CZ119" s="428"/>
      <c r="DA119" s="428"/>
      <c r="DB119" s="428"/>
      <c r="DC119" s="428"/>
      <c r="DD119" s="428"/>
      <c r="DE119" s="428"/>
      <c r="DF119" s="428"/>
      <c r="DG119" s="428"/>
      <c r="DH119" s="428"/>
      <c r="DI119" s="428"/>
    </row>
    <row r="120" spans="1:113" s="388" customFormat="1">
      <c r="A120" s="421" t="s">
        <v>370</v>
      </c>
      <c r="B120" s="421" t="s">
        <v>243</v>
      </c>
      <c r="C120" s="421" t="s">
        <v>432</v>
      </c>
      <c r="D120" s="422" t="s">
        <v>376</v>
      </c>
      <c r="E120" s="422">
        <v>2018</v>
      </c>
      <c r="F120" s="423">
        <v>13.21</v>
      </c>
      <c r="G120" s="424">
        <v>75853.53</v>
      </c>
      <c r="H120" s="422">
        <v>4</v>
      </c>
      <c r="I120" s="425">
        <v>1</v>
      </c>
      <c r="J120" s="425">
        <v>1</v>
      </c>
      <c r="K120" s="422">
        <v>0</v>
      </c>
      <c r="L120" s="422">
        <v>0</v>
      </c>
      <c r="M120" s="422">
        <v>0</v>
      </c>
      <c r="N120" s="426">
        <v>2</v>
      </c>
      <c r="O120" s="426">
        <v>0</v>
      </c>
      <c r="P120" s="426">
        <v>0</v>
      </c>
      <c r="Q120" s="426">
        <v>0</v>
      </c>
      <c r="R120" s="426">
        <v>28.317256162915328</v>
      </c>
      <c r="S120" s="426">
        <v>28.317256162915328</v>
      </c>
      <c r="T120" s="426">
        <v>28.317256162915328</v>
      </c>
      <c r="U120" s="426">
        <v>28.317256162915328</v>
      </c>
      <c r="V120" s="426">
        <v>0</v>
      </c>
      <c r="W120" s="426">
        <v>0</v>
      </c>
      <c r="X120" s="426">
        <v>0</v>
      </c>
      <c r="Y120" s="426">
        <v>0</v>
      </c>
      <c r="Z120" s="426">
        <v>0</v>
      </c>
      <c r="AA120" s="426">
        <v>0</v>
      </c>
      <c r="AB120" s="426">
        <v>0</v>
      </c>
      <c r="AC120" s="426">
        <v>0</v>
      </c>
      <c r="AD120" s="426">
        <v>0</v>
      </c>
      <c r="AE120" s="426">
        <v>0</v>
      </c>
      <c r="AF120" s="426">
        <v>0</v>
      </c>
      <c r="AG120" s="426">
        <v>0</v>
      </c>
      <c r="AH120" s="426">
        <v>0</v>
      </c>
      <c r="AI120" s="426">
        <v>0</v>
      </c>
      <c r="AJ120" s="426">
        <v>0</v>
      </c>
      <c r="AK120" s="426">
        <v>0</v>
      </c>
      <c r="AL120" s="426">
        <v>0</v>
      </c>
      <c r="AM120" s="427">
        <v>0</v>
      </c>
      <c r="AN120" s="427">
        <v>0</v>
      </c>
      <c r="AO120" s="427">
        <v>0</v>
      </c>
      <c r="AP120" s="427">
        <v>0</v>
      </c>
      <c r="AQ120" s="427">
        <v>162601.35048231512</v>
      </c>
      <c r="AR120" s="427">
        <v>162601.35048231512</v>
      </c>
      <c r="AS120" s="427">
        <v>162601.35048231512</v>
      </c>
      <c r="AT120" s="427">
        <v>162601.35048231512</v>
      </c>
      <c r="AU120" s="427">
        <v>0</v>
      </c>
      <c r="AV120" s="427">
        <v>0</v>
      </c>
      <c r="AW120" s="427">
        <v>0</v>
      </c>
      <c r="AX120" s="427">
        <v>0</v>
      </c>
      <c r="AY120" s="427">
        <v>0</v>
      </c>
      <c r="AZ120" s="427">
        <v>0</v>
      </c>
      <c r="BA120" s="427">
        <v>0</v>
      </c>
      <c r="BB120" s="427">
        <v>0</v>
      </c>
      <c r="BC120" s="427">
        <v>0</v>
      </c>
      <c r="BD120" s="427">
        <v>0</v>
      </c>
      <c r="BE120" s="427">
        <v>0</v>
      </c>
      <c r="BF120" s="427">
        <v>0</v>
      </c>
      <c r="BG120" s="427">
        <v>0</v>
      </c>
      <c r="BH120" s="427">
        <v>0</v>
      </c>
      <c r="BI120" s="427">
        <v>0</v>
      </c>
      <c r="BJ120" s="427">
        <v>0</v>
      </c>
      <c r="BK120" s="427">
        <v>0</v>
      </c>
      <c r="BL120" s="427">
        <v>0</v>
      </c>
      <c r="BM120" s="427">
        <v>0</v>
      </c>
      <c r="BN120" s="427">
        <v>0</v>
      </c>
      <c r="BO120" s="427">
        <v>0</v>
      </c>
      <c r="BP120" s="427">
        <v>0</v>
      </c>
      <c r="BQ120" s="427">
        <v>0</v>
      </c>
      <c r="BR120" s="427">
        <v>0</v>
      </c>
      <c r="BS120" s="427">
        <v>0</v>
      </c>
      <c r="BT120" s="427">
        <v>0</v>
      </c>
      <c r="BU120" s="427">
        <v>0</v>
      </c>
      <c r="BV120" s="427">
        <v>0</v>
      </c>
      <c r="BW120" s="427">
        <v>0</v>
      </c>
      <c r="BX120" s="427">
        <v>0</v>
      </c>
      <c r="BY120" s="427">
        <v>0</v>
      </c>
      <c r="BZ120" s="427">
        <v>0</v>
      </c>
      <c r="CA120" s="427">
        <v>0</v>
      </c>
      <c r="CB120" s="427">
        <v>0</v>
      </c>
      <c r="CC120" s="427">
        <v>0</v>
      </c>
      <c r="CD120" s="427">
        <v>0</v>
      </c>
      <c r="CE120" s="427">
        <v>0</v>
      </c>
      <c r="CF120" s="427">
        <v>0</v>
      </c>
      <c r="CG120" s="427">
        <v>0</v>
      </c>
      <c r="CH120" s="427">
        <v>0</v>
      </c>
      <c r="CI120" s="427">
        <v>0</v>
      </c>
      <c r="CJ120" s="427">
        <v>0</v>
      </c>
      <c r="CK120" s="428">
        <v>0</v>
      </c>
      <c r="CL120" s="428">
        <v>0</v>
      </c>
      <c r="CM120" s="428">
        <v>0</v>
      </c>
      <c r="CN120" s="428">
        <v>0</v>
      </c>
      <c r="CO120" s="428">
        <v>0</v>
      </c>
      <c r="CP120" s="428">
        <v>0</v>
      </c>
      <c r="CQ120" s="428">
        <v>0</v>
      </c>
      <c r="CR120" s="428">
        <v>0</v>
      </c>
      <c r="CS120" s="428">
        <v>0</v>
      </c>
      <c r="CT120" s="428">
        <v>0</v>
      </c>
      <c r="CU120" s="428">
        <v>0</v>
      </c>
      <c r="CV120" s="428">
        <v>0</v>
      </c>
      <c r="CW120" s="428">
        <v>0</v>
      </c>
      <c r="CX120" s="428"/>
      <c r="CY120" s="428"/>
      <c r="CZ120" s="428"/>
      <c r="DA120" s="428"/>
      <c r="DB120" s="428"/>
      <c r="DC120" s="428"/>
      <c r="DD120" s="428"/>
      <c r="DE120" s="428"/>
      <c r="DF120" s="428"/>
      <c r="DG120" s="428"/>
      <c r="DH120" s="428"/>
      <c r="DI120" s="428"/>
    </row>
    <row r="121" spans="1:113" s="388" customFormat="1">
      <c r="A121" s="421" t="s">
        <v>370</v>
      </c>
      <c r="B121" s="421" t="s">
        <v>243</v>
      </c>
      <c r="C121" s="421" t="s">
        <v>432</v>
      </c>
      <c r="D121" s="422" t="s">
        <v>376</v>
      </c>
      <c r="E121" s="422">
        <v>2019</v>
      </c>
      <c r="F121" s="423">
        <v>13.21</v>
      </c>
      <c r="G121" s="424">
        <v>75853.53</v>
      </c>
      <c r="H121" s="422">
        <v>4</v>
      </c>
      <c r="I121" s="425">
        <v>1</v>
      </c>
      <c r="J121" s="425">
        <v>1</v>
      </c>
      <c r="K121" s="422">
        <v>0</v>
      </c>
      <c r="L121" s="422">
        <v>0</v>
      </c>
      <c r="M121" s="422">
        <v>0</v>
      </c>
      <c r="N121" s="426">
        <v>2</v>
      </c>
      <c r="O121" s="426">
        <v>0</v>
      </c>
      <c r="P121" s="426">
        <v>0</v>
      </c>
      <c r="Q121" s="426">
        <v>0</v>
      </c>
      <c r="R121" s="426">
        <v>0</v>
      </c>
      <c r="S121" s="426">
        <v>28.317256162915328</v>
      </c>
      <c r="T121" s="426">
        <v>28.317256162915328</v>
      </c>
      <c r="U121" s="426">
        <v>28.317256162915328</v>
      </c>
      <c r="V121" s="426">
        <v>28.317256162915328</v>
      </c>
      <c r="W121" s="426">
        <v>0</v>
      </c>
      <c r="X121" s="426">
        <v>0</v>
      </c>
      <c r="Y121" s="426">
        <v>0</v>
      </c>
      <c r="Z121" s="426">
        <v>0</v>
      </c>
      <c r="AA121" s="426">
        <v>0</v>
      </c>
      <c r="AB121" s="426">
        <v>0</v>
      </c>
      <c r="AC121" s="426">
        <v>0</v>
      </c>
      <c r="AD121" s="426">
        <v>0</v>
      </c>
      <c r="AE121" s="426">
        <v>0</v>
      </c>
      <c r="AF121" s="426">
        <v>0</v>
      </c>
      <c r="AG121" s="426">
        <v>0</v>
      </c>
      <c r="AH121" s="426">
        <v>0</v>
      </c>
      <c r="AI121" s="426">
        <v>0</v>
      </c>
      <c r="AJ121" s="426">
        <v>0</v>
      </c>
      <c r="AK121" s="426">
        <v>0</v>
      </c>
      <c r="AL121" s="426">
        <v>0</v>
      </c>
      <c r="AM121" s="427">
        <v>0</v>
      </c>
      <c r="AN121" s="427">
        <v>0</v>
      </c>
      <c r="AO121" s="427">
        <v>0</v>
      </c>
      <c r="AP121" s="427">
        <v>0</v>
      </c>
      <c r="AQ121" s="427">
        <v>0</v>
      </c>
      <c r="AR121" s="427">
        <v>162601.35048231512</v>
      </c>
      <c r="AS121" s="427">
        <v>162601.35048231512</v>
      </c>
      <c r="AT121" s="427">
        <v>162601.35048231512</v>
      </c>
      <c r="AU121" s="427">
        <v>162601.35048231512</v>
      </c>
      <c r="AV121" s="427">
        <v>0</v>
      </c>
      <c r="AW121" s="427">
        <v>0</v>
      </c>
      <c r="AX121" s="427">
        <v>0</v>
      </c>
      <c r="AY121" s="427">
        <v>0</v>
      </c>
      <c r="AZ121" s="427">
        <v>0</v>
      </c>
      <c r="BA121" s="427">
        <v>0</v>
      </c>
      <c r="BB121" s="427">
        <v>0</v>
      </c>
      <c r="BC121" s="427">
        <v>0</v>
      </c>
      <c r="BD121" s="427">
        <v>0</v>
      </c>
      <c r="BE121" s="427">
        <v>0</v>
      </c>
      <c r="BF121" s="427">
        <v>0</v>
      </c>
      <c r="BG121" s="427">
        <v>0</v>
      </c>
      <c r="BH121" s="427">
        <v>0</v>
      </c>
      <c r="BI121" s="427">
        <v>0</v>
      </c>
      <c r="BJ121" s="427">
        <v>0</v>
      </c>
      <c r="BK121" s="427">
        <v>0</v>
      </c>
      <c r="BL121" s="427">
        <v>0</v>
      </c>
      <c r="BM121" s="427">
        <v>0</v>
      </c>
      <c r="BN121" s="427">
        <v>0</v>
      </c>
      <c r="BO121" s="427">
        <v>0</v>
      </c>
      <c r="BP121" s="427">
        <v>0</v>
      </c>
      <c r="BQ121" s="427">
        <v>0</v>
      </c>
      <c r="BR121" s="427">
        <v>0</v>
      </c>
      <c r="BS121" s="427">
        <v>0</v>
      </c>
      <c r="BT121" s="427">
        <v>0</v>
      </c>
      <c r="BU121" s="427">
        <v>0</v>
      </c>
      <c r="BV121" s="427">
        <v>0</v>
      </c>
      <c r="BW121" s="427">
        <v>0</v>
      </c>
      <c r="BX121" s="427">
        <v>0</v>
      </c>
      <c r="BY121" s="427">
        <v>0</v>
      </c>
      <c r="BZ121" s="427">
        <v>0</v>
      </c>
      <c r="CA121" s="427">
        <v>0</v>
      </c>
      <c r="CB121" s="427">
        <v>0</v>
      </c>
      <c r="CC121" s="427">
        <v>0</v>
      </c>
      <c r="CD121" s="427">
        <v>0</v>
      </c>
      <c r="CE121" s="427">
        <v>0</v>
      </c>
      <c r="CF121" s="427">
        <v>0</v>
      </c>
      <c r="CG121" s="427">
        <v>0</v>
      </c>
      <c r="CH121" s="427">
        <v>0</v>
      </c>
      <c r="CI121" s="427">
        <v>0</v>
      </c>
      <c r="CJ121" s="427">
        <v>0</v>
      </c>
      <c r="CK121" s="428">
        <v>0</v>
      </c>
      <c r="CL121" s="428">
        <v>0</v>
      </c>
      <c r="CM121" s="428">
        <v>0</v>
      </c>
      <c r="CN121" s="428">
        <v>0</v>
      </c>
      <c r="CO121" s="428">
        <v>0</v>
      </c>
      <c r="CP121" s="428">
        <v>0</v>
      </c>
      <c r="CQ121" s="428">
        <v>0</v>
      </c>
      <c r="CR121" s="428">
        <v>0</v>
      </c>
      <c r="CS121" s="428">
        <v>0</v>
      </c>
      <c r="CT121" s="428">
        <v>0</v>
      </c>
      <c r="CU121" s="428">
        <v>0</v>
      </c>
      <c r="CV121" s="428">
        <v>0</v>
      </c>
      <c r="CW121" s="428">
        <v>0</v>
      </c>
      <c r="CX121" s="428"/>
      <c r="CY121" s="428"/>
      <c r="CZ121" s="428"/>
      <c r="DA121" s="428"/>
      <c r="DB121" s="428"/>
      <c r="DC121" s="428"/>
      <c r="DD121" s="428"/>
      <c r="DE121" s="428"/>
      <c r="DF121" s="428"/>
      <c r="DG121" s="428"/>
      <c r="DH121" s="428"/>
      <c r="DI121" s="428"/>
    </row>
    <row r="122" spans="1:113" s="388" customFormat="1">
      <c r="A122" s="421" t="s">
        <v>370</v>
      </c>
      <c r="B122" s="421" t="s">
        <v>243</v>
      </c>
      <c r="C122" s="421" t="s">
        <v>432</v>
      </c>
      <c r="D122" s="422" t="s">
        <v>376</v>
      </c>
      <c r="E122" s="422">
        <v>2020</v>
      </c>
      <c r="F122" s="423">
        <v>13.21</v>
      </c>
      <c r="G122" s="424">
        <v>75853.53</v>
      </c>
      <c r="H122" s="422">
        <v>4</v>
      </c>
      <c r="I122" s="425">
        <v>1</v>
      </c>
      <c r="J122" s="425">
        <v>1</v>
      </c>
      <c r="K122" s="422">
        <v>0</v>
      </c>
      <c r="L122" s="422">
        <v>0</v>
      </c>
      <c r="M122" s="422">
        <v>0</v>
      </c>
      <c r="N122" s="426">
        <v>2</v>
      </c>
      <c r="O122" s="426">
        <v>0</v>
      </c>
      <c r="P122" s="426">
        <v>0</v>
      </c>
      <c r="Q122" s="426">
        <v>0</v>
      </c>
      <c r="R122" s="426">
        <v>0</v>
      </c>
      <c r="S122" s="426">
        <v>0</v>
      </c>
      <c r="T122" s="426">
        <v>28.317256162915328</v>
      </c>
      <c r="U122" s="426">
        <v>28.317256162915328</v>
      </c>
      <c r="V122" s="426">
        <v>28.317256162915328</v>
      </c>
      <c r="W122" s="426">
        <v>28.317256162915328</v>
      </c>
      <c r="X122" s="426">
        <v>0</v>
      </c>
      <c r="Y122" s="426">
        <v>0</v>
      </c>
      <c r="Z122" s="426">
        <v>0</v>
      </c>
      <c r="AA122" s="426">
        <v>0</v>
      </c>
      <c r="AB122" s="426">
        <v>0</v>
      </c>
      <c r="AC122" s="426">
        <v>0</v>
      </c>
      <c r="AD122" s="426">
        <v>0</v>
      </c>
      <c r="AE122" s="426">
        <v>0</v>
      </c>
      <c r="AF122" s="426">
        <v>0</v>
      </c>
      <c r="AG122" s="426">
        <v>0</v>
      </c>
      <c r="AH122" s="426">
        <v>0</v>
      </c>
      <c r="AI122" s="426">
        <v>0</v>
      </c>
      <c r="AJ122" s="426">
        <v>0</v>
      </c>
      <c r="AK122" s="426">
        <v>0</v>
      </c>
      <c r="AL122" s="426">
        <v>0</v>
      </c>
      <c r="AM122" s="427">
        <v>0</v>
      </c>
      <c r="AN122" s="427">
        <v>0</v>
      </c>
      <c r="AO122" s="427">
        <v>0</v>
      </c>
      <c r="AP122" s="427">
        <v>0</v>
      </c>
      <c r="AQ122" s="427">
        <v>0</v>
      </c>
      <c r="AR122" s="427">
        <v>0</v>
      </c>
      <c r="AS122" s="427">
        <v>162601.35048231512</v>
      </c>
      <c r="AT122" s="427">
        <v>162601.35048231512</v>
      </c>
      <c r="AU122" s="427">
        <v>162601.35048231512</v>
      </c>
      <c r="AV122" s="427">
        <v>162601.35048231512</v>
      </c>
      <c r="AW122" s="427">
        <v>0</v>
      </c>
      <c r="AX122" s="427">
        <v>0</v>
      </c>
      <c r="AY122" s="427">
        <v>0</v>
      </c>
      <c r="AZ122" s="427">
        <v>0</v>
      </c>
      <c r="BA122" s="427">
        <v>0</v>
      </c>
      <c r="BB122" s="427">
        <v>0</v>
      </c>
      <c r="BC122" s="427">
        <v>0</v>
      </c>
      <c r="BD122" s="427">
        <v>0</v>
      </c>
      <c r="BE122" s="427">
        <v>0</v>
      </c>
      <c r="BF122" s="427">
        <v>0</v>
      </c>
      <c r="BG122" s="427">
        <v>0</v>
      </c>
      <c r="BH122" s="427">
        <v>0</v>
      </c>
      <c r="BI122" s="427">
        <v>0</v>
      </c>
      <c r="BJ122" s="427">
        <v>0</v>
      </c>
      <c r="BK122" s="427">
        <v>0</v>
      </c>
      <c r="BL122" s="427">
        <v>0</v>
      </c>
      <c r="BM122" s="427">
        <v>0</v>
      </c>
      <c r="BN122" s="427">
        <v>0</v>
      </c>
      <c r="BO122" s="427">
        <v>0</v>
      </c>
      <c r="BP122" s="427">
        <v>0</v>
      </c>
      <c r="BQ122" s="427">
        <v>0</v>
      </c>
      <c r="BR122" s="427">
        <v>0</v>
      </c>
      <c r="BS122" s="427">
        <v>0</v>
      </c>
      <c r="BT122" s="427">
        <v>0</v>
      </c>
      <c r="BU122" s="427">
        <v>0</v>
      </c>
      <c r="BV122" s="427">
        <v>0</v>
      </c>
      <c r="BW122" s="427">
        <v>0</v>
      </c>
      <c r="BX122" s="427">
        <v>0</v>
      </c>
      <c r="BY122" s="427">
        <v>0</v>
      </c>
      <c r="BZ122" s="427">
        <v>0</v>
      </c>
      <c r="CA122" s="427">
        <v>0</v>
      </c>
      <c r="CB122" s="427">
        <v>0</v>
      </c>
      <c r="CC122" s="427">
        <v>0</v>
      </c>
      <c r="CD122" s="427">
        <v>0</v>
      </c>
      <c r="CE122" s="427">
        <v>0</v>
      </c>
      <c r="CF122" s="427">
        <v>0</v>
      </c>
      <c r="CG122" s="427">
        <v>0</v>
      </c>
      <c r="CH122" s="427">
        <v>0</v>
      </c>
      <c r="CI122" s="427">
        <v>0</v>
      </c>
      <c r="CJ122" s="427">
        <v>0</v>
      </c>
      <c r="CK122" s="428">
        <v>0</v>
      </c>
      <c r="CL122" s="428">
        <v>0</v>
      </c>
      <c r="CM122" s="428">
        <v>0</v>
      </c>
      <c r="CN122" s="428">
        <v>0</v>
      </c>
      <c r="CO122" s="428">
        <v>0</v>
      </c>
      <c r="CP122" s="428">
        <v>0</v>
      </c>
      <c r="CQ122" s="428">
        <v>0</v>
      </c>
      <c r="CR122" s="428">
        <v>0</v>
      </c>
      <c r="CS122" s="428">
        <v>0</v>
      </c>
      <c r="CT122" s="428">
        <v>0</v>
      </c>
      <c r="CU122" s="428">
        <v>0</v>
      </c>
      <c r="CV122" s="428">
        <v>0</v>
      </c>
      <c r="CW122" s="428">
        <v>0</v>
      </c>
      <c r="CX122" s="428"/>
      <c r="CY122" s="428"/>
      <c r="CZ122" s="428"/>
      <c r="DA122" s="428"/>
      <c r="DB122" s="428"/>
      <c r="DC122" s="428"/>
      <c r="DD122" s="428"/>
      <c r="DE122" s="428"/>
      <c r="DF122" s="428"/>
      <c r="DG122" s="428"/>
      <c r="DH122" s="428"/>
      <c r="DI122" s="428"/>
    </row>
    <row r="123" spans="1:113" s="388" customFormat="1">
      <c r="A123" s="421" t="s">
        <v>1</v>
      </c>
      <c r="B123" s="421" t="s">
        <v>433</v>
      </c>
      <c r="C123" s="421" t="s">
        <v>436</v>
      </c>
      <c r="D123" s="422" t="s">
        <v>376</v>
      </c>
      <c r="E123" s="422">
        <v>2017</v>
      </c>
      <c r="F123" s="423">
        <v>299.18032799999997</v>
      </c>
      <c r="G123" s="424">
        <v>2628000</v>
      </c>
      <c r="H123" s="422">
        <v>15</v>
      </c>
      <c r="I123" s="425">
        <v>1</v>
      </c>
      <c r="J123" s="425">
        <v>1</v>
      </c>
      <c r="K123" s="422">
        <v>0</v>
      </c>
      <c r="L123" s="422">
        <v>0</v>
      </c>
      <c r="M123" s="422">
        <v>0</v>
      </c>
      <c r="N123" s="426">
        <v>1</v>
      </c>
      <c r="O123" s="426">
        <v>0</v>
      </c>
      <c r="P123" s="426">
        <v>0</v>
      </c>
      <c r="Q123" s="426">
        <v>320.6648745980707</v>
      </c>
      <c r="R123" s="426">
        <v>320.6648745980707</v>
      </c>
      <c r="S123" s="426">
        <v>320.6648745980707</v>
      </c>
      <c r="T123" s="426">
        <v>320.6648745980707</v>
      </c>
      <c r="U123" s="426">
        <v>320.6648745980707</v>
      </c>
      <c r="V123" s="426">
        <v>320.6648745980707</v>
      </c>
      <c r="W123" s="426">
        <v>320.6648745980707</v>
      </c>
      <c r="X123" s="426">
        <v>320.6648745980707</v>
      </c>
      <c r="Y123" s="426">
        <v>320.6648745980707</v>
      </c>
      <c r="Z123" s="426">
        <v>320.6648745980707</v>
      </c>
      <c r="AA123" s="426">
        <v>320.6648745980707</v>
      </c>
      <c r="AB123" s="426">
        <v>320.6648745980707</v>
      </c>
      <c r="AC123" s="426">
        <v>320.6648745980707</v>
      </c>
      <c r="AD123" s="426">
        <v>320.6648745980707</v>
      </c>
      <c r="AE123" s="426">
        <v>320.6648745980707</v>
      </c>
      <c r="AF123" s="426">
        <v>0</v>
      </c>
      <c r="AG123" s="426">
        <v>0</v>
      </c>
      <c r="AH123" s="426">
        <v>0</v>
      </c>
      <c r="AI123" s="426">
        <v>0</v>
      </c>
      <c r="AJ123" s="426">
        <v>0</v>
      </c>
      <c r="AK123" s="426">
        <v>0</v>
      </c>
      <c r="AL123" s="426">
        <v>0</v>
      </c>
      <c r="AM123" s="427">
        <v>0</v>
      </c>
      <c r="AN123" s="427">
        <v>0</v>
      </c>
      <c r="AO123" s="427">
        <v>0</v>
      </c>
      <c r="AP123" s="427">
        <v>2816720.2572347266</v>
      </c>
      <c r="AQ123" s="427">
        <v>2816720.2572347266</v>
      </c>
      <c r="AR123" s="427">
        <v>2816720.2572347266</v>
      </c>
      <c r="AS123" s="427">
        <v>2816720.2572347266</v>
      </c>
      <c r="AT123" s="427">
        <v>2816720.2572347266</v>
      </c>
      <c r="AU123" s="427">
        <v>2816720.2572347266</v>
      </c>
      <c r="AV123" s="427">
        <v>2816720.2572347266</v>
      </c>
      <c r="AW123" s="427">
        <v>2816720.2572347266</v>
      </c>
      <c r="AX123" s="427">
        <v>2816720.2572347266</v>
      </c>
      <c r="AY123" s="427">
        <v>2816720.2572347266</v>
      </c>
      <c r="AZ123" s="427">
        <v>2816720.2572347266</v>
      </c>
      <c r="BA123" s="427">
        <v>2816720.2572347266</v>
      </c>
      <c r="BB123" s="427">
        <v>2816720.2572347266</v>
      </c>
      <c r="BC123" s="427">
        <v>2816720.2572347266</v>
      </c>
      <c r="BD123" s="427">
        <v>2816720.2572347266</v>
      </c>
      <c r="BE123" s="427">
        <v>0</v>
      </c>
      <c r="BF123" s="427">
        <v>0</v>
      </c>
      <c r="BG123" s="427">
        <v>0</v>
      </c>
      <c r="BH123" s="427">
        <v>0</v>
      </c>
      <c r="BI123" s="427">
        <v>0</v>
      </c>
      <c r="BJ123" s="427">
        <v>0</v>
      </c>
      <c r="BK123" s="427">
        <v>0</v>
      </c>
      <c r="BL123" s="427">
        <v>0</v>
      </c>
      <c r="BM123" s="427">
        <v>0</v>
      </c>
      <c r="BN123" s="427">
        <v>0</v>
      </c>
      <c r="BO123" s="427">
        <v>0</v>
      </c>
      <c r="BP123" s="427">
        <v>0</v>
      </c>
      <c r="BQ123" s="427">
        <v>0</v>
      </c>
      <c r="BR123" s="427">
        <v>0</v>
      </c>
      <c r="BS123" s="427">
        <v>0</v>
      </c>
      <c r="BT123" s="427">
        <v>0</v>
      </c>
      <c r="BU123" s="427">
        <v>0</v>
      </c>
      <c r="BV123" s="427">
        <v>0</v>
      </c>
      <c r="BW123" s="427">
        <v>0</v>
      </c>
      <c r="BX123" s="427">
        <v>0</v>
      </c>
      <c r="BY123" s="427">
        <v>0</v>
      </c>
      <c r="BZ123" s="427">
        <v>0</v>
      </c>
      <c r="CA123" s="427">
        <v>0</v>
      </c>
      <c r="CB123" s="427">
        <v>0</v>
      </c>
      <c r="CC123" s="427">
        <v>0</v>
      </c>
      <c r="CD123" s="427">
        <v>0</v>
      </c>
      <c r="CE123" s="427">
        <v>0</v>
      </c>
      <c r="CF123" s="427">
        <v>0</v>
      </c>
      <c r="CG123" s="427">
        <v>0</v>
      </c>
      <c r="CH123" s="427">
        <v>0</v>
      </c>
      <c r="CI123" s="427">
        <v>0</v>
      </c>
      <c r="CJ123" s="427">
        <v>0</v>
      </c>
      <c r="CK123" s="428">
        <v>0</v>
      </c>
      <c r="CL123" s="428">
        <v>0</v>
      </c>
      <c r="CM123" s="428">
        <v>0</v>
      </c>
      <c r="CN123" s="428">
        <v>0</v>
      </c>
      <c r="CO123" s="428">
        <v>0</v>
      </c>
      <c r="CP123" s="428">
        <v>0</v>
      </c>
      <c r="CQ123" s="428">
        <v>0</v>
      </c>
      <c r="CR123" s="428">
        <v>0</v>
      </c>
      <c r="CS123" s="428">
        <v>0</v>
      </c>
      <c r="CT123" s="428">
        <v>0</v>
      </c>
      <c r="CU123" s="428">
        <v>0</v>
      </c>
      <c r="CV123" s="428">
        <v>0</v>
      </c>
      <c r="CW123" s="428">
        <v>0</v>
      </c>
      <c r="CX123" s="428"/>
      <c r="CY123" s="428"/>
      <c r="CZ123" s="428"/>
      <c r="DA123" s="428"/>
      <c r="DB123" s="428"/>
      <c r="DC123" s="428"/>
      <c r="DD123" s="428"/>
      <c r="DE123" s="428"/>
      <c r="DF123" s="428"/>
      <c r="DG123" s="428"/>
      <c r="DH123" s="428"/>
      <c r="DI123" s="428"/>
    </row>
    <row r="124" spans="1:113" s="388" customFormat="1">
      <c r="A124" s="421" t="s">
        <v>1</v>
      </c>
      <c r="B124" s="421" t="s">
        <v>433</v>
      </c>
      <c r="C124" s="421" t="s">
        <v>150</v>
      </c>
      <c r="D124" s="422" t="s">
        <v>376</v>
      </c>
      <c r="E124" s="422">
        <v>2016</v>
      </c>
      <c r="F124" s="423">
        <v>56.437531</v>
      </c>
      <c r="G124" s="424">
        <v>100000</v>
      </c>
      <c r="H124" s="422">
        <v>20</v>
      </c>
      <c r="I124" s="425">
        <v>1</v>
      </c>
      <c r="J124" s="425">
        <v>1</v>
      </c>
      <c r="K124" s="422">
        <v>0</v>
      </c>
      <c r="L124" s="422">
        <v>0</v>
      </c>
      <c r="M124" s="422">
        <v>0</v>
      </c>
      <c r="N124" s="426">
        <v>4</v>
      </c>
      <c r="O124" s="426">
        <v>0</v>
      </c>
      <c r="P124" s="426">
        <v>241.96154769560559</v>
      </c>
      <c r="Q124" s="426">
        <v>241.96154769560559</v>
      </c>
      <c r="R124" s="426">
        <v>241.96154769560559</v>
      </c>
      <c r="S124" s="426">
        <v>241.96154769560559</v>
      </c>
      <c r="T124" s="426">
        <v>241.96154769560559</v>
      </c>
      <c r="U124" s="426">
        <v>241.96154769560559</v>
      </c>
      <c r="V124" s="426">
        <v>241.96154769560559</v>
      </c>
      <c r="W124" s="426">
        <v>241.96154769560559</v>
      </c>
      <c r="X124" s="426">
        <v>241.96154769560559</v>
      </c>
      <c r="Y124" s="426">
        <v>241.96154769560559</v>
      </c>
      <c r="Z124" s="426">
        <v>241.96154769560559</v>
      </c>
      <c r="AA124" s="426">
        <v>241.96154769560559</v>
      </c>
      <c r="AB124" s="426">
        <v>241.96154769560559</v>
      </c>
      <c r="AC124" s="426">
        <v>241.96154769560559</v>
      </c>
      <c r="AD124" s="426">
        <v>241.96154769560559</v>
      </c>
      <c r="AE124" s="426">
        <v>241.96154769560559</v>
      </c>
      <c r="AF124" s="426">
        <v>241.96154769560559</v>
      </c>
      <c r="AG124" s="426">
        <v>241.96154769560559</v>
      </c>
      <c r="AH124" s="426">
        <v>241.96154769560559</v>
      </c>
      <c r="AI124" s="426">
        <v>241.96154769560559</v>
      </c>
      <c r="AJ124" s="426">
        <v>0</v>
      </c>
      <c r="AK124" s="426">
        <v>0</v>
      </c>
      <c r="AL124" s="426">
        <v>0</v>
      </c>
      <c r="AM124" s="427">
        <v>0</v>
      </c>
      <c r="AN124" s="427">
        <v>0</v>
      </c>
      <c r="AO124" s="427">
        <v>428724.54448017152</v>
      </c>
      <c r="AP124" s="427">
        <v>428724.54448017152</v>
      </c>
      <c r="AQ124" s="427">
        <v>428724.54448017152</v>
      </c>
      <c r="AR124" s="427">
        <v>428724.54448017152</v>
      </c>
      <c r="AS124" s="427">
        <v>428724.54448017152</v>
      </c>
      <c r="AT124" s="427">
        <v>428724.54448017152</v>
      </c>
      <c r="AU124" s="427">
        <v>428724.54448017152</v>
      </c>
      <c r="AV124" s="427">
        <v>428724.54448017152</v>
      </c>
      <c r="AW124" s="427">
        <v>428724.54448017152</v>
      </c>
      <c r="AX124" s="427">
        <v>428724.54448017152</v>
      </c>
      <c r="AY124" s="427">
        <v>428724.54448017152</v>
      </c>
      <c r="AZ124" s="427">
        <v>428724.54448017152</v>
      </c>
      <c r="BA124" s="427">
        <v>428724.54448017152</v>
      </c>
      <c r="BB124" s="427">
        <v>428724.54448017152</v>
      </c>
      <c r="BC124" s="427">
        <v>428724.54448017152</v>
      </c>
      <c r="BD124" s="427">
        <v>428724.54448017152</v>
      </c>
      <c r="BE124" s="427">
        <v>428724.54448017152</v>
      </c>
      <c r="BF124" s="427">
        <v>428724.54448017152</v>
      </c>
      <c r="BG124" s="427">
        <v>428724.54448017152</v>
      </c>
      <c r="BH124" s="427">
        <v>428724.54448017152</v>
      </c>
      <c r="BI124" s="427">
        <v>0</v>
      </c>
      <c r="BJ124" s="427">
        <v>0</v>
      </c>
      <c r="BK124" s="427">
        <v>0</v>
      </c>
      <c r="BL124" s="427">
        <v>0</v>
      </c>
      <c r="BM124" s="427">
        <v>0</v>
      </c>
      <c r="BN124" s="427">
        <v>0</v>
      </c>
      <c r="BO124" s="427">
        <v>0</v>
      </c>
      <c r="BP124" s="427">
        <v>0</v>
      </c>
      <c r="BQ124" s="427">
        <v>0</v>
      </c>
      <c r="BR124" s="427">
        <v>0</v>
      </c>
      <c r="BS124" s="427">
        <v>0</v>
      </c>
      <c r="BT124" s="427">
        <v>0</v>
      </c>
      <c r="BU124" s="427">
        <v>0</v>
      </c>
      <c r="BV124" s="427">
        <v>0</v>
      </c>
      <c r="BW124" s="427">
        <v>0</v>
      </c>
      <c r="BX124" s="427">
        <v>0</v>
      </c>
      <c r="BY124" s="427">
        <v>0</v>
      </c>
      <c r="BZ124" s="427">
        <v>0</v>
      </c>
      <c r="CA124" s="427">
        <v>0</v>
      </c>
      <c r="CB124" s="427">
        <v>0</v>
      </c>
      <c r="CC124" s="427">
        <v>0</v>
      </c>
      <c r="CD124" s="427">
        <v>0</v>
      </c>
      <c r="CE124" s="427">
        <v>0</v>
      </c>
      <c r="CF124" s="427">
        <v>0</v>
      </c>
      <c r="CG124" s="427">
        <v>0</v>
      </c>
      <c r="CH124" s="427">
        <v>0</v>
      </c>
      <c r="CI124" s="427">
        <v>0</v>
      </c>
      <c r="CJ124" s="427">
        <v>0</v>
      </c>
      <c r="CK124" s="428">
        <v>0</v>
      </c>
      <c r="CL124" s="428">
        <v>0</v>
      </c>
      <c r="CM124" s="428">
        <v>0</v>
      </c>
      <c r="CN124" s="428">
        <v>0</v>
      </c>
      <c r="CO124" s="428">
        <v>0</v>
      </c>
      <c r="CP124" s="428">
        <v>0</v>
      </c>
      <c r="CQ124" s="428">
        <v>0</v>
      </c>
      <c r="CR124" s="428">
        <v>0</v>
      </c>
      <c r="CS124" s="428">
        <v>0</v>
      </c>
      <c r="CT124" s="428">
        <v>0</v>
      </c>
      <c r="CU124" s="428">
        <v>0</v>
      </c>
      <c r="CV124" s="428">
        <v>0</v>
      </c>
      <c r="CW124" s="428">
        <v>0</v>
      </c>
      <c r="CX124" s="428"/>
      <c r="CY124" s="428"/>
      <c r="CZ124" s="428"/>
      <c r="DA124" s="428"/>
      <c r="DB124" s="428"/>
      <c r="DC124" s="428"/>
      <c r="DD124" s="428"/>
      <c r="DE124" s="428"/>
      <c r="DF124" s="428"/>
      <c r="DG124" s="428"/>
      <c r="DH124" s="428"/>
      <c r="DI124" s="428"/>
    </row>
    <row r="125" spans="1:113" s="388" customFormat="1">
      <c r="A125" s="421" t="s">
        <v>1</v>
      </c>
      <c r="B125" s="421" t="s">
        <v>433</v>
      </c>
      <c r="C125" s="421" t="s">
        <v>150</v>
      </c>
      <c r="D125" s="422" t="s">
        <v>376</v>
      </c>
      <c r="E125" s="422">
        <v>2017</v>
      </c>
      <c r="F125" s="423">
        <v>56.437531</v>
      </c>
      <c r="G125" s="424">
        <v>100000</v>
      </c>
      <c r="H125" s="422">
        <v>20</v>
      </c>
      <c r="I125" s="425">
        <v>1</v>
      </c>
      <c r="J125" s="425">
        <v>1</v>
      </c>
      <c r="K125" s="422">
        <v>0</v>
      </c>
      <c r="L125" s="422">
        <v>0</v>
      </c>
      <c r="M125" s="422">
        <v>0</v>
      </c>
      <c r="N125" s="426">
        <v>4</v>
      </c>
      <c r="O125" s="426">
        <v>0</v>
      </c>
      <c r="P125" s="426">
        <v>0</v>
      </c>
      <c r="Q125" s="426">
        <v>241.96154769560559</v>
      </c>
      <c r="R125" s="426">
        <v>241.96154769560559</v>
      </c>
      <c r="S125" s="426">
        <v>241.96154769560559</v>
      </c>
      <c r="T125" s="426">
        <v>241.96154769560559</v>
      </c>
      <c r="U125" s="426">
        <v>241.96154769560559</v>
      </c>
      <c r="V125" s="426">
        <v>241.96154769560559</v>
      </c>
      <c r="W125" s="426">
        <v>241.96154769560559</v>
      </c>
      <c r="X125" s="426">
        <v>241.96154769560559</v>
      </c>
      <c r="Y125" s="426">
        <v>241.96154769560559</v>
      </c>
      <c r="Z125" s="426">
        <v>241.96154769560559</v>
      </c>
      <c r="AA125" s="426">
        <v>241.96154769560559</v>
      </c>
      <c r="AB125" s="426">
        <v>241.96154769560559</v>
      </c>
      <c r="AC125" s="426">
        <v>241.96154769560559</v>
      </c>
      <c r="AD125" s="426">
        <v>241.96154769560559</v>
      </c>
      <c r="AE125" s="426">
        <v>241.96154769560559</v>
      </c>
      <c r="AF125" s="426">
        <v>241.96154769560559</v>
      </c>
      <c r="AG125" s="426">
        <v>241.96154769560559</v>
      </c>
      <c r="AH125" s="426">
        <v>241.96154769560559</v>
      </c>
      <c r="AI125" s="426">
        <v>241.96154769560559</v>
      </c>
      <c r="AJ125" s="426">
        <v>241.96154769560559</v>
      </c>
      <c r="AK125" s="426">
        <v>0</v>
      </c>
      <c r="AL125" s="426">
        <v>0</v>
      </c>
      <c r="AM125" s="427">
        <v>0</v>
      </c>
      <c r="AN125" s="427">
        <v>0</v>
      </c>
      <c r="AO125" s="427">
        <v>0</v>
      </c>
      <c r="AP125" s="427">
        <v>428724.54448017152</v>
      </c>
      <c r="AQ125" s="427">
        <v>428724.54448017152</v>
      </c>
      <c r="AR125" s="427">
        <v>428724.54448017152</v>
      </c>
      <c r="AS125" s="427">
        <v>428724.54448017152</v>
      </c>
      <c r="AT125" s="427">
        <v>428724.54448017152</v>
      </c>
      <c r="AU125" s="427">
        <v>428724.54448017152</v>
      </c>
      <c r="AV125" s="427">
        <v>428724.54448017152</v>
      </c>
      <c r="AW125" s="427">
        <v>428724.54448017152</v>
      </c>
      <c r="AX125" s="427">
        <v>428724.54448017152</v>
      </c>
      <c r="AY125" s="427">
        <v>428724.54448017152</v>
      </c>
      <c r="AZ125" s="427">
        <v>428724.54448017152</v>
      </c>
      <c r="BA125" s="427">
        <v>428724.54448017152</v>
      </c>
      <c r="BB125" s="427">
        <v>428724.54448017152</v>
      </c>
      <c r="BC125" s="427">
        <v>428724.54448017152</v>
      </c>
      <c r="BD125" s="427">
        <v>428724.54448017152</v>
      </c>
      <c r="BE125" s="427">
        <v>428724.54448017152</v>
      </c>
      <c r="BF125" s="427">
        <v>428724.54448017152</v>
      </c>
      <c r="BG125" s="427">
        <v>428724.54448017152</v>
      </c>
      <c r="BH125" s="427">
        <v>428724.54448017152</v>
      </c>
      <c r="BI125" s="427">
        <v>428724.54448017152</v>
      </c>
      <c r="BJ125" s="427">
        <v>0</v>
      </c>
      <c r="BK125" s="427">
        <v>0</v>
      </c>
      <c r="BL125" s="427">
        <v>0</v>
      </c>
      <c r="BM125" s="427">
        <v>0</v>
      </c>
      <c r="BN125" s="427">
        <v>0</v>
      </c>
      <c r="BO125" s="427">
        <v>0</v>
      </c>
      <c r="BP125" s="427">
        <v>0</v>
      </c>
      <c r="BQ125" s="427">
        <v>0</v>
      </c>
      <c r="BR125" s="427">
        <v>0</v>
      </c>
      <c r="BS125" s="427">
        <v>0</v>
      </c>
      <c r="BT125" s="427">
        <v>0</v>
      </c>
      <c r="BU125" s="427">
        <v>0</v>
      </c>
      <c r="BV125" s="427">
        <v>0</v>
      </c>
      <c r="BW125" s="427">
        <v>0</v>
      </c>
      <c r="BX125" s="427">
        <v>0</v>
      </c>
      <c r="BY125" s="427">
        <v>0</v>
      </c>
      <c r="BZ125" s="427">
        <v>0</v>
      </c>
      <c r="CA125" s="427">
        <v>0</v>
      </c>
      <c r="CB125" s="427">
        <v>0</v>
      </c>
      <c r="CC125" s="427">
        <v>0</v>
      </c>
      <c r="CD125" s="427">
        <v>0</v>
      </c>
      <c r="CE125" s="427">
        <v>0</v>
      </c>
      <c r="CF125" s="427">
        <v>0</v>
      </c>
      <c r="CG125" s="427">
        <v>0</v>
      </c>
      <c r="CH125" s="427">
        <v>0</v>
      </c>
      <c r="CI125" s="427">
        <v>0</v>
      </c>
      <c r="CJ125" s="427">
        <v>0</v>
      </c>
      <c r="CK125" s="428">
        <v>0</v>
      </c>
      <c r="CL125" s="428">
        <v>0</v>
      </c>
      <c r="CM125" s="428">
        <v>0</v>
      </c>
      <c r="CN125" s="428">
        <v>0</v>
      </c>
      <c r="CO125" s="428">
        <v>0</v>
      </c>
      <c r="CP125" s="428">
        <v>0</v>
      </c>
      <c r="CQ125" s="428">
        <v>0</v>
      </c>
      <c r="CR125" s="428">
        <v>0</v>
      </c>
      <c r="CS125" s="428">
        <v>0</v>
      </c>
      <c r="CT125" s="428">
        <v>0</v>
      </c>
      <c r="CU125" s="428">
        <v>0</v>
      </c>
      <c r="CV125" s="428">
        <v>0</v>
      </c>
      <c r="CW125" s="428">
        <v>0</v>
      </c>
      <c r="CX125" s="428"/>
      <c r="CY125" s="428"/>
      <c r="CZ125" s="428"/>
      <c r="DA125" s="428"/>
      <c r="DB125" s="428"/>
      <c r="DC125" s="428"/>
      <c r="DD125" s="428"/>
      <c r="DE125" s="428"/>
      <c r="DF125" s="428"/>
      <c r="DG125" s="428"/>
      <c r="DH125" s="428"/>
      <c r="DI125" s="428"/>
    </row>
    <row r="126" spans="1:113" s="388" customFormat="1">
      <c r="A126" s="421" t="s">
        <v>1</v>
      </c>
      <c r="B126" s="421" t="s">
        <v>433</v>
      </c>
      <c r="C126" s="421" t="s">
        <v>150</v>
      </c>
      <c r="D126" s="422" t="s">
        <v>376</v>
      </c>
      <c r="E126" s="422">
        <v>2018</v>
      </c>
      <c r="F126" s="423">
        <v>56.437531</v>
      </c>
      <c r="G126" s="424">
        <v>100000</v>
      </c>
      <c r="H126" s="422">
        <v>20</v>
      </c>
      <c r="I126" s="425">
        <v>1</v>
      </c>
      <c r="J126" s="425">
        <v>1</v>
      </c>
      <c r="K126" s="422">
        <v>0</v>
      </c>
      <c r="L126" s="422">
        <v>0</v>
      </c>
      <c r="M126" s="422">
        <v>0</v>
      </c>
      <c r="N126" s="426">
        <v>4</v>
      </c>
      <c r="O126" s="426">
        <v>0</v>
      </c>
      <c r="P126" s="426">
        <v>0</v>
      </c>
      <c r="Q126" s="426">
        <v>0</v>
      </c>
      <c r="R126" s="426">
        <v>241.96154769560559</v>
      </c>
      <c r="S126" s="426">
        <v>241.96154769560559</v>
      </c>
      <c r="T126" s="426">
        <v>241.96154769560559</v>
      </c>
      <c r="U126" s="426">
        <v>241.96154769560559</v>
      </c>
      <c r="V126" s="426">
        <v>241.96154769560559</v>
      </c>
      <c r="W126" s="426">
        <v>241.96154769560559</v>
      </c>
      <c r="X126" s="426">
        <v>241.96154769560559</v>
      </c>
      <c r="Y126" s="426">
        <v>241.96154769560559</v>
      </c>
      <c r="Z126" s="426">
        <v>241.96154769560559</v>
      </c>
      <c r="AA126" s="426">
        <v>241.96154769560559</v>
      </c>
      <c r="AB126" s="426">
        <v>241.96154769560559</v>
      </c>
      <c r="AC126" s="426">
        <v>241.96154769560559</v>
      </c>
      <c r="AD126" s="426">
        <v>241.96154769560559</v>
      </c>
      <c r="AE126" s="426">
        <v>241.96154769560559</v>
      </c>
      <c r="AF126" s="426">
        <v>241.96154769560559</v>
      </c>
      <c r="AG126" s="426">
        <v>241.96154769560559</v>
      </c>
      <c r="AH126" s="426">
        <v>241.96154769560559</v>
      </c>
      <c r="AI126" s="426">
        <v>241.96154769560559</v>
      </c>
      <c r="AJ126" s="426">
        <v>241.96154769560559</v>
      </c>
      <c r="AK126" s="426">
        <v>241.96154769560559</v>
      </c>
      <c r="AL126" s="426">
        <v>0</v>
      </c>
      <c r="AM126" s="427">
        <v>0</v>
      </c>
      <c r="AN126" s="427">
        <v>0</v>
      </c>
      <c r="AO126" s="427">
        <v>0</v>
      </c>
      <c r="AP126" s="427">
        <v>0</v>
      </c>
      <c r="AQ126" s="427">
        <v>428724.54448017152</v>
      </c>
      <c r="AR126" s="427">
        <v>428724.54448017152</v>
      </c>
      <c r="AS126" s="427">
        <v>428724.54448017152</v>
      </c>
      <c r="AT126" s="427">
        <v>428724.54448017152</v>
      </c>
      <c r="AU126" s="427">
        <v>428724.54448017152</v>
      </c>
      <c r="AV126" s="427">
        <v>428724.54448017152</v>
      </c>
      <c r="AW126" s="427">
        <v>428724.54448017152</v>
      </c>
      <c r="AX126" s="427">
        <v>428724.54448017152</v>
      </c>
      <c r="AY126" s="427">
        <v>428724.54448017152</v>
      </c>
      <c r="AZ126" s="427">
        <v>428724.54448017152</v>
      </c>
      <c r="BA126" s="427">
        <v>428724.54448017152</v>
      </c>
      <c r="BB126" s="427">
        <v>428724.54448017152</v>
      </c>
      <c r="BC126" s="427">
        <v>428724.54448017152</v>
      </c>
      <c r="BD126" s="427">
        <v>428724.54448017152</v>
      </c>
      <c r="BE126" s="427">
        <v>428724.54448017152</v>
      </c>
      <c r="BF126" s="427">
        <v>428724.54448017152</v>
      </c>
      <c r="BG126" s="427">
        <v>428724.54448017152</v>
      </c>
      <c r="BH126" s="427">
        <v>428724.54448017152</v>
      </c>
      <c r="BI126" s="427">
        <v>428724.54448017152</v>
      </c>
      <c r="BJ126" s="427">
        <v>428724.54448017152</v>
      </c>
      <c r="BK126" s="427">
        <v>0</v>
      </c>
      <c r="BL126" s="427">
        <v>0</v>
      </c>
      <c r="BM126" s="427">
        <v>0</v>
      </c>
      <c r="BN126" s="427">
        <v>0</v>
      </c>
      <c r="BO126" s="427">
        <v>0</v>
      </c>
      <c r="BP126" s="427">
        <v>0</v>
      </c>
      <c r="BQ126" s="427">
        <v>0</v>
      </c>
      <c r="BR126" s="427">
        <v>0</v>
      </c>
      <c r="BS126" s="427">
        <v>0</v>
      </c>
      <c r="BT126" s="427">
        <v>0</v>
      </c>
      <c r="BU126" s="427">
        <v>0</v>
      </c>
      <c r="BV126" s="427">
        <v>0</v>
      </c>
      <c r="BW126" s="427">
        <v>0</v>
      </c>
      <c r="BX126" s="427">
        <v>0</v>
      </c>
      <c r="BY126" s="427">
        <v>0</v>
      </c>
      <c r="BZ126" s="427">
        <v>0</v>
      </c>
      <c r="CA126" s="427">
        <v>0</v>
      </c>
      <c r="CB126" s="427">
        <v>0</v>
      </c>
      <c r="CC126" s="427">
        <v>0</v>
      </c>
      <c r="CD126" s="427">
        <v>0</v>
      </c>
      <c r="CE126" s="427">
        <v>0</v>
      </c>
      <c r="CF126" s="427">
        <v>0</v>
      </c>
      <c r="CG126" s="427">
        <v>0</v>
      </c>
      <c r="CH126" s="427">
        <v>0</v>
      </c>
      <c r="CI126" s="427">
        <v>0</v>
      </c>
      <c r="CJ126" s="427">
        <v>0</v>
      </c>
      <c r="CK126" s="428">
        <v>0</v>
      </c>
      <c r="CL126" s="428">
        <v>0</v>
      </c>
      <c r="CM126" s="428">
        <v>0</v>
      </c>
      <c r="CN126" s="428">
        <v>0</v>
      </c>
      <c r="CO126" s="428">
        <v>0</v>
      </c>
      <c r="CP126" s="428">
        <v>0</v>
      </c>
      <c r="CQ126" s="428">
        <v>0</v>
      </c>
      <c r="CR126" s="428">
        <v>0</v>
      </c>
      <c r="CS126" s="428">
        <v>0</v>
      </c>
      <c r="CT126" s="428">
        <v>0</v>
      </c>
      <c r="CU126" s="428">
        <v>0</v>
      </c>
      <c r="CV126" s="428">
        <v>0</v>
      </c>
      <c r="CW126" s="428">
        <v>0</v>
      </c>
      <c r="CX126" s="428"/>
      <c r="CY126" s="428"/>
      <c r="CZ126" s="428"/>
      <c r="DA126" s="428"/>
      <c r="DB126" s="428"/>
      <c r="DC126" s="428"/>
      <c r="DD126" s="428"/>
      <c r="DE126" s="428"/>
      <c r="DF126" s="428"/>
      <c r="DG126" s="428"/>
      <c r="DH126" s="428"/>
      <c r="DI126" s="428"/>
    </row>
    <row r="127" spans="1:113" s="388" customFormat="1">
      <c r="A127" s="421" t="s">
        <v>1</v>
      </c>
      <c r="B127" s="421" t="s">
        <v>433</v>
      </c>
      <c r="C127" s="421" t="s">
        <v>150</v>
      </c>
      <c r="D127" s="422" t="s">
        <v>376</v>
      </c>
      <c r="E127" s="422">
        <v>2019</v>
      </c>
      <c r="F127" s="423">
        <v>56.437531</v>
      </c>
      <c r="G127" s="424">
        <v>100000</v>
      </c>
      <c r="H127" s="422">
        <v>20</v>
      </c>
      <c r="I127" s="425">
        <v>1</v>
      </c>
      <c r="J127" s="425">
        <v>1</v>
      </c>
      <c r="K127" s="422">
        <v>0</v>
      </c>
      <c r="L127" s="422">
        <v>0</v>
      </c>
      <c r="M127" s="422">
        <v>0</v>
      </c>
      <c r="N127" s="426">
        <v>3</v>
      </c>
      <c r="O127" s="426">
        <v>0</v>
      </c>
      <c r="P127" s="426">
        <v>0</v>
      </c>
      <c r="Q127" s="426">
        <v>0</v>
      </c>
      <c r="R127" s="426">
        <v>0</v>
      </c>
      <c r="S127" s="426">
        <v>181.47116077170418</v>
      </c>
      <c r="T127" s="426">
        <v>181.47116077170418</v>
      </c>
      <c r="U127" s="426">
        <v>181.47116077170418</v>
      </c>
      <c r="V127" s="426">
        <v>181.47116077170418</v>
      </c>
      <c r="W127" s="426">
        <v>181.47116077170418</v>
      </c>
      <c r="X127" s="426">
        <v>181.47116077170418</v>
      </c>
      <c r="Y127" s="426">
        <v>181.47116077170418</v>
      </c>
      <c r="Z127" s="426">
        <v>181.47116077170418</v>
      </c>
      <c r="AA127" s="426">
        <v>181.47116077170418</v>
      </c>
      <c r="AB127" s="426">
        <v>181.47116077170418</v>
      </c>
      <c r="AC127" s="426">
        <v>181.47116077170418</v>
      </c>
      <c r="AD127" s="426">
        <v>181.47116077170418</v>
      </c>
      <c r="AE127" s="426">
        <v>181.47116077170418</v>
      </c>
      <c r="AF127" s="426">
        <v>181.47116077170418</v>
      </c>
      <c r="AG127" s="426">
        <v>181.47116077170418</v>
      </c>
      <c r="AH127" s="426">
        <v>181.47116077170418</v>
      </c>
      <c r="AI127" s="426">
        <v>181.47116077170418</v>
      </c>
      <c r="AJ127" s="426">
        <v>181.47116077170418</v>
      </c>
      <c r="AK127" s="426">
        <v>181.47116077170418</v>
      </c>
      <c r="AL127" s="426">
        <v>181.47116077170418</v>
      </c>
      <c r="AM127" s="427">
        <v>0</v>
      </c>
      <c r="AN127" s="427">
        <v>0</v>
      </c>
      <c r="AO127" s="427">
        <v>0</v>
      </c>
      <c r="AP127" s="427">
        <v>0</v>
      </c>
      <c r="AQ127" s="427">
        <v>0</v>
      </c>
      <c r="AR127" s="427">
        <v>321543.40836012864</v>
      </c>
      <c r="AS127" s="427">
        <v>321543.40836012864</v>
      </c>
      <c r="AT127" s="427">
        <v>321543.40836012864</v>
      </c>
      <c r="AU127" s="427">
        <v>321543.40836012864</v>
      </c>
      <c r="AV127" s="427">
        <v>321543.40836012864</v>
      </c>
      <c r="AW127" s="427">
        <v>321543.40836012864</v>
      </c>
      <c r="AX127" s="427">
        <v>321543.40836012864</v>
      </c>
      <c r="AY127" s="427">
        <v>321543.40836012864</v>
      </c>
      <c r="AZ127" s="427">
        <v>321543.40836012864</v>
      </c>
      <c r="BA127" s="427">
        <v>321543.40836012864</v>
      </c>
      <c r="BB127" s="427">
        <v>321543.40836012864</v>
      </c>
      <c r="BC127" s="427">
        <v>321543.40836012864</v>
      </c>
      <c r="BD127" s="427">
        <v>321543.40836012864</v>
      </c>
      <c r="BE127" s="427">
        <v>321543.40836012864</v>
      </c>
      <c r="BF127" s="427">
        <v>321543.40836012864</v>
      </c>
      <c r="BG127" s="427">
        <v>321543.40836012864</v>
      </c>
      <c r="BH127" s="427">
        <v>321543.40836012864</v>
      </c>
      <c r="BI127" s="427">
        <v>321543.40836012864</v>
      </c>
      <c r="BJ127" s="427">
        <v>321543.40836012864</v>
      </c>
      <c r="BK127" s="427">
        <v>321543.40836012864</v>
      </c>
      <c r="BL127" s="427">
        <v>0</v>
      </c>
      <c r="BM127" s="427">
        <v>0</v>
      </c>
      <c r="BN127" s="427">
        <v>0</v>
      </c>
      <c r="BO127" s="427">
        <v>0</v>
      </c>
      <c r="BP127" s="427">
        <v>0</v>
      </c>
      <c r="BQ127" s="427">
        <v>0</v>
      </c>
      <c r="BR127" s="427">
        <v>0</v>
      </c>
      <c r="BS127" s="427">
        <v>0</v>
      </c>
      <c r="BT127" s="427">
        <v>0</v>
      </c>
      <c r="BU127" s="427">
        <v>0</v>
      </c>
      <c r="BV127" s="427">
        <v>0</v>
      </c>
      <c r="BW127" s="427">
        <v>0</v>
      </c>
      <c r="BX127" s="427">
        <v>0</v>
      </c>
      <c r="BY127" s="427">
        <v>0</v>
      </c>
      <c r="BZ127" s="427">
        <v>0</v>
      </c>
      <c r="CA127" s="427">
        <v>0</v>
      </c>
      <c r="CB127" s="427">
        <v>0</v>
      </c>
      <c r="CC127" s="427">
        <v>0</v>
      </c>
      <c r="CD127" s="427">
        <v>0</v>
      </c>
      <c r="CE127" s="427">
        <v>0</v>
      </c>
      <c r="CF127" s="427">
        <v>0</v>
      </c>
      <c r="CG127" s="427">
        <v>0</v>
      </c>
      <c r="CH127" s="427">
        <v>0</v>
      </c>
      <c r="CI127" s="427">
        <v>0</v>
      </c>
      <c r="CJ127" s="427">
        <v>0</v>
      </c>
      <c r="CK127" s="428">
        <v>0</v>
      </c>
      <c r="CL127" s="428">
        <v>0</v>
      </c>
      <c r="CM127" s="428">
        <v>0</v>
      </c>
      <c r="CN127" s="428">
        <v>0</v>
      </c>
      <c r="CO127" s="428">
        <v>0</v>
      </c>
      <c r="CP127" s="428">
        <v>0</v>
      </c>
      <c r="CQ127" s="428">
        <v>0</v>
      </c>
      <c r="CR127" s="428">
        <v>0</v>
      </c>
      <c r="CS127" s="428">
        <v>0</v>
      </c>
      <c r="CT127" s="428">
        <v>0</v>
      </c>
      <c r="CU127" s="428">
        <v>0</v>
      </c>
      <c r="CV127" s="428">
        <v>0</v>
      </c>
      <c r="CW127" s="428">
        <v>0</v>
      </c>
      <c r="CX127" s="428"/>
      <c r="CY127" s="428"/>
      <c r="CZ127" s="428"/>
      <c r="DA127" s="428"/>
      <c r="DB127" s="428"/>
      <c r="DC127" s="428"/>
      <c r="DD127" s="428"/>
      <c r="DE127" s="428"/>
      <c r="DF127" s="428"/>
      <c r="DG127" s="428"/>
      <c r="DH127" s="428"/>
      <c r="DI127" s="428"/>
    </row>
    <row r="128" spans="1:113" s="388" customFormat="1">
      <c r="A128" s="421" t="s">
        <v>1</v>
      </c>
      <c r="B128" s="421" t="s">
        <v>433</v>
      </c>
      <c r="C128" s="421" t="s">
        <v>150</v>
      </c>
      <c r="D128" s="422" t="s">
        <v>376</v>
      </c>
      <c r="E128" s="422">
        <v>2020</v>
      </c>
      <c r="F128" s="423">
        <v>56.437531</v>
      </c>
      <c r="G128" s="424">
        <v>100000</v>
      </c>
      <c r="H128" s="422">
        <v>20</v>
      </c>
      <c r="I128" s="425">
        <v>1</v>
      </c>
      <c r="J128" s="425">
        <v>1</v>
      </c>
      <c r="K128" s="422">
        <v>0</v>
      </c>
      <c r="L128" s="422">
        <v>0</v>
      </c>
      <c r="M128" s="422">
        <v>0</v>
      </c>
      <c r="N128" s="426">
        <v>3</v>
      </c>
      <c r="O128" s="426">
        <v>0</v>
      </c>
      <c r="P128" s="426">
        <v>0</v>
      </c>
      <c r="Q128" s="426">
        <v>0</v>
      </c>
      <c r="R128" s="426">
        <v>0</v>
      </c>
      <c r="S128" s="426">
        <v>0</v>
      </c>
      <c r="T128" s="426">
        <v>181.47116077170418</v>
      </c>
      <c r="U128" s="426">
        <v>181.47116077170418</v>
      </c>
      <c r="V128" s="426">
        <v>181.47116077170418</v>
      </c>
      <c r="W128" s="426">
        <v>181.47116077170418</v>
      </c>
      <c r="X128" s="426">
        <v>181.47116077170418</v>
      </c>
      <c r="Y128" s="426">
        <v>181.47116077170418</v>
      </c>
      <c r="Z128" s="426">
        <v>181.47116077170418</v>
      </c>
      <c r="AA128" s="426">
        <v>181.47116077170418</v>
      </c>
      <c r="AB128" s="426">
        <v>181.47116077170418</v>
      </c>
      <c r="AC128" s="426">
        <v>181.47116077170418</v>
      </c>
      <c r="AD128" s="426">
        <v>181.47116077170418</v>
      </c>
      <c r="AE128" s="426">
        <v>181.47116077170418</v>
      </c>
      <c r="AF128" s="426">
        <v>181.47116077170418</v>
      </c>
      <c r="AG128" s="426">
        <v>181.47116077170418</v>
      </c>
      <c r="AH128" s="426">
        <v>181.47116077170418</v>
      </c>
      <c r="AI128" s="426">
        <v>181.47116077170418</v>
      </c>
      <c r="AJ128" s="426">
        <v>181.47116077170418</v>
      </c>
      <c r="AK128" s="426">
        <v>181.47116077170418</v>
      </c>
      <c r="AL128" s="426">
        <v>181.47116077170418</v>
      </c>
      <c r="AM128" s="427">
        <v>181.47116077170418</v>
      </c>
      <c r="AN128" s="427">
        <v>0</v>
      </c>
      <c r="AO128" s="427">
        <v>0</v>
      </c>
      <c r="AP128" s="427">
        <v>0</v>
      </c>
      <c r="AQ128" s="427">
        <v>0</v>
      </c>
      <c r="AR128" s="427">
        <v>0</v>
      </c>
      <c r="AS128" s="427">
        <v>321543.40836012864</v>
      </c>
      <c r="AT128" s="427">
        <v>321543.40836012864</v>
      </c>
      <c r="AU128" s="427">
        <v>321543.40836012864</v>
      </c>
      <c r="AV128" s="427">
        <v>321543.40836012864</v>
      </c>
      <c r="AW128" s="427">
        <v>321543.40836012864</v>
      </c>
      <c r="AX128" s="427">
        <v>321543.40836012864</v>
      </c>
      <c r="AY128" s="427">
        <v>321543.40836012864</v>
      </c>
      <c r="AZ128" s="427">
        <v>321543.40836012864</v>
      </c>
      <c r="BA128" s="427">
        <v>321543.40836012864</v>
      </c>
      <c r="BB128" s="427">
        <v>321543.40836012864</v>
      </c>
      <c r="BC128" s="427">
        <v>321543.40836012864</v>
      </c>
      <c r="BD128" s="427">
        <v>321543.40836012864</v>
      </c>
      <c r="BE128" s="427">
        <v>321543.40836012864</v>
      </c>
      <c r="BF128" s="427">
        <v>321543.40836012864</v>
      </c>
      <c r="BG128" s="427">
        <v>321543.40836012864</v>
      </c>
      <c r="BH128" s="427">
        <v>321543.40836012864</v>
      </c>
      <c r="BI128" s="427">
        <v>321543.40836012864</v>
      </c>
      <c r="BJ128" s="427">
        <v>321543.40836012864</v>
      </c>
      <c r="BK128" s="427">
        <v>321543.40836012864</v>
      </c>
      <c r="BL128" s="427">
        <v>321543.40836012864</v>
      </c>
      <c r="BM128" s="427">
        <v>0</v>
      </c>
      <c r="BN128" s="427">
        <v>0</v>
      </c>
      <c r="BO128" s="427">
        <v>0</v>
      </c>
      <c r="BP128" s="427">
        <v>0</v>
      </c>
      <c r="BQ128" s="427">
        <v>0</v>
      </c>
      <c r="BR128" s="427">
        <v>0</v>
      </c>
      <c r="BS128" s="427">
        <v>0</v>
      </c>
      <c r="BT128" s="427">
        <v>0</v>
      </c>
      <c r="BU128" s="427">
        <v>0</v>
      </c>
      <c r="BV128" s="427">
        <v>0</v>
      </c>
      <c r="BW128" s="427">
        <v>0</v>
      </c>
      <c r="BX128" s="427">
        <v>0</v>
      </c>
      <c r="BY128" s="427">
        <v>0</v>
      </c>
      <c r="BZ128" s="427">
        <v>0</v>
      </c>
      <c r="CA128" s="427">
        <v>0</v>
      </c>
      <c r="CB128" s="427">
        <v>0</v>
      </c>
      <c r="CC128" s="427">
        <v>0</v>
      </c>
      <c r="CD128" s="427">
        <v>0</v>
      </c>
      <c r="CE128" s="427">
        <v>0</v>
      </c>
      <c r="CF128" s="427">
        <v>0</v>
      </c>
      <c r="CG128" s="427">
        <v>0</v>
      </c>
      <c r="CH128" s="427">
        <v>0</v>
      </c>
      <c r="CI128" s="427">
        <v>0</v>
      </c>
      <c r="CJ128" s="427">
        <v>0</v>
      </c>
      <c r="CK128" s="428">
        <v>0</v>
      </c>
      <c r="CL128" s="428">
        <v>0</v>
      </c>
      <c r="CM128" s="428">
        <v>0</v>
      </c>
      <c r="CN128" s="428">
        <v>0</v>
      </c>
      <c r="CO128" s="428">
        <v>0</v>
      </c>
      <c r="CP128" s="428">
        <v>0</v>
      </c>
      <c r="CQ128" s="428">
        <v>0</v>
      </c>
      <c r="CR128" s="428">
        <v>0</v>
      </c>
      <c r="CS128" s="428">
        <v>0</v>
      </c>
      <c r="CT128" s="428">
        <v>0</v>
      </c>
      <c r="CU128" s="428">
        <v>0</v>
      </c>
      <c r="CV128" s="428">
        <v>0</v>
      </c>
      <c r="CW128" s="428">
        <v>0</v>
      </c>
      <c r="CX128" s="428"/>
      <c r="CY128" s="428"/>
      <c r="CZ128" s="428"/>
      <c r="DA128" s="428"/>
      <c r="DB128" s="428"/>
      <c r="DC128" s="428"/>
      <c r="DD128" s="428"/>
      <c r="DE128" s="428"/>
      <c r="DF128" s="428"/>
      <c r="DG128" s="428"/>
      <c r="DH128" s="428"/>
      <c r="DI128" s="428"/>
    </row>
    <row r="129" spans="1:113" s="388" customFormat="1">
      <c r="A129" s="421" t="s">
        <v>1</v>
      </c>
      <c r="B129" s="421" t="s">
        <v>433</v>
      </c>
      <c r="C129" s="421" t="s">
        <v>443</v>
      </c>
      <c r="D129" s="422" t="s">
        <v>376</v>
      </c>
      <c r="E129" s="422">
        <v>2016</v>
      </c>
      <c r="F129" s="423">
        <v>856.15437199999997</v>
      </c>
      <c r="G129" s="424">
        <v>7520460</v>
      </c>
      <c r="H129" s="422">
        <v>20</v>
      </c>
      <c r="I129" s="425">
        <v>1</v>
      </c>
      <c r="J129" s="425">
        <v>1</v>
      </c>
      <c r="K129" s="422">
        <v>0</v>
      </c>
      <c r="L129" s="422">
        <v>0</v>
      </c>
      <c r="M129" s="422">
        <v>0</v>
      </c>
      <c r="N129" s="426">
        <v>1</v>
      </c>
      <c r="O129" s="426">
        <v>0</v>
      </c>
      <c r="P129" s="426">
        <v>917.63598285101818</v>
      </c>
      <c r="Q129" s="426">
        <v>917.63598285101818</v>
      </c>
      <c r="R129" s="426">
        <v>917.63598285101818</v>
      </c>
      <c r="S129" s="426">
        <v>917.63598285101818</v>
      </c>
      <c r="T129" s="426">
        <v>917.63598285101818</v>
      </c>
      <c r="U129" s="426">
        <v>917.63598285101818</v>
      </c>
      <c r="V129" s="426">
        <v>917.63598285101818</v>
      </c>
      <c r="W129" s="426">
        <v>917.63598285101818</v>
      </c>
      <c r="X129" s="426">
        <v>917.63598285101818</v>
      </c>
      <c r="Y129" s="426">
        <v>917.63598285101818</v>
      </c>
      <c r="Z129" s="426">
        <v>917.63598285101818</v>
      </c>
      <c r="AA129" s="426">
        <v>917.63598285101818</v>
      </c>
      <c r="AB129" s="426">
        <v>917.63598285101818</v>
      </c>
      <c r="AC129" s="426">
        <v>917.63598285101818</v>
      </c>
      <c r="AD129" s="426">
        <v>917.63598285101818</v>
      </c>
      <c r="AE129" s="426">
        <v>917.63598285101818</v>
      </c>
      <c r="AF129" s="426">
        <v>917.63598285101818</v>
      </c>
      <c r="AG129" s="426">
        <v>917.63598285101818</v>
      </c>
      <c r="AH129" s="426">
        <v>917.63598285101818</v>
      </c>
      <c r="AI129" s="426">
        <v>917.63598285101818</v>
      </c>
      <c r="AJ129" s="426">
        <v>0</v>
      </c>
      <c r="AK129" s="426">
        <v>0</v>
      </c>
      <c r="AL129" s="426">
        <v>0</v>
      </c>
      <c r="AM129" s="427">
        <v>0</v>
      </c>
      <c r="AN129" s="427">
        <v>0</v>
      </c>
      <c r="AO129" s="427">
        <v>8060514.4694533767</v>
      </c>
      <c r="AP129" s="427">
        <v>8060514.4694533767</v>
      </c>
      <c r="AQ129" s="427">
        <v>8060514.4694533767</v>
      </c>
      <c r="AR129" s="427">
        <v>8060514.4694533767</v>
      </c>
      <c r="AS129" s="427">
        <v>8060514.4694533767</v>
      </c>
      <c r="AT129" s="427">
        <v>8060514.4694533767</v>
      </c>
      <c r="AU129" s="427">
        <v>8060514.4694533767</v>
      </c>
      <c r="AV129" s="427">
        <v>8060514.4694533767</v>
      </c>
      <c r="AW129" s="427">
        <v>8060514.4694533767</v>
      </c>
      <c r="AX129" s="427">
        <v>8060514.4694533767</v>
      </c>
      <c r="AY129" s="427">
        <v>8060514.4694533767</v>
      </c>
      <c r="AZ129" s="427">
        <v>8060514.4694533767</v>
      </c>
      <c r="BA129" s="427">
        <v>8060514.4694533767</v>
      </c>
      <c r="BB129" s="427">
        <v>8060514.4694533767</v>
      </c>
      <c r="BC129" s="427">
        <v>8060514.4694533767</v>
      </c>
      <c r="BD129" s="427">
        <v>8060514.4694533767</v>
      </c>
      <c r="BE129" s="427">
        <v>8060514.4694533767</v>
      </c>
      <c r="BF129" s="427">
        <v>8060514.4694533767</v>
      </c>
      <c r="BG129" s="427">
        <v>8060514.4694533767</v>
      </c>
      <c r="BH129" s="427">
        <v>8060514.4694533767</v>
      </c>
      <c r="BI129" s="427">
        <v>0</v>
      </c>
      <c r="BJ129" s="427">
        <v>0</v>
      </c>
      <c r="BK129" s="427">
        <v>0</v>
      </c>
      <c r="BL129" s="427">
        <v>0</v>
      </c>
      <c r="BM129" s="427">
        <v>0</v>
      </c>
      <c r="BN129" s="427">
        <v>0</v>
      </c>
      <c r="BO129" s="427">
        <v>0</v>
      </c>
      <c r="BP129" s="427">
        <v>0</v>
      </c>
      <c r="BQ129" s="427">
        <v>0</v>
      </c>
      <c r="BR129" s="427">
        <v>0</v>
      </c>
      <c r="BS129" s="427">
        <v>0</v>
      </c>
      <c r="BT129" s="427">
        <v>0</v>
      </c>
      <c r="BU129" s="427">
        <v>0</v>
      </c>
      <c r="BV129" s="427">
        <v>0</v>
      </c>
      <c r="BW129" s="427">
        <v>0</v>
      </c>
      <c r="BX129" s="427">
        <v>0</v>
      </c>
      <c r="BY129" s="427">
        <v>0</v>
      </c>
      <c r="BZ129" s="427">
        <v>0</v>
      </c>
      <c r="CA129" s="427">
        <v>0</v>
      </c>
      <c r="CB129" s="427">
        <v>0</v>
      </c>
      <c r="CC129" s="427">
        <v>0</v>
      </c>
      <c r="CD129" s="427">
        <v>0</v>
      </c>
      <c r="CE129" s="427">
        <v>0</v>
      </c>
      <c r="CF129" s="427">
        <v>0</v>
      </c>
      <c r="CG129" s="427">
        <v>0</v>
      </c>
      <c r="CH129" s="427">
        <v>0</v>
      </c>
      <c r="CI129" s="427">
        <v>0</v>
      </c>
      <c r="CJ129" s="427">
        <v>0</v>
      </c>
      <c r="CK129" s="428">
        <v>0</v>
      </c>
      <c r="CL129" s="428">
        <v>0</v>
      </c>
      <c r="CM129" s="428">
        <v>0</v>
      </c>
      <c r="CN129" s="428">
        <v>0</v>
      </c>
      <c r="CO129" s="428">
        <v>0</v>
      </c>
      <c r="CP129" s="428">
        <v>0</v>
      </c>
      <c r="CQ129" s="428">
        <v>0</v>
      </c>
      <c r="CR129" s="428">
        <v>0</v>
      </c>
      <c r="CS129" s="428">
        <v>0</v>
      </c>
      <c r="CT129" s="428">
        <v>0</v>
      </c>
      <c r="CU129" s="428">
        <v>0</v>
      </c>
      <c r="CV129" s="428">
        <v>0</v>
      </c>
      <c r="CW129" s="428">
        <v>0</v>
      </c>
      <c r="CX129" s="428"/>
      <c r="CY129" s="428"/>
      <c r="CZ129" s="428"/>
      <c r="DA129" s="428"/>
      <c r="DB129" s="428"/>
      <c r="DC129" s="428"/>
      <c r="DD129" s="428"/>
      <c r="DE129" s="428"/>
      <c r="DF129" s="428"/>
      <c r="DG129" s="428"/>
      <c r="DH129" s="428"/>
      <c r="DI129" s="428"/>
    </row>
    <row r="130" spans="1:113" s="388" customFormat="1">
      <c r="A130" s="421" t="s">
        <v>445</v>
      </c>
      <c r="B130" s="421" t="s">
        <v>433</v>
      </c>
      <c r="C130" s="421" t="s">
        <v>150</v>
      </c>
      <c r="D130" s="422" t="s">
        <v>376</v>
      </c>
      <c r="E130" s="422">
        <v>2015</v>
      </c>
      <c r="F130" s="423">
        <v>11.384335</v>
      </c>
      <c r="G130" s="424">
        <v>100000</v>
      </c>
      <c r="H130" s="422">
        <v>10</v>
      </c>
      <c r="I130" s="425">
        <v>1</v>
      </c>
      <c r="J130" s="425">
        <v>1</v>
      </c>
      <c r="K130" s="422">
        <v>0</v>
      </c>
      <c r="L130" s="422">
        <v>0</v>
      </c>
      <c r="M130" s="422">
        <v>0</v>
      </c>
      <c r="N130" s="426">
        <v>1</v>
      </c>
      <c r="O130" s="426">
        <v>12.201859592711683</v>
      </c>
      <c r="P130" s="426">
        <v>12.201859592711683</v>
      </c>
      <c r="Q130" s="426">
        <v>12.201859592711683</v>
      </c>
      <c r="R130" s="426">
        <v>12.201859592711683</v>
      </c>
      <c r="S130" s="426">
        <v>12.201859592711683</v>
      </c>
      <c r="T130" s="426">
        <v>12.201859592711683</v>
      </c>
      <c r="U130" s="426">
        <v>12.201859592711683</v>
      </c>
      <c r="V130" s="426">
        <v>12.201859592711683</v>
      </c>
      <c r="W130" s="426">
        <v>12.201859592711683</v>
      </c>
      <c r="X130" s="426">
        <v>12.201859592711683</v>
      </c>
      <c r="Y130" s="426">
        <v>0</v>
      </c>
      <c r="Z130" s="426">
        <v>0</v>
      </c>
      <c r="AA130" s="426">
        <v>0</v>
      </c>
      <c r="AB130" s="426">
        <v>0</v>
      </c>
      <c r="AC130" s="426">
        <v>0</v>
      </c>
      <c r="AD130" s="426">
        <v>0</v>
      </c>
      <c r="AE130" s="426">
        <v>0</v>
      </c>
      <c r="AF130" s="426">
        <v>0</v>
      </c>
      <c r="AG130" s="426">
        <v>0</v>
      </c>
      <c r="AH130" s="426">
        <v>0</v>
      </c>
      <c r="AI130" s="426">
        <v>0</v>
      </c>
      <c r="AJ130" s="426">
        <v>0</v>
      </c>
      <c r="AK130" s="426">
        <v>0</v>
      </c>
      <c r="AL130" s="426">
        <v>0</v>
      </c>
      <c r="AM130" s="427">
        <v>0</v>
      </c>
      <c r="AN130" s="427">
        <v>107181.13612004288</v>
      </c>
      <c r="AO130" s="427">
        <v>107181.13612004288</v>
      </c>
      <c r="AP130" s="427">
        <v>107181.13612004288</v>
      </c>
      <c r="AQ130" s="427">
        <v>107181.13612004288</v>
      </c>
      <c r="AR130" s="427">
        <v>107181.13612004288</v>
      </c>
      <c r="AS130" s="427">
        <v>107181.13612004288</v>
      </c>
      <c r="AT130" s="427">
        <v>107181.13612004288</v>
      </c>
      <c r="AU130" s="427">
        <v>107181.13612004288</v>
      </c>
      <c r="AV130" s="427">
        <v>107181.13612004288</v>
      </c>
      <c r="AW130" s="427">
        <v>107181.13612004288</v>
      </c>
      <c r="AX130" s="427">
        <v>0</v>
      </c>
      <c r="AY130" s="427">
        <v>0</v>
      </c>
      <c r="AZ130" s="427">
        <v>0</v>
      </c>
      <c r="BA130" s="427">
        <v>0</v>
      </c>
      <c r="BB130" s="427">
        <v>0</v>
      </c>
      <c r="BC130" s="427">
        <v>0</v>
      </c>
      <c r="BD130" s="427">
        <v>0</v>
      </c>
      <c r="BE130" s="427">
        <v>0</v>
      </c>
      <c r="BF130" s="427">
        <v>0</v>
      </c>
      <c r="BG130" s="427">
        <v>0</v>
      </c>
      <c r="BH130" s="427">
        <v>0</v>
      </c>
      <c r="BI130" s="427">
        <v>0</v>
      </c>
      <c r="BJ130" s="427">
        <v>0</v>
      </c>
      <c r="BK130" s="427">
        <v>0</v>
      </c>
      <c r="BL130" s="427">
        <v>0</v>
      </c>
      <c r="BM130" s="427">
        <v>0</v>
      </c>
      <c r="BN130" s="427">
        <v>0</v>
      </c>
      <c r="BO130" s="427">
        <v>0</v>
      </c>
      <c r="BP130" s="427">
        <v>0</v>
      </c>
      <c r="BQ130" s="427">
        <v>0</v>
      </c>
      <c r="BR130" s="427">
        <v>0</v>
      </c>
      <c r="BS130" s="427">
        <v>0</v>
      </c>
      <c r="BT130" s="427">
        <v>0</v>
      </c>
      <c r="BU130" s="427">
        <v>0</v>
      </c>
      <c r="BV130" s="427">
        <v>0</v>
      </c>
      <c r="BW130" s="427">
        <v>0</v>
      </c>
      <c r="BX130" s="427">
        <v>0</v>
      </c>
      <c r="BY130" s="427">
        <v>0</v>
      </c>
      <c r="BZ130" s="427">
        <v>0</v>
      </c>
      <c r="CA130" s="427">
        <v>0</v>
      </c>
      <c r="CB130" s="427">
        <v>0</v>
      </c>
      <c r="CC130" s="427">
        <v>0</v>
      </c>
      <c r="CD130" s="427">
        <v>0</v>
      </c>
      <c r="CE130" s="427">
        <v>0</v>
      </c>
      <c r="CF130" s="427">
        <v>0</v>
      </c>
      <c r="CG130" s="427">
        <v>0</v>
      </c>
      <c r="CH130" s="427">
        <v>0</v>
      </c>
      <c r="CI130" s="427">
        <v>0</v>
      </c>
      <c r="CJ130" s="427">
        <v>0</v>
      </c>
      <c r="CK130" s="428">
        <v>0</v>
      </c>
      <c r="CL130" s="428">
        <v>0</v>
      </c>
      <c r="CM130" s="428">
        <v>0</v>
      </c>
      <c r="CN130" s="428">
        <v>0</v>
      </c>
      <c r="CO130" s="428">
        <v>0</v>
      </c>
      <c r="CP130" s="428">
        <v>0</v>
      </c>
      <c r="CQ130" s="428">
        <v>0</v>
      </c>
      <c r="CR130" s="428">
        <v>0</v>
      </c>
      <c r="CS130" s="428">
        <v>0</v>
      </c>
      <c r="CT130" s="428">
        <v>0</v>
      </c>
      <c r="CU130" s="428">
        <v>0</v>
      </c>
      <c r="CV130" s="428">
        <v>0</v>
      </c>
      <c r="CW130" s="428">
        <v>0</v>
      </c>
      <c r="CX130" s="428"/>
      <c r="CY130" s="428"/>
      <c r="CZ130" s="428"/>
      <c r="DA130" s="428"/>
      <c r="DB130" s="428"/>
      <c r="DC130" s="428"/>
      <c r="DD130" s="428"/>
      <c r="DE130" s="428"/>
      <c r="DF130" s="428"/>
      <c r="DG130" s="428"/>
      <c r="DH130" s="428"/>
      <c r="DI130" s="428"/>
    </row>
  </sheetData>
  <mergeCells count="3">
    <mergeCell ref="AN1:BL1"/>
    <mergeCell ref="BM1:CK1"/>
    <mergeCell ref="CL1:DJ1"/>
  </mergeCells>
  <pageMargins left="0.7" right="0.7" top="0.75" bottom="0.75" header="0.3" footer="0.3"/>
  <pageSetup scale="1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30"/>
  <sheetViews>
    <sheetView workbookViewId="0">
      <selection activeCell="AU23" sqref="AU23"/>
    </sheetView>
  </sheetViews>
  <sheetFormatPr defaultRowHeight="15"/>
  <cols>
    <col min="1" max="1" width="7.28515625" bestFit="1" customWidth="1"/>
    <col min="2" max="2" width="17.85546875" bestFit="1" customWidth="1"/>
    <col min="3" max="3" width="36.85546875" bestFit="1" customWidth="1"/>
    <col min="4" max="4" width="24.42578125" bestFit="1" customWidth="1"/>
    <col min="5" max="5" width="27.7109375" bestFit="1" customWidth="1"/>
    <col min="6" max="6" width="40.5703125" bestFit="1" customWidth="1"/>
    <col min="7" max="7" width="26.28515625" bestFit="1" customWidth="1"/>
    <col min="8" max="8" width="44.140625" bestFit="1" customWidth="1"/>
    <col min="9" max="9" width="8.5703125" bestFit="1" customWidth="1"/>
    <col min="10" max="10" width="7.5703125" bestFit="1" customWidth="1"/>
    <col min="11" max="11" width="12.140625" bestFit="1" customWidth="1"/>
    <col min="12" max="12" width="8.5703125" bestFit="1" customWidth="1"/>
    <col min="13" max="13" width="8" bestFit="1" customWidth="1"/>
    <col min="14" max="15" width="8.5703125" bestFit="1" customWidth="1"/>
    <col min="16" max="17" width="8.42578125" bestFit="1" customWidth="1"/>
    <col min="18" max="18" width="10.85546875" bestFit="1" customWidth="1"/>
    <col min="19" max="19" width="9.85546875" bestFit="1" customWidth="1"/>
    <col min="20" max="21" width="13.5703125" bestFit="1" customWidth="1"/>
    <col min="22" max="22" width="7.140625" bestFit="1" customWidth="1"/>
    <col min="23" max="25" width="13.5703125" bestFit="1" customWidth="1"/>
    <col min="26" max="26" width="7.140625" bestFit="1" customWidth="1"/>
    <col min="27" max="28" width="13.5703125" bestFit="1" customWidth="1"/>
    <col min="29" max="29" width="12.140625" bestFit="1" customWidth="1"/>
    <col min="30" max="30" width="7.140625" bestFit="1" customWidth="1"/>
    <col min="31" max="31" width="13.5703125" bestFit="1" customWidth="1"/>
    <col min="32" max="32" width="12.140625" bestFit="1" customWidth="1"/>
    <col min="33" max="33" width="13.5703125" bestFit="1" customWidth="1"/>
    <col min="34" max="34" width="7.140625" bestFit="1" customWidth="1"/>
    <col min="35" max="36" width="13.5703125" bestFit="1" customWidth="1"/>
    <col min="37" max="37" width="12.140625" bestFit="1" customWidth="1"/>
    <col min="38" max="38" width="7.42578125" bestFit="1" customWidth="1"/>
    <col min="39" max="39" width="13.5703125" bestFit="1" customWidth="1"/>
    <col min="40" max="40" width="8.85546875" bestFit="1" customWidth="1"/>
    <col min="41" max="41" width="12.42578125" bestFit="1" customWidth="1"/>
    <col min="42" max="42" width="12.140625" bestFit="1" customWidth="1"/>
    <col min="43" max="43" width="8.5703125" bestFit="1" customWidth="1"/>
    <col min="44" max="44" width="7.85546875" bestFit="1" customWidth="1"/>
  </cols>
  <sheetData>
    <row r="1" spans="1:44" s="388" customFormat="1" ht="20.100000000000001" customHeight="1">
      <c r="I1" s="389"/>
      <c r="J1" s="389"/>
      <c r="K1" s="389"/>
      <c r="L1" s="389"/>
      <c r="M1" s="387"/>
      <c r="N1" s="387"/>
      <c r="O1" s="387"/>
      <c r="P1" s="385"/>
      <c r="Q1" s="385"/>
      <c r="R1" s="386"/>
      <c r="S1" s="386"/>
      <c r="T1" s="851" t="s">
        <v>320</v>
      </c>
      <c r="U1" s="851"/>
      <c r="V1" s="851"/>
      <c r="W1" s="851"/>
      <c r="X1" s="851" t="s">
        <v>321</v>
      </c>
      <c r="Y1" s="851"/>
      <c r="Z1" s="851"/>
      <c r="AA1" s="851"/>
      <c r="AB1" s="851" t="s">
        <v>322</v>
      </c>
      <c r="AC1" s="851"/>
      <c r="AD1" s="851"/>
      <c r="AE1" s="851"/>
      <c r="AF1" s="851" t="s">
        <v>323</v>
      </c>
      <c r="AG1" s="851"/>
      <c r="AH1" s="851"/>
      <c r="AI1" s="851"/>
      <c r="AJ1" s="852" t="s">
        <v>324</v>
      </c>
      <c r="AK1" s="853"/>
      <c r="AL1" s="853"/>
      <c r="AM1" s="854"/>
      <c r="AN1" s="851" t="s">
        <v>325</v>
      </c>
      <c r="AO1" s="851"/>
      <c r="AP1" s="851"/>
      <c r="AQ1" s="851"/>
      <c r="AR1" s="851"/>
    </row>
    <row r="2" spans="1:44" s="388" customFormat="1" ht="102">
      <c r="A2" s="390" t="s">
        <v>326</v>
      </c>
      <c r="B2" s="390" t="s">
        <v>327</v>
      </c>
      <c r="C2" s="390" t="s">
        <v>328</v>
      </c>
      <c r="D2" s="390" t="s">
        <v>329</v>
      </c>
      <c r="E2" s="390" t="s">
        <v>330</v>
      </c>
      <c r="F2" s="390" t="s">
        <v>331</v>
      </c>
      <c r="G2" s="390" t="s">
        <v>332</v>
      </c>
      <c r="H2" s="391" t="s">
        <v>333</v>
      </c>
      <c r="I2" s="392" t="s">
        <v>334</v>
      </c>
      <c r="J2" s="393" t="s">
        <v>335</v>
      </c>
      <c r="K2" s="394" t="s">
        <v>336</v>
      </c>
      <c r="L2" s="394" t="s">
        <v>337</v>
      </c>
      <c r="M2" s="390" t="s">
        <v>338</v>
      </c>
      <c r="N2" s="395" t="s">
        <v>339</v>
      </c>
      <c r="O2" s="396" t="s">
        <v>340</v>
      </c>
      <c r="P2" s="397" t="s">
        <v>341</v>
      </c>
      <c r="Q2" s="397" t="s">
        <v>342</v>
      </c>
      <c r="R2" s="398" t="s">
        <v>343</v>
      </c>
      <c r="S2" s="398" t="s">
        <v>344</v>
      </c>
      <c r="T2" s="399" t="s">
        <v>345</v>
      </c>
      <c r="U2" s="400" t="s">
        <v>346</v>
      </c>
      <c r="V2" s="401" t="s">
        <v>347</v>
      </c>
      <c r="W2" s="400" t="s">
        <v>348</v>
      </c>
      <c r="X2" s="399" t="s">
        <v>349</v>
      </c>
      <c r="Y2" s="400" t="s">
        <v>350</v>
      </c>
      <c r="Z2" s="401" t="s">
        <v>351</v>
      </c>
      <c r="AA2" s="400" t="s">
        <v>352</v>
      </c>
      <c r="AB2" s="399" t="s">
        <v>353</v>
      </c>
      <c r="AC2" s="400" t="s">
        <v>354</v>
      </c>
      <c r="AD2" s="401" t="s">
        <v>355</v>
      </c>
      <c r="AE2" s="400" t="s">
        <v>356</v>
      </c>
      <c r="AF2" s="399" t="s">
        <v>357</v>
      </c>
      <c r="AG2" s="400" t="s">
        <v>358</v>
      </c>
      <c r="AH2" s="401" t="s">
        <v>359</v>
      </c>
      <c r="AI2" s="400" t="s">
        <v>360</v>
      </c>
      <c r="AJ2" s="399" t="s">
        <v>361</v>
      </c>
      <c r="AK2" s="400" t="s">
        <v>362</v>
      </c>
      <c r="AL2" s="401" t="s">
        <v>363</v>
      </c>
      <c r="AM2" s="400" t="s">
        <v>364</v>
      </c>
      <c r="AN2" s="390" t="s">
        <v>365</v>
      </c>
      <c r="AO2" s="390" t="s">
        <v>366</v>
      </c>
      <c r="AP2" s="390" t="s">
        <v>367</v>
      </c>
      <c r="AQ2" s="390" t="s">
        <v>368</v>
      </c>
      <c r="AR2" s="390" t="s">
        <v>369</v>
      </c>
    </row>
    <row r="3" spans="1:44" s="388" customFormat="1">
      <c r="A3" s="402" t="s">
        <v>231</v>
      </c>
      <c r="B3" s="402" t="s">
        <v>370</v>
      </c>
      <c r="C3" s="402" t="s">
        <v>12</v>
      </c>
      <c r="D3" s="402" t="s">
        <v>371</v>
      </c>
      <c r="E3" s="402" t="s">
        <v>372</v>
      </c>
      <c r="F3" s="402" t="s">
        <v>373</v>
      </c>
      <c r="G3" s="402" t="s">
        <v>374</v>
      </c>
      <c r="H3" s="402" t="s">
        <v>375</v>
      </c>
      <c r="I3" s="403">
        <v>2015</v>
      </c>
      <c r="J3" s="404">
        <v>52</v>
      </c>
      <c r="K3" s="405">
        <v>0</v>
      </c>
      <c r="L3" s="405">
        <v>0</v>
      </c>
      <c r="M3" s="406" t="s">
        <v>251</v>
      </c>
      <c r="N3" s="406" t="s">
        <v>251</v>
      </c>
      <c r="O3" s="406" t="s">
        <v>376</v>
      </c>
      <c r="P3" s="407">
        <v>0.77700000000000002</v>
      </c>
      <c r="Q3" s="407">
        <v>0.76700000000000002</v>
      </c>
      <c r="R3" s="408">
        <v>0</v>
      </c>
      <c r="S3" s="408">
        <v>0</v>
      </c>
      <c r="T3" s="409">
        <v>1669291.5003120485</v>
      </c>
      <c r="U3" s="409">
        <v>201457.17227999997</v>
      </c>
      <c r="V3" s="410">
        <v>8.2860862257708288</v>
      </c>
      <c r="W3" s="409">
        <v>1467834.3280320484</v>
      </c>
      <c r="X3" s="409">
        <v>1669291.5003120485</v>
      </c>
      <c r="Y3" s="409">
        <v>201457.17227999997</v>
      </c>
      <c r="Z3" s="410">
        <v>8.2860862257708288</v>
      </c>
      <c r="AA3" s="409">
        <v>1467834.3280320484</v>
      </c>
      <c r="AB3" s="409">
        <v>1372542.6104699362</v>
      </c>
      <c r="AC3" s="409">
        <v>0</v>
      </c>
      <c r="AD3" s="410" t="e">
        <v>#DIV/0!</v>
      </c>
      <c r="AE3" s="409">
        <v>1372542.6104699362</v>
      </c>
      <c r="AF3" s="409">
        <v>3418.4329069715986</v>
      </c>
      <c r="AG3" s="409">
        <v>259275.63999999993</v>
      </c>
      <c r="AH3" s="410">
        <v>1.3184551032143242E-2</v>
      </c>
      <c r="AI3" s="409">
        <v>-255857.20709302832</v>
      </c>
      <c r="AJ3" s="409">
        <v>1451557.8263583032</v>
      </c>
      <c r="AK3" s="409">
        <v>2656.1223687169322</v>
      </c>
      <c r="AL3" s="410">
        <v>546.4950875209463</v>
      </c>
      <c r="AM3" s="409">
        <v>1448901.7039895863</v>
      </c>
      <c r="AN3" s="411">
        <v>4901.1304640526332</v>
      </c>
      <c r="AO3" s="411">
        <v>24533064.550079435</v>
      </c>
      <c r="AP3" s="409">
        <v>0</v>
      </c>
      <c r="AQ3" s="409">
        <v>0</v>
      </c>
      <c r="AR3" s="409">
        <v>0</v>
      </c>
    </row>
    <row r="4" spans="1:44" s="388" customFormat="1">
      <c r="A4" s="402" t="s">
        <v>231</v>
      </c>
      <c r="B4" s="402" t="s">
        <v>370</v>
      </c>
      <c r="C4" s="402" t="s">
        <v>12</v>
      </c>
      <c r="D4" s="402" t="s">
        <v>371</v>
      </c>
      <c r="E4" s="402" t="s">
        <v>372</v>
      </c>
      <c r="F4" s="402" t="s">
        <v>373</v>
      </c>
      <c r="G4" s="402" t="s">
        <v>374</v>
      </c>
      <c r="H4" s="402" t="s">
        <v>375</v>
      </c>
      <c r="I4" s="403">
        <v>2016</v>
      </c>
      <c r="J4" s="404">
        <v>24</v>
      </c>
      <c r="K4" s="405">
        <v>5270.5</v>
      </c>
      <c r="L4" s="405">
        <v>0</v>
      </c>
      <c r="M4" s="406" t="s">
        <v>251</v>
      </c>
      <c r="N4" s="406" t="s">
        <v>251</v>
      </c>
      <c r="O4" s="406" t="s">
        <v>376</v>
      </c>
      <c r="P4" s="407">
        <v>0.77700000000000002</v>
      </c>
      <c r="Q4" s="407">
        <v>0.76700000000000002</v>
      </c>
      <c r="R4" s="408">
        <v>126492</v>
      </c>
      <c r="S4" s="408">
        <v>0</v>
      </c>
      <c r="T4" s="409">
        <v>805974.6592665955</v>
      </c>
      <c r="U4" s="409">
        <v>91157.091529411759</v>
      </c>
      <c r="V4" s="410">
        <v>8.8416013032463692</v>
      </c>
      <c r="W4" s="409">
        <v>714817.56773718377</v>
      </c>
      <c r="X4" s="409">
        <v>805974.6592665955</v>
      </c>
      <c r="Y4" s="409">
        <v>91157.091529411759</v>
      </c>
      <c r="Z4" s="410">
        <v>8.8416013032463692</v>
      </c>
      <c r="AA4" s="409">
        <v>714817.56773718377</v>
      </c>
      <c r="AB4" s="409">
        <v>664378.96861779317</v>
      </c>
      <c r="AC4" s="409">
        <v>124011.76470588235</v>
      </c>
      <c r="AD4" s="410">
        <v>5.3573866172576059</v>
      </c>
      <c r="AE4" s="409">
        <v>540367.20391191076</v>
      </c>
      <c r="AF4" s="409">
        <v>125587.6666329373</v>
      </c>
      <c r="AG4" s="409">
        <v>117319.29411764705</v>
      </c>
      <c r="AH4" s="410">
        <v>1.0704775167416092</v>
      </c>
      <c r="AI4" s="409">
        <v>8268.372515290248</v>
      </c>
      <c r="AJ4" s="409">
        <v>700847.52979703946</v>
      </c>
      <c r="AK4" s="409">
        <v>125236.24050320403</v>
      </c>
      <c r="AL4" s="410">
        <v>5.5962038382899966</v>
      </c>
      <c r="AM4" s="409">
        <v>575611.28929383541</v>
      </c>
      <c r="AN4" s="411">
        <v>2217.7060923315089</v>
      </c>
      <c r="AO4" s="411">
        <v>11100934.185556307</v>
      </c>
      <c r="AP4" s="409">
        <v>124011.76470588235</v>
      </c>
      <c r="AQ4" s="409">
        <v>55.91893584758423</v>
      </c>
      <c r="AR4" s="409">
        <v>1.1171290869126766E-2</v>
      </c>
    </row>
    <row r="5" spans="1:44" s="388" customFormat="1">
      <c r="A5" s="402" t="s">
        <v>231</v>
      </c>
      <c r="B5" s="402" t="s">
        <v>370</v>
      </c>
      <c r="C5" s="402" t="s">
        <v>12</v>
      </c>
      <c r="D5" s="402" t="s">
        <v>371</v>
      </c>
      <c r="E5" s="402" t="s">
        <v>372</v>
      </c>
      <c r="F5" s="402" t="s">
        <v>373</v>
      </c>
      <c r="G5" s="402" t="s">
        <v>374</v>
      </c>
      <c r="H5" s="402" t="s">
        <v>375</v>
      </c>
      <c r="I5" s="403">
        <v>2017</v>
      </c>
      <c r="J5" s="404">
        <v>24</v>
      </c>
      <c r="K5" s="405">
        <v>5270.5</v>
      </c>
      <c r="L5" s="405">
        <v>0</v>
      </c>
      <c r="M5" s="406" t="s">
        <v>251</v>
      </c>
      <c r="N5" s="406" t="s">
        <v>251</v>
      </c>
      <c r="O5" s="406" t="s">
        <v>376</v>
      </c>
      <c r="P5" s="407">
        <v>0.77700000000000002</v>
      </c>
      <c r="Q5" s="407">
        <v>0.76700000000000002</v>
      </c>
      <c r="R5" s="408">
        <v>126492</v>
      </c>
      <c r="S5" s="408">
        <v>0</v>
      </c>
      <c r="T5" s="409">
        <v>852130.65193629917</v>
      </c>
      <c r="U5" s="409">
        <v>89369.697577854677</v>
      </c>
      <c r="V5" s="410">
        <v>9.5348946570392386</v>
      </c>
      <c r="W5" s="409">
        <v>762760.95435844455</v>
      </c>
      <c r="X5" s="409">
        <v>852130.65193629917</v>
      </c>
      <c r="Y5" s="409">
        <v>89369.697577854677</v>
      </c>
      <c r="Z5" s="410">
        <v>9.5348946570392386</v>
      </c>
      <c r="AA5" s="409">
        <v>762760.95435844455</v>
      </c>
      <c r="AB5" s="409">
        <v>704514.61441753572</v>
      </c>
      <c r="AC5" s="409">
        <v>121580.16147635525</v>
      </c>
      <c r="AD5" s="410">
        <v>5.7946510833887057</v>
      </c>
      <c r="AE5" s="409">
        <v>582934.45294118044</v>
      </c>
      <c r="AF5" s="409">
        <v>123154.64415976609</v>
      </c>
      <c r="AG5" s="409">
        <v>115018.91580161476</v>
      </c>
      <c r="AH5" s="410">
        <v>1.0707338293136399</v>
      </c>
      <c r="AI5" s="409">
        <v>8135.7283581513329</v>
      </c>
      <c r="AJ5" s="409">
        <v>740983.17559678201</v>
      </c>
      <c r="AK5" s="409">
        <v>122803.53452136548</v>
      </c>
      <c r="AL5" s="410">
        <v>6.0338912758888466</v>
      </c>
      <c r="AM5" s="409">
        <v>618179.64107541647</v>
      </c>
      <c r="AN5" s="411">
        <v>2174.2216591485371</v>
      </c>
      <c r="AO5" s="411">
        <v>10883268.809368927</v>
      </c>
      <c r="AP5" s="409">
        <v>121580.16147635525</v>
      </c>
      <c r="AQ5" s="409">
        <v>55.918935847584258</v>
      </c>
      <c r="AR5" s="409">
        <v>1.1171290869126767E-2</v>
      </c>
    </row>
    <row r="6" spans="1:44" s="388" customFormat="1">
      <c r="A6" s="402" t="s">
        <v>231</v>
      </c>
      <c r="B6" s="402" t="s">
        <v>370</v>
      </c>
      <c r="C6" s="402" t="s">
        <v>12</v>
      </c>
      <c r="D6" s="402" t="s">
        <v>371</v>
      </c>
      <c r="E6" s="402" t="s">
        <v>372</v>
      </c>
      <c r="F6" s="402" t="s">
        <v>373</v>
      </c>
      <c r="G6" s="402" t="s">
        <v>374</v>
      </c>
      <c r="H6" s="402" t="s">
        <v>375</v>
      </c>
      <c r="I6" s="403">
        <v>2018</v>
      </c>
      <c r="J6" s="404">
        <v>26</v>
      </c>
      <c r="K6" s="405">
        <v>5270.5</v>
      </c>
      <c r="L6" s="405">
        <v>0</v>
      </c>
      <c r="M6" s="406" t="s">
        <v>251</v>
      </c>
      <c r="N6" s="406" t="s">
        <v>251</v>
      </c>
      <c r="O6" s="406" t="s">
        <v>376</v>
      </c>
      <c r="P6" s="407">
        <v>0.77700000000000002</v>
      </c>
      <c r="Q6" s="407">
        <v>0.76700000000000002</v>
      </c>
      <c r="R6" s="408">
        <v>137033</v>
      </c>
      <c r="S6" s="408">
        <v>0</v>
      </c>
      <c r="T6" s="409">
        <v>930654.61289255705</v>
      </c>
      <c r="U6" s="409">
        <v>94918.796447067871</v>
      </c>
      <c r="V6" s="410">
        <v>9.8047451898691431</v>
      </c>
      <c r="W6" s="409">
        <v>835735.81644548918</v>
      </c>
      <c r="X6" s="409">
        <v>930654.61289255705</v>
      </c>
      <c r="Y6" s="409">
        <v>94918.796447067871</v>
      </c>
      <c r="Z6" s="410">
        <v>9.8047451898691431</v>
      </c>
      <c r="AA6" s="409">
        <v>835735.81644548918</v>
      </c>
      <c r="AB6" s="409">
        <v>769757.27283195313</v>
      </c>
      <c r="AC6" s="409">
        <v>129129.25646998515</v>
      </c>
      <c r="AD6" s="410">
        <v>5.9611376528825266</v>
      </c>
      <c r="AE6" s="409">
        <v>640628.01636196801</v>
      </c>
      <c r="AF6" s="409">
        <v>130832.30657939801</v>
      </c>
      <c r="AG6" s="409">
        <v>122160.61318798954</v>
      </c>
      <c r="AH6" s="410">
        <v>1.0709860008484391</v>
      </c>
      <c r="AI6" s="409">
        <v>8671.6933914084657</v>
      </c>
      <c r="AJ6" s="409">
        <v>809264.88077613665</v>
      </c>
      <c r="AK6" s="409">
        <v>130452.52640499893</v>
      </c>
      <c r="AL6" s="410">
        <v>6.2035201852949751</v>
      </c>
      <c r="AM6" s="409">
        <v>678812.35437113768</v>
      </c>
      <c r="AN6" s="411">
        <v>2309.222350402858</v>
      </c>
      <c r="AO6" s="411">
        <v>11559027.330212098</v>
      </c>
      <c r="AP6" s="409">
        <v>129129.25646998515</v>
      </c>
      <c r="AQ6" s="409">
        <v>55.918935847584258</v>
      </c>
      <c r="AR6" s="409">
        <v>1.1171290869126766E-2</v>
      </c>
    </row>
    <row r="7" spans="1:44" s="388" customFormat="1">
      <c r="A7" s="402" t="s">
        <v>231</v>
      </c>
      <c r="B7" s="402" t="s">
        <v>370</v>
      </c>
      <c r="C7" s="402" t="s">
        <v>12</v>
      </c>
      <c r="D7" s="402" t="s">
        <v>371</v>
      </c>
      <c r="E7" s="402" t="s">
        <v>372</v>
      </c>
      <c r="F7" s="402" t="s">
        <v>373</v>
      </c>
      <c r="G7" s="402" t="s">
        <v>374</v>
      </c>
      <c r="H7" s="402" t="s">
        <v>375</v>
      </c>
      <c r="I7" s="403">
        <v>2019</v>
      </c>
      <c r="J7" s="404">
        <v>28</v>
      </c>
      <c r="K7" s="405">
        <v>5270.5</v>
      </c>
      <c r="L7" s="405">
        <v>0</v>
      </c>
      <c r="M7" s="406" t="s">
        <v>251</v>
      </c>
      <c r="N7" s="406" t="s">
        <v>251</v>
      </c>
      <c r="O7" s="406" t="s">
        <v>376</v>
      </c>
      <c r="P7" s="407">
        <v>0.77700000000000002</v>
      </c>
      <c r="Q7" s="407">
        <v>0.76700000000000002</v>
      </c>
      <c r="R7" s="408">
        <v>147574</v>
      </c>
      <c r="S7" s="408">
        <v>0</v>
      </c>
      <c r="T7" s="409">
        <v>1015081.5672665663</v>
      </c>
      <c r="U7" s="409">
        <v>100215.92385059956</v>
      </c>
      <c r="V7" s="410">
        <v>10.12894486488829</v>
      </c>
      <c r="W7" s="409">
        <v>914865.64341596677</v>
      </c>
      <c r="X7" s="409">
        <v>1015081.5672665663</v>
      </c>
      <c r="Y7" s="409">
        <v>100215.92385059956</v>
      </c>
      <c r="Z7" s="410">
        <v>10.12894486488829</v>
      </c>
      <c r="AA7" s="409">
        <v>914865.64341596677</v>
      </c>
      <c r="AB7" s="409">
        <v>840132.96900093707</v>
      </c>
      <c r="AC7" s="409">
        <v>136335.56490043682</v>
      </c>
      <c r="AD7" s="410">
        <v>6.1622436494429733</v>
      </c>
      <c r="AE7" s="409">
        <v>703797.40410050028</v>
      </c>
      <c r="AF7" s="409">
        <v>138165.60013613745</v>
      </c>
      <c r="AG7" s="409">
        <v>128978.02297374459</v>
      </c>
      <c r="AH7" s="410">
        <v>1.0712336640813849</v>
      </c>
      <c r="AI7" s="409">
        <v>9187.5771623928595</v>
      </c>
      <c r="AJ7" s="409">
        <v>882679.6237100577</v>
      </c>
      <c r="AK7" s="409">
        <v>137757.5022785762</v>
      </c>
      <c r="AL7" s="410">
        <v>6.4074885876275829</v>
      </c>
      <c r="AM7" s="409">
        <v>744922.12143148156</v>
      </c>
      <c r="AN7" s="411">
        <v>2438.0929793092018</v>
      </c>
      <c r="AO7" s="411">
        <v>12204101.253617598</v>
      </c>
      <c r="AP7" s="409">
        <v>136335.56490043682</v>
      </c>
      <c r="AQ7" s="409">
        <v>55.918935847584251</v>
      </c>
      <c r="AR7" s="409">
        <v>1.1171290869126769E-2</v>
      </c>
    </row>
    <row r="8" spans="1:44" s="388" customFormat="1">
      <c r="A8" s="402" t="s">
        <v>231</v>
      </c>
      <c r="B8" s="402" t="s">
        <v>370</v>
      </c>
      <c r="C8" s="402" t="s">
        <v>12</v>
      </c>
      <c r="D8" s="402" t="s">
        <v>371</v>
      </c>
      <c r="E8" s="402" t="s">
        <v>372</v>
      </c>
      <c r="F8" s="402" t="s">
        <v>373</v>
      </c>
      <c r="G8" s="402" t="s">
        <v>374</v>
      </c>
      <c r="H8" s="402" t="s">
        <v>375</v>
      </c>
      <c r="I8" s="403">
        <v>2020</v>
      </c>
      <c r="J8" s="404">
        <v>30</v>
      </c>
      <c r="K8" s="405">
        <v>5270.5</v>
      </c>
      <c r="L8" s="405">
        <v>0</v>
      </c>
      <c r="M8" s="406" t="s">
        <v>251</v>
      </c>
      <c r="N8" s="406" t="s">
        <v>251</v>
      </c>
      <c r="O8" s="406" t="s">
        <v>376</v>
      </c>
      <c r="P8" s="407">
        <v>0.77700000000000002</v>
      </c>
      <c r="Q8" s="407">
        <v>0.76700000000000002</v>
      </c>
      <c r="R8" s="408">
        <v>158115</v>
      </c>
      <c r="S8" s="408">
        <v>0</v>
      </c>
      <c r="T8" s="409">
        <v>1093131.0407723039</v>
      </c>
      <c r="U8" s="409">
        <v>105268.82757415918</v>
      </c>
      <c r="V8" s="410">
        <v>10.384185574805811</v>
      </c>
      <c r="W8" s="409">
        <v>987862.2131981448</v>
      </c>
      <c r="X8" s="409">
        <v>1093131.0407723039</v>
      </c>
      <c r="Y8" s="409">
        <v>105268.82757415918</v>
      </c>
      <c r="Z8" s="410">
        <v>10.384185574805811</v>
      </c>
      <c r="AA8" s="409">
        <v>987862.2131981448</v>
      </c>
      <c r="AB8" s="409">
        <v>904963.0296322935</v>
      </c>
      <c r="AC8" s="409">
        <v>143209.62699625714</v>
      </c>
      <c r="AD8" s="410">
        <v>6.319149407853323</v>
      </c>
      <c r="AE8" s="409">
        <v>761753.40263603639</v>
      </c>
      <c r="AF8" s="409">
        <v>145162.23737026547</v>
      </c>
      <c r="AG8" s="409">
        <v>135481.11656905944</v>
      </c>
      <c r="AH8" s="410">
        <v>1.0714573443618707</v>
      </c>
      <c r="AI8" s="409">
        <v>9681.1208012060379</v>
      </c>
      <c r="AJ8" s="409">
        <v>950548.73110635136</v>
      </c>
      <c r="AK8" s="409">
        <v>144726.80525686161</v>
      </c>
      <c r="AL8" s="410">
        <v>6.5678830498559986</v>
      </c>
      <c r="AM8" s="409">
        <v>805821.92584948975</v>
      </c>
      <c r="AN8" s="411">
        <v>2561.0220370894976</v>
      </c>
      <c r="AO8" s="411">
        <v>12819434.089934453</v>
      </c>
      <c r="AP8" s="409">
        <v>143209.62699625714</v>
      </c>
      <c r="AQ8" s="409">
        <v>55.918935847584244</v>
      </c>
      <c r="AR8" s="409">
        <v>1.1171290869126766E-2</v>
      </c>
    </row>
    <row r="9" spans="1:44" s="388" customFormat="1">
      <c r="A9" s="402" t="s">
        <v>231</v>
      </c>
      <c r="B9" s="402" t="s">
        <v>370</v>
      </c>
      <c r="C9" s="402" t="s">
        <v>12</v>
      </c>
      <c r="D9" s="402" t="s">
        <v>377</v>
      </c>
      <c r="E9" s="402" t="s">
        <v>378</v>
      </c>
      <c r="F9" s="402" t="s">
        <v>379</v>
      </c>
      <c r="G9" s="402" t="s">
        <v>374</v>
      </c>
      <c r="H9" s="402" t="s">
        <v>380</v>
      </c>
      <c r="I9" s="403">
        <v>2015</v>
      </c>
      <c r="J9" s="404">
        <v>0</v>
      </c>
      <c r="K9" s="405">
        <v>3923.6</v>
      </c>
      <c r="L9" s="405">
        <v>0</v>
      </c>
      <c r="M9" s="406" t="s">
        <v>251</v>
      </c>
      <c r="N9" s="406" t="s">
        <v>251</v>
      </c>
      <c r="O9" s="406" t="s">
        <v>376</v>
      </c>
      <c r="P9" s="407">
        <v>0.68200000000000005</v>
      </c>
      <c r="Q9" s="407">
        <v>0.69199999999999995</v>
      </c>
      <c r="R9" s="408">
        <v>0</v>
      </c>
      <c r="S9" s="408">
        <v>0</v>
      </c>
      <c r="T9" s="409">
        <v>0</v>
      </c>
      <c r="U9" s="409">
        <v>0</v>
      </c>
      <c r="V9" s="410" t="e">
        <v>#DIV/0!</v>
      </c>
      <c r="W9" s="409">
        <v>0</v>
      </c>
      <c r="X9" s="409">
        <v>0</v>
      </c>
      <c r="Y9" s="409">
        <v>0</v>
      </c>
      <c r="Z9" s="410" t="e">
        <v>#DIV/0!</v>
      </c>
      <c r="AA9" s="409">
        <v>0</v>
      </c>
      <c r="AB9" s="409">
        <v>0</v>
      </c>
      <c r="AC9" s="409">
        <v>0</v>
      </c>
      <c r="AD9" s="410" t="e">
        <v>#DIV/0!</v>
      </c>
      <c r="AE9" s="409">
        <v>0</v>
      </c>
      <c r="AF9" s="409">
        <v>0</v>
      </c>
      <c r="AG9" s="409">
        <v>0</v>
      </c>
      <c r="AH9" s="410" t="e">
        <v>#DIV/0!</v>
      </c>
      <c r="AI9" s="409">
        <v>0</v>
      </c>
      <c r="AJ9" s="409">
        <v>0</v>
      </c>
      <c r="AK9" s="409">
        <v>0</v>
      </c>
      <c r="AL9" s="410" t="e">
        <v>#DIV/0!</v>
      </c>
      <c r="AM9" s="409">
        <v>0</v>
      </c>
      <c r="AN9" s="411">
        <v>0</v>
      </c>
      <c r="AO9" s="411">
        <v>0</v>
      </c>
      <c r="AP9" s="409">
        <v>0</v>
      </c>
      <c r="AQ9" s="409" t="e">
        <v>#DIV/0!</v>
      </c>
      <c r="AR9" s="409" t="e">
        <v>#DIV/0!</v>
      </c>
    </row>
    <row r="10" spans="1:44" s="388" customFormat="1">
      <c r="A10" s="402" t="s">
        <v>231</v>
      </c>
      <c r="B10" s="402" t="s">
        <v>370</v>
      </c>
      <c r="C10" s="402" t="s">
        <v>12</v>
      </c>
      <c r="D10" s="402" t="s">
        <v>377</v>
      </c>
      <c r="E10" s="402" t="s">
        <v>378</v>
      </c>
      <c r="F10" s="402" t="s">
        <v>379</v>
      </c>
      <c r="G10" s="402" t="s">
        <v>374</v>
      </c>
      <c r="H10" s="402" t="s">
        <v>380</v>
      </c>
      <c r="I10" s="403">
        <v>2016</v>
      </c>
      <c r="J10" s="404">
        <v>10</v>
      </c>
      <c r="K10" s="405">
        <v>3923.6</v>
      </c>
      <c r="L10" s="405">
        <v>0</v>
      </c>
      <c r="M10" s="406" t="s">
        <v>251</v>
      </c>
      <c r="N10" s="406" t="s">
        <v>251</v>
      </c>
      <c r="O10" s="406" t="s">
        <v>376</v>
      </c>
      <c r="P10" s="407">
        <v>0.68200000000000005</v>
      </c>
      <c r="Q10" s="407">
        <v>0.69199999999999995</v>
      </c>
      <c r="R10" s="408">
        <v>39236</v>
      </c>
      <c r="S10" s="408">
        <v>0</v>
      </c>
      <c r="T10" s="409">
        <v>121634.25119151938</v>
      </c>
      <c r="U10" s="409">
        <v>512268.3866666666</v>
      </c>
      <c r="V10" s="410">
        <v>0.23744243126731704</v>
      </c>
      <c r="W10" s="409">
        <v>-390634.13547514722</v>
      </c>
      <c r="X10" s="409">
        <v>121634.25119151938</v>
      </c>
      <c r="Y10" s="409">
        <v>512268.3866666666</v>
      </c>
      <c r="Z10" s="410">
        <v>0.23744243126731704</v>
      </c>
      <c r="AA10" s="409">
        <v>-390634.13547514722</v>
      </c>
      <c r="AB10" s="409">
        <v>105768.91407958209</v>
      </c>
      <c r="AC10" s="409">
        <v>38466.666666666664</v>
      </c>
      <c r="AD10" s="410">
        <v>2.7496251493825499</v>
      </c>
      <c r="AE10" s="409">
        <v>67302.247412915429</v>
      </c>
      <c r="AF10" s="409">
        <v>38650.359518079735</v>
      </c>
      <c r="AG10" s="409">
        <v>751126.66666666651</v>
      </c>
      <c r="AH10" s="410">
        <v>5.1456513572606138E-2</v>
      </c>
      <c r="AI10" s="409">
        <v>-712476.30714858673</v>
      </c>
      <c r="AJ10" s="409">
        <v>105768.91407958209</v>
      </c>
      <c r="AK10" s="409">
        <v>38591.945191330378</v>
      </c>
      <c r="AL10" s="410">
        <v>2.7406992198813267</v>
      </c>
      <c r="AM10" s="409">
        <v>67176.968888251708</v>
      </c>
      <c r="AN10" s="411">
        <v>523.14408431876245</v>
      </c>
      <c r="AO10" s="411">
        <v>1248082.014844954</v>
      </c>
      <c r="AP10" s="409">
        <v>38466.666666666664</v>
      </c>
      <c r="AQ10" s="409">
        <v>73.529774721161019</v>
      </c>
      <c r="AR10" s="409">
        <v>3.0820624132978376E-2</v>
      </c>
    </row>
    <row r="11" spans="1:44" s="388" customFormat="1">
      <c r="A11" s="402" t="s">
        <v>231</v>
      </c>
      <c r="B11" s="402" t="s">
        <v>370</v>
      </c>
      <c r="C11" s="402" t="s">
        <v>12</v>
      </c>
      <c r="D11" s="402" t="s">
        <v>377</v>
      </c>
      <c r="E11" s="402" t="s">
        <v>378</v>
      </c>
      <c r="F11" s="402" t="s">
        <v>379</v>
      </c>
      <c r="G11" s="402" t="s">
        <v>374</v>
      </c>
      <c r="H11" s="402" t="s">
        <v>380</v>
      </c>
      <c r="I11" s="403">
        <v>2017</v>
      </c>
      <c r="J11" s="404">
        <v>12</v>
      </c>
      <c r="K11" s="405">
        <v>3923.6</v>
      </c>
      <c r="L11" s="405">
        <v>0</v>
      </c>
      <c r="M11" s="406" t="s">
        <v>251</v>
      </c>
      <c r="N11" s="406" t="s">
        <v>251</v>
      </c>
      <c r="O11" s="406" t="s">
        <v>376</v>
      </c>
      <c r="P11" s="407">
        <v>0.68200000000000005</v>
      </c>
      <c r="Q11" s="407">
        <v>0.69199999999999995</v>
      </c>
      <c r="R11" s="408">
        <v>47083.199999999997</v>
      </c>
      <c r="S11" s="408">
        <v>0</v>
      </c>
      <c r="T11" s="409">
        <v>154324.35453352885</v>
      </c>
      <c r="U11" s="409">
        <v>602668.6901960785</v>
      </c>
      <c r="V11" s="410">
        <v>0.25606831256377255</v>
      </c>
      <c r="W11" s="409">
        <v>-448344.33566254965</v>
      </c>
      <c r="X11" s="409">
        <v>154324.35453352885</v>
      </c>
      <c r="Y11" s="409">
        <v>602668.6901960785</v>
      </c>
      <c r="Z11" s="410">
        <v>0.25606831256377255</v>
      </c>
      <c r="AA11" s="409">
        <v>-448344.33566254965</v>
      </c>
      <c r="AB11" s="409">
        <v>134195.09089872078</v>
      </c>
      <c r="AC11" s="409">
        <v>45254.901960784315</v>
      </c>
      <c r="AD11" s="410">
        <v>2.9653161333772791</v>
      </c>
      <c r="AE11" s="409">
        <v>88940.188937936473</v>
      </c>
      <c r="AF11" s="409">
        <v>45475.183738431973</v>
      </c>
      <c r="AG11" s="409">
        <v>883678.43137254915</v>
      </c>
      <c r="AH11" s="410">
        <v>5.1461235358883771E-2</v>
      </c>
      <c r="AI11" s="409">
        <v>-838203.24763411714</v>
      </c>
      <c r="AJ11" s="409">
        <v>134195.09089872078</v>
      </c>
      <c r="AK11" s="409">
        <v>45405.134133140018</v>
      </c>
      <c r="AL11" s="410">
        <v>2.9555047784954191</v>
      </c>
      <c r="AM11" s="409">
        <v>88789.956765580762</v>
      </c>
      <c r="AN11" s="411">
        <v>615.46362861030843</v>
      </c>
      <c r="AO11" s="411">
        <v>1468331.7821705337</v>
      </c>
      <c r="AP11" s="409">
        <v>45254.901960784315</v>
      </c>
      <c r="AQ11" s="409">
        <v>73.529774721161061</v>
      </c>
      <c r="AR11" s="409">
        <v>3.0820624132978387E-2</v>
      </c>
    </row>
    <row r="12" spans="1:44" s="388" customFormat="1">
      <c r="A12" s="402" t="s">
        <v>231</v>
      </c>
      <c r="B12" s="402" t="s">
        <v>370</v>
      </c>
      <c r="C12" s="402" t="s">
        <v>12</v>
      </c>
      <c r="D12" s="402" t="s">
        <v>377</v>
      </c>
      <c r="E12" s="402" t="s">
        <v>378</v>
      </c>
      <c r="F12" s="402" t="s">
        <v>379</v>
      </c>
      <c r="G12" s="402" t="s">
        <v>374</v>
      </c>
      <c r="H12" s="402" t="s">
        <v>380</v>
      </c>
      <c r="I12" s="403">
        <v>2018</v>
      </c>
      <c r="J12" s="404">
        <v>14</v>
      </c>
      <c r="K12" s="405">
        <v>3923.6</v>
      </c>
      <c r="L12" s="405">
        <v>0</v>
      </c>
      <c r="M12" s="406" t="s">
        <v>251</v>
      </c>
      <c r="N12" s="406" t="s">
        <v>251</v>
      </c>
      <c r="O12" s="406" t="s">
        <v>376</v>
      </c>
      <c r="P12" s="407">
        <v>0.68200000000000005</v>
      </c>
      <c r="Q12" s="407">
        <v>0.69199999999999995</v>
      </c>
      <c r="R12" s="408">
        <v>54930.400000000001</v>
      </c>
      <c r="S12" s="408">
        <v>0</v>
      </c>
      <c r="T12" s="409">
        <v>180719.02239760003</v>
      </c>
      <c r="U12" s="409">
        <v>689326.93323080882</v>
      </c>
      <c r="V12" s="410">
        <v>0.2621673601966884</v>
      </c>
      <c r="W12" s="409">
        <v>-508607.91083320882</v>
      </c>
      <c r="X12" s="409">
        <v>180719.02239760003</v>
      </c>
      <c r="Y12" s="409">
        <v>689326.93323080882</v>
      </c>
      <c r="Z12" s="410">
        <v>0.2621673601966884</v>
      </c>
      <c r="AA12" s="409">
        <v>-508607.91083320882</v>
      </c>
      <c r="AB12" s="409">
        <v>157146.97599791308</v>
      </c>
      <c r="AC12" s="409">
        <v>51762.142765602977</v>
      </c>
      <c r="AD12" s="410">
        <v>3.0359441785385384</v>
      </c>
      <c r="AE12" s="409">
        <v>105384.83323231011</v>
      </c>
      <c r="AF12" s="409">
        <v>52018.838461665444</v>
      </c>
      <c r="AG12" s="409">
        <v>1010743.3038574908</v>
      </c>
      <c r="AH12" s="410">
        <v>5.1465924397555853E-2</v>
      </c>
      <c r="AI12" s="409">
        <v>-958724.46539582533</v>
      </c>
      <c r="AJ12" s="409">
        <v>157146.97599791308</v>
      </c>
      <c r="AK12" s="409">
        <v>51937.209230317581</v>
      </c>
      <c r="AL12" s="410">
        <v>3.0257108213311708</v>
      </c>
      <c r="AM12" s="409">
        <v>105209.76676759549</v>
      </c>
      <c r="AN12" s="411">
        <v>703.96166671113724</v>
      </c>
      <c r="AO12" s="411">
        <v>1679464.4567310025</v>
      </c>
      <c r="AP12" s="409">
        <v>51762.142765602977</v>
      </c>
      <c r="AQ12" s="409">
        <v>73.529774721161047</v>
      </c>
      <c r="AR12" s="409">
        <v>3.082062413297839E-2</v>
      </c>
    </row>
    <row r="13" spans="1:44" s="388" customFormat="1">
      <c r="A13" s="402" t="s">
        <v>231</v>
      </c>
      <c r="B13" s="402" t="s">
        <v>370</v>
      </c>
      <c r="C13" s="402" t="s">
        <v>12</v>
      </c>
      <c r="D13" s="402" t="s">
        <v>377</v>
      </c>
      <c r="E13" s="402" t="s">
        <v>378</v>
      </c>
      <c r="F13" s="402" t="s">
        <v>379</v>
      </c>
      <c r="G13" s="402" t="s">
        <v>374</v>
      </c>
      <c r="H13" s="402" t="s">
        <v>380</v>
      </c>
      <c r="I13" s="403">
        <v>2019</v>
      </c>
      <c r="J13" s="404">
        <v>16</v>
      </c>
      <c r="K13" s="405">
        <v>3923.6</v>
      </c>
      <c r="L13" s="405">
        <v>0</v>
      </c>
      <c r="M13" s="406" t="s">
        <v>251</v>
      </c>
      <c r="N13" s="406" t="s">
        <v>251</v>
      </c>
      <c r="O13" s="406" t="s">
        <v>376</v>
      </c>
      <c r="P13" s="407">
        <v>0.68200000000000005</v>
      </c>
      <c r="Q13" s="407">
        <v>0.69199999999999995</v>
      </c>
      <c r="R13" s="408">
        <v>62777.599999999999</v>
      </c>
      <c r="S13" s="408">
        <v>0</v>
      </c>
      <c r="T13" s="409">
        <v>207630.3141145503</v>
      </c>
      <c r="U13" s="409">
        <v>772355.10726141033</v>
      </c>
      <c r="V13" s="410">
        <v>0.26882752785924935</v>
      </c>
      <c r="W13" s="409">
        <v>-564724.79314686009</v>
      </c>
      <c r="X13" s="409">
        <v>207630.3141145503</v>
      </c>
      <c r="Y13" s="409">
        <v>772355.10726141033</v>
      </c>
      <c r="Z13" s="410">
        <v>0.26882752785924935</v>
      </c>
      <c r="AA13" s="409">
        <v>-564724.79314686009</v>
      </c>
      <c r="AB13" s="409">
        <v>180548.09923004376</v>
      </c>
      <c r="AC13" s="409">
        <v>57996.798616922097</v>
      </c>
      <c r="AD13" s="410">
        <v>3.1130700924130679</v>
      </c>
      <c r="AE13" s="409">
        <v>122551.30061312167</v>
      </c>
      <c r="AF13" s="409">
        <v>58289.680861709647</v>
      </c>
      <c r="AG13" s="409">
        <v>1132485.4945181969</v>
      </c>
      <c r="AH13" s="410">
        <v>5.1470576129991251E-2</v>
      </c>
      <c r="AI13" s="409">
        <v>-1074195.8136564873</v>
      </c>
      <c r="AJ13" s="409">
        <v>180548.09923004376</v>
      </c>
      <c r="AK13" s="409">
        <v>58196.544307867211</v>
      </c>
      <c r="AL13" s="410">
        <v>3.1023852253996576</v>
      </c>
      <c r="AM13" s="409">
        <v>122351.55492217655</v>
      </c>
      <c r="AN13" s="411">
        <v>788.75256774357103</v>
      </c>
      <c r="AO13" s="411">
        <v>1881752.8926958013</v>
      </c>
      <c r="AP13" s="409">
        <v>57996.798616922097</v>
      </c>
      <c r="AQ13" s="409">
        <v>73.529774721161047</v>
      </c>
      <c r="AR13" s="409">
        <v>3.0820624132978383E-2</v>
      </c>
    </row>
    <row r="14" spans="1:44" s="388" customFormat="1">
      <c r="A14" s="402" t="s">
        <v>231</v>
      </c>
      <c r="B14" s="402" t="s">
        <v>370</v>
      </c>
      <c r="C14" s="402" t="s">
        <v>12</v>
      </c>
      <c r="D14" s="402" t="s">
        <v>377</v>
      </c>
      <c r="E14" s="402" t="s">
        <v>378</v>
      </c>
      <c r="F14" s="402" t="s">
        <v>379</v>
      </c>
      <c r="G14" s="402" t="s">
        <v>374</v>
      </c>
      <c r="H14" s="402" t="s">
        <v>380</v>
      </c>
      <c r="I14" s="403">
        <v>2020</v>
      </c>
      <c r="J14" s="404">
        <v>18</v>
      </c>
      <c r="K14" s="405">
        <v>3923.6</v>
      </c>
      <c r="L14" s="405">
        <v>0</v>
      </c>
      <c r="M14" s="406" t="s">
        <v>251</v>
      </c>
      <c r="N14" s="406" t="s">
        <v>251</v>
      </c>
      <c r="O14" s="406" t="s">
        <v>376</v>
      </c>
      <c r="P14" s="407">
        <v>0.68200000000000005</v>
      </c>
      <c r="Q14" s="407">
        <v>0.69199999999999995</v>
      </c>
      <c r="R14" s="408">
        <v>70624.800000000003</v>
      </c>
      <c r="S14" s="408">
        <v>0</v>
      </c>
      <c r="T14" s="409">
        <v>234058.58699836599</v>
      </c>
      <c r="U14" s="409">
        <v>851862.25065596716</v>
      </c>
      <c r="V14" s="410">
        <v>0.2747610741268694</v>
      </c>
      <c r="W14" s="409">
        <v>-617803.66365760122</v>
      </c>
      <c r="X14" s="409">
        <v>234058.58699836599</v>
      </c>
      <c r="Y14" s="409">
        <v>851862.25065596716</v>
      </c>
      <c r="Z14" s="410">
        <v>0.2747610741268694</v>
      </c>
      <c r="AA14" s="409">
        <v>-617803.66365760122</v>
      </c>
      <c r="AB14" s="409">
        <v>203529.20608553567</v>
      </c>
      <c r="AC14" s="409">
        <v>63967.057298075837</v>
      </c>
      <c r="AD14" s="410">
        <v>3.1817816026321712</v>
      </c>
      <c r="AE14" s="409">
        <v>139562.14878745982</v>
      </c>
      <c r="AF14" s="409">
        <v>64295.519681865022</v>
      </c>
      <c r="AG14" s="409">
        <v>1249064.8836597758</v>
      </c>
      <c r="AH14" s="410">
        <v>5.1474923779362317E-2</v>
      </c>
      <c r="AI14" s="409">
        <v>-1184769.3639779107</v>
      </c>
      <c r="AJ14" s="409">
        <v>203529.20608553567</v>
      </c>
      <c r="AK14" s="409">
        <v>64191.068643820065</v>
      </c>
      <c r="AL14" s="410">
        <v>3.1706779523311495</v>
      </c>
      <c r="AM14" s="409">
        <v>139338.1374417156</v>
      </c>
      <c r="AN14" s="411">
        <v>869.94768501129158</v>
      </c>
      <c r="AO14" s="411">
        <v>2075462.7492968398</v>
      </c>
      <c r="AP14" s="409">
        <v>63967.057298075837</v>
      </c>
      <c r="AQ14" s="409">
        <v>73.529774721161047</v>
      </c>
      <c r="AR14" s="409">
        <v>3.082062413297838E-2</v>
      </c>
    </row>
    <row r="15" spans="1:44" s="388" customFormat="1">
      <c r="A15" s="402" t="s">
        <v>231</v>
      </c>
      <c r="B15" s="402" t="s">
        <v>370</v>
      </c>
      <c r="C15" s="402" t="s">
        <v>12</v>
      </c>
      <c r="D15" s="402" t="s">
        <v>371</v>
      </c>
      <c r="E15" s="402" t="s">
        <v>381</v>
      </c>
      <c r="F15" s="402" t="s">
        <v>382</v>
      </c>
      <c r="G15" s="402" t="s">
        <v>374</v>
      </c>
      <c r="H15" s="402" t="s">
        <v>375</v>
      </c>
      <c r="I15" s="403">
        <v>2015</v>
      </c>
      <c r="J15" s="404">
        <v>0</v>
      </c>
      <c r="K15" s="405">
        <v>5187.5</v>
      </c>
      <c r="L15" s="405">
        <v>0</v>
      </c>
      <c r="M15" s="406" t="s">
        <v>251</v>
      </c>
      <c r="N15" s="406" t="s">
        <v>251</v>
      </c>
      <c r="O15" s="406" t="s">
        <v>376</v>
      </c>
      <c r="P15" s="407">
        <v>0.73099999999999998</v>
      </c>
      <c r="Q15" s="407">
        <v>0.70799999999999996</v>
      </c>
      <c r="R15" s="408">
        <v>0</v>
      </c>
      <c r="S15" s="408">
        <v>0</v>
      </c>
      <c r="T15" s="409">
        <v>0</v>
      </c>
      <c r="U15" s="409">
        <v>0</v>
      </c>
      <c r="V15" s="410" t="e">
        <v>#DIV/0!</v>
      </c>
      <c r="W15" s="409">
        <v>0</v>
      </c>
      <c r="X15" s="409">
        <v>0</v>
      </c>
      <c r="Y15" s="409">
        <v>0</v>
      </c>
      <c r="Z15" s="410" t="e">
        <v>#DIV/0!</v>
      </c>
      <c r="AA15" s="409">
        <v>0</v>
      </c>
      <c r="AB15" s="409">
        <v>0</v>
      </c>
      <c r="AC15" s="409">
        <v>0</v>
      </c>
      <c r="AD15" s="410" t="e">
        <v>#DIV/0!</v>
      </c>
      <c r="AE15" s="409">
        <v>0</v>
      </c>
      <c r="AF15" s="409">
        <v>0</v>
      </c>
      <c r="AG15" s="409">
        <v>0</v>
      </c>
      <c r="AH15" s="410" t="e">
        <v>#DIV/0!</v>
      </c>
      <c r="AI15" s="409">
        <v>0</v>
      </c>
      <c r="AJ15" s="409">
        <v>0</v>
      </c>
      <c r="AK15" s="409">
        <v>0</v>
      </c>
      <c r="AL15" s="410" t="e">
        <v>#DIV/0!</v>
      </c>
      <c r="AM15" s="409">
        <v>0</v>
      </c>
      <c r="AN15" s="411">
        <v>0</v>
      </c>
      <c r="AO15" s="411">
        <v>0</v>
      </c>
      <c r="AP15" s="409">
        <v>0</v>
      </c>
      <c r="AQ15" s="409" t="e">
        <v>#DIV/0!</v>
      </c>
      <c r="AR15" s="409" t="e">
        <v>#DIV/0!</v>
      </c>
    </row>
    <row r="16" spans="1:44" s="388" customFormat="1">
      <c r="A16" s="402" t="s">
        <v>231</v>
      </c>
      <c r="B16" s="402" t="s">
        <v>370</v>
      </c>
      <c r="C16" s="402" t="s">
        <v>12</v>
      </c>
      <c r="D16" s="402" t="s">
        <v>371</v>
      </c>
      <c r="E16" s="402" t="s">
        <v>381</v>
      </c>
      <c r="F16" s="402" t="s">
        <v>382</v>
      </c>
      <c r="G16" s="402" t="s">
        <v>374</v>
      </c>
      <c r="H16" s="402" t="s">
        <v>375</v>
      </c>
      <c r="I16" s="403">
        <v>2016</v>
      </c>
      <c r="J16" s="404">
        <v>6</v>
      </c>
      <c r="K16" s="405">
        <v>5187.5</v>
      </c>
      <c r="L16" s="405">
        <v>0</v>
      </c>
      <c r="M16" s="406" t="s">
        <v>251</v>
      </c>
      <c r="N16" s="406" t="s">
        <v>251</v>
      </c>
      <c r="O16" s="406" t="s">
        <v>376</v>
      </c>
      <c r="P16" s="407">
        <v>0.73099999999999998</v>
      </c>
      <c r="Q16" s="407">
        <v>0.70799999999999996</v>
      </c>
      <c r="R16" s="408">
        <v>31125</v>
      </c>
      <c r="S16" s="408">
        <v>0</v>
      </c>
      <c r="T16" s="409">
        <v>191763.55627288442</v>
      </c>
      <c r="U16" s="409">
        <v>69236.01999999999</v>
      </c>
      <c r="V16" s="410">
        <v>2.7697079680906622</v>
      </c>
      <c r="W16" s="409">
        <v>122527.53627288443</v>
      </c>
      <c r="X16" s="409">
        <v>191763.55627288442</v>
      </c>
      <c r="Y16" s="409">
        <v>69236.01999999999</v>
      </c>
      <c r="Z16" s="410">
        <v>2.7697079680906622</v>
      </c>
      <c r="AA16" s="409">
        <v>122527.53627288443</v>
      </c>
      <c r="AB16" s="409">
        <v>158285.23461142398</v>
      </c>
      <c r="AC16" s="409">
        <v>30514.705882352944</v>
      </c>
      <c r="AD16" s="410">
        <v>5.1871787728081102</v>
      </c>
      <c r="AE16" s="409">
        <v>127770.52872907103</v>
      </c>
      <c r="AF16" s="409">
        <v>30956.693000535306</v>
      </c>
      <c r="AG16" s="409">
        <v>94714.117647058811</v>
      </c>
      <c r="AH16" s="410">
        <v>0.32684349249698802</v>
      </c>
      <c r="AI16" s="409">
        <v>-63757.424646523505</v>
      </c>
      <c r="AJ16" s="409">
        <v>166750.91849816038</v>
      </c>
      <c r="AK16" s="409">
        <v>30837.798465744247</v>
      </c>
      <c r="AL16" s="410">
        <v>5.4073548305788881</v>
      </c>
      <c r="AM16" s="409">
        <v>135913.12003241613</v>
      </c>
      <c r="AN16" s="411">
        <v>523.00517425162752</v>
      </c>
      <c r="AO16" s="411">
        <v>3154874.3619398098</v>
      </c>
      <c r="AP16" s="409">
        <v>30514.705882352944</v>
      </c>
      <c r="AQ16" s="409">
        <v>58.344940709270595</v>
      </c>
      <c r="AR16" s="409">
        <v>9.672241231055121E-3</v>
      </c>
    </row>
    <row r="17" spans="1:44" s="388" customFormat="1">
      <c r="A17" s="402" t="s">
        <v>231</v>
      </c>
      <c r="B17" s="402" t="s">
        <v>370</v>
      </c>
      <c r="C17" s="402" t="s">
        <v>12</v>
      </c>
      <c r="D17" s="402" t="s">
        <v>371</v>
      </c>
      <c r="E17" s="402" t="s">
        <v>381</v>
      </c>
      <c r="F17" s="402" t="s">
        <v>382</v>
      </c>
      <c r="G17" s="402" t="s">
        <v>374</v>
      </c>
      <c r="H17" s="402" t="s">
        <v>375</v>
      </c>
      <c r="I17" s="403">
        <v>2017</v>
      </c>
      <c r="J17" s="404">
        <v>8</v>
      </c>
      <c r="K17" s="405">
        <v>5187.5</v>
      </c>
      <c r="L17" s="405">
        <v>0</v>
      </c>
      <c r="M17" s="406" t="s">
        <v>251</v>
      </c>
      <c r="N17" s="406" t="s">
        <v>251</v>
      </c>
      <c r="O17" s="406" t="s">
        <v>376</v>
      </c>
      <c r="P17" s="407">
        <v>0.73099999999999998</v>
      </c>
      <c r="Q17" s="407">
        <v>0.70799999999999996</v>
      </c>
      <c r="R17" s="408">
        <v>41500</v>
      </c>
      <c r="S17" s="408">
        <v>0</v>
      </c>
      <c r="T17" s="409">
        <v>271422.2907239201</v>
      </c>
      <c r="U17" s="409">
        <v>90504.601307189543</v>
      </c>
      <c r="V17" s="410">
        <v>2.9989888558556497</v>
      </c>
      <c r="W17" s="409">
        <v>180917.68941673054</v>
      </c>
      <c r="X17" s="409">
        <v>271422.2907239201</v>
      </c>
      <c r="Y17" s="409">
        <v>90504.601307189543</v>
      </c>
      <c r="Z17" s="410">
        <v>2.9989888558556497</v>
      </c>
      <c r="AA17" s="409">
        <v>180917.68941673054</v>
      </c>
      <c r="AB17" s="409">
        <v>224731.80472254293</v>
      </c>
      <c r="AC17" s="409">
        <v>39888.504421376398</v>
      </c>
      <c r="AD17" s="410">
        <v>5.6339992682730999</v>
      </c>
      <c r="AE17" s="409">
        <v>184843.30030116654</v>
      </c>
      <c r="AF17" s="409">
        <v>40476.305024900299</v>
      </c>
      <c r="AG17" s="409">
        <v>123809.30411380238</v>
      </c>
      <c r="AH17" s="410">
        <v>0.32692458224056814</v>
      </c>
      <c r="AI17" s="409">
        <v>-83332.999088902085</v>
      </c>
      <c r="AJ17" s="409">
        <v>236019.38323819143</v>
      </c>
      <c r="AK17" s="409">
        <v>40318.186662552369</v>
      </c>
      <c r="AL17" s="410">
        <v>5.8539186103180283</v>
      </c>
      <c r="AM17" s="409">
        <v>195701.19657563907</v>
      </c>
      <c r="AN17" s="411">
        <v>683.66689444657163</v>
      </c>
      <c r="AO17" s="411">
        <v>4124018.7737775273</v>
      </c>
      <c r="AP17" s="409">
        <v>39888.504421376398</v>
      </c>
      <c r="AQ17" s="409">
        <v>58.344940709270624</v>
      </c>
      <c r="AR17" s="409">
        <v>9.6722412310551245E-3</v>
      </c>
    </row>
    <row r="18" spans="1:44" s="388" customFormat="1">
      <c r="A18" s="402" t="s">
        <v>231</v>
      </c>
      <c r="B18" s="402" t="s">
        <v>370</v>
      </c>
      <c r="C18" s="402" t="s">
        <v>12</v>
      </c>
      <c r="D18" s="402" t="s">
        <v>371</v>
      </c>
      <c r="E18" s="402" t="s">
        <v>381</v>
      </c>
      <c r="F18" s="402" t="s">
        <v>382</v>
      </c>
      <c r="G18" s="402" t="s">
        <v>374</v>
      </c>
      <c r="H18" s="402" t="s">
        <v>375</v>
      </c>
      <c r="I18" s="403">
        <v>2018</v>
      </c>
      <c r="J18" s="404">
        <v>10</v>
      </c>
      <c r="K18" s="405">
        <v>5187.5</v>
      </c>
      <c r="L18" s="405">
        <v>0</v>
      </c>
      <c r="M18" s="406" t="s">
        <v>251</v>
      </c>
      <c r="N18" s="406" t="s">
        <v>251</v>
      </c>
      <c r="O18" s="406" t="s">
        <v>376</v>
      </c>
      <c r="P18" s="407">
        <v>0.73099999999999998</v>
      </c>
      <c r="Q18" s="407">
        <v>0.70799999999999996</v>
      </c>
      <c r="R18" s="408">
        <v>51875</v>
      </c>
      <c r="S18" s="408">
        <v>0</v>
      </c>
      <c r="T18" s="409">
        <v>342066.22849878029</v>
      </c>
      <c r="U18" s="409">
        <v>110912.501601948</v>
      </c>
      <c r="V18" s="410">
        <v>3.0841088566049661</v>
      </c>
      <c r="W18" s="409">
        <v>231153.72689683229</v>
      </c>
      <c r="X18" s="409">
        <v>342066.22849878029</v>
      </c>
      <c r="Y18" s="409">
        <v>110912.501601948</v>
      </c>
      <c r="Z18" s="410">
        <v>3.0841088566049661</v>
      </c>
      <c r="AA18" s="409">
        <v>231153.72689683229</v>
      </c>
      <c r="AB18" s="409">
        <v>283339.42120220477</v>
      </c>
      <c r="AC18" s="409">
        <v>48882.971104627941</v>
      </c>
      <c r="AD18" s="410">
        <v>5.7962806842438415</v>
      </c>
      <c r="AE18" s="409">
        <v>234456.45009757683</v>
      </c>
      <c r="AF18" s="409">
        <v>49616.009937347539</v>
      </c>
      <c r="AG18" s="409">
        <v>151727.08837475785</v>
      </c>
      <c r="AH18" s="410">
        <v>0.32700825191345284</v>
      </c>
      <c r="AI18" s="409">
        <v>-102111.07843741031</v>
      </c>
      <c r="AJ18" s="409">
        <v>297448.89434676548</v>
      </c>
      <c r="AK18" s="409">
        <v>49418.822491345963</v>
      </c>
      <c r="AL18" s="410">
        <v>6.0189393302289549</v>
      </c>
      <c r="AM18" s="409">
        <v>248030.07185541952</v>
      </c>
      <c r="AN18" s="411">
        <v>837.82707652766157</v>
      </c>
      <c r="AO18" s="411">
        <v>5053944.575707756</v>
      </c>
      <c r="AP18" s="409">
        <v>48882.971104627941</v>
      </c>
      <c r="AQ18" s="409">
        <v>58.344940709270602</v>
      </c>
      <c r="AR18" s="409">
        <v>9.672241231055121E-3</v>
      </c>
    </row>
    <row r="19" spans="1:44" s="388" customFormat="1">
      <c r="A19" s="402" t="s">
        <v>231</v>
      </c>
      <c r="B19" s="402" t="s">
        <v>370</v>
      </c>
      <c r="C19" s="402" t="s">
        <v>12</v>
      </c>
      <c r="D19" s="402" t="s">
        <v>371</v>
      </c>
      <c r="E19" s="402" t="s">
        <v>381</v>
      </c>
      <c r="F19" s="402" t="s">
        <v>382</v>
      </c>
      <c r="G19" s="402" t="s">
        <v>374</v>
      </c>
      <c r="H19" s="402" t="s">
        <v>375</v>
      </c>
      <c r="I19" s="403">
        <v>2019</v>
      </c>
      <c r="J19" s="404">
        <v>12</v>
      </c>
      <c r="K19" s="405">
        <v>5187.5</v>
      </c>
      <c r="L19" s="405">
        <v>0</v>
      </c>
      <c r="M19" s="406" t="s">
        <v>251</v>
      </c>
      <c r="N19" s="406" t="s">
        <v>251</v>
      </c>
      <c r="O19" s="406" t="s">
        <v>376</v>
      </c>
      <c r="P19" s="407">
        <v>0.73099999999999998</v>
      </c>
      <c r="Q19" s="407">
        <v>0.70799999999999996</v>
      </c>
      <c r="R19" s="408">
        <v>62250</v>
      </c>
      <c r="S19" s="408">
        <v>0</v>
      </c>
      <c r="T19" s="409">
        <v>417102.35022293346</v>
      </c>
      <c r="U19" s="409">
        <v>130485.29600229173</v>
      </c>
      <c r="V19" s="410">
        <v>3.1965467604534372</v>
      </c>
      <c r="W19" s="409">
        <v>286617.05422064173</v>
      </c>
      <c r="X19" s="409">
        <v>417102.35022293346</v>
      </c>
      <c r="Y19" s="409">
        <v>130485.29600229173</v>
      </c>
      <c r="Z19" s="410">
        <v>3.1965467604534372</v>
      </c>
      <c r="AA19" s="409">
        <v>286617.05422064173</v>
      </c>
      <c r="AB19" s="409">
        <v>345766.32807255641</v>
      </c>
      <c r="AC19" s="409">
        <v>57509.377770150502</v>
      </c>
      <c r="AD19" s="410">
        <v>6.0123468811380869</v>
      </c>
      <c r="AE19" s="409">
        <v>288256.95030240592</v>
      </c>
      <c r="AF19" s="409">
        <v>58386.755455504928</v>
      </c>
      <c r="AG19" s="409">
        <v>178502.45691147976</v>
      </c>
      <c r="AH19" s="410">
        <v>0.32709216705324795</v>
      </c>
      <c r="AI19" s="409">
        <v>-120115.70145597483</v>
      </c>
      <c r="AJ19" s="409">
        <v>362697.69584602909</v>
      </c>
      <c r="AK19" s="409">
        <v>58150.740858144592</v>
      </c>
      <c r="AL19" s="410">
        <v>6.2371981937566261</v>
      </c>
      <c r="AM19" s="409">
        <v>304546.9549878845</v>
      </c>
      <c r="AN19" s="411">
        <v>985.67891356195491</v>
      </c>
      <c r="AO19" s="411">
        <v>5945817.1478914768</v>
      </c>
      <c r="AP19" s="409">
        <v>57509.377770150502</v>
      </c>
      <c r="AQ19" s="409">
        <v>58.344940709270581</v>
      </c>
      <c r="AR19" s="409">
        <v>9.672241231055121E-3</v>
      </c>
    </row>
    <row r="20" spans="1:44" s="388" customFormat="1">
      <c r="A20" s="402" t="s">
        <v>231</v>
      </c>
      <c r="B20" s="402" t="s">
        <v>370</v>
      </c>
      <c r="C20" s="402" t="s">
        <v>12</v>
      </c>
      <c r="D20" s="402" t="s">
        <v>371</v>
      </c>
      <c r="E20" s="402" t="s">
        <v>381</v>
      </c>
      <c r="F20" s="402" t="s">
        <v>382</v>
      </c>
      <c r="G20" s="402" t="s">
        <v>374</v>
      </c>
      <c r="H20" s="402" t="s">
        <v>375</v>
      </c>
      <c r="I20" s="403">
        <v>2020</v>
      </c>
      <c r="J20" s="404">
        <v>14</v>
      </c>
      <c r="K20" s="405">
        <v>5187.5</v>
      </c>
      <c r="L20" s="405">
        <v>0</v>
      </c>
      <c r="M20" s="406" t="s">
        <v>251</v>
      </c>
      <c r="N20" s="406" t="s">
        <v>251</v>
      </c>
      <c r="O20" s="406" t="s">
        <v>376</v>
      </c>
      <c r="P20" s="407">
        <v>0.73099999999999998</v>
      </c>
      <c r="Q20" s="407">
        <v>0.70799999999999996</v>
      </c>
      <c r="R20" s="408">
        <v>72625</v>
      </c>
      <c r="S20" s="408">
        <v>0</v>
      </c>
      <c r="T20" s="409">
        <v>489685.99379819905</v>
      </c>
      <c r="U20" s="409">
        <v>149247.88758432059</v>
      </c>
      <c r="V20" s="410">
        <v>3.2810246210120804</v>
      </c>
      <c r="W20" s="409">
        <v>340438.10621387849</v>
      </c>
      <c r="X20" s="409">
        <v>489685.99379819905</v>
      </c>
      <c r="Y20" s="409">
        <v>149247.88758432059</v>
      </c>
      <c r="Z20" s="410">
        <v>3.2810246210120804</v>
      </c>
      <c r="AA20" s="409">
        <v>340438.10621387849</v>
      </c>
      <c r="AB20" s="409">
        <v>406060.64524822304</v>
      </c>
      <c r="AC20" s="409">
        <v>65778.700063897631</v>
      </c>
      <c r="AD20" s="410">
        <v>6.1731327139906149</v>
      </c>
      <c r="AE20" s="409">
        <v>340281.94518432539</v>
      </c>
      <c r="AF20" s="409">
        <v>66797.302109392564</v>
      </c>
      <c r="AG20" s="409">
        <v>204169.4768595357</v>
      </c>
      <c r="AH20" s="410">
        <v>0.32716595613039506</v>
      </c>
      <c r="AI20" s="409">
        <v>-137372.17475014314</v>
      </c>
      <c r="AJ20" s="409">
        <v>425813.90765060793</v>
      </c>
      <c r="AK20" s="409">
        <v>66523.298159154423</v>
      </c>
      <c r="AL20" s="410">
        <v>6.400974086279736</v>
      </c>
      <c r="AM20" s="409">
        <v>359290.60949145351</v>
      </c>
      <c r="AN20" s="411">
        <v>1127.4105220479878</v>
      </c>
      <c r="AO20" s="411">
        <v>6800771.2475882927</v>
      </c>
      <c r="AP20" s="409">
        <v>65778.700063897631</v>
      </c>
      <c r="AQ20" s="409">
        <v>58.344940709270574</v>
      </c>
      <c r="AR20" s="409">
        <v>9.6722412310551176E-3</v>
      </c>
    </row>
    <row r="21" spans="1:44" s="388" customFormat="1">
      <c r="A21" s="402" t="s">
        <v>231</v>
      </c>
      <c r="B21" s="402" t="s">
        <v>370</v>
      </c>
      <c r="C21" s="402" t="s">
        <v>12</v>
      </c>
      <c r="D21" s="402" t="s">
        <v>377</v>
      </c>
      <c r="E21" s="402" t="s">
        <v>383</v>
      </c>
      <c r="F21" s="402" t="s">
        <v>384</v>
      </c>
      <c r="G21" s="402" t="s">
        <v>374</v>
      </c>
      <c r="H21" s="402" t="s">
        <v>380</v>
      </c>
      <c r="I21" s="403">
        <v>2015</v>
      </c>
      <c r="J21" s="404">
        <v>0</v>
      </c>
      <c r="K21" s="405">
        <v>7833.36</v>
      </c>
      <c r="L21" s="405">
        <v>0</v>
      </c>
      <c r="M21" s="406" t="s">
        <v>251</v>
      </c>
      <c r="N21" s="406" t="s">
        <v>251</v>
      </c>
      <c r="O21" s="406" t="s">
        <v>376</v>
      </c>
      <c r="P21" s="407">
        <v>0.70099999999999996</v>
      </c>
      <c r="Q21" s="407">
        <v>0.68200000000000005</v>
      </c>
      <c r="R21" s="408">
        <v>0</v>
      </c>
      <c r="S21" s="408">
        <v>0</v>
      </c>
      <c r="T21" s="409">
        <v>0</v>
      </c>
      <c r="U21" s="409">
        <v>0</v>
      </c>
      <c r="V21" s="410" t="e">
        <v>#DIV/0!</v>
      </c>
      <c r="W21" s="409">
        <v>0</v>
      </c>
      <c r="X21" s="409">
        <v>0</v>
      </c>
      <c r="Y21" s="409">
        <v>0</v>
      </c>
      <c r="Z21" s="410" t="e">
        <v>#DIV/0!</v>
      </c>
      <c r="AA21" s="409">
        <v>0</v>
      </c>
      <c r="AB21" s="409">
        <v>0</v>
      </c>
      <c r="AC21" s="409">
        <v>0</v>
      </c>
      <c r="AD21" s="410" t="e">
        <v>#DIV/0!</v>
      </c>
      <c r="AE21" s="409">
        <v>0</v>
      </c>
      <c r="AF21" s="409">
        <v>0</v>
      </c>
      <c r="AG21" s="409">
        <v>0</v>
      </c>
      <c r="AH21" s="410" t="e">
        <v>#DIV/0!</v>
      </c>
      <c r="AI21" s="409">
        <v>0</v>
      </c>
      <c r="AJ21" s="409">
        <v>0</v>
      </c>
      <c r="AK21" s="409">
        <v>0</v>
      </c>
      <c r="AL21" s="410" t="e">
        <v>#DIV/0!</v>
      </c>
      <c r="AM21" s="409">
        <v>0</v>
      </c>
      <c r="AN21" s="411">
        <v>0</v>
      </c>
      <c r="AO21" s="411">
        <v>0</v>
      </c>
      <c r="AP21" s="409">
        <v>0</v>
      </c>
      <c r="AQ21" s="409" t="e">
        <v>#DIV/0!</v>
      </c>
      <c r="AR21" s="409" t="e">
        <v>#DIV/0!</v>
      </c>
    </row>
    <row r="22" spans="1:44" s="388" customFormat="1">
      <c r="A22" s="402" t="s">
        <v>231</v>
      </c>
      <c r="B22" s="402" t="s">
        <v>370</v>
      </c>
      <c r="C22" s="402" t="s">
        <v>12</v>
      </c>
      <c r="D22" s="402" t="s">
        <v>377</v>
      </c>
      <c r="E22" s="402" t="s">
        <v>383</v>
      </c>
      <c r="F22" s="402" t="s">
        <v>384</v>
      </c>
      <c r="G22" s="402" t="s">
        <v>374</v>
      </c>
      <c r="H22" s="402" t="s">
        <v>380</v>
      </c>
      <c r="I22" s="403">
        <v>2016</v>
      </c>
      <c r="J22" s="404">
        <v>14</v>
      </c>
      <c r="K22" s="405">
        <v>7833.36</v>
      </c>
      <c r="L22" s="405">
        <v>0</v>
      </c>
      <c r="M22" s="406" t="s">
        <v>251</v>
      </c>
      <c r="N22" s="406" t="s">
        <v>251</v>
      </c>
      <c r="O22" s="406" t="s">
        <v>376</v>
      </c>
      <c r="P22" s="407">
        <v>0.70099999999999996</v>
      </c>
      <c r="Q22" s="407">
        <v>0.68200000000000005</v>
      </c>
      <c r="R22" s="408">
        <v>109667.04</v>
      </c>
      <c r="S22" s="408">
        <v>0</v>
      </c>
      <c r="T22" s="409">
        <v>202130.72863743125</v>
      </c>
      <c r="U22" s="409">
        <v>279196.46547058818</v>
      </c>
      <c r="V22" s="410">
        <v>0.72397309291411716</v>
      </c>
      <c r="W22" s="409">
        <v>-77065.736833156931</v>
      </c>
      <c r="X22" s="409">
        <v>202130.72863743125</v>
      </c>
      <c r="Y22" s="409">
        <v>279196.46547058818</v>
      </c>
      <c r="Z22" s="410">
        <v>0.72397309291411716</v>
      </c>
      <c r="AA22" s="409">
        <v>-77065.736833156931</v>
      </c>
      <c r="AB22" s="409">
        <v>175765.85098907066</v>
      </c>
      <c r="AC22" s="409">
        <v>107516.70588235294</v>
      </c>
      <c r="AD22" s="410">
        <v>1.6347771218120968</v>
      </c>
      <c r="AE22" s="409">
        <v>68249.145106717726</v>
      </c>
      <c r="AF22" s="409">
        <v>107916.66986378445</v>
      </c>
      <c r="AG22" s="409">
        <v>398283.11764705885</v>
      </c>
      <c r="AH22" s="410">
        <v>0.27095466787878142</v>
      </c>
      <c r="AI22" s="409">
        <v>-290366.4477832744</v>
      </c>
      <c r="AJ22" s="409">
        <v>175765.85098907066</v>
      </c>
      <c r="AK22" s="409">
        <v>107797.08063333643</v>
      </c>
      <c r="AL22" s="410">
        <v>1.6305251492563591</v>
      </c>
      <c r="AM22" s="409">
        <v>67968.770355734232</v>
      </c>
      <c r="AN22" s="411">
        <v>707.62672967457036</v>
      </c>
      <c r="AO22" s="411">
        <v>2717513.7626229753</v>
      </c>
      <c r="AP22" s="409">
        <v>107516.70588235294</v>
      </c>
      <c r="AQ22" s="409">
        <v>151.93985949597845</v>
      </c>
      <c r="AR22" s="409">
        <v>3.9564364810640955E-2</v>
      </c>
    </row>
    <row r="23" spans="1:44" s="388" customFormat="1">
      <c r="A23" s="402" t="s">
        <v>231</v>
      </c>
      <c r="B23" s="402" t="s">
        <v>370</v>
      </c>
      <c r="C23" s="402" t="s">
        <v>12</v>
      </c>
      <c r="D23" s="402" t="s">
        <v>377</v>
      </c>
      <c r="E23" s="402" t="s">
        <v>383</v>
      </c>
      <c r="F23" s="402" t="s">
        <v>384</v>
      </c>
      <c r="G23" s="402" t="s">
        <v>374</v>
      </c>
      <c r="H23" s="402" t="s">
        <v>380</v>
      </c>
      <c r="I23" s="403">
        <v>2017</v>
      </c>
      <c r="J23" s="404">
        <v>16</v>
      </c>
      <c r="K23" s="405">
        <v>7833.36</v>
      </c>
      <c r="L23" s="405">
        <v>0</v>
      </c>
      <c r="M23" s="406" t="s">
        <v>251</v>
      </c>
      <c r="N23" s="406" t="s">
        <v>251</v>
      </c>
      <c r="O23" s="406" t="s">
        <v>376</v>
      </c>
      <c r="P23" s="407">
        <v>0.70099999999999996</v>
      </c>
      <c r="Q23" s="407">
        <v>0.68200000000000005</v>
      </c>
      <c r="R23" s="408">
        <v>125333.75999999999</v>
      </c>
      <c r="S23" s="408">
        <v>0</v>
      </c>
      <c r="T23" s="409">
        <v>242019.76990305682</v>
      </c>
      <c r="U23" s="409">
        <v>312825.17139561707</v>
      </c>
      <c r="V23" s="410">
        <v>0.77365823480037166</v>
      </c>
      <c r="W23" s="409">
        <v>-70805.401492560253</v>
      </c>
      <c r="X23" s="409">
        <v>242019.76990305682</v>
      </c>
      <c r="Y23" s="409">
        <v>312825.17139561707</v>
      </c>
      <c r="Z23" s="410">
        <v>0.77365823480037166</v>
      </c>
      <c r="AA23" s="409">
        <v>-70805.401492560253</v>
      </c>
      <c r="AB23" s="409">
        <v>210451.97382874507</v>
      </c>
      <c r="AC23" s="409">
        <v>120466.89734717416</v>
      </c>
      <c r="AD23" s="410">
        <v>1.746969320727523</v>
      </c>
      <c r="AE23" s="409">
        <v>89985.076481570912</v>
      </c>
      <c r="AF23" s="409">
        <v>120923.68872809189</v>
      </c>
      <c r="AG23" s="409">
        <v>446255.59400230681</v>
      </c>
      <c r="AH23" s="410">
        <v>0.27097405691561327</v>
      </c>
      <c r="AI23" s="409">
        <v>-325331.90527421492</v>
      </c>
      <c r="AJ23" s="409">
        <v>210451.97382874507</v>
      </c>
      <c r="AK23" s="409">
        <v>120787.10810519749</v>
      </c>
      <c r="AL23" s="410">
        <v>1.7423380452610513</v>
      </c>
      <c r="AM23" s="409">
        <v>89664.865723547584</v>
      </c>
      <c r="AN23" s="411">
        <v>792.85908086786583</v>
      </c>
      <c r="AO23" s="411">
        <v>3044833.3474767217</v>
      </c>
      <c r="AP23" s="409">
        <v>120466.89734717416</v>
      </c>
      <c r="AQ23" s="409">
        <v>151.93985949597845</v>
      </c>
      <c r="AR23" s="409">
        <v>3.9564364810640969E-2</v>
      </c>
    </row>
    <row r="24" spans="1:44" s="388" customFormat="1">
      <c r="A24" s="402" t="s">
        <v>231</v>
      </c>
      <c r="B24" s="402" t="s">
        <v>370</v>
      </c>
      <c r="C24" s="402" t="s">
        <v>12</v>
      </c>
      <c r="D24" s="402" t="s">
        <v>377</v>
      </c>
      <c r="E24" s="402" t="s">
        <v>383</v>
      </c>
      <c r="F24" s="402" t="s">
        <v>384</v>
      </c>
      <c r="G24" s="402" t="s">
        <v>374</v>
      </c>
      <c r="H24" s="402" t="s">
        <v>380</v>
      </c>
      <c r="I24" s="403">
        <v>2018</v>
      </c>
      <c r="J24" s="404">
        <v>18</v>
      </c>
      <c r="K24" s="405">
        <v>7833.36</v>
      </c>
      <c r="L24" s="405">
        <v>0</v>
      </c>
      <c r="M24" s="406" t="s">
        <v>251</v>
      </c>
      <c r="N24" s="406" t="s">
        <v>251</v>
      </c>
      <c r="O24" s="406" t="s">
        <v>376</v>
      </c>
      <c r="P24" s="407">
        <v>0.70099999999999996</v>
      </c>
      <c r="Q24" s="407">
        <v>0.68200000000000005</v>
      </c>
      <c r="R24" s="408">
        <v>141000.47999999998</v>
      </c>
      <c r="S24" s="408">
        <v>0</v>
      </c>
      <c r="T24" s="409">
        <v>273657.40546241327</v>
      </c>
      <c r="U24" s="409">
        <v>345027.76256869535</v>
      </c>
      <c r="V24" s="410">
        <v>0.79314604548069612</v>
      </c>
      <c r="W24" s="409">
        <v>-71370.357106282085</v>
      </c>
      <c r="X24" s="409">
        <v>273657.40546241327</v>
      </c>
      <c r="Y24" s="409">
        <v>345027.76256869535</v>
      </c>
      <c r="Z24" s="410">
        <v>0.79314604548069612</v>
      </c>
      <c r="AA24" s="409">
        <v>-71370.357106282085</v>
      </c>
      <c r="AB24" s="409">
        <v>237962.96127166372</v>
      </c>
      <c r="AC24" s="409">
        <v>132867.90148585389</v>
      </c>
      <c r="AD24" s="410">
        <v>1.7909740321818739</v>
      </c>
      <c r="AE24" s="409">
        <v>105095.05978580983</v>
      </c>
      <c r="AF24" s="409">
        <v>133381.19248421717</v>
      </c>
      <c r="AG24" s="409">
        <v>492193.66985548555</v>
      </c>
      <c r="AH24" s="410">
        <v>0.27099331148118916</v>
      </c>
      <c r="AI24" s="409">
        <v>-358812.47737126838</v>
      </c>
      <c r="AJ24" s="409">
        <v>237962.96127166372</v>
      </c>
      <c r="AK24" s="409">
        <v>133227.71847570656</v>
      </c>
      <c r="AL24" s="410">
        <v>1.7861370290977034</v>
      </c>
      <c r="AM24" s="409">
        <v>104735.24279595717</v>
      </c>
      <c r="AN24" s="411">
        <v>874.47692742779316</v>
      </c>
      <c r="AO24" s="411">
        <v>3358272.0744228549</v>
      </c>
      <c r="AP24" s="409">
        <v>132867.90148585389</v>
      </c>
      <c r="AQ24" s="409">
        <v>151.93985949597851</v>
      </c>
      <c r="AR24" s="409">
        <v>3.9564364810640983E-2</v>
      </c>
    </row>
    <row r="25" spans="1:44" s="388" customFormat="1">
      <c r="A25" s="402" t="s">
        <v>231</v>
      </c>
      <c r="B25" s="402" t="s">
        <v>370</v>
      </c>
      <c r="C25" s="402" t="s">
        <v>12</v>
      </c>
      <c r="D25" s="402" t="s">
        <v>377</v>
      </c>
      <c r="E25" s="402" t="s">
        <v>383</v>
      </c>
      <c r="F25" s="402" t="s">
        <v>384</v>
      </c>
      <c r="G25" s="402" t="s">
        <v>374</v>
      </c>
      <c r="H25" s="402" t="s">
        <v>380</v>
      </c>
      <c r="I25" s="403">
        <v>2019</v>
      </c>
      <c r="J25" s="404">
        <v>20</v>
      </c>
      <c r="K25" s="405">
        <v>7833.36</v>
      </c>
      <c r="L25" s="405">
        <v>0</v>
      </c>
      <c r="M25" s="406" t="s">
        <v>251</v>
      </c>
      <c r="N25" s="406" t="s">
        <v>251</v>
      </c>
      <c r="O25" s="406" t="s">
        <v>376</v>
      </c>
      <c r="P25" s="407">
        <v>0.70099999999999996</v>
      </c>
      <c r="Q25" s="407">
        <v>0.68200000000000005</v>
      </c>
      <c r="R25" s="408">
        <v>156667.19999999998</v>
      </c>
      <c r="S25" s="408">
        <v>0</v>
      </c>
      <c r="T25" s="409">
        <v>306250.41781334911</v>
      </c>
      <c r="U25" s="409">
        <v>375847.23591361142</v>
      </c>
      <c r="V25" s="410">
        <v>0.8148268459894723</v>
      </c>
      <c r="W25" s="409">
        <v>-69596.818100262317</v>
      </c>
      <c r="X25" s="409">
        <v>306250.41781334911</v>
      </c>
      <c r="Y25" s="409">
        <v>375847.23591361142</v>
      </c>
      <c r="Z25" s="410">
        <v>0.8148268459894723</v>
      </c>
      <c r="AA25" s="409">
        <v>-69596.818100262317</v>
      </c>
      <c r="AB25" s="409">
        <v>266304.71114204271</v>
      </c>
      <c r="AC25" s="409">
        <v>144736.27612838111</v>
      </c>
      <c r="AD25" s="410">
        <v>1.839930653638141</v>
      </c>
      <c r="AE25" s="409">
        <v>121568.4350136616</v>
      </c>
      <c r="AF25" s="409">
        <v>145305.65801764579</v>
      </c>
      <c r="AG25" s="409">
        <v>536158.68175978807</v>
      </c>
      <c r="AH25" s="410">
        <v>0.27101241285643529</v>
      </c>
      <c r="AI25" s="409">
        <v>-390853.02374214225</v>
      </c>
      <c r="AJ25" s="409">
        <v>266304.71114204271</v>
      </c>
      <c r="AK25" s="409">
        <v>145135.41283275565</v>
      </c>
      <c r="AL25" s="410">
        <v>1.8348706628127653</v>
      </c>
      <c r="AM25" s="409">
        <v>121169.29830928706</v>
      </c>
      <c r="AN25" s="411">
        <v>952.58924556404486</v>
      </c>
      <c r="AO25" s="411">
        <v>3658248.4470837191</v>
      </c>
      <c r="AP25" s="409">
        <v>144736.27612838111</v>
      </c>
      <c r="AQ25" s="409">
        <v>151.93985949597848</v>
      </c>
      <c r="AR25" s="409">
        <v>3.9564364810640983E-2</v>
      </c>
    </row>
    <row r="26" spans="1:44" s="388" customFormat="1">
      <c r="A26" s="402" t="s">
        <v>231</v>
      </c>
      <c r="B26" s="402" t="s">
        <v>370</v>
      </c>
      <c r="C26" s="402" t="s">
        <v>12</v>
      </c>
      <c r="D26" s="402" t="s">
        <v>377</v>
      </c>
      <c r="E26" s="402" t="s">
        <v>383</v>
      </c>
      <c r="F26" s="402" t="s">
        <v>384</v>
      </c>
      <c r="G26" s="402" t="s">
        <v>374</v>
      </c>
      <c r="H26" s="402" t="s">
        <v>380</v>
      </c>
      <c r="I26" s="403">
        <v>2020</v>
      </c>
      <c r="J26" s="404">
        <v>22</v>
      </c>
      <c r="K26" s="405">
        <v>7833.36</v>
      </c>
      <c r="L26" s="405">
        <v>0</v>
      </c>
      <c r="M26" s="406" t="s">
        <v>251</v>
      </c>
      <c r="N26" s="406" t="s">
        <v>251</v>
      </c>
      <c r="O26" s="406" t="s">
        <v>376</v>
      </c>
      <c r="P26" s="407">
        <v>0.70099999999999996</v>
      </c>
      <c r="Q26" s="407">
        <v>0.68200000000000005</v>
      </c>
      <c r="R26" s="408">
        <v>172333.91999999998</v>
      </c>
      <c r="S26" s="408">
        <v>0</v>
      </c>
      <c r="T26" s="409">
        <v>337802.51488070661</v>
      </c>
      <c r="U26" s="409">
        <v>405325.45049507107</v>
      </c>
      <c r="V26" s="410">
        <v>0.8334105703653919</v>
      </c>
      <c r="W26" s="409">
        <v>-67522.935614364455</v>
      </c>
      <c r="X26" s="409">
        <v>337802.51488070661</v>
      </c>
      <c r="Y26" s="409">
        <v>405325.45049507107</v>
      </c>
      <c r="Z26" s="410">
        <v>0.8334105703653919</v>
      </c>
      <c r="AA26" s="409">
        <v>-67522.935614364455</v>
      </c>
      <c r="AB26" s="409">
        <v>293741.31728757103</v>
      </c>
      <c r="AC26" s="409">
        <v>156088.14092276394</v>
      </c>
      <c r="AD26" s="410">
        <v>1.8818938809254004</v>
      </c>
      <c r="AE26" s="409">
        <v>137653.17636480709</v>
      </c>
      <c r="AF26" s="409">
        <v>156712.50284313437</v>
      </c>
      <c r="AG26" s="409">
        <v>578210.34307428123</v>
      </c>
      <c r="AH26" s="410">
        <v>0.2710302655775943</v>
      </c>
      <c r="AI26" s="409">
        <v>-421497.8402311469</v>
      </c>
      <c r="AJ26" s="409">
        <v>293741.31728757103</v>
      </c>
      <c r="AK26" s="409">
        <v>156525.81862894358</v>
      </c>
      <c r="AL26" s="410">
        <v>1.8766317267051469</v>
      </c>
      <c r="AM26" s="409">
        <v>137215.49865862745</v>
      </c>
      <c r="AN26" s="411">
        <v>1027.302127569068</v>
      </c>
      <c r="AO26" s="411">
        <v>3945169.8939138162</v>
      </c>
      <c r="AP26" s="409">
        <v>156088.14092276394</v>
      </c>
      <c r="AQ26" s="409">
        <v>151.93985949597845</v>
      </c>
      <c r="AR26" s="409">
        <v>3.9564364810640962E-2</v>
      </c>
    </row>
    <row r="27" spans="1:44" s="388" customFormat="1">
      <c r="A27" s="402" t="s">
        <v>231</v>
      </c>
      <c r="B27" s="402" t="s">
        <v>370</v>
      </c>
      <c r="C27" s="402" t="s">
        <v>12</v>
      </c>
      <c r="D27" s="402" t="s">
        <v>371</v>
      </c>
      <c r="E27" s="402" t="s">
        <v>385</v>
      </c>
      <c r="F27" s="402" t="s">
        <v>386</v>
      </c>
      <c r="G27" s="402" t="s">
        <v>374</v>
      </c>
      <c r="H27" s="402" t="s">
        <v>375</v>
      </c>
      <c r="I27" s="403">
        <v>2015</v>
      </c>
      <c r="J27" s="404">
        <v>0</v>
      </c>
      <c r="K27" s="405">
        <v>4690.04</v>
      </c>
      <c r="L27" s="405">
        <v>0</v>
      </c>
      <c r="M27" s="406" t="s">
        <v>251</v>
      </c>
      <c r="N27" s="406" t="s">
        <v>251</v>
      </c>
      <c r="O27" s="406" t="s">
        <v>376</v>
      </c>
      <c r="P27" s="407">
        <v>0.68</v>
      </c>
      <c r="Q27" s="407">
        <v>0.73099999999999998</v>
      </c>
      <c r="R27" s="408">
        <v>0</v>
      </c>
      <c r="S27" s="408">
        <v>0</v>
      </c>
      <c r="T27" s="409">
        <v>0</v>
      </c>
      <c r="U27" s="409">
        <v>0</v>
      </c>
      <c r="V27" s="410" t="e">
        <v>#DIV/0!</v>
      </c>
      <c r="W27" s="409">
        <v>0</v>
      </c>
      <c r="X27" s="409">
        <v>0</v>
      </c>
      <c r="Y27" s="409">
        <v>0</v>
      </c>
      <c r="Z27" s="410" t="e">
        <v>#DIV/0!</v>
      </c>
      <c r="AA27" s="409">
        <v>0</v>
      </c>
      <c r="AB27" s="409">
        <v>0</v>
      </c>
      <c r="AC27" s="409">
        <v>0</v>
      </c>
      <c r="AD27" s="410" t="e">
        <v>#DIV/0!</v>
      </c>
      <c r="AE27" s="409">
        <v>0</v>
      </c>
      <c r="AF27" s="409">
        <v>0</v>
      </c>
      <c r="AG27" s="409">
        <v>0</v>
      </c>
      <c r="AH27" s="410" t="e">
        <v>#DIV/0!</v>
      </c>
      <c r="AI27" s="409">
        <v>0</v>
      </c>
      <c r="AJ27" s="409">
        <v>0</v>
      </c>
      <c r="AK27" s="409">
        <v>0</v>
      </c>
      <c r="AL27" s="410" t="e">
        <v>#DIV/0!</v>
      </c>
      <c r="AM27" s="409">
        <v>0</v>
      </c>
      <c r="AN27" s="411">
        <v>0</v>
      </c>
      <c r="AO27" s="411">
        <v>0</v>
      </c>
      <c r="AP27" s="409">
        <v>0</v>
      </c>
      <c r="AQ27" s="409" t="e">
        <v>#DIV/0!</v>
      </c>
      <c r="AR27" s="409" t="e">
        <v>#DIV/0!</v>
      </c>
    </row>
    <row r="28" spans="1:44" s="388" customFormat="1">
      <c r="A28" s="402" t="s">
        <v>231</v>
      </c>
      <c r="B28" s="402" t="s">
        <v>370</v>
      </c>
      <c r="C28" s="402" t="s">
        <v>12</v>
      </c>
      <c r="D28" s="402" t="s">
        <v>371</v>
      </c>
      <c r="E28" s="402" t="s">
        <v>385</v>
      </c>
      <c r="F28" s="402" t="s">
        <v>386</v>
      </c>
      <c r="G28" s="402" t="s">
        <v>374</v>
      </c>
      <c r="H28" s="402" t="s">
        <v>375</v>
      </c>
      <c r="I28" s="403">
        <v>2016</v>
      </c>
      <c r="J28" s="404">
        <v>22</v>
      </c>
      <c r="K28" s="405">
        <v>4690.04</v>
      </c>
      <c r="L28" s="405">
        <v>0</v>
      </c>
      <c r="M28" s="406" t="s">
        <v>251</v>
      </c>
      <c r="N28" s="406" t="s">
        <v>251</v>
      </c>
      <c r="O28" s="406" t="s">
        <v>376</v>
      </c>
      <c r="P28" s="407">
        <v>0.68</v>
      </c>
      <c r="Q28" s="407">
        <v>0.73099999999999998</v>
      </c>
      <c r="R28" s="408">
        <v>103180.88</v>
      </c>
      <c r="S28" s="408">
        <v>0</v>
      </c>
      <c r="T28" s="409">
        <v>394013.43008437561</v>
      </c>
      <c r="U28" s="409">
        <v>734963.38666666672</v>
      </c>
      <c r="V28" s="410">
        <v>0.53609939927943018</v>
      </c>
      <c r="W28" s="409">
        <v>-340949.95658229111</v>
      </c>
      <c r="X28" s="409">
        <v>394013.43008437561</v>
      </c>
      <c r="Y28" s="409">
        <v>734963.38666666672</v>
      </c>
      <c r="Z28" s="410">
        <v>0.53609939927943018</v>
      </c>
      <c r="AA28" s="409">
        <v>-340949.95658229111</v>
      </c>
      <c r="AB28" s="409">
        <v>310506.00046196498</v>
      </c>
      <c r="AC28" s="409">
        <v>101157.72549019608</v>
      </c>
      <c r="AD28" s="410">
        <v>3.0695233503649537</v>
      </c>
      <c r="AE28" s="409">
        <v>209348.2749717689</v>
      </c>
      <c r="AF28" s="409">
        <v>102230.48447000018</v>
      </c>
      <c r="AG28" s="409">
        <v>1080828.5098039214</v>
      </c>
      <c r="AH28" s="410">
        <v>9.4585295949073667E-2</v>
      </c>
      <c r="AI28" s="409">
        <v>-978598.02533392131</v>
      </c>
      <c r="AJ28" s="409">
        <v>342620.37398641359</v>
      </c>
      <c r="AK28" s="409">
        <v>101887.20159646287</v>
      </c>
      <c r="AL28" s="410">
        <v>3.3627420188004069</v>
      </c>
      <c r="AM28" s="409">
        <v>240733.17238995072</v>
      </c>
      <c r="AN28" s="411">
        <v>732.25631525972699</v>
      </c>
      <c r="AO28" s="411">
        <v>7608387.2009869814</v>
      </c>
      <c r="AP28" s="409">
        <v>101157.72549019608</v>
      </c>
      <c r="AQ28" s="409">
        <v>138.14524147096776</v>
      </c>
      <c r="AR28" s="409">
        <v>1.3295554342590979E-2</v>
      </c>
    </row>
    <row r="29" spans="1:44" s="388" customFormat="1">
      <c r="A29" s="402" t="s">
        <v>231</v>
      </c>
      <c r="B29" s="402" t="s">
        <v>370</v>
      </c>
      <c r="C29" s="402" t="s">
        <v>12</v>
      </c>
      <c r="D29" s="402" t="s">
        <v>371</v>
      </c>
      <c r="E29" s="402" t="s">
        <v>385</v>
      </c>
      <c r="F29" s="402" t="s">
        <v>386</v>
      </c>
      <c r="G29" s="402" t="s">
        <v>374</v>
      </c>
      <c r="H29" s="402" t="s">
        <v>375</v>
      </c>
      <c r="I29" s="403">
        <v>2017</v>
      </c>
      <c r="J29" s="404">
        <v>24</v>
      </c>
      <c r="K29" s="405">
        <v>4690.04</v>
      </c>
      <c r="L29" s="405">
        <v>0</v>
      </c>
      <c r="M29" s="406" t="s">
        <v>251</v>
      </c>
      <c r="N29" s="406" t="s">
        <v>251</v>
      </c>
      <c r="O29" s="406" t="s">
        <v>376</v>
      </c>
      <c r="P29" s="407">
        <v>0.68</v>
      </c>
      <c r="Q29" s="407">
        <v>0.73099999999999998</v>
      </c>
      <c r="R29" s="408">
        <v>112560.95999999999</v>
      </c>
      <c r="S29" s="408">
        <v>0</v>
      </c>
      <c r="T29" s="409">
        <v>447312.42339687783</v>
      </c>
      <c r="U29" s="409">
        <v>786057.09803921578</v>
      </c>
      <c r="V29" s="410">
        <v>0.56905843673783829</v>
      </c>
      <c r="W29" s="409">
        <v>-338744.67464233795</v>
      </c>
      <c r="X29" s="409">
        <v>447312.42339687783</v>
      </c>
      <c r="Y29" s="409">
        <v>786057.09803921578</v>
      </c>
      <c r="Z29" s="410">
        <v>0.56905843673783829</v>
      </c>
      <c r="AA29" s="409">
        <v>-338744.67464233795</v>
      </c>
      <c r="AB29" s="409">
        <v>353933.46266626602</v>
      </c>
      <c r="AC29" s="409">
        <v>108190.08073817762</v>
      </c>
      <c r="AD29" s="410">
        <v>3.2714039979579348</v>
      </c>
      <c r="AE29" s="409">
        <v>245743.38192808838</v>
      </c>
      <c r="AF29" s="409">
        <v>109358.70095687181</v>
      </c>
      <c r="AG29" s="409">
        <v>1155966.3206459056</v>
      </c>
      <c r="AH29" s="410">
        <v>9.4603708606118164E-2</v>
      </c>
      <c r="AI29" s="409">
        <v>-1046607.6196890337</v>
      </c>
      <c r="AJ29" s="409">
        <v>388967.32469293725</v>
      </c>
      <c r="AK29" s="409">
        <v>108984.74248688968</v>
      </c>
      <c r="AL29" s="410">
        <v>3.5690071455619403</v>
      </c>
      <c r="AM29" s="409">
        <v>279982.58220604761</v>
      </c>
      <c r="AN29" s="411">
        <v>783.16183450238168</v>
      </c>
      <c r="AO29" s="411">
        <v>8137312.5144245792</v>
      </c>
      <c r="AP29" s="409">
        <v>108190.08073817762</v>
      </c>
      <c r="AQ29" s="409">
        <v>138.14524147096779</v>
      </c>
      <c r="AR29" s="409">
        <v>1.3295554342590978E-2</v>
      </c>
    </row>
    <row r="30" spans="1:44" s="388" customFormat="1">
      <c r="A30" s="402" t="s">
        <v>231</v>
      </c>
      <c r="B30" s="402" t="s">
        <v>370</v>
      </c>
      <c r="C30" s="402" t="s">
        <v>12</v>
      </c>
      <c r="D30" s="402" t="s">
        <v>371</v>
      </c>
      <c r="E30" s="402" t="s">
        <v>385</v>
      </c>
      <c r="F30" s="402" t="s">
        <v>386</v>
      </c>
      <c r="G30" s="402" t="s">
        <v>374</v>
      </c>
      <c r="H30" s="402" t="s">
        <v>375</v>
      </c>
      <c r="I30" s="403">
        <v>2018</v>
      </c>
      <c r="J30" s="404">
        <v>26</v>
      </c>
      <c r="K30" s="405">
        <v>4690.04</v>
      </c>
      <c r="L30" s="405">
        <v>0</v>
      </c>
      <c r="M30" s="406" t="s">
        <v>251</v>
      </c>
      <c r="N30" s="406" t="s">
        <v>251</v>
      </c>
      <c r="O30" s="406" t="s">
        <v>376</v>
      </c>
      <c r="P30" s="407">
        <v>0.68</v>
      </c>
      <c r="Q30" s="407">
        <v>0.73099999999999998</v>
      </c>
      <c r="R30" s="408">
        <v>121941.04</v>
      </c>
      <c r="S30" s="408">
        <v>0</v>
      </c>
      <c r="T30" s="409">
        <v>490579.01755866368</v>
      </c>
      <c r="U30" s="409">
        <v>834864.56491093186</v>
      </c>
      <c r="V30" s="410">
        <v>0.58761509133041412</v>
      </c>
      <c r="W30" s="409">
        <v>-344285.54735226819</v>
      </c>
      <c r="X30" s="409">
        <v>490579.01755866368</v>
      </c>
      <c r="Y30" s="409">
        <v>834864.56491093186</v>
      </c>
      <c r="Z30" s="410">
        <v>0.58761509133041412</v>
      </c>
      <c r="AA30" s="409">
        <v>-344285.54735226819</v>
      </c>
      <c r="AB30" s="409">
        <v>388637.09952211805</v>
      </c>
      <c r="AC30" s="409">
        <v>114907.76548989455</v>
      </c>
      <c r="AD30" s="410">
        <v>3.3821656688319846</v>
      </c>
      <c r="AE30" s="409">
        <v>273729.3340322235</v>
      </c>
      <c r="AF30" s="409">
        <v>116171.65661089856</v>
      </c>
      <c r="AG30" s="409">
        <v>1227742.0072219586</v>
      </c>
      <c r="AH30" s="410">
        <v>9.4622205583535388E-2</v>
      </c>
      <c r="AI30" s="409">
        <v>-1111570.3506110599</v>
      </c>
      <c r="AJ30" s="409">
        <v>426590.45005101187</v>
      </c>
      <c r="AK30" s="409">
        <v>115767.21145217727</v>
      </c>
      <c r="AL30" s="410">
        <v>3.6848987265036937</v>
      </c>
      <c r="AM30" s="409">
        <v>310823.23859883461</v>
      </c>
      <c r="AN30" s="411">
        <v>831.78953010873886</v>
      </c>
      <c r="AO30" s="411">
        <v>8642570.4810064975</v>
      </c>
      <c r="AP30" s="409">
        <v>114907.76548989455</v>
      </c>
      <c r="AQ30" s="409">
        <v>138.14524147096776</v>
      </c>
      <c r="AR30" s="409">
        <v>1.3295554342590979E-2</v>
      </c>
    </row>
    <row r="31" spans="1:44" s="388" customFormat="1">
      <c r="A31" s="402" t="s">
        <v>231</v>
      </c>
      <c r="B31" s="402" t="s">
        <v>370</v>
      </c>
      <c r="C31" s="402" t="s">
        <v>12</v>
      </c>
      <c r="D31" s="402" t="s">
        <v>371</v>
      </c>
      <c r="E31" s="402" t="s">
        <v>385</v>
      </c>
      <c r="F31" s="402" t="s">
        <v>386</v>
      </c>
      <c r="G31" s="402" t="s">
        <v>374</v>
      </c>
      <c r="H31" s="402" t="s">
        <v>375</v>
      </c>
      <c r="I31" s="403">
        <v>2019</v>
      </c>
      <c r="J31" s="404">
        <v>28</v>
      </c>
      <c r="K31" s="405">
        <v>4690.04</v>
      </c>
      <c r="L31" s="405">
        <v>0</v>
      </c>
      <c r="M31" s="406" t="s">
        <v>251</v>
      </c>
      <c r="N31" s="406" t="s">
        <v>251</v>
      </c>
      <c r="O31" s="406" t="s">
        <v>376</v>
      </c>
      <c r="P31" s="407">
        <v>0.68</v>
      </c>
      <c r="Q31" s="407">
        <v>0.73099999999999998</v>
      </c>
      <c r="R31" s="408">
        <v>131321.12</v>
      </c>
      <c r="S31" s="408">
        <v>0</v>
      </c>
      <c r="T31" s="409">
        <v>536245.07923313766</v>
      </c>
      <c r="U31" s="409">
        <v>881455.8000567907</v>
      </c>
      <c r="V31" s="410">
        <v>0.60836298223755325</v>
      </c>
      <c r="W31" s="409">
        <v>-345210.72082365304</v>
      </c>
      <c r="X31" s="409">
        <v>536245.07923313766</v>
      </c>
      <c r="Y31" s="409">
        <v>881455.8000567907</v>
      </c>
      <c r="Z31" s="410">
        <v>0.60836298223755325</v>
      </c>
      <c r="AA31" s="409">
        <v>-345210.72082365304</v>
      </c>
      <c r="AB31" s="409">
        <v>425427.22986726416</v>
      </c>
      <c r="AC31" s="409">
        <v>121320.41605267901</v>
      </c>
      <c r="AD31" s="410">
        <v>3.5066416989745384</v>
      </c>
      <c r="AE31" s="409">
        <v>304106.81381458516</v>
      </c>
      <c r="AF31" s="409">
        <v>122678.3107108573</v>
      </c>
      <c r="AG31" s="409">
        <v>1296258.5294952802</v>
      </c>
      <c r="AH31" s="410">
        <v>9.4640311264624147E-2</v>
      </c>
      <c r="AI31" s="409">
        <v>-1173580.2187844228</v>
      </c>
      <c r="AJ31" s="409">
        <v>466300.06889838062</v>
      </c>
      <c r="AK31" s="409">
        <v>122243.78442024023</v>
      </c>
      <c r="AL31" s="410">
        <v>3.8145094338324008</v>
      </c>
      <c r="AM31" s="409">
        <v>344056.28447814041</v>
      </c>
      <c r="AN31" s="411">
        <v>878.20915697755242</v>
      </c>
      <c r="AO31" s="411">
        <v>9124885.8773824275</v>
      </c>
      <c r="AP31" s="409">
        <v>121320.41605267901</v>
      </c>
      <c r="AQ31" s="409">
        <v>138.14524147096776</v>
      </c>
      <c r="AR31" s="409">
        <v>1.3295554342590978E-2</v>
      </c>
    </row>
    <row r="32" spans="1:44" s="388" customFormat="1">
      <c r="A32" s="402" t="s">
        <v>231</v>
      </c>
      <c r="B32" s="402" t="s">
        <v>370</v>
      </c>
      <c r="C32" s="402" t="s">
        <v>12</v>
      </c>
      <c r="D32" s="402" t="s">
        <v>371</v>
      </c>
      <c r="E32" s="402" t="s">
        <v>385</v>
      </c>
      <c r="F32" s="402" t="s">
        <v>386</v>
      </c>
      <c r="G32" s="402" t="s">
        <v>374</v>
      </c>
      <c r="H32" s="402" t="s">
        <v>375</v>
      </c>
      <c r="I32" s="403">
        <v>2020</v>
      </c>
      <c r="J32" s="404">
        <v>30</v>
      </c>
      <c r="K32" s="405">
        <v>4690.04</v>
      </c>
      <c r="L32" s="405">
        <v>0</v>
      </c>
      <c r="M32" s="406" t="s">
        <v>251</v>
      </c>
      <c r="N32" s="406" t="s">
        <v>251</v>
      </c>
      <c r="O32" s="406" t="s">
        <v>376</v>
      </c>
      <c r="P32" s="407">
        <v>0.68</v>
      </c>
      <c r="Q32" s="407">
        <v>0.73099999999999998</v>
      </c>
      <c r="R32" s="408">
        <v>140701.20000000001</v>
      </c>
      <c r="S32" s="408">
        <v>0</v>
      </c>
      <c r="T32" s="409">
        <v>579457.15381571627</v>
      </c>
      <c r="U32" s="409">
        <v>925898.94963948592</v>
      </c>
      <c r="V32" s="410">
        <v>0.62583195935294833</v>
      </c>
      <c r="W32" s="409">
        <v>-346441.79582376964</v>
      </c>
      <c r="X32" s="409">
        <v>579457.15381571627</v>
      </c>
      <c r="Y32" s="409">
        <v>925898.94963948592</v>
      </c>
      <c r="Z32" s="410">
        <v>0.62583195935294833</v>
      </c>
      <c r="AA32" s="409">
        <v>-346441.79582376964</v>
      </c>
      <c r="AB32" s="409">
        <v>460083.45839337085</v>
      </c>
      <c r="AC32" s="409">
        <v>127437.41182004096</v>
      </c>
      <c r="AD32" s="410">
        <v>3.610269949950581</v>
      </c>
      <c r="AE32" s="409">
        <v>332646.04657332989</v>
      </c>
      <c r="AF32" s="409">
        <v>128885.77777370527</v>
      </c>
      <c r="AG32" s="409">
        <v>1361616.1024110084</v>
      </c>
      <c r="AH32" s="410">
        <v>9.4656472955547244E-2</v>
      </c>
      <c r="AI32" s="409">
        <v>-1232730.3246373031</v>
      </c>
      <c r="AJ32" s="409">
        <v>503875.78592670982</v>
      </c>
      <c r="AK32" s="409">
        <v>128422.3006685327</v>
      </c>
      <c r="AL32" s="410">
        <v>3.9235847925451037</v>
      </c>
      <c r="AM32" s="409">
        <v>375453.48525817716</v>
      </c>
      <c r="AN32" s="411">
        <v>922.4886102705384</v>
      </c>
      <c r="AO32" s="411">
        <v>9584964.1569143161</v>
      </c>
      <c r="AP32" s="409">
        <v>127437.41182004096</v>
      </c>
      <c r="AQ32" s="409">
        <v>138.1452414709677</v>
      </c>
      <c r="AR32" s="409">
        <v>1.3295554342590972E-2</v>
      </c>
    </row>
    <row r="33" spans="1:44" s="388" customFormat="1">
      <c r="A33" s="402" t="s">
        <v>231</v>
      </c>
      <c r="B33" s="402" t="s">
        <v>370</v>
      </c>
      <c r="C33" s="402" t="s">
        <v>12</v>
      </c>
      <c r="D33" s="402" t="s">
        <v>377</v>
      </c>
      <c r="E33" s="402" t="s">
        <v>387</v>
      </c>
      <c r="F33" s="402" t="s">
        <v>388</v>
      </c>
      <c r="G33" s="402" t="s">
        <v>374</v>
      </c>
      <c r="H33" s="402" t="s">
        <v>380</v>
      </c>
      <c r="I33" s="403">
        <v>2015</v>
      </c>
      <c r="J33" s="404">
        <v>0</v>
      </c>
      <c r="K33" s="405">
        <v>17310.060000000001</v>
      </c>
      <c r="L33" s="405">
        <v>0</v>
      </c>
      <c r="M33" s="406" t="s">
        <v>251</v>
      </c>
      <c r="N33" s="406" t="s">
        <v>251</v>
      </c>
      <c r="O33" s="406" t="s">
        <v>376</v>
      </c>
      <c r="P33" s="407">
        <v>0.65600000000000003</v>
      </c>
      <c r="Q33" s="407">
        <v>0.65</v>
      </c>
      <c r="R33" s="408">
        <v>0</v>
      </c>
      <c r="S33" s="408">
        <v>0</v>
      </c>
      <c r="T33" s="409">
        <v>0</v>
      </c>
      <c r="U33" s="409">
        <v>0</v>
      </c>
      <c r="V33" s="410" t="e">
        <v>#DIV/0!</v>
      </c>
      <c r="W33" s="409">
        <v>0</v>
      </c>
      <c r="X33" s="409">
        <v>0</v>
      </c>
      <c r="Y33" s="409">
        <v>0</v>
      </c>
      <c r="Z33" s="410" t="e">
        <v>#DIV/0!</v>
      </c>
      <c r="AA33" s="409">
        <v>0</v>
      </c>
      <c r="AB33" s="409">
        <v>0</v>
      </c>
      <c r="AC33" s="409">
        <v>0</v>
      </c>
      <c r="AD33" s="410" t="e">
        <v>#DIV/0!</v>
      </c>
      <c r="AE33" s="409">
        <v>0</v>
      </c>
      <c r="AF33" s="409">
        <v>0</v>
      </c>
      <c r="AG33" s="409">
        <v>0</v>
      </c>
      <c r="AH33" s="410" t="e">
        <v>#DIV/0!</v>
      </c>
      <c r="AI33" s="409">
        <v>0</v>
      </c>
      <c r="AJ33" s="409">
        <v>0</v>
      </c>
      <c r="AK33" s="409">
        <v>0</v>
      </c>
      <c r="AL33" s="410" t="e">
        <v>#DIV/0!</v>
      </c>
      <c r="AM33" s="409">
        <v>0</v>
      </c>
      <c r="AN33" s="411">
        <v>0</v>
      </c>
      <c r="AO33" s="411">
        <v>0</v>
      </c>
      <c r="AP33" s="409">
        <v>0</v>
      </c>
      <c r="AQ33" s="409" t="e">
        <v>#DIV/0!</v>
      </c>
      <c r="AR33" s="409" t="e">
        <v>#DIV/0!</v>
      </c>
    </row>
    <row r="34" spans="1:44" s="388" customFormat="1">
      <c r="A34" s="402" t="s">
        <v>231</v>
      </c>
      <c r="B34" s="402" t="s">
        <v>370</v>
      </c>
      <c r="C34" s="402" t="s">
        <v>12</v>
      </c>
      <c r="D34" s="402" t="s">
        <v>377</v>
      </c>
      <c r="E34" s="402" t="s">
        <v>387</v>
      </c>
      <c r="F34" s="402" t="s">
        <v>388</v>
      </c>
      <c r="G34" s="402" t="s">
        <v>374</v>
      </c>
      <c r="H34" s="402" t="s">
        <v>380</v>
      </c>
      <c r="I34" s="403">
        <v>2016</v>
      </c>
      <c r="J34" s="404">
        <v>8</v>
      </c>
      <c r="K34" s="405">
        <v>17310.060000000001</v>
      </c>
      <c r="L34" s="405">
        <v>0</v>
      </c>
      <c r="M34" s="406" t="s">
        <v>251</v>
      </c>
      <c r="N34" s="406" t="s">
        <v>251</v>
      </c>
      <c r="O34" s="406" t="s">
        <v>376</v>
      </c>
      <c r="P34" s="407">
        <v>0.65600000000000003</v>
      </c>
      <c r="Q34" s="407">
        <v>0.65</v>
      </c>
      <c r="R34" s="408">
        <v>138480.48000000001</v>
      </c>
      <c r="S34" s="408">
        <v>0</v>
      </c>
      <c r="T34" s="409">
        <v>606263.47343358421</v>
      </c>
      <c r="U34" s="409">
        <v>134866.70556862745</v>
      </c>
      <c r="V34" s="410">
        <v>4.4952790303392165</v>
      </c>
      <c r="W34" s="409">
        <v>471396.76786495675</v>
      </c>
      <c r="X34" s="409">
        <v>606263.47343358421</v>
      </c>
      <c r="Y34" s="409">
        <v>134866.70556862745</v>
      </c>
      <c r="Z34" s="410">
        <v>4.4952790303392165</v>
      </c>
      <c r="AA34" s="409">
        <v>471396.76786495675</v>
      </c>
      <c r="AB34" s="409">
        <v>527185.629072682</v>
      </c>
      <c r="AC34" s="409">
        <v>135765.17647058825</v>
      </c>
      <c r="AD34" s="410">
        <v>3.8830695969145657</v>
      </c>
      <c r="AE34" s="409">
        <v>391420.45260209375</v>
      </c>
      <c r="AF34" s="409">
        <v>137300.87070647805</v>
      </c>
      <c r="AG34" s="409">
        <v>205589.49019607843</v>
      </c>
      <c r="AH34" s="410">
        <v>0.66783992983069829</v>
      </c>
      <c r="AI34" s="409">
        <v>-68288.619489600387</v>
      </c>
      <c r="AJ34" s="409">
        <v>527185.629072682</v>
      </c>
      <c r="AK34" s="409">
        <v>136772.59188933196</v>
      </c>
      <c r="AL34" s="410">
        <v>3.8544683681892091</v>
      </c>
      <c r="AM34" s="409">
        <v>390413.03718335007</v>
      </c>
      <c r="AN34" s="411">
        <v>1804.7569891928911</v>
      </c>
      <c r="AO34" s="411">
        <v>10434115.107751876</v>
      </c>
      <c r="AP34" s="409">
        <v>135765.17647058825</v>
      </c>
      <c r="AQ34" s="409">
        <v>75.226292117757126</v>
      </c>
      <c r="AR34" s="409">
        <v>1.3011661752679291E-2</v>
      </c>
    </row>
    <row r="35" spans="1:44" s="388" customFormat="1">
      <c r="A35" s="402" t="s">
        <v>231</v>
      </c>
      <c r="B35" s="402" t="s">
        <v>370</v>
      </c>
      <c r="C35" s="402" t="s">
        <v>12</v>
      </c>
      <c r="D35" s="402" t="s">
        <v>377</v>
      </c>
      <c r="E35" s="402" t="s">
        <v>387</v>
      </c>
      <c r="F35" s="402" t="s">
        <v>388</v>
      </c>
      <c r="G35" s="402" t="s">
        <v>374</v>
      </c>
      <c r="H35" s="402" t="s">
        <v>380</v>
      </c>
      <c r="I35" s="403">
        <v>2017</v>
      </c>
      <c r="J35" s="404">
        <v>10</v>
      </c>
      <c r="K35" s="405">
        <v>17310.060000000001</v>
      </c>
      <c r="L35" s="405">
        <v>0</v>
      </c>
      <c r="M35" s="406" t="s">
        <v>251</v>
      </c>
      <c r="N35" s="406" t="s">
        <v>251</v>
      </c>
      <c r="O35" s="406" t="s">
        <v>376</v>
      </c>
      <c r="P35" s="407">
        <v>0.65600000000000003</v>
      </c>
      <c r="Q35" s="407">
        <v>0.65</v>
      </c>
      <c r="R35" s="408">
        <v>173100.6</v>
      </c>
      <c r="S35" s="408">
        <v>0</v>
      </c>
      <c r="T35" s="409">
        <v>788351.97433668422</v>
      </c>
      <c r="U35" s="409">
        <v>165277.82545174935</v>
      </c>
      <c r="V35" s="410">
        <v>4.7698593092080159</v>
      </c>
      <c r="W35" s="409">
        <v>623074.14888493484</v>
      </c>
      <c r="X35" s="409">
        <v>788351.97433668422</v>
      </c>
      <c r="Y35" s="409">
        <v>165277.82545174935</v>
      </c>
      <c r="Z35" s="410">
        <v>4.7698593092080159</v>
      </c>
      <c r="AA35" s="409">
        <v>623074.14888493484</v>
      </c>
      <c r="AB35" s="409">
        <v>685523.45594494278</v>
      </c>
      <c r="AC35" s="409">
        <v>166378.89273356402</v>
      </c>
      <c r="AD35" s="410">
        <v>4.1202549474994221</v>
      </c>
      <c r="AE35" s="409">
        <v>519144.56321137876</v>
      </c>
      <c r="AF35" s="409">
        <v>168297.20735950751</v>
      </c>
      <c r="AG35" s="409">
        <v>251947.9046520569</v>
      </c>
      <c r="AH35" s="410">
        <v>0.66798415169170777</v>
      </c>
      <c r="AI35" s="409">
        <v>-83650.69729254939</v>
      </c>
      <c r="AJ35" s="409">
        <v>685523.45594494278</v>
      </c>
      <c r="AK35" s="409">
        <v>167637.30712818296</v>
      </c>
      <c r="AL35" s="410">
        <v>4.0893251489703362</v>
      </c>
      <c r="AM35" s="409">
        <v>517886.14881675981</v>
      </c>
      <c r="AN35" s="411">
        <v>2211.7119965599145</v>
      </c>
      <c r="AO35" s="411">
        <v>12786905.769303765</v>
      </c>
      <c r="AP35" s="409">
        <v>166378.89273356402</v>
      </c>
      <c r="AQ35" s="409">
        <v>75.22629211775714</v>
      </c>
      <c r="AR35" s="409">
        <v>1.3011661752679295E-2</v>
      </c>
    </row>
    <row r="36" spans="1:44" s="388" customFormat="1">
      <c r="A36" s="402" t="s">
        <v>231</v>
      </c>
      <c r="B36" s="402" t="s">
        <v>370</v>
      </c>
      <c r="C36" s="402" t="s">
        <v>12</v>
      </c>
      <c r="D36" s="402" t="s">
        <v>377</v>
      </c>
      <c r="E36" s="402" t="s">
        <v>387</v>
      </c>
      <c r="F36" s="402" t="s">
        <v>388</v>
      </c>
      <c r="G36" s="402" t="s">
        <v>374</v>
      </c>
      <c r="H36" s="402" t="s">
        <v>380</v>
      </c>
      <c r="I36" s="403">
        <v>2018</v>
      </c>
      <c r="J36" s="404">
        <v>12</v>
      </c>
      <c r="K36" s="405">
        <v>17310.060000000001</v>
      </c>
      <c r="L36" s="405">
        <v>0</v>
      </c>
      <c r="M36" s="406" t="s">
        <v>251</v>
      </c>
      <c r="N36" s="406" t="s">
        <v>251</v>
      </c>
      <c r="O36" s="406" t="s">
        <v>376</v>
      </c>
      <c r="P36" s="407">
        <v>0.65600000000000003</v>
      </c>
      <c r="Q36" s="407">
        <v>0.65</v>
      </c>
      <c r="R36" s="408">
        <v>207720.72000000003</v>
      </c>
      <c r="S36" s="408">
        <v>0</v>
      </c>
      <c r="T36" s="409">
        <v>951828.91397452517</v>
      </c>
      <c r="U36" s="409">
        <v>194444.50053146982</v>
      </c>
      <c r="V36" s="410">
        <v>4.895118717026798</v>
      </c>
      <c r="W36" s="409">
        <v>757384.41344305535</v>
      </c>
      <c r="X36" s="409">
        <v>951828.91397452517</v>
      </c>
      <c r="Y36" s="409">
        <v>194444.50053146982</v>
      </c>
      <c r="Z36" s="410">
        <v>4.895118717026798</v>
      </c>
      <c r="AA36" s="409">
        <v>757384.41344305535</v>
      </c>
      <c r="AB36" s="409">
        <v>827677.31649958715</v>
      </c>
      <c r="AC36" s="409">
        <v>195739.87380419299</v>
      </c>
      <c r="AD36" s="410">
        <v>4.228455349509157</v>
      </c>
      <c r="AE36" s="409">
        <v>631937.44269539416</v>
      </c>
      <c r="AF36" s="409">
        <v>198039.16676089683</v>
      </c>
      <c r="AG36" s="409">
        <v>296409.2995906552</v>
      </c>
      <c r="AH36" s="410">
        <v>0.6681273733124814</v>
      </c>
      <c r="AI36" s="409">
        <v>-98370.132829758368</v>
      </c>
      <c r="AJ36" s="409">
        <v>827677.31649958715</v>
      </c>
      <c r="AK36" s="409">
        <v>197248.2099837907</v>
      </c>
      <c r="AL36" s="410">
        <v>4.1961207991068887</v>
      </c>
      <c r="AM36" s="409">
        <v>630429.10651579639</v>
      </c>
      <c r="AN36" s="411">
        <v>2602.0141135998992</v>
      </c>
      <c r="AO36" s="411">
        <v>15043418.552122075</v>
      </c>
      <c r="AP36" s="409">
        <v>195739.87380419299</v>
      </c>
      <c r="AQ36" s="409">
        <v>75.226292117757168</v>
      </c>
      <c r="AR36" s="409">
        <v>1.3011661752679298E-2</v>
      </c>
    </row>
    <row r="37" spans="1:44" s="388" customFormat="1">
      <c r="A37" s="402" t="s">
        <v>231</v>
      </c>
      <c r="B37" s="402" t="s">
        <v>370</v>
      </c>
      <c r="C37" s="402" t="s">
        <v>12</v>
      </c>
      <c r="D37" s="402" t="s">
        <v>377</v>
      </c>
      <c r="E37" s="402" t="s">
        <v>387</v>
      </c>
      <c r="F37" s="402" t="s">
        <v>388</v>
      </c>
      <c r="G37" s="402" t="s">
        <v>374</v>
      </c>
      <c r="H37" s="402" t="s">
        <v>380</v>
      </c>
      <c r="I37" s="403">
        <v>2019</v>
      </c>
      <c r="J37" s="404">
        <v>14</v>
      </c>
      <c r="K37" s="405">
        <v>17310.060000000001</v>
      </c>
      <c r="L37" s="405">
        <v>0</v>
      </c>
      <c r="M37" s="406" t="s">
        <v>251</v>
      </c>
      <c r="N37" s="406" t="s">
        <v>251</v>
      </c>
      <c r="O37" s="406" t="s">
        <v>376</v>
      </c>
      <c r="P37" s="407">
        <v>0.65600000000000003</v>
      </c>
      <c r="Q37" s="407">
        <v>0.65</v>
      </c>
      <c r="R37" s="408">
        <v>242340.84000000003</v>
      </c>
      <c r="S37" s="408">
        <v>0</v>
      </c>
      <c r="T37" s="409">
        <v>1120091.6481788307</v>
      </c>
      <c r="U37" s="409">
        <v>222403.84047717132</v>
      </c>
      <c r="V37" s="410">
        <v>5.0362963417162874</v>
      </c>
      <c r="W37" s="409">
        <v>897687.80770165939</v>
      </c>
      <c r="X37" s="409">
        <v>1120091.6481788307</v>
      </c>
      <c r="Y37" s="409">
        <v>222403.84047717132</v>
      </c>
      <c r="Z37" s="410">
        <v>5.0362963417162874</v>
      </c>
      <c r="AA37" s="409">
        <v>897687.80770165939</v>
      </c>
      <c r="AB37" s="409">
        <v>973992.73754680937</v>
      </c>
      <c r="AC37" s="409">
        <v>223885.47657342334</v>
      </c>
      <c r="AD37" s="410">
        <v>4.3504060757035665</v>
      </c>
      <c r="AE37" s="409">
        <v>750107.260973386</v>
      </c>
      <c r="AF37" s="409">
        <v>226563.55696140468</v>
      </c>
      <c r="AG37" s="409">
        <v>339030.24462983431</v>
      </c>
      <c r="AH37" s="410">
        <v>0.66826945545455718</v>
      </c>
      <c r="AI37" s="409">
        <v>-112466.68766842963</v>
      </c>
      <c r="AJ37" s="409">
        <v>973992.73754680937</v>
      </c>
      <c r="AK37" s="409">
        <v>225642.29730793909</v>
      </c>
      <c r="AL37" s="410">
        <v>4.316534396109164</v>
      </c>
      <c r="AM37" s="409">
        <v>748350.44023887021</v>
      </c>
      <c r="AN37" s="411">
        <v>2976.1599338560936</v>
      </c>
      <c r="AO37" s="411">
        <v>17206524.487721331</v>
      </c>
      <c r="AP37" s="409">
        <v>223885.47657342334</v>
      </c>
      <c r="AQ37" s="409">
        <v>75.226292117757168</v>
      </c>
      <c r="AR37" s="409">
        <v>1.3011661752679295E-2</v>
      </c>
    </row>
    <row r="38" spans="1:44" s="388" customFormat="1">
      <c r="A38" s="402" t="s">
        <v>231</v>
      </c>
      <c r="B38" s="402" t="s">
        <v>370</v>
      </c>
      <c r="C38" s="402" t="s">
        <v>12</v>
      </c>
      <c r="D38" s="402" t="s">
        <v>377</v>
      </c>
      <c r="E38" s="402" t="s">
        <v>387</v>
      </c>
      <c r="F38" s="402" t="s">
        <v>388</v>
      </c>
      <c r="G38" s="402" t="s">
        <v>374</v>
      </c>
      <c r="H38" s="402" t="s">
        <v>380</v>
      </c>
      <c r="I38" s="403">
        <v>2020</v>
      </c>
      <c r="J38" s="404">
        <v>16</v>
      </c>
      <c r="K38" s="405">
        <v>17310.060000000001</v>
      </c>
      <c r="L38" s="405">
        <v>0</v>
      </c>
      <c r="M38" s="406" t="s">
        <v>251</v>
      </c>
      <c r="N38" s="406" t="s">
        <v>251</v>
      </c>
      <c r="O38" s="406" t="s">
        <v>376</v>
      </c>
      <c r="P38" s="407">
        <v>0.65600000000000003</v>
      </c>
      <c r="Q38" s="407">
        <v>0.65</v>
      </c>
      <c r="R38" s="408">
        <v>276960.96000000002</v>
      </c>
      <c r="S38" s="408">
        <v>0</v>
      </c>
      <c r="T38" s="409">
        <v>1284344.2021014635</v>
      </c>
      <c r="U38" s="409">
        <v>249191.97812568216</v>
      </c>
      <c r="V38" s="410">
        <v>5.1540351008156984</v>
      </c>
      <c r="W38" s="409">
        <v>1035152.2239757814</v>
      </c>
      <c r="X38" s="409">
        <v>1284344.2021014635</v>
      </c>
      <c r="Y38" s="409">
        <v>249191.97812568216</v>
      </c>
      <c r="Z38" s="410">
        <v>5.1540351008156984</v>
      </c>
      <c r="AA38" s="409">
        <v>1035152.2239757814</v>
      </c>
      <c r="AB38" s="409">
        <v>1116821.0453056204</v>
      </c>
      <c r="AC38" s="409">
        <v>250852.07459207095</v>
      </c>
      <c r="AD38" s="410">
        <v>4.4521100617635527</v>
      </c>
      <c r="AE38" s="409">
        <v>865968.97071354953</v>
      </c>
      <c r="AF38" s="409">
        <v>253903.16888471707</v>
      </c>
      <c r="AG38" s="409">
        <v>379865.82031353988</v>
      </c>
      <c r="AH38" s="410">
        <v>0.66840224970792661</v>
      </c>
      <c r="AI38" s="409">
        <v>-125962.65142882281</v>
      </c>
      <c r="AJ38" s="409">
        <v>1116821.0453056204</v>
      </c>
      <c r="AK38" s="409">
        <v>252853.59244804681</v>
      </c>
      <c r="AL38" s="410">
        <v>4.416868411846238</v>
      </c>
      <c r="AM38" s="409">
        <v>863967.45285757363</v>
      </c>
      <c r="AN38" s="411">
        <v>3334.6329791104695</v>
      </c>
      <c r="AO38" s="411">
        <v>19279019.033861432</v>
      </c>
      <c r="AP38" s="409">
        <v>250852.07459207095</v>
      </c>
      <c r="AQ38" s="409">
        <v>75.226292117757154</v>
      </c>
      <c r="AR38" s="409">
        <v>1.3011661752679296E-2</v>
      </c>
    </row>
    <row r="39" spans="1:44" s="388" customFormat="1">
      <c r="A39" s="402" t="s">
        <v>231</v>
      </c>
      <c r="B39" s="402" t="s">
        <v>370</v>
      </c>
      <c r="C39" s="402" t="s">
        <v>241</v>
      </c>
      <c r="D39" s="402" t="s">
        <v>389</v>
      </c>
      <c r="E39" s="402" t="s">
        <v>390</v>
      </c>
      <c r="F39" s="402" t="s">
        <v>391</v>
      </c>
      <c r="G39" s="402" t="s">
        <v>374</v>
      </c>
      <c r="H39" s="402" t="s">
        <v>392</v>
      </c>
      <c r="I39" s="403">
        <v>2015</v>
      </c>
      <c r="J39" s="404">
        <v>50</v>
      </c>
      <c r="K39" s="405">
        <v>0</v>
      </c>
      <c r="L39" s="405">
        <v>0</v>
      </c>
      <c r="M39" s="406" t="s">
        <v>251</v>
      </c>
      <c r="N39" s="406" t="s">
        <v>251</v>
      </c>
      <c r="O39" s="406" t="s">
        <v>376</v>
      </c>
      <c r="P39" s="407">
        <v>0.51364279715878636</v>
      </c>
      <c r="Q39" s="407">
        <v>0.51364279715878636</v>
      </c>
      <c r="R39" s="408">
        <v>0</v>
      </c>
      <c r="S39" s="408">
        <v>0</v>
      </c>
      <c r="T39" s="409">
        <v>52376.872585984907</v>
      </c>
      <c r="U39" s="409">
        <v>12199.016432521175</v>
      </c>
      <c r="V39" s="410">
        <v>4.2935324233480161</v>
      </c>
      <c r="W39" s="409">
        <v>40177.856153463734</v>
      </c>
      <c r="X39" s="409">
        <v>52376.872585984907</v>
      </c>
      <c r="Y39" s="409">
        <v>12199.016432521175</v>
      </c>
      <c r="Z39" s="410">
        <v>4.2935324233480161</v>
      </c>
      <c r="AA39" s="409">
        <v>40177.856153463734</v>
      </c>
      <c r="AB39" s="409">
        <v>45545.106596508616</v>
      </c>
      <c r="AC39" s="409">
        <v>0</v>
      </c>
      <c r="AD39" s="410" t="e">
        <v>#DIV/0!</v>
      </c>
      <c r="AE39" s="409">
        <v>45545.106596508616</v>
      </c>
      <c r="AF39" s="409">
        <v>12.686592791706291</v>
      </c>
      <c r="AG39" s="409">
        <v>23749.999999999996</v>
      </c>
      <c r="AH39" s="410">
        <v>5.3417232807184386E-4</v>
      </c>
      <c r="AI39" s="409">
        <v>-23737.31340720829</v>
      </c>
      <c r="AJ39" s="409">
        <v>45545.106596508616</v>
      </c>
      <c r="AK39" s="409">
        <v>6.5163770079465149</v>
      </c>
      <c r="AL39" s="410">
        <v>6989.3295831361211</v>
      </c>
      <c r="AM39" s="409">
        <v>45538.590219500671</v>
      </c>
      <c r="AN39" s="411">
        <v>491.41771871376341</v>
      </c>
      <c r="AO39" s="411">
        <v>86658.259624733051</v>
      </c>
      <c r="AP39" s="409">
        <v>0</v>
      </c>
      <c r="AQ39" s="409">
        <v>0</v>
      </c>
      <c r="AR39" s="409">
        <v>0</v>
      </c>
    </row>
    <row r="40" spans="1:44" s="388" customFormat="1">
      <c r="A40" s="402" t="s">
        <v>231</v>
      </c>
      <c r="B40" s="402" t="s">
        <v>370</v>
      </c>
      <c r="C40" s="402" t="s">
        <v>241</v>
      </c>
      <c r="D40" s="402" t="s">
        <v>389</v>
      </c>
      <c r="E40" s="402" t="s">
        <v>390</v>
      </c>
      <c r="F40" s="402" t="s">
        <v>391</v>
      </c>
      <c r="G40" s="402" t="s">
        <v>374</v>
      </c>
      <c r="H40" s="402" t="s">
        <v>392</v>
      </c>
      <c r="I40" s="403">
        <v>2016</v>
      </c>
      <c r="J40" s="404">
        <v>10</v>
      </c>
      <c r="K40" s="405">
        <v>250</v>
      </c>
      <c r="L40" s="405">
        <v>13</v>
      </c>
      <c r="M40" s="406" t="s">
        <v>251</v>
      </c>
      <c r="N40" s="406" t="s">
        <v>251</v>
      </c>
      <c r="O40" s="406" t="s">
        <v>376</v>
      </c>
      <c r="P40" s="407">
        <v>0.51364279715878636</v>
      </c>
      <c r="Q40" s="407">
        <v>0.51364279715878636</v>
      </c>
      <c r="R40" s="408">
        <v>2500</v>
      </c>
      <c r="S40" s="408">
        <v>130</v>
      </c>
      <c r="T40" s="409">
        <v>11288.654856771211</v>
      </c>
      <c r="U40" s="409">
        <v>2519.4149867688579</v>
      </c>
      <c r="V40" s="410">
        <v>4.4806651210918123</v>
      </c>
      <c r="W40" s="409">
        <v>8769.2398700023532</v>
      </c>
      <c r="X40" s="409">
        <v>11288.654856771211</v>
      </c>
      <c r="Y40" s="409">
        <v>2519.4149867688579</v>
      </c>
      <c r="Z40" s="410">
        <v>4.4806651210918123</v>
      </c>
      <c r="AA40" s="409">
        <v>8769.2398700023532</v>
      </c>
      <c r="AB40" s="409">
        <v>9816.2216145836628</v>
      </c>
      <c r="AC40" s="409">
        <v>2578.4313725490192</v>
      </c>
      <c r="AD40" s="410">
        <v>3.8070517288499381</v>
      </c>
      <c r="AE40" s="409">
        <v>7237.7902420346436</v>
      </c>
      <c r="AF40" s="409">
        <v>2453.5163641504396</v>
      </c>
      <c r="AG40" s="409">
        <v>4656.8627450980393</v>
      </c>
      <c r="AH40" s="410">
        <v>0.52686035609125226</v>
      </c>
      <c r="AI40" s="409">
        <v>-2203.3463809475998</v>
      </c>
      <c r="AJ40" s="409">
        <v>9816.2216145836628</v>
      </c>
      <c r="AK40" s="409">
        <v>2579.7339562973161</v>
      </c>
      <c r="AL40" s="410">
        <v>3.8051294361659114</v>
      </c>
      <c r="AM40" s="409">
        <v>7236.4876582863471</v>
      </c>
      <c r="AN40" s="411">
        <v>96.356415434071295</v>
      </c>
      <c r="AO40" s="411">
        <v>16991.815612692757</v>
      </c>
      <c r="AP40" s="409">
        <v>2578.4313725490192</v>
      </c>
      <c r="AQ40" s="409">
        <v>26.759311883215769</v>
      </c>
      <c r="AR40" s="409">
        <v>0.15174548920028008</v>
      </c>
    </row>
    <row r="41" spans="1:44" s="388" customFormat="1">
      <c r="A41" s="402" t="s">
        <v>231</v>
      </c>
      <c r="B41" s="402" t="s">
        <v>370</v>
      </c>
      <c r="C41" s="402" t="s">
        <v>241</v>
      </c>
      <c r="D41" s="402" t="s">
        <v>389</v>
      </c>
      <c r="E41" s="402" t="s">
        <v>390</v>
      </c>
      <c r="F41" s="402" t="s">
        <v>391</v>
      </c>
      <c r="G41" s="402" t="s">
        <v>374</v>
      </c>
      <c r="H41" s="402" t="s">
        <v>392</v>
      </c>
      <c r="I41" s="403">
        <v>2017</v>
      </c>
      <c r="J41" s="404">
        <v>10</v>
      </c>
      <c r="K41" s="405">
        <v>250</v>
      </c>
      <c r="L41" s="405">
        <v>13</v>
      </c>
      <c r="M41" s="406" t="s">
        <v>251</v>
      </c>
      <c r="N41" s="406" t="s">
        <v>251</v>
      </c>
      <c r="O41" s="406" t="s">
        <v>376</v>
      </c>
      <c r="P41" s="407">
        <v>0.51364279715878636</v>
      </c>
      <c r="Q41" s="407">
        <v>0.51364279715878636</v>
      </c>
      <c r="R41" s="408">
        <v>2500</v>
      </c>
      <c r="S41" s="408">
        <v>130</v>
      </c>
      <c r="T41" s="409">
        <v>12136.668403565578</v>
      </c>
      <c r="U41" s="409">
        <v>2470.0146929106454</v>
      </c>
      <c r="V41" s="410">
        <v>4.9136017038278528</v>
      </c>
      <c r="W41" s="409">
        <v>9666.6537106549331</v>
      </c>
      <c r="X41" s="409">
        <v>12136.668403565578</v>
      </c>
      <c r="Y41" s="409">
        <v>2470.0146929106454</v>
      </c>
      <c r="Z41" s="410">
        <v>4.9136017038278528</v>
      </c>
      <c r="AA41" s="409">
        <v>9666.6537106549331</v>
      </c>
      <c r="AB41" s="409">
        <v>10553.624698752676</v>
      </c>
      <c r="AC41" s="409">
        <v>2527.8738946559015</v>
      </c>
      <c r="AD41" s="410">
        <v>4.1749015728449752</v>
      </c>
      <c r="AE41" s="409">
        <v>8025.7508040967741</v>
      </c>
      <c r="AF41" s="409">
        <v>2405.4563396859312</v>
      </c>
      <c r="AG41" s="409">
        <v>4565.5517108804306</v>
      </c>
      <c r="AH41" s="410">
        <v>0.52687090017036686</v>
      </c>
      <c r="AI41" s="409">
        <v>-2160.0953711944994</v>
      </c>
      <c r="AJ41" s="409">
        <v>10553.624698752676</v>
      </c>
      <c r="AK41" s="409">
        <v>2529.175664073568</v>
      </c>
      <c r="AL41" s="410">
        <v>4.1727527465429919</v>
      </c>
      <c r="AM41" s="409">
        <v>8024.4490346791081</v>
      </c>
      <c r="AN41" s="411">
        <v>94.467073954971823</v>
      </c>
      <c r="AO41" s="411">
        <v>16658.642757541911</v>
      </c>
      <c r="AP41" s="409">
        <v>2527.8738946559015</v>
      </c>
      <c r="AQ41" s="409">
        <v>26.75931188321578</v>
      </c>
      <c r="AR41" s="409">
        <v>0.15174548920028016</v>
      </c>
    </row>
    <row r="42" spans="1:44" s="388" customFormat="1">
      <c r="A42" s="402" t="s">
        <v>231</v>
      </c>
      <c r="B42" s="402" t="s">
        <v>370</v>
      </c>
      <c r="C42" s="402" t="s">
        <v>241</v>
      </c>
      <c r="D42" s="402" t="s">
        <v>389</v>
      </c>
      <c r="E42" s="402" t="s">
        <v>390</v>
      </c>
      <c r="F42" s="402" t="s">
        <v>391</v>
      </c>
      <c r="G42" s="402" t="s">
        <v>374</v>
      </c>
      <c r="H42" s="402" t="s">
        <v>392</v>
      </c>
      <c r="I42" s="403">
        <v>2018</v>
      </c>
      <c r="J42" s="404">
        <v>10</v>
      </c>
      <c r="K42" s="405">
        <v>250</v>
      </c>
      <c r="L42" s="405">
        <v>13</v>
      </c>
      <c r="M42" s="406" t="s">
        <v>251</v>
      </c>
      <c r="N42" s="406" t="s">
        <v>251</v>
      </c>
      <c r="O42" s="406" t="s">
        <v>376</v>
      </c>
      <c r="P42" s="407">
        <v>0.51364279715878636</v>
      </c>
      <c r="Q42" s="407">
        <v>0.51364279715878636</v>
      </c>
      <c r="R42" s="408">
        <v>2500</v>
      </c>
      <c r="S42" s="408">
        <v>130</v>
      </c>
      <c r="T42" s="409">
        <v>12143.780161576142</v>
      </c>
      <c r="U42" s="409">
        <v>2421.5830322653387</v>
      </c>
      <c r="V42" s="410">
        <v>5.0148105597749817</v>
      </c>
      <c r="W42" s="409">
        <v>9722.1971293108036</v>
      </c>
      <c r="X42" s="409">
        <v>12143.780161576142</v>
      </c>
      <c r="Y42" s="409">
        <v>2421.5830322653387</v>
      </c>
      <c r="Z42" s="410">
        <v>5.0148105597749817</v>
      </c>
      <c r="AA42" s="409">
        <v>9722.1971293108036</v>
      </c>
      <c r="AB42" s="409">
        <v>10559.808836153168</v>
      </c>
      <c r="AC42" s="409">
        <v>2478.3077398587275</v>
      </c>
      <c r="AD42" s="410">
        <v>4.2608949107971217</v>
      </c>
      <c r="AE42" s="409">
        <v>8081.5010962944407</v>
      </c>
      <c r="AF42" s="409">
        <v>2358.337501283394</v>
      </c>
      <c r="AG42" s="409">
        <v>4476.031089098462</v>
      </c>
      <c r="AH42" s="410">
        <v>0.52688139432883108</v>
      </c>
      <c r="AI42" s="409">
        <v>-2117.693587815068</v>
      </c>
      <c r="AJ42" s="409">
        <v>10559.808836153168</v>
      </c>
      <c r="AK42" s="409">
        <v>2479.6081113075384</v>
      </c>
      <c r="AL42" s="410">
        <v>4.2586603858884811</v>
      </c>
      <c r="AM42" s="409">
        <v>8080.2007248456302</v>
      </c>
      <c r="AN42" s="411">
        <v>92.614778387227261</v>
      </c>
      <c r="AO42" s="411">
        <v>16332.002703472464</v>
      </c>
      <c r="AP42" s="409">
        <v>2478.3077398587275</v>
      </c>
      <c r="AQ42" s="409">
        <v>26.759311883215791</v>
      </c>
      <c r="AR42" s="409">
        <v>0.15174548920028016</v>
      </c>
    </row>
    <row r="43" spans="1:44" s="388" customFormat="1">
      <c r="A43" s="402" t="s">
        <v>231</v>
      </c>
      <c r="B43" s="402" t="s">
        <v>370</v>
      </c>
      <c r="C43" s="402" t="s">
        <v>241</v>
      </c>
      <c r="D43" s="402" t="s">
        <v>389</v>
      </c>
      <c r="E43" s="402" t="s">
        <v>390</v>
      </c>
      <c r="F43" s="402" t="s">
        <v>391</v>
      </c>
      <c r="G43" s="402" t="s">
        <v>374</v>
      </c>
      <c r="H43" s="402" t="s">
        <v>392</v>
      </c>
      <c r="I43" s="403">
        <v>2019</v>
      </c>
      <c r="J43" s="404">
        <v>10</v>
      </c>
      <c r="K43" s="405">
        <v>250</v>
      </c>
      <c r="L43" s="405">
        <v>13</v>
      </c>
      <c r="M43" s="406" t="s">
        <v>251</v>
      </c>
      <c r="N43" s="406" t="s">
        <v>251</v>
      </c>
      <c r="O43" s="406" t="s">
        <v>376</v>
      </c>
      <c r="P43" s="407">
        <v>0.51364279715878636</v>
      </c>
      <c r="Q43" s="407">
        <v>0.51364279715878636</v>
      </c>
      <c r="R43" s="408">
        <v>2500</v>
      </c>
      <c r="S43" s="408">
        <v>130</v>
      </c>
      <c r="T43" s="409">
        <v>12152.850088867035</v>
      </c>
      <c r="U43" s="409">
        <v>2374.1010120248416</v>
      </c>
      <c r="V43" s="410">
        <v>5.118927133813072</v>
      </c>
      <c r="W43" s="409">
        <v>9778.749076842194</v>
      </c>
      <c r="X43" s="409">
        <v>12152.850088867035</v>
      </c>
      <c r="Y43" s="409">
        <v>2374.1010120248416</v>
      </c>
      <c r="Z43" s="410">
        <v>5.118927133813072</v>
      </c>
      <c r="AA43" s="409">
        <v>9778.749076842194</v>
      </c>
      <c r="AB43" s="409">
        <v>10567.695729449597</v>
      </c>
      <c r="AC43" s="409">
        <v>2429.7134704497325</v>
      </c>
      <c r="AD43" s="410">
        <v>4.3493588268634609</v>
      </c>
      <c r="AE43" s="409">
        <v>8137.9822589998639</v>
      </c>
      <c r="AF43" s="409">
        <v>2312.1413820759785</v>
      </c>
      <c r="AG43" s="409">
        <v>4388.2657736259425</v>
      </c>
      <c r="AH43" s="410">
        <v>0.52689182956334457</v>
      </c>
      <c r="AI43" s="409">
        <v>-2076.124391549964</v>
      </c>
      <c r="AJ43" s="409">
        <v>10567.695729449597</v>
      </c>
      <c r="AK43" s="409">
        <v>2431.0118654492962</v>
      </c>
      <c r="AL43" s="410">
        <v>4.347035849410176</v>
      </c>
      <c r="AM43" s="409">
        <v>8136.6838640003007</v>
      </c>
      <c r="AN43" s="411">
        <v>90.798802340418888</v>
      </c>
      <c r="AO43" s="411">
        <v>16011.767356345554</v>
      </c>
      <c r="AP43" s="409">
        <v>2429.7134704497325</v>
      </c>
      <c r="AQ43" s="409">
        <v>26.759311883215787</v>
      </c>
      <c r="AR43" s="409">
        <v>0.15174548920028016</v>
      </c>
    </row>
    <row r="44" spans="1:44" s="388" customFormat="1">
      <c r="A44" s="402" t="s">
        <v>231</v>
      </c>
      <c r="B44" s="402" t="s">
        <v>370</v>
      </c>
      <c r="C44" s="402" t="s">
        <v>241</v>
      </c>
      <c r="D44" s="402" t="s">
        <v>389</v>
      </c>
      <c r="E44" s="402" t="s">
        <v>390</v>
      </c>
      <c r="F44" s="402" t="s">
        <v>391</v>
      </c>
      <c r="G44" s="402" t="s">
        <v>374</v>
      </c>
      <c r="H44" s="402" t="s">
        <v>392</v>
      </c>
      <c r="I44" s="403">
        <v>2020</v>
      </c>
      <c r="J44" s="404">
        <v>10</v>
      </c>
      <c r="K44" s="405">
        <v>250</v>
      </c>
      <c r="L44" s="405">
        <v>13</v>
      </c>
      <c r="M44" s="406" t="s">
        <v>251</v>
      </c>
      <c r="N44" s="406" t="s">
        <v>251</v>
      </c>
      <c r="O44" s="406" t="s">
        <v>376</v>
      </c>
      <c r="P44" s="407">
        <v>0.51364279715878636</v>
      </c>
      <c r="Q44" s="407">
        <v>0.51364279715878636</v>
      </c>
      <c r="R44" s="408">
        <v>2500</v>
      </c>
      <c r="S44" s="408">
        <v>130</v>
      </c>
      <c r="T44" s="409">
        <v>12155.521582322235</v>
      </c>
      <c r="U44" s="409">
        <v>2327.5500117890601</v>
      </c>
      <c r="V44" s="410">
        <v>5.2224534470814454</v>
      </c>
      <c r="W44" s="409">
        <v>9827.9715705331746</v>
      </c>
      <c r="X44" s="409">
        <v>12155.521582322235</v>
      </c>
      <c r="Y44" s="409">
        <v>2327.5500117890601</v>
      </c>
      <c r="Z44" s="410">
        <v>5.2224534470814454</v>
      </c>
      <c r="AA44" s="409">
        <v>9827.9715705331746</v>
      </c>
      <c r="AB44" s="409">
        <v>10570.018767236726</v>
      </c>
      <c r="AC44" s="409">
        <v>2382.072029852679</v>
      </c>
      <c r="AD44" s="410">
        <v>4.4373212206729269</v>
      </c>
      <c r="AE44" s="409">
        <v>8187.9467373840471</v>
      </c>
      <c r="AF44" s="409">
        <v>2266.8475657001563</v>
      </c>
      <c r="AG44" s="409">
        <v>4302.2213466921003</v>
      </c>
      <c r="AH44" s="410">
        <v>0.52690165917267229</v>
      </c>
      <c r="AI44" s="409">
        <v>-2035.3737809919439</v>
      </c>
      <c r="AJ44" s="409">
        <v>10570.018767236726</v>
      </c>
      <c r="AK44" s="409">
        <v>2383.3666876466659</v>
      </c>
      <c r="AL44" s="410">
        <v>4.4349108435653912</v>
      </c>
      <c r="AM44" s="409">
        <v>8186.6520795900606</v>
      </c>
      <c r="AN44" s="411">
        <v>89.01843366707736</v>
      </c>
      <c r="AO44" s="411">
        <v>15697.811133672112</v>
      </c>
      <c r="AP44" s="409">
        <v>2382.072029852679</v>
      </c>
      <c r="AQ44" s="409">
        <v>26.75931188321578</v>
      </c>
      <c r="AR44" s="409">
        <v>0.15174548920028014</v>
      </c>
    </row>
    <row r="45" spans="1:44" s="388" customFormat="1">
      <c r="A45" s="402" t="s">
        <v>231</v>
      </c>
      <c r="B45" s="402" t="s">
        <v>370</v>
      </c>
      <c r="C45" s="402" t="s">
        <v>241</v>
      </c>
      <c r="D45" s="402" t="s">
        <v>389</v>
      </c>
      <c r="E45" s="402" t="s">
        <v>393</v>
      </c>
      <c r="F45" s="402" t="s">
        <v>394</v>
      </c>
      <c r="G45" s="402" t="s">
        <v>374</v>
      </c>
      <c r="H45" s="402" t="s">
        <v>392</v>
      </c>
      <c r="I45" s="403">
        <v>2015</v>
      </c>
      <c r="J45" s="404">
        <v>40</v>
      </c>
      <c r="K45" s="405">
        <v>0</v>
      </c>
      <c r="L45" s="405">
        <v>0</v>
      </c>
      <c r="M45" s="406" t="s">
        <v>251</v>
      </c>
      <c r="N45" s="406" t="s">
        <v>251</v>
      </c>
      <c r="O45" s="406" t="s">
        <v>376</v>
      </c>
      <c r="P45" s="407">
        <v>0.56653086399822961</v>
      </c>
      <c r="Q45" s="407">
        <v>0.56653086399822961</v>
      </c>
      <c r="R45" s="408">
        <v>0</v>
      </c>
      <c r="S45" s="408">
        <v>0</v>
      </c>
      <c r="T45" s="409">
        <v>43439.753358893831</v>
      </c>
      <c r="U45" s="409">
        <v>10764.08641596636</v>
      </c>
      <c r="V45" s="410">
        <v>4.0356191580234517</v>
      </c>
      <c r="W45" s="409">
        <v>32675.66694292747</v>
      </c>
      <c r="X45" s="409">
        <v>43439.753358893831</v>
      </c>
      <c r="Y45" s="409">
        <v>10764.08641596636</v>
      </c>
      <c r="Z45" s="410">
        <v>4.0356191580234517</v>
      </c>
      <c r="AA45" s="409">
        <v>32675.66694292747</v>
      </c>
      <c r="AB45" s="409">
        <v>37773.698572951165</v>
      </c>
      <c r="AC45" s="409">
        <v>0</v>
      </c>
      <c r="AD45" s="410" t="e">
        <v>#DIV/0!</v>
      </c>
      <c r="AE45" s="409">
        <v>37773.698572951165</v>
      </c>
      <c r="AF45" s="409">
        <v>14.393796810537008</v>
      </c>
      <c r="AG45" s="409">
        <v>18999.999999999996</v>
      </c>
      <c r="AH45" s="410">
        <v>7.5756825318615848E-4</v>
      </c>
      <c r="AI45" s="409">
        <v>-18985.606203189458</v>
      </c>
      <c r="AJ45" s="409">
        <v>37773.698572951165</v>
      </c>
      <c r="AK45" s="409">
        <v>8.1545301432884916</v>
      </c>
      <c r="AL45" s="410">
        <v>4632.2348325660978</v>
      </c>
      <c r="AM45" s="409">
        <v>37765.54404280788</v>
      </c>
      <c r="AN45" s="411">
        <v>360.71270400947674</v>
      </c>
      <c r="AO45" s="411">
        <v>98319.65142040381</v>
      </c>
      <c r="AP45" s="409">
        <v>0</v>
      </c>
      <c r="AQ45" s="409">
        <v>0</v>
      </c>
      <c r="AR45" s="409">
        <v>0</v>
      </c>
    </row>
    <row r="46" spans="1:44" s="388" customFormat="1">
      <c r="A46" s="402" t="s">
        <v>231</v>
      </c>
      <c r="B46" s="402" t="s">
        <v>370</v>
      </c>
      <c r="C46" s="402" t="s">
        <v>241</v>
      </c>
      <c r="D46" s="402" t="s">
        <v>389</v>
      </c>
      <c r="E46" s="402" t="s">
        <v>393</v>
      </c>
      <c r="F46" s="402" t="s">
        <v>394</v>
      </c>
      <c r="G46" s="402" t="s">
        <v>374</v>
      </c>
      <c r="H46" s="402" t="s">
        <v>392</v>
      </c>
      <c r="I46" s="403">
        <v>2016</v>
      </c>
      <c r="J46" s="404">
        <v>5</v>
      </c>
      <c r="K46" s="405">
        <v>400</v>
      </c>
      <c r="L46" s="405">
        <v>13</v>
      </c>
      <c r="M46" s="406" t="s">
        <v>251</v>
      </c>
      <c r="N46" s="406" t="s">
        <v>251</v>
      </c>
      <c r="O46" s="406" t="s">
        <v>376</v>
      </c>
      <c r="P46" s="407">
        <v>0.56653086399822961</v>
      </c>
      <c r="Q46" s="407">
        <v>0.56653086399822961</v>
      </c>
      <c r="R46" s="408">
        <v>2000</v>
      </c>
      <c r="S46" s="408">
        <v>65</v>
      </c>
      <c r="T46" s="409">
        <v>5842.7728422091959</v>
      </c>
      <c r="U46" s="409">
        <v>1382.8537274468581</v>
      </c>
      <c r="V46" s="410">
        <v>4.2251560857391759</v>
      </c>
      <c r="W46" s="409">
        <v>4459.9191147623378</v>
      </c>
      <c r="X46" s="409">
        <v>5842.7728422091959</v>
      </c>
      <c r="Y46" s="409">
        <v>1382.8537274468581</v>
      </c>
      <c r="Z46" s="410">
        <v>4.2251560857391759</v>
      </c>
      <c r="AA46" s="409">
        <v>4459.9191147623378</v>
      </c>
      <c r="AB46" s="409">
        <v>5080.6720367036487</v>
      </c>
      <c r="AC46" s="409">
        <v>2024.5098039215686</v>
      </c>
      <c r="AD46" s="410">
        <v>2.5095813450061608</v>
      </c>
      <c r="AE46" s="409">
        <v>3056.1622327820801</v>
      </c>
      <c r="AF46" s="409">
        <v>1962.582583471358</v>
      </c>
      <c r="AG46" s="409">
        <v>2328.4313725490197</v>
      </c>
      <c r="AH46" s="410">
        <v>0.84287757269085695</v>
      </c>
      <c r="AI46" s="409">
        <v>-365.84878907766165</v>
      </c>
      <c r="AJ46" s="409">
        <v>5080.6720367036487</v>
      </c>
      <c r="AK46" s="409">
        <v>2025.5285792343968</v>
      </c>
      <c r="AL46" s="410">
        <v>2.508319106820021</v>
      </c>
      <c r="AM46" s="409">
        <v>3055.1434574692521</v>
      </c>
      <c r="AN46" s="411">
        <v>44.204988236455485</v>
      </c>
      <c r="AO46" s="411">
        <v>12048.976889755373</v>
      </c>
      <c r="AP46" s="409">
        <v>2024.5098039215686</v>
      </c>
      <c r="AQ46" s="409">
        <v>45.798220623707174</v>
      </c>
      <c r="AR46" s="409">
        <v>0.16802337845322829</v>
      </c>
    </row>
    <row r="47" spans="1:44" s="388" customFormat="1">
      <c r="A47" s="402" t="s">
        <v>231</v>
      </c>
      <c r="B47" s="402" t="s">
        <v>370</v>
      </c>
      <c r="C47" s="402" t="s">
        <v>241</v>
      </c>
      <c r="D47" s="402" t="s">
        <v>389</v>
      </c>
      <c r="E47" s="402" t="s">
        <v>393</v>
      </c>
      <c r="F47" s="402" t="s">
        <v>394</v>
      </c>
      <c r="G47" s="402" t="s">
        <v>374</v>
      </c>
      <c r="H47" s="402" t="s">
        <v>392</v>
      </c>
      <c r="I47" s="403">
        <v>2017</v>
      </c>
      <c r="J47" s="404">
        <v>5</v>
      </c>
      <c r="K47" s="405">
        <v>400</v>
      </c>
      <c r="L47" s="405">
        <v>13</v>
      </c>
      <c r="M47" s="406" t="s">
        <v>251</v>
      </c>
      <c r="N47" s="406" t="s">
        <v>251</v>
      </c>
      <c r="O47" s="406" t="s">
        <v>376</v>
      </c>
      <c r="P47" s="407">
        <v>0.56653086399822961</v>
      </c>
      <c r="Q47" s="407">
        <v>0.56653086399822961</v>
      </c>
      <c r="R47" s="408">
        <v>2000</v>
      </c>
      <c r="S47" s="408">
        <v>65</v>
      </c>
      <c r="T47" s="409">
        <v>6273.8108821979658</v>
      </c>
      <c r="U47" s="409">
        <v>1355.7389484773121</v>
      </c>
      <c r="V47" s="410">
        <v>4.6275950759136553</v>
      </c>
      <c r="W47" s="409">
        <v>4918.0719337206538</v>
      </c>
      <c r="X47" s="409">
        <v>6273.8108821979658</v>
      </c>
      <c r="Y47" s="409">
        <v>1355.7389484773121</v>
      </c>
      <c r="Z47" s="410">
        <v>4.6275950759136553</v>
      </c>
      <c r="AA47" s="409">
        <v>4918.0719337206538</v>
      </c>
      <c r="AB47" s="409">
        <v>5455.4877236504044</v>
      </c>
      <c r="AC47" s="409">
        <v>1984.81353325644</v>
      </c>
      <c r="AD47" s="410">
        <v>2.7486147349568428</v>
      </c>
      <c r="AE47" s="409">
        <v>3470.6741903939646</v>
      </c>
      <c r="AF47" s="409">
        <v>1924.1347080053436</v>
      </c>
      <c r="AG47" s="409">
        <v>2282.7758554402153</v>
      </c>
      <c r="AH47" s="410">
        <v>0.84289252640368817</v>
      </c>
      <c r="AI47" s="409">
        <v>-358.64114743487175</v>
      </c>
      <c r="AJ47" s="409">
        <v>5455.4877236504044</v>
      </c>
      <c r="AK47" s="409">
        <v>1985.831671665926</v>
      </c>
      <c r="AL47" s="410">
        <v>2.747205516706138</v>
      </c>
      <c r="AM47" s="409">
        <v>3469.6560519844784</v>
      </c>
      <c r="AN47" s="411">
        <v>43.33822376123085</v>
      </c>
      <c r="AO47" s="411">
        <v>11812.722440936635</v>
      </c>
      <c r="AP47" s="409">
        <v>1984.81353325644</v>
      </c>
      <c r="AQ47" s="409">
        <v>45.798220623707195</v>
      </c>
      <c r="AR47" s="409">
        <v>0.16802337845322837</v>
      </c>
    </row>
    <row r="48" spans="1:44" s="388" customFormat="1">
      <c r="A48" s="402" t="s">
        <v>231</v>
      </c>
      <c r="B48" s="402" t="s">
        <v>370</v>
      </c>
      <c r="C48" s="402" t="s">
        <v>241</v>
      </c>
      <c r="D48" s="402" t="s">
        <v>389</v>
      </c>
      <c r="E48" s="402" t="s">
        <v>393</v>
      </c>
      <c r="F48" s="402" t="s">
        <v>394</v>
      </c>
      <c r="G48" s="402" t="s">
        <v>374</v>
      </c>
      <c r="H48" s="402" t="s">
        <v>392</v>
      </c>
      <c r="I48" s="403">
        <v>2018</v>
      </c>
      <c r="J48" s="404">
        <v>5</v>
      </c>
      <c r="K48" s="405">
        <v>400</v>
      </c>
      <c r="L48" s="405">
        <v>13</v>
      </c>
      <c r="M48" s="406" t="s">
        <v>251</v>
      </c>
      <c r="N48" s="406" t="s">
        <v>251</v>
      </c>
      <c r="O48" s="406" t="s">
        <v>376</v>
      </c>
      <c r="P48" s="407">
        <v>0.56653086399822961</v>
      </c>
      <c r="Q48" s="407">
        <v>0.56653086399822961</v>
      </c>
      <c r="R48" s="408">
        <v>2000</v>
      </c>
      <c r="S48" s="408">
        <v>65</v>
      </c>
      <c r="T48" s="409">
        <v>6279.3731222469778</v>
      </c>
      <c r="U48" s="409">
        <v>1329.1558318405021</v>
      </c>
      <c r="V48" s="410">
        <v>4.724331768948292</v>
      </c>
      <c r="W48" s="409">
        <v>4950.2172904064755</v>
      </c>
      <c r="X48" s="409">
        <v>6279.3731222469778</v>
      </c>
      <c r="Y48" s="409">
        <v>1329.1558318405021</v>
      </c>
      <c r="Z48" s="410">
        <v>4.724331768948292</v>
      </c>
      <c r="AA48" s="409">
        <v>4950.2172904064755</v>
      </c>
      <c r="AB48" s="409">
        <v>5460.3244541278073</v>
      </c>
      <c r="AC48" s="409">
        <v>1945.8956208396469</v>
      </c>
      <c r="AD48" s="410">
        <v>2.8060726359884076</v>
      </c>
      <c r="AE48" s="409">
        <v>3514.4288332881606</v>
      </c>
      <c r="AF48" s="409">
        <v>1886.4398846707033</v>
      </c>
      <c r="AG48" s="409">
        <v>2238.015544549231</v>
      </c>
      <c r="AH48" s="410">
        <v>0.84290740931857999</v>
      </c>
      <c r="AI48" s="409">
        <v>-351.57565987852763</v>
      </c>
      <c r="AJ48" s="409">
        <v>5460.3244541278073</v>
      </c>
      <c r="AK48" s="409">
        <v>1946.9126658713294</v>
      </c>
      <c r="AL48" s="410">
        <v>2.8046067755607678</v>
      </c>
      <c r="AM48" s="409">
        <v>3513.4117882564778</v>
      </c>
      <c r="AN48" s="411">
        <v>42.488454667873384</v>
      </c>
      <c r="AO48" s="411">
        <v>11581.100432290819</v>
      </c>
      <c r="AP48" s="409">
        <v>1945.8956208396469</v>
      </c>
      <c r="AQ48" s="409">
        <v>45.798220623707188</v>
      </c>
      <c r="AR48" s="409">
        <v>0.16802337845322837</v>
      </c>
    </row>
    <row r="49" spans="1:44" s="388" customFormat="1">
      <c r="A49" s="402" t="s">
        <v>231</v>
      </c>
      <c r="B49" s="402" t="s">
        <v>370</v>
      </c>
      <c r="C49" s="402" t="s">
        <v>241</v>
      </c>
      <c r="D49" s="402" t="s">
        <v>389</v>
      </c>
      <c r="E49" s="402" t="s">
        <v>393</v>
      </c>
      <c r="F49" s="402" t="s">
        <v>394</v>
      </c>
      <c r="G49" s="402" t="s">
        <v>374</v>
      </c>
      <c r="H49" s="402" t="s">
        <v>392</v>
      </c>
      <c r="I49" s="403">
        <v>2019</v>
      </c>
      <c r="J49" s="404">
        <v>5</v>
      </c>
      <c r="K49" s="405">
        <v>400</v>
      </c>
      <c r="L49" s="405">
        <v>13</v>
      </c>
      <c r="M49" s="406" t="s">
        <v>251</v>
      </c>
      <c r="N49" s="406" t="s">
        <v>251</v>
      </c>
      <c r="O49" s="406" t="s">
        <v>376</v>
      </c>
      <c r="P49" s="407">
        <v>0.56653086399822961</v>
      </c>
      <c r="Q49" s="407">
        <v>0.56653086399822961</v>
      </c>
      <c r="R49" s="408">
        <v>2000</v>
      </c>
      <c r="S49" s="408">
        <v>65</v>
      </c>
      <c r="T49" s="409">
        <v>6286.4668834160339</v>
      </c>
      <c r="U49" s="409">
        <v>1303.0939527848059</v>
      </c>
      <c r="V49" s="410">
        <v>4.8242621876814029</v>
      </c>
      <c r="W49" s="409">
        <v>4983.372930631228</v>
      </c>
      <c r="X49" s="409">
        <v>6286.4668834160339</v>
      </c>
      <c r="Y49" s="409">
        <v>1303.0939527848059</v>
      </c>
      <c r="Z49" s="410">
        <v>4.8242621876814029</v>
      </c>
      <c r="AA49" s="409">
        <v>4983.372930631228</v>
      </c>
      <c r="AB49" s="409">
        <v>5466.4929421008992</v>
      </c>
      <c r="AC49" s="409">
        <v>1907.740804744752</v>
      </c>
      <c r="AD49" s="410">
        <v>2.8654274881080051</v>
      </c>
      <c r="AE49" s="409">
        <v>3558.7521373561472</v>
      </c>
      <c r="AF49" s="409">
        <v>1849.4833390612189</v>
      </c>
      <c r="AG49" s="409">
        <v>2194.1328868129713</v>
      </c>
      <c r="AH49" s="410">
        <v>0.84292220866696743</v>
      </c>
      <c r="AI49" s="409">
        <v>-344.64954775175238</v>
      </c>
      <c r="AJ49" s="409">
        <v>5466.4929421008992</v>
      </c>
      <c r="AK49" s="409">
        <v>1908.7563039582076</v>
      </c>
      <c r="AL49" s="410">
        <v>2.8639030193456212</v>
      </c>
      <c r="AM49" s="409">
        <v>3557.7366381426918</v>
      </c>
      <c r="AN49" s="411">
        <v>41.655347713601365</v>
      </c>
      <c r="AO49" s="411">
        <v>11354.02003165767</v>
      </c>
      <c r="AP49" s="409">
        <v>1907.740804744752</v>
      </c>
      <c r="AQ49" s="409">
        <v>45.798220623707188</v>
      </c>
      <c r="AR49" s="409">
        <v>0.16802337845322832</v>
      </c>
    </row>
    <row r="50" spans="1:44" s="388" customFormat="1">
      <c r="A50" s="402" t="s">
        <v>231</v>
      </c>
      <c r="B50" s="402" t="s">
        <v>370</v>
      </c>
      <c r="C50" s="402" t="s">
        <v>241</v>
      </c>
      <c r="D50" s="402" t="s">
        <v>389</v>
      </c>
      <c r="E50" s="402" t="s">
        <v>393</v>
      </c>
      <c r="F50" s="402" t="s">
        <v>394</v>
      </c>
      <c r="G50" s="402" t="s">
        <v>374</v>
      </c>
      <c r="H50" s="402" t="s">
        <v>392</v>
      </c>
      <c r="I50" s="403">
        <v>2020</v>
      </c>
      <c r="J50" s="404">
        <v>5</v>
      </c>
      <c r="K50" s="405">
        <v>400</v>
      </c>
      <c r="L50" s="405">
        <v>13</v>
      </c>
      <c r="M50" s="406" t="s">
        <v>251</v>
      </c>
      <c r="N50" s="406" t="s">
        <v>251</v>
      </c>
      <c r="O50" s="406" t="s">
        <v>376</v>
      </c>
      <c r="P50" s="407">
        <v>0.56653086399822961</v>
      </c>
      <c r="Q50" s="407">
        <v>0.56653086399822961</v>
      </c>
      <c r="R50" s="408">
        <v>2000</v>
      </c>
      <c r="S50" s="408">
        <v>65</v>
      </c>
      <c r="T50" s="409">
        <v>6288.5563088246472</v>
      </c>
      <c r="U50" s="409">
        <v>1277.5430909654958</v>
      </c>
      <c r="V50" s="410">
        <v>4.9223829343181738</v>
      </c>
      <c r="W50" s="409">
        <v>5011.0132178591512</v>
      </c>
      <c r="X50" s="409">
        <v>6288.5563088246472</v>
      </c>
      <c r="Y50" s="409">
        <v>1277.5430909654958</v>
      </c>
      <c r="Z50" s="410">
        <v>4.9223829343181738</v>
      </c>
      <c r="AA50" s="409">
        <v>5011.0132178591512</v>
      </c>
      <c r="AB50" s="409">
        <v>5468.3098337605634</v>
      </c>
      <c r="AC50" s="409">
        <v>1870.3341222987763</v>
      </c>
      <c r="AD50" s="410">
        <v>2.9237074641185576</v>
      </c>
      <c r="AE50" s="409">
        <v>3597.9757114617869</v>
      </c>
      <c r="AF50" s="409">
        <v>1813.2489473040027</v>
      </c>
      <c r="AG50" s="409">
        <v>2151.1106733460501</v>
      </c>
      <c r="AH50" s="410">
        <v>0.84293614911198234</v>
      </c>
      <c r="AI50" s="409">
        <v>-337.86172604204739</v>
      </c>
      <c r="AJ50" s="409">
        <v>5468.3098337605634</v>
      </c>
      <c r="AK50" s="409">
        <v>1871.3466985732762</v>
      </c>
      <c r="AL50" s="410">
        <v>2.9221254607335077</v>
      </c>
      <c r="AM50" s="409">
        <v>3596.9631351872872</v>
      </c>
      <c r="AN50" s="411">
        <v>40.838576189805266</v>
      </c>
      <c r="AO50" s="411">
        <v>11131.392187899673</v>
      </c>
      <c r="AP50" s="409">
        <v>1870.3341222987763</v>
      </c>
      <c r="AQ50" s="409">
        <v>45.798220623707174</v>
      </c>
      <c r="AR50" s="409">
        <v>0.16802337845322834</v>
      </c>
    </row>
    <row r="51" spans="1:44" s="388" customFormat="1">
      <c r="A51" s="402" t="s">
        <v>231</v>
      </c>
      <c r="B51" s="402" t="s">
        <v>370</v>
      </c>
      <c r="C51" s="402" t="s">
        <v>241</v>
      </c>
      <c r="D51" s="402" t="s">
        <v>395</v>
      </c>
      <c r="E51" s="402" t="s">
        <v>396</v>
      </c>
      <c r="F51" s="402" t="s">
        <v>397</v>
      </c>
      <c r="G51" s="402" t="s">
        <v>374</v>
      </c>
      <c r="H51" s="402" t="s">
        <v>398</v>
      </c>
      <c r="I51" s="403">
        <v>2015</v>
      </c>
      <c r="J51" s="404">
        <v>180</v>
      </c>
      <c r="K51" s="405">
        <v>0</v>
      </c>
      <c r="L51" s="405">
        <v>0</v>
      </c>
      <c r="M51" s="406" t="s">
        <v>251</v>
      </c>
      <c r="N51" s="406" t="s">
        <v>251</v>
      </c>
      <c r="O51" s="406" t="s">
        <v>376</v>
      </c>
      <c r="P51" s="407">
        <v>0.46860120183473908</v>
      </c>
      <c r="Q51" s="407">
        <v>0.46860120183473908</v>
      </c>
      <c r="R51" s="408">
        <v>0</v>
      </c>
      <c r="S51" s="408">
        <v>0</v>
      </c>
      <c r="T51" s="409">
        <v>149225.5942215648</v>
      </c>
      <c r="U51" s="409">
        <v>80889.939460712645</v>
      </c>
      <c r="V51" s="410">
        <v>1.8447979466475188</v>
      </c>
      <c r="W51" s="409">
        <v>68335.654760852151</v>
      </c>
      <c r="X51" s="409">
        <v>149225.5942215648</v>
      </c>
      <c r="Y51" s="409">
        <v>80889.939460712645</v>
      </c>
      <c r="Z51" s="410">
        <v>1.8447979466475188</v>
      </c>
      <c r="AA51" s="409">
        <v>68335.654760852151</v>
      </c>
      <c r="AB51" s="409">
        <v>129761.38627962157</v>
      </c>
      <c r="AC51" s="409">
        <v>0</v>
      </c>
      <c r="AD51" s="410" t="e">
        <v>#DIV/0!</v>
      </c>
      <c r="AE51" s="409">
        <v>129761.38627962157</v>
      </c>
      <c r="AF51" s="409">
        <v>350.41354967849816</v>
      </c>
      <c r="AG51" s="409">
        <v>172619.99999999997</v>
      </c>
      <c r="AH51" s="410">
        <v>2.0299707431265103E-3</v>
      </c>
      <c r="AI51" s="409">
        <v>-172269.58645032148</v>
      </c>
      <c r="AJ51" s="409">
        <v>129761.38627962157</v>
      </c>
      <c r="AK51" s="409">
        <v>164.20421051852128</v>
      </c>
      <c r="AL51" s="410">
        <v>790.24396432870549</v>
      </c>
      <c r="AM51" s="409">
        <v>129597.18206910304</v>
      </c>
      <c r="AN51" s="411">
        <v>957.69154672377294</v>
      </c>
      <c r="AO51" s="411">
        <v>2377426.8274082495</v>
      </c>
      <c r="AP51" s="409">
        <v>0</v>
      </c>
      <c r="AQ51" s="409">
        <v>0</v>
      </c>
      <c r="AR51" s="409">
        <v>0</v>
      </c>
    </row>
    <row r="52" spans="1:44" s="388" customFormat="1">
      <c r="A52" s="402" t="s">
        <v>231</v>
      </c>
      <c r="B52" s="402" t="s">
        <v>370</v>
      </c>
      <c r="C52" s="402" t="s">
        <v>241</v>
      </c>
      <c r="D52" s="402" t="s">
        <v>395</v>
      </c>
      <c r="E52" s="402" t="s">
        <v>396</v>
      </c>
      <c r="F52" s="402" t="s">
        <v>397</v>
      </c>
      <c r="G52" s="402" t="s">
        <v>374</v>
      </c>
      <c r="H52" s="402" t="s">
        <v>398</v>
      </c>
      <c r="I52" s="403">
        <v>2016</v>
      </c>
      <c r="J52" s="404">
        <v>200</v>
      </c>
      <c r="K52" s="405">
        <v>250</v>
      </c>
      <c r="L52" s="405">
        <v>13</v>
      </c>
      <c r="M52" s="406" t="s">
        <v>251</v>
      </c>
      <c r="N52" s="406" t="s">
        <v>251</v>
      </c>
      <c r="O52" s="406" t="s">
        <v>376</v>
      </c>
      <c r="P52" s="407">
        <v>0.46860120183473908</v>
      </c>
      <c r="Q52" s="407">
        <v>0.46860120183473908</v>
      </c>
      <c r="R52" s="408">
        <v>50000</v>
      </c>
      <c r="S52" s="408">
        <v>2600</v>
      </c>
      <c r="T52" s="409">
        <v>173690.52397510182</v>
      </c>
      <c r="U52" s="409">
        <v>90664.422070493078</v>
      </c>
      <c r="V52" s="410">
        <v>1.9157517360013014</v>
      </c>
      <c r="W52" s="409">
        <v>83026.101904608746</v>
      </c>
      <c r="X52" s="409">
        <v>173690.52397510182</v>
      </c>
      <c r="Y52" s="409">
        <v>90664.422070493078</v>
      </c>
      <c r="Z52" s="410">
        <v>1.9157517360013014</v>
      </c>
      <c r="AA52" s="409">
        <v>83026.101904608746</v>
      </c>
      <c r="AB52" s="409">
        <v>151035.238239219</v>
      </c>
      <c r="AC52" s="409">
        <v>51568.627450980384</v>
      </c>
      <c r="AD52" s="410">
        <v>2.9288202092015858</v>
      </c>
      <c r="AE52" s="409">
        <v>99466.610788238613</v>
      </c>
      <c r="AF52" s="409">
        <v>49408.757026686035</v>
      </c>
      <c r="AG52" s="409">
        <v>188039.21568627449</v>
      </c>
      <c r="AH52" s="410">
        <v>0.26275772767059313</v>
      </c>
      <c r="AI52" s="409">
        <v>-138630.45865958845</v>
      </c>
      <c r="AJ52" s="409">
        <v>151035.238239219</v>
      </c>
      <c r="AK52" s="409">
        <v>51750.983226084347</v>
      </c>
      <c r="AL52" s="410">
        <v>2.9184998781451528</v>
      </c>
      <c r="AM52" s="409">
        <v>99284.255013134651</v>
      </c>
      <c r="AN52" s="411">
        <v>1043.2369790019316</v>
      </c>
      <c r="AO52" s="411">
        <v>2589789.572340142</v>
      </c>
      <c r="AP52" s="409">
        <v>51568.627450980384</v>
      </c>
      <c r="AQ52" s="409">
        <v>49.431364578656201</v>
      </c>
      <c r="AR52" s="409">
        <v>1.9912284766975416E-2</v>
      </c>
    </row>
    <row r="53" spans="1:44" s="388" customFormat="1">
      <c r="A53" s="402" t="s">
        <v>231</v>
      </c>
      <c r="B53" s="402" t="s">
        <v>370</v>
      </c>
      <c r="C53" s="402" t="s">
        <v>241</v>
      </c>
      <c r="D53" s="402" t="s">
        <v>395</v>
      </c>
      <c r="E53" s="402" t="s">
        <v>396</v>
      </c>
      <c r="F53" s="402" t="s">
        <v>397</v>
      </c>
      <c r="G53" s="402" t="s">
        <v>374</v>
      </c>
      <c r="H53" s="402" t="s">
        <v>398</v>
      </c>
      <c r="I53" s="403">
        <v>2017</v>
      </c>
      <c r="J53" s="404">
        <v>20</v>
      </c>
      <c r="K53" s="405">
        <v>250</v>
      </c>
      <c r="L53" s="405">
        <v>13</v>
      </c>
      <c r="M53" s="406" t="s">
        <v>251</v>
      </c>
      <c r="N53" s="406" t="s">
        <v>251</v>
      </c>
      <c r="O53" s="406" t="s">
        <v>376</v>
      </c>
      <c r="P53" s="407">
        <v>0.46860120183473908</v>
      </c>
      <c r="Q53" s="407">
        <v>0.46860120183473908</v>
      </c>
      <c r="R53" s="408">
        <v>5000</v>
      </c>
      <c r="S53" s="408">
        <v>260</v>
      </c>
      <c r="T53" s="409">
        <v>18250.532189749945</v>
      </c>
      <c r="U53" s="409">
        <v>8888.6688304404997</v>
      </c>
      <c r="V53" s="410">
        <v>2.05323570243144</v>
      </c>
      <c r="W53" s="409">
        <v>9361.8633593094455</v>
      </c>
      <c r="X53" s="409">
        <v>18250.532189749945</v>
      </c>
      <c r="Y53" s="409">
        <v>8888.6688304404997</v>
      </c>
      <c r="Z53" s="410">
        <v>2.05323570243144</v>
      </c>
      <c r="AA53" s="409">
        <v>9361.8633593094455</v>
      </c>
      <c r="AB53" s="409">
        <v>15870.02799108691</v>
      </c>
      <c r="AC53" s="409">
        <v>5055.747789311803</v>
      </c>
      <c r="AD53" s="410">
        <v>3.1390070574005366</v>
      </c>
      <c r="AE53" s="409">
        <v>10814.280201775107</v>
      </c>
      <c r="AF53" s="409">
        <v>4844.7353707824677</v>
      </c>
      <c r="AG53" s="409">
        <v>18435.217224144559</v>
      </c>
      <c r="AH53" s="410">
        <v>0.262797845660171</v>
      </c>
      <c r="AI53" s="409">
        <v>-13590.481853362091</v>
      </c>
      <c r="AJ53" s="409">
        <v>15870.02799108691</v>
      </c>
      <c r="AK53" s="409">
        <v>5073.9723763609809</v>
      </c>
      <c r="AL53" s="410">
        <v>3.1277324380052671</v>
      </c>
      <c r="AM53" s="409">
        <v>10796.05561472593</v>
      </c>
      <c r="AN53" s="411">
        <v>102.27813519626778</v>
      </c>
      <c r="AO53" s="411">
        <v>253900.93846471977</v>
      </c>
      <c r="AP53" s="409">
        <v>5055.747789311803</v>
      </c>
      <c r="AQ53" s="409">
        <v>49.431364578656215</v>
      </c>
      <c r="AR53" s="409">
        <v>1.991228476697542E-2</v>
      </c>
    </row>
    <row r="54" spans="1:44" s="388" customFormat="1">
      <c r="A54" s="402" t="s">
        <v>231</v>
      </c>
      <c r="B54" s="402" t="s">
        <v>370</v>
      </c>
      <c r="C54" s="402" t="s">
        <v>241</v>
      </c>
      <c r="D54" s="402" t="s">
        <v>395</v>
      </c>
      <c r="E54" s="402" t="s">
        <v>396</v>
      </c>
      <c r="F54" s="402" t="s">
        <v>397</v>
      </c>
      <c r="G54" s="402" t="s">
        <v>374</v>
      </c>
      <c r="H54" s="402" t="s">
        <v>398</v>
      </c>
      <c r="I54" s="403">
        <v>2018</v>
      </c>
      <c r="J54" s="404">
        <v>20</v>
      </c>
      <c r="K54" s="405">
        <v>250</v>
      </c>
      <c r="L54" s="405">
        <v>13</v>
      </c>
      <c r="M54" s="406" t="s">
        <v>251</v>
      </c>
      <c r="N54" s="406" t="s">
        <v>251</v>
      </c>
      <c r="O54" s="406" t="s">
        <v>376</v>
      </c>
      <c r="P54" s="407">
        <v>0.46860120183473908</v>
      </c>
      <c r="Q54" s="407">
        <v>0.46860120183473908</v>
      </c>
      <c r="R54" s="408">
        <v>5000</v>
      </c>
      <c r="S54" s="408">
        <v>260</v>
      </c>
      <c r="T54" s="409">
        <v>18331.962640054404</v>
      </c>
      <c r="U54" s="409">
        <v>8714.3812063142141</v>
      </c>
      <c r="V54" s="410">
        <v>2.103644791987243</v>
      </c>
      <c r="W54" s="409">
        <v>9617.5814337401898</v>
      </c>
      <c r="X54" s="409">
        <v>18331.962640054404</v>
      </c>
      <c r="Y54" s="409">
        <v>8714.3812063142141</v>
      </c>
      <c r="Z54" s="410">
        <v>2.103644791987243</v>
      </c>
      <c r="AA54" s="409">
        <v>9617.5814337401898</v>
      </c>
      <c r="AB54" s="409">
        <v>15940.837078308177</v>
      </c>
      <c r="AC54" s="409">
        <v>4956.6154797174549</v>
      </c>
      <c r="AD54" s="410">
        <v>3.2160729722808483</v>
      </c>
      <c r="AE54" s="409">
        <v>10984.221598590722</v>
      </c>
      <c r="AF54" s="409">
        <v>4750.4628740390572</v>
      </c>
      <c r="AG54" s="409">
        <v>18073.742376612314</v>
      </c>
      <c r="AH54" s="410">
        <v>0.26283781051268196</v>
      </c>
      <c r="AI54" s="409">
        <v>-13323.279502573256</v>
      </c>
      <c r="AJ54" s="409">
        <v>15940.837078308177</v>
      </c>
      <c r="AK54" s="409">
        <v>4974.8211993411551</v>
      </c>
      <c r="AL54" s="410">
        <v>3.2043035195756011</v>
      </c>
      <c r="AM54" s="409">
        <v>10966.015878967022</v>
      </c>
      <c r="AN54" s="411">
        <v>100.27268156496842</v>
      </c>
      <c r="AO54" s="411">
        <v>248922.48869090166</v>
      </c>
      <c r="AP54" s="409">
        <v>4956.6154797174549</v>
      </c>
      <c r="AQ54" s="409">
        <v>49.431364578656222</v>
      </c>
      <c r="AR54" s="409">
        <v>1.991228476697543E-2</v>
      </c>
    </row>
    <row r="55" spans="1:44" s="388" customFormat="1">
      <c r="A55" s="402" t="s">
        <v>231</v>
      </c>
      <c r="B55" s="402" t="s">
        <v>370</v>
      </c>
      <c r="C55" s="402" t="s">
        <v>241</v>
      </c>
      <c r="D55" s="402" t="s">
        <v>395</v>
      </c>
      <c r="E55" s="402" t="s">
        <v>396</v>
      </c>
      <c r="F55" s="402" t="s">
        <v>397</v>
      </c>
      <c r="G55" s="402" t="s">
        <v>374</v>
      </c>
      <c r="H55" s="402" t="s">
        <v>398</v>
      </c>
      <c r="I55" s="403">
        <v>2019</v>
      </c>
      <c r="J55" s="404">
        <v>20</v>
      </c>
      <c r="K55" s="405">
        <v>250</v>
      </c>
      <c r="L55" s="405">
        <v>13</v>
      </c>
      <c r="M55" s="406" t="s">
        <v>251</v>
      </c>
      <c r="N55" s="406" t="s">
        <v>251</v>
      </c>
      <c r="O55" s="406" t="s">
        <v>376</v>
      </c>
      <c r="P55" s="407">
        <v>0.46860120183473908</v>
      </c>
      <c r="Q55" s="407">
        <v>0.46860120183473908</v>
      </c>
      <c r="R55" s="408">
        <v>5000</v>
      </c>
      <c r="S55" s="408">
        <v>260</v>
      </c>
      <c r="T55" s="409">
        <v>18427.703752447229</v>
      </c>
      <c r="U55" s="409">
        <v>8543.5109865825652</v>
      </c>
      <c r="V55" s="410">
        <v>2.1569239837565162</v>
      </c>
      <c r="W55" s="409">
        <v>9884.1927658646637</v>
      </c>
      <c r="X55" s="409">
        <v>18427.703752447229</v>
      </c>
      <c r="Y55" s="409">
        <v>8543.5109865825652</v>
      </c>
      <c r="Z55" s="410">
        <v>2.1569239837565162</v>
      </c>
      <c r="AA55" s="409">
        <v>9884.1927658646637</v>
      </c>
      <c r="AB55" s="409">
        <v>16024.090219519332</v>
      </c>
      <c r="AC55" s="409">
        <v>4859.4269408994651</v>
      </c>
      <c r="AD55" s="410">
        <v>3.2975267278230387</v>
      </c>
      <c r="AE55" s="409">
        <v>11164.663278619868</v>
      </c>
      <c r="AF55" s="409">
        <v>4658.0214071735072</v>
      </c>
      <c r="AG55" s="409">
        <v>17719.355271188542</v>
      </c>
      <c r="AH55" s="410">
        <v>0.26287758983801141</v>
      </c>
      <c r="AI55" s="409">
        <v>-13061.333864015036</v>
      </c>
      <c r="AJ55" s="409">
        <v>16024.090219519332</v>
      </c>
      <c r="AK55" s="409">
        <v>4877.6059857451573</v>
      </c>
      <c r="AL55" s="410">
        <v>3.2852367055374838</v>
      </c>
      <c r="AM55" s="409">
        <v>11146.484233774176</v>
      </c>
      <c r="AN55" s="411">
        <v>98.306550553890588</v>
      </c>
      <c r="AO55" s="411">
        <v>244041.65557931541</v>
      </c>
      <c r="AP55" s="409">
        <v>4859.4269408994651</v>
      </c>
      <c r="AQ55" s="409">
        <v>49.431364578656229</v>
      </c>
      <c r="AR55" s="409">
        <v>1.9912284766975423E-2</v>
      </c>
    </row>
    <row r="56" spans="1:44" s="388" customFormat="1">
      <c r="A56" s="402" t="s">
        <v>231</v>
      </c>
      <c r="B56" s="402" t="s">
        <v>370</v>
      </c>
      <c r="C56" s="402" t="s">
        <v>241</v>
      </c>
      <c r="D56" s="402" t="s">
        <v>395</v>
      </c>
      <c r="E56" s="402" t="s">
        <v>396</v>
      </c>
      <c r="F56" s="402" t="s">
        <v>397</v>
      </c>
      <c r="G56" s="402" t="s">
        <v>374</v>
      </c>
      <c r="H56" s="402" t="s">
        <v>398</v>
      </c>
      <c r="I56" s="403">
        <v>2020</v>
      </c>
      <c r="J56" s="404">
        <v>20</v>
      </c>
      <c r="K56" s="405">
        <v>250</v>
      </c>
      <c r="L56" s="405">
        <v>13</v>
      </c>
      <c r="M56" s="406" t="s">
        <v>251</v>
      </c>
      <c r="N56" s="406" t="s">
        <v>251</v>
      </c>
      <c r="O56" s="406" t="s">
        <v>376</v>
      </c>
      <c r="P56" s="407">
        <v>0.46860120183473908</v>
      </c>
      <c r="Q56" s="407">
        <v>0.46860120183473908</v>
      </c>
      <c r="R56" s="408">
        <v>5000</v>
      </c>
      <c r="S56" s="408">
        <v>260</v>
      </c>
      <c r="T56" s="409">
        <v>18465.914353083856</v>
      </c>
      <c r="U56" s="409">
        <v>8375.9911633162374</v>
      </c>
      <c r="V56" s="410">
        <v>2.2046243833157053</v>
      </c>
      <c r="W56" s="409">
        <v>10089.923189767618</v>
      </c>
      <c r="X56" s="409">
        <v>18465.914353083856</v>
      </c>
      <c r="Y56" s="409">
        <v>8375.9911633162374</v>
      </c>
      <c r="Z56" s="410">
        <v>2.2046243833157053</v>
      </c>
      <c r="AA56" s="409">
        <v>10089.923189767618</v>
      </c>
      <c r="AB56" s="409">
        <v>16057.316828768571</v>
      </c>
      <c r="AC56" s="409">
        <v>4764.1440597053579</v>
      </c>
      <c r="AD56" s="410">
        <v>3.3704515706356806</v>
      </c>
      <c r="AE56" s="409">
        <v>11293.172769063214</v>
      </c>
      <c r="AF56" s="409">
        <v>4567.3406898962357</v>
      </c>
      <c r="AG56" s="409">
        <v>17371.916932537784</v>
      </c>
      <c r="AH56" s="410">
        <v>0.26291518130285085</v>
      </c>
      <c r="AI56" s="409">
        <v>-12804.576242641549</v>
      </c>
      <c r="AJ56" s="409">
        <v>16057.316828768571</v>
      </c>
      <c r="AK56" s="409">
        <v>4782.2726660541894</v>
      </c>
      <c r="AL56" s="410">
        <v>3.3576748859904137</v>
      </c>
      <c r="AM56" s="409">
        <v>11275.044162714381</v>
      </c>
      <c r="AN56" s="411">
        <v>96.378971131265288</v>
      </c>
      <c r="AO56" s="411">
        <v>239256.52507776016</v>
      </c>
      <c r="AP56" s="409">
        <v>4764.1440597053579</v>
      </c>
      <c r="AQ56" s="409">
        <v>49.431364578656229</v>
      </c>
      <c r="AR56" s="409">
        <v>1.9912284766975426E-2</v>
      </c>
    </row>
    <row r="57" spans="1:44" s="388" customFormat="1">
      <c r="A57" s="402" t="s">
        <v>231</v>
      </c>
      <c r="B57" s="402" t="s">
        <v>370</v>
      </c>
      <c r="C57" s="402" t="s">
        <v>21</v>
      </c>
      <c r="D57" s="402" t="s">
        <v>389</v>
      </c>
      <c r="E57" s="402" t="s">
        <v>399</v>
      </c>
      <c r="F57" s="402" t="s">
        <v>400</v>
      </c>
      <c r="G57" s="402" t="s">
        <v>374</v>
      </c>
      <c r="H57" s="402" t="s">
        <v>401</v>
      </c>
      <c r="I57" s="403">
        <v>2015</v>
      </c>
      <c r="J57" s="404">
        <v>0</v>
      </c>
      <c r="K57" s="405">
        <v>76.430000000000007</v>
      </c>
      <c r="L57" s="405">
        <v>0</v>
      </c>
      <c r="M57" s="406" t="s">
        <v>251</v>
      </c>
      <c r="N57" s="406" t="s">
        <v>251</v>
      </c>
      <c r="O57" s="406" t="s">
        <v>376</v>
      </c>
      <c r="P57" s="407">
        <v>0.38322222222222518</v>
      </c>
      <c r="Q57" s="407">
        <v>0.38322222222222518</v>
      </c>
      <c r="R57" s="408">
        <v>0</v>
      </c>
      <c r="S57" s="408">
        <v>0</v>
      </c>
      <c r="T57" s="409">
        <v>0</v>
      </c>
      <c r="U57" s="409">
        <v>0</v>
      </c>
      <c r="V57" s="410" t="e">
        <v>#DIV/0!</v>
      </c>
      <c r="W57" s="409">
        <v>0</v>
      </c>
      <c r="X57" s="409">
        <v>0</v>
      </c>
      <c r="Y57" s="409">
        <v>0</v>
      </c>
      <c r="Z57" s="410" t="e">
        <v>#DIV/0!</v>
      </c>
      <c r="AA57" s="409">
        <v>0</v>
      </c>
      <c r="AB57" s="409">
        <v>0</v>
      </c>
      <c r="AC57" s="409">
        <v>0</v>
      </c>
      <c r="AD57" s="410" t="e">
        <v>#DIV/0!</v>
      </c>
      <c r="AE57" s="409">
        <v>0</v>
      </c>
      <c r="AF57" s="409">
        <v>0</v>
      </c>
      <c r="AG57" s="409">
        <v>0</v>
      </c>
      <c r="AH57" s="410" t="e">
        <v>#DIV/0!</v>
      </c>
      <c r="AI57" s="409">
        <v>0</v>
      </c>
      <c r="AJ57" s="409">
        <v>0</v>
      </c>
      <c r="AK57" s="409">
        <v>0</v>
      </c>
      <c r="AL57" s="410" t="e">
        <v>#DIV/0!</v>
      </c>
      <c r="AM57" s="409">
        <v>0</v>
      </c>
      <c r="AN57" s="411">
        <v>0</v>
      </c>
      <c r="AO57" s="411">
        <v>0</v>
      </c>
      <c r="AP57" s="409">
        <v>0</v>
      </c>
      <c r="AQ57" s="409" t="e">
        <v>#DIV/0!</v>
      </c>
      <c r="AR57" s="409" t="e">
        <v>#DIV/0!</v>
      </c>
    </row>
    <row r="58" spans="1:44" s="388" customFormat="1">
      <c r="A58" s="402" t="s">
        <v>231</v>
      </c>
      <c r="B58" s="402" t="s">
        <v>370</v>
      </c>
      <c r="C58" s="402" t="s">
        <v>21</v>
      </c>
      <c r="D58" s="402" t="s">
        <v>389</v>
      </c>
      <c r="E58" s="402" t="s">
        <v>399</v>
      </c>
      <c r="F58" s="402" t="s">
        <v>400</v>
      </c>
      <c r="G58" s="402" t="s">
        <v>374</v>
      </c>
      <c r="H58" s="402" t="s">
        <v>401</v>
      </c>
      <c r="I58" s="403">
        <v>2016</v>
      </c>
      <c r="J58" s="404">
        <v>0</v>
      </c>
      <c r="K58" s="405">
        <v>76.430000000000007</v>
      </c>
      <c r="L58" s="405">
        <v>0</v>
      </c>
      <c r="M58" s="406" t="s">
        <v>251</v>
      </c>
      <c r="N58" s="406" t="s">
        <v>251</v>
      </c>
      <c r="O58" s="406" t="s">
        <v>376</v>
      </c>
      <c r="P58" s="407">
        <v>0.38322222222222518</v>
      </c>
      <c r="Q58" s="407">
        <v>0.38322222222222518</v>
      </c>
      <c r="R58" s="408">
        <v>0</v>
      </c>
      <c r="S58" s="408">
        <v>0</v>
      </c>
      <c r="T58" s="409">
        <v>0</v>
      </c>
      <c r="U58" s="409">
        <v>0</v>
      </c>
      <c r="V58" s="410" t="e">
        <v>#DIV/0!</v>
      </c>
      <c r="W58" s="409">
        <v>0</v>
      </c>
      <c r="X58" s="409">
        <v>0</v>
      </c>
      <c r="Y58" s="409">
        <v>0</v>
      </c>
      <c r="Z58" s="410" t="e">
        <v>#DIV/0!</v>
      </c>
      <c r="AA58" s="409">
        <v>0</v>
      </c>
      <c r="AB58" s="409">
        <v>0</v>
      </c>
      <c r="AC58" s="409">
        <v>0</v>
      </c>
      <c r="AD58" s="410" t="e">
        <v>#DIV/0!</v>
      </c>
      <c r="AE58" s="409">
        <v>0</v>
      </c>
      <c r="AF58" s="409">
        <v>0</v>
      </c>
      <c r="AG58" s="409">
        <v>0</v>
      </c>
      <c r="AH58" s="410" t="e">
        <v>#DIV/0!</v>
      </c>
      <c r="AI58" s="409">
        <v>0</v>
      </c>
      <c r="AJ58" s="409">
        <v>0</v>
      </c>
      <c r="AK58" s="409">
        <v>0</v>
      </c>
      <c r="AL58" s="410" t="e">
        <v>#DIV/0!</v>
      </c>
      <c r="AM58" s="409">
        <v>0</v>
      </c>
      <c r="AN58" s="411">
        <v>0</v>
      </c>
      <c r="AO58" s="411">
        <v>0</v>
      </c>
      <c r="AP58" s="409">
        <v>0</v>
      </c>
      <c r="AQ58" s="409" t="e">
        <v>#DIV/0!</v>
      </c>
      <c r="AR58" s="409" t="e">
        <v>#DIV/0!</v>
      </c>
    </row>
    <row r="59" spans="1:44" s="388" customFormat="1">
      <c r="A59" s="402" t="s">
        <v>231</v>
      </c>
      <c r="B59" s="402" t="s">
        <v>370</v>
      </c>
      <c r="C59" s="402" t="s">
        <v>21</v>
      </c>
      <c r="D59" s="402" t="s">
        <v>389</v>
      </c>
      <c r="E59" s="402" t="s">
        <v>399</v>
      </c>
      <c r="F59" s="402" t="s">
        <v>400</v>
      </c>
      <c r="G59" s="402" t="s">
        <v>374</v>
      </c>
      <c r="H59" s="402" t="s">
        <v>401</v>
      </c>
      <c r="I59" s="403">
        <v>2017</v>
      </c>
      <c r="J59" s="404">
        <v>0</v>
      </c>
      <c r="K59" s="405">
        <v>76.430000000000007</v>
      </c>
      <c r="L59" s="405">
        <v>0</v>
      </c>
      <c r="M59" s="406" t="s">
        <v>251</v>
      </c>
      <c r="N59" s="406" t="s">
        <v>251</v>
      </c>
      <c r="O59" s="406" t="s">
        <v>376</v>
      </c>
      <c r="P59" s="407">
        <v>0.38322222222222518</v>
      </c>
      <c r="Q59" s="407">
        <v>0.38322222222222518</v>
      </c>
      <c r="R59" s="408">
        <v>0</v>
      </c>
      <c r="S59" s="408">
        <v>0</v>
      </c>
      <c r="T59" s="409">
        <v>0</v>
      </c>
      <c r="U59" s="409">
        <v>0</v>
      </c>
      <c r="V59" s="410" t="e">
        <v>#DIV/0!</v>
      </c>
      <c r="W59" s="409">
        <v>0</v>
      </c>
      <c r="X59" s="409">
        <v>0</v>
      </c>
      <c r="Y59" s="409">
        <v>0</v>
      </c>
      <c r="Z59" s="410" t="e">
        <v>#DIV/0!</v>
      </c>
      <c r="AA59" s="409">
        <v>0</v>
      </c>
      <c r="AB59" s="409">
        <v>0</v>
      </c>
      <c r="AC59" s="409">
        <v>0</v>
      </c>
      <c r="AD59" s="410" t="e">
        <v>#DIV/0!</v>
      </c>
      <c r="AE59" s="409">
        <v>0</v>
      </c>
      <c r="AF59" s="409">
        <v>0</v>
      </c>
      <c r="AG59" s="409">
        <v>0</v>
      </c>
      <c r="AH59" s="410" t="e">
        <v>#DIV/0!</v>
      </c>
      <c r="AI59" s="409">
        <v>0</v>
      </c>
      <c r="AJ59" s="409">
        <v>0</v>
      </c>
      <c r="AK59" s="409">
        <v>0</v>
      </c>
      <c r="AL59" s="410" t="e">
        <v>#DIV/0!</v>
      </c>
      <c r="AM59" s="409">
        <v>0</v>
      </c>
      <c r="AN59" s="411">
        <v>0</v>
      </c>
      <c r="AO59" s="411">
        <v>0</v>
      </c>
      <c r="AP59" s="409">
        <v>0</v>
      </c>
      <c r="AQ59" s="409" t="e">
        <v>#DIV/0!</v>
      </c>
      <c r="AR59" s="409" t="e">
        <v>#DIV/0!</v>
      </c>
    </row>
    <row r="60" spans="1:44" s="388" customFormat="1">
      <c r="A60" s="402" t="s">
        <v>231</v>
      </c>
      <c r="B60" s="402" t="s">
        <v>370</v>
      </c>
      <c r="C60" s="402" t="s">
        <v>21</v>
      </c>
      <c r="D60" s="402" t="s">
        <v>389</v>
      </c>
      <c r="E60" s="402" t="s">
        <v>399</v>
      </c>
      <c r="F60" s="402" t="s">
        <v>400</v>
      </c>
      <c r="G60" s="402" t="s">
        <v>374</v>
      </c>
      <c r="H60" s="402" t="s">
        <v>401</v>
      </c>
      <c r="I60" s="403">
        <v>2018</v>
      </c>
      <c r="J60" s="404">
        <v>0</v>
      </c>
      <c r="K60" s="405">
        <v>76.430000000000007</v>
      </c>
      <c r="L60" s="405">
        <v>0</v>
      </c>
      <c r="M60" s="406" t="s">
        <v>251</v>
      </c>
      <c r="N60" s="406" t="s">
        <v>251</v>
      </c>
      <c r="O60" s="406" t="s">
        <v>376</v>
      </c>
      <c r="P60" s="407">
        <v>0.38322222222222518</v>
      </c>
      <c r="Q60" s="407">
        <v>0.38322222222222518</v>
      </c>
      <c r="R60" s="408">
        <v>0</v>
      </c>
      <c r="S60" s="408">
        <v>0</v>
      </c>
      <c r="T60" s="409">
        <v>0</v>
      </c>
      <c r="U60" s="409">
        <v>0</v>
      </c>
      <c r="V60" s="410" t="e">
        <v>#DIV/0!</v>
      </c>
      <c r="W60" s="409">
        <v>0</v>
      </c>
      <c r="X60" s="409">
        <v>0</v>
      </c>
      <c r="Y60" s="409">
        <v>0</v>
      </c>
      <c r="Z60" s="410" t="e">
        <v>#DIV/0!</v>
      </c>
      <c r="AA60" s="409">
        <v>0</v>
      </c>
      <c r="AB60" s="409">
        <v>0</v>
      </c>
      <c r="AC60" s="409">
        <v>0</v>
      </c>
      <c r="AD60" s="410" t="e">
        <v>#DIV/0!</v>
      </c>
      <c r="AE60" s="409">
        <v>0</v>
      </c>
      <c r="AF60" s="409">
        <v>0</v>
      </c>
      <c r="AG60" s="409">
        <v>0</v>
      </c>
      <c r="AH60" s="410" t="e">
        <v>#DIV/0!</v>
      </c>
      <c r="AI60" s="409">
        <v>0</v>
      </c>
      <c r="AJ60" s="409">
        <v>0</v>
      </c>
      <c r="AK60" s="409">
        <v>0</v>
      </c>
      <c r="AL60" s="410" t="e">
        <v>#DIV/0!</v>
      </c>
      <c r="AM60" s="409">
        <v>0</v>
      </c>
      <c r="AN60" s="411">
        <v>0</v>
      </c>
      <c r="AO60" s="411">
        <v>0</v>
      </c>
      <c r="AP60" s="409">
        <v>0</v>
      </c>
      <c r="AQ60" s="409" t="e">
        <v>#DIV/0!</v>
      </c>
      <c r="AR60" s="409" t="e">
        <v>#DIV/0!</v>
      </c>
    </row>
    <row r="61" spans="1:44" s="388" customFormat="1">
      <c r="A61" s="402" t="s">
        <v>231</v>
      </c>
      <c r="B61" s="402" t="s">
        <v>370</v>
      </c>
      <c r="C61" s="402" t="s">
        <v>21</v>
      </c>
      <c r="D61" s="402" t="s">
        <v>389</v>
      </c>
      <c r="E61" s="402" t="s">
        <v>399</v>
      </c>
      <c r="F61" s="402" t="s">
        <v>400</v>
      </c>
      <c r="G61" s="402" t="s">
        <v>374</v>
      </c>
      <c r="H61" s="402" t="s">
        <v>401</v>
      </c>
      <c r="I61" s="403">
        <v>2019</v>
      </c>
      <c r="J61" s="404">
        <v>0</v>
      </c>
      <c r="K61" s="405">
        <v>76.430000000000007</v>
      </c>
      <c r="L61" s="405">
        <v>0</v>
      </c>
      <c r="M61" s="406" t="s">
        <v>251</v>
      </c>
      <c r="N61" s="406" t="s">
        <v>251</v>
      </c>
      <c r="O61" s="406" t="s">
        <v>376</v>
      </c>
      <c r="P61" s="407">
        <v>0.38322222222222518</v>
      </c>
      <c r="Q61" s="407">
        <v>0.38322222222222518</v>
      </c>
      <c r="R61" s="408">
        <v>0</v>
      </c>
      <c r="S61" s="408">
        <v>0</v>
      </c>
      <c r="T61" s="409">
        <v>0</v>
      </c>
      <c r="U61" s="409">
        <v>0</v>
      </c>
      <c r="V61" s="410" t="e">
        <v>#DIV/0!</v>
      </c>
      <c r="W61" s="409">
        <v>0</v>
      </c>
      <c r="X61" s="409">
        <v>0</v>
      </c>
      <c r="Y61" s="409">
        <v>0</v>
      </c>
      <c r="Z61" s="410" t="e">
        <v>#DIV/0!</v>
      </c>
      <c r="AA61" s="409">
        <v>0</v>
      </c>
      <c r="AB61" s="409">
        <v>0</v>
      </c>
      <c r="AC61" s="409">
        <v>0</v>
      </c>
      <c r="AD61" s="410" t="e">
        <v>#DIV/0!</v>
      </c>
      <c r="AE61" s="409">
        <v>0</v>
      </c>
      <c r="AF61" s="409">
        <v>0</v>
      </c>
      <c r="AG61" s="409">
        <v>0</v>
      </c>
      <c r="AH61" s="410" t="e">
        <v>#DIV/0!</v>
      </c>
      <c r="AI61" s="409">
        <v>0</v>
      </c>
      <c r="AJ61" s="409">
        <v>0</v>
      </c>
      <c r="AK61" s="409">
        <v>0</v>
      </c>
      <c r="AL61" s="410" t="e">
        <v>#DIV/0!</v>
      </c>
      <c r="AM61" s="409">
        <v>0</v>
      </c>
      <c r="AN61" s="411">
        <v>0</v>
      </c>
      <c r="AO61" s="411">
        <v>0</v>
      </c>
      <c r="AP61" s="409">
        <v>0</v>
      </c>
      <c r="AQ61" s="409" t="e">
        <v>#DIV/0!</v>
      </c>
      <c r="AR61" s="409" t="e">
        <v>#DIV/0!</v>
      </c>
    </row>
    <row r="62" spans="1:44" s="388" customFormat="1">
      <c r="A62" s="402" t="s">
        <v>231</v>
      </c>
      <c r="B62" s="402" t="s">
        <v>370</v>
      </c>
      <c r="C62" s="402" t="s">
        <v>21</v>
      </c>
      <c r="D62" s="402" t="s">
        <v>389</v>
      </c>
      <c r="E62" s="402" t="s">
        <v>399</v>
      </c>
      <c r="F62" s="402" t="s">
        <v>400</v>
      </c>
      <c r="G62" s="402" t="s">
        <v>374</v>
      </c>
      <c r="H62" s="402" t="s">
        <v>401</v>
      </c>
      <c r="I62" s="403">
        <v>2020</v>
      </c>
      <c r="J62" s="404">
        <v>0</v>
      </c>
      <c r="K62" s="405">
        <v>76.430000000000007</v>
      </c>
      <c r="L62" s="405">
        <v>0</v>
      </c>
      <c r="M62" s="406" t="s">
        <v>251</v>
      </c>
      <c r="N62" s="406" t="s">
        <v>251</v>
      </c>
      <c r="O62" s="406" t="s">
        <v>376</v>
      </c>
      <c r="P62" s="407">
        <v>0.38322222222222518</v>
      </c>
      <c r="Q62" s="407">
        <v>0.38322222222222518</v>
      </c>
      <c r="R62" s="408">
        <v>0</v>
      </c>
      <c r="S62" s="408">
        <v>0</v>
      </c>
      <c r="T62" s="409">
        <v>0</v>
      </c>
      <c r="U62" s="409">
        <v>0</v>
      </c>
      <c r="V62" s="410" t="e">
        <v>#DIV/0!</v>
      </c>
      <c r="W62" s="409">
        <v>0</v>
      </c>
      <c r="X62" s="409">
        <v>0</v>
      </c>
      <c r="Y62" s="409">
        <v>0</v>
      </c>
      <c r="Z62" s="410" t="e">
        <v>#DIV/0!</v>
      </c>
      <c r="AA62" s="409">
        <v>0</v>
      </c>
      <c r="AB62" s="409">
        <v>0</v>
      </c>
      <c r="AC62" s="409">
        <v>0</v>
      </c>
      <c r="AD62" s="410" t="e">
        <v>#DIV/0!</v>
      </c>
      <c r="AE62" s="409">
        <v>0</v>
      </c>
      <c r="AF62" s="409">
        <v>0</v>
      </c>
      <c r="AG62" s="409">
        <v>0</v>
      </c>
      <c r="AH62" s="410" t="e">
        <v>#DIV/0!</v>
      </c>
      <c r="AI62" s="409">
        <v>0</v>
      </c>
      <c r="AJ62" s="409">
        <v>0</v>
      </c>
      <c r="AK62" s="409">
        <v>0</v>
      </c>
      <c r="AL62" s="410" t="e">
        <v>#DIV/0!</v>
      </c>
      <c r="AM62" s="409">
        <v>0</v>
      </c>
      <c r="AN62" s="411">
        <v>0</v>
      </c>
      <c r="AO62" s="411">
        <v>0</v>
      </c>
      <c r="AP62" s="409">
        <v>0</v>
      </c>
      <c r="AQ62" s="409" t="e">
        <v>#DIV/0!</v>
      </c>
      <c r="AR62" s="409" t="e">
        <v>#DIV/0!</v>
      </c>
    </row>
    <row r="63" spans="1:44" s="388" customFormat="1">
      <c r="A63" s="402" t="s">
        <v>231</v>
      </c>
      <c r="B63" s="402" t="s">
        <v>370</v>
      </c>
      <c r="C63" s="402" t="s">
        <v>21</v>
      </c>
      <c r="D63" s="402" t="s">
        <v>395</v>
      </c>
      <c r="E63" s="402" t="s">
        <v>402</v>
      </c>
      <c r="F63" s="402" t="s">
        <v>403</v>
      </c>
      <c r="G63" s="402" t="s">
        <v>374</v>
      </c>
      <c r="H63" s="402" t="s">
        <v>404</v>
      </c>
      <c r="I63" s="403">
        <v>2015</v>
      </c>
      <c r="J63" s="404">
        <v>0</v>
      </c>
      <c r="K63" s="405">
        <v>76.430000000000007</v>
      </c>
      <c r="L63" s="405">
        <v>0</v>
      </c>
      <c r="M63" s="406" t="s">
        <v>251</v>
      </c>
      <c r="N63" s="406" t="s">
        <v>251</v>
      </c>
      <c r="O63" s="406" t="s">
        <v>376</v>
      </c>
      <c r="P63" s="407">
        <v>0.38322222222222602</v>
      </c>
      <c r="Q63" s="407">
        <v>0.38322222222222602</v>
      </c>
      <c r="R63" s="408">
        <v>0</v>
      </c>
      <c r="S63" s="408">
        <v>0</v>
      </c>
      <c r="T63" s="409">
        <v>0</v>
      </c>
      <c r="U63" s="409">
        <v>0</v>
      </c>
      <c r="V63" s="410" t="e">
        <v>#DIV/0!</v>
      </c>
      <c r="W63" s="409">
        <v>0</v>
      </c>
      <c r="X63" s="409">
        <v>0</v>
      </c>
      <c r="Y63" s="409">
        <v>0</v>
      </c>
      <c r="Z63" s="410" t="e">
        <v>#DIV/0!</v>
      </c>
      <c r="AA63" s="409">
        <v>0</v>
      </c>
      <c r="AB63" s="409">
        <v>0</v>
      </c>
      <c r="AC63" s="409">
        <v>0</v>
      </c>
      <c r="AD63" s="410" t="e">
        <v>#DIV/0!</v>
      </c>
      <c r="AE63" s="409">
        <v>0</v>
      </c>
      <c r="AF63" s="409">
        <v>0</v>
      </c>
      <c r="AG63" s="409">
        <v>0</v>
      </c>
      <c r="AH63" s="410" t="e">
        <v>#DIV/0!</v>
      </c>
      <c r="AI63" s="409">
        <v>0</v>
      </c>
      <c r="AJ63" s="409">
        <v>0</v>
      </c>
      <c r="AK63" s="409">
        <v>0</v>
      </c>
      <c r="AL63" s="410" t="e">
        <v>#DIV/0!</v>
      </c>
      <c r="AM63" s="409">
        <v>0</v>
      </c>
      <c r="AN63" s="411">
        <v>0</v>
      </c>
      <c r="AO63" s="411">
        <v>0</v>
      </c>
      <c r="AP63" s="409">
        <v>0</v>
      </c>
      <c r="AQ63" s="409" t="e">
        <v>#DIV/0!</v>
      </c>
      <c r="AR63" s="409" t="e">
        <v>#DIV/0!</v>
      </c>
    </row>
    <row r="64" spans="1:44" s="388" customFormat="1">
      <c r="A64" s="402" t="s">
        <v>231</v>
      </c>
      <c r="B64" s="402" t="s">
        <v>370</v>
      </c>
      <c r="C64" s="402" t="s">
        <v>21</v>
      </c>
      <c r="D64" s="402" t="s">
        <v>395</v>
      </c>
      <c r="E64" s="402" t="s">
        <v>402</v>
      </c>
      <c r="F64" s="402" t="s">
        <v>403</v>
      </c>
      <c r="G64" s="402" t="s">
        <v>374</v>
      </c>
      <c r="H64" s="402" t="s">
        <v>404</v>
      </c>
      <c r="I64" s="403">
        <v>2016</v>
      </c>
      <c r="J64" s="404">
        <v>0</v>
      </c>
      <c r="K64" s="405">
        <v>76.430000000000007</v>
      </c>
      <c r="L64" s="405">
        <v>0</v>
      </c>
      <c r="M64" s="406" t="s">
        <v>251</v>
      </c>
      <c r="N64" s="406" t="s">
        <v>251</v>
      </c>
      <c r="O64" s="406" t="s">
        <v>376</v>
      </c>
      <c r="P64" s="407">
        <v>0.38322222222222602</v>
      </c>
      <c r="Q64" s="407">
        <v>0.38322222222222602</v>
      </c>
      <c r="R64" s="408">
        <v>0</v>
      </c>
      <c r="S64" s="408">
        <v>0</v>
      </c>
      <c r="T64" s="409">
        <v>0</v>
      </c>
      <c r="U64" s="409">
        <v>0</v>
      </c>
      <c r="V64" s="410" t="e">
        <v>#DIV/0!</v>
      </c>
      <c r="W64" s="409">
        <v>0</v>
      </c>
      <c r="X64" s="409">
        <v>0</v>
      </c>
      <c r="Y64" s="409">
        <v>0</v>
      </c>
      <c r="Z64" s="410" t="e">
        <v>#DIV/0!</v>
      </c>
      <c r="AA64" s="409">
        <v>0</v>
      </c>
      <c r="AB64" s="409">
        <v>0</v>
      </c>
      <c r="AC64" s="409">
        <v>0</v>
      </c>
      <c r="AD64" s="410" t="e">
        <v>#DIV/0!</v>
      </c>
      <c r="AE64" s="409">
        <v>0</v>
      </c>
      <c r="AF64" s="409">
        <v>0</v>
      </c>
      <c r="AG64" s="409">
        <v>0</v>
      </c>
      <c r="AH64" s="410" t="e">
        <v>#DIV/0!</v>
      </c>
      <c r="AI64" s="409">
        <v>0</v>
      </c>
      <c r="AJ64" s="409">
        <v>0</v>
      </c>
      <c r="AK64" s="409">
        <v>0</v>
      </c>
      <c r="AL64" s="410" t="e">
        <v>#DIV/0!</v>
      </c>
      <c r="AM64" s="409">
        <v>0</v>
      </c>
      <c r="AN64" s="411">
        <v>0</v>
      </c>
      <c r="AO64" s="411">
        <v>0</v>
      </c>
      <c r="AP64" s="409">
        <v>0</v>
      </c>
      <c r="AQ64" s="409" t="e">
        <v>#DIV/0!</v>
      </c>
      <c r="AR64" s="409" t="e">
        <v>#DIV/0!</v>
      </c>
    </row>
    <row r="65" spans="1:44" s="388" customFormat="1">
      <c r="A65" s="402" t="s">
        <v>231</v>
      </c>
      <c r="B65" s="402" t="s">
        <v>370</v>
      </c>
      <c r="C65" s="402" t="s">
        <v>21</v>
      </c>
      <c r="D65" s="402" t="s">
        <v>395</v>
      </c>
      <c r="E65" s="402" t="s">
        <v>402</v>
      </c>
      <c r="F65" s="402" t="s">
        <v>403</v>
      </c>
      <c r="G65" s="402" t="s">
        <v>374</v>
      </c>
      <c r="H65" s="402" t="s">
        <v>404</v>
      </c>
      <c r="I65" s="403">
        <v>2017</v>
      </c>
      <c r="J65" s="404">
        <v>0</v>
      </c>
      <c r="K65" s="405">
        <v>76.430000000000007</v>
      </c>
      <c r="L65" s="405">
        <v>0</v>
      </c>
      <c r="M65" s="406" t="s">
        <v>251</v>
      </c>
      <c r="N65" s="406" t="s">
        <v>251</v>
      </c>
      <c r="O65" s="406" t="s">
        <v>376</v>
      </c>
      <c r="P65" s="407">
        <v>0.38322222222222602</v>
      </c>
      <c r="Q65" s="407">
        <v>0.38322222222222602</v>
      </c>
      <c r="R65" s="408">
        <v>0</v>
      </c>
      <c r="S65" s="408">
        <v>0</v>
      </c>
      <c r="T65" s="409">
        <v>0</v>
      </c>
      <c r="U65" s="409">
        <v>0</v>
      </c>
      <c r="V65" s="410" t="e">
        <v>#DIV/0!</v>
      </c>
      <c r="W65" s="409">
        <v>0</v>
      </c>
      <c r="X65" s="409">
        <v>0</v>
      </c>
      <c r="Y65" s="409">
        <v>0</v>
      </c>
      <c r="Z65" s="410" t="e">
        <v>#DIV/0!</v>
      </c>
      <c r="AA65" s="409">
        <v>0</v>
      </c>
      <c r="AB65" s="409">
        <v>0</v>
      </c>
      <c r="AC65" s="409">
        <v>0</v>
      </c>
      <c r="AD65" s="410" t="e">
        <v>#DIV/0!</v>
      </c>
      <c r="AE65" s="409">
        <v>0</v>
      </c>
      <c r="AF65" s="409">
        <v>0</v>
      </c>
      <c r="AG65" s="409">
        <v>0</v>
      </c>
      <c r="AH65" s="410" t="e">
        <v>#DIV/0!</v>
      </c>
      <c r="AI65" s="409">
        <v>0</v>
      </c>
      <c r="AJ65" s="409">
        <v>0</v>
      </c>
      <c r="AK65" s="409">
        <v>0</v>
      </c>
      <c r="AL65" s="410" t="e">
        <v>#DIV/0!</v>
      </c>
      <c r="AM65" s="409">
        <v>0</v>
      </c>
      <c r="AN65" s="411">
        <v>0</v>
      </c>
      <c r="AO65" s="411">
        <v>0</v>
      </c>
      <c r="AP65" s="409">
        <v>0</v>
      </c>
      <c r="AQ65" s="409" t="e">
        <v>#DIV/0!</v>
      </c>
      <c r="AR65" s="409" t="e">
        <v>#DIV/0!</v>
      </c>
    </row>
    <row r="66" spans="1:44" s="388" customFormat="1">
      <c r="A66" s="402" t="s">
        <v>231</v>
      </c>
      <c r="B66" s="402" t="s">
        <v>370</v>
      </c>
      <c r="C66" s="402" t="s">
        <v>21</v>
      </c>
      <c r="D66" s="402" t="s">
        <v>395</v>
      </c>
      <c r="E66" s="402" t="s">
        <v>402</v>
      </c>
      <c r="F66" s="402" t="s">
        <v>403</v>
      </c>
      <c r="G66" s="402" t="s">
        <v>374</v>
      </c>
      <c r="H66" s="402" t="s">
        <v>404</v>
      </c>
      <c r="I66" s="403">
        <v>2018</v>
      </c>
      <c r="J66" s="404">
        <v>0</v>
      </c>
      <c r="K66" s="405">
        <v>76.430000000000007</v>
      </c>
      <c r="L66" s="405">
        <v>0</v>
      </c>
      <c r="M66" s="406" t="s">
        <v>251</v>
      </c>
      <c r="N66" s="406" t="s">
        <v>251</v>
      </c>
      <c r="O66" s="406" t="s">
        <v>376</v>
      </c>
      <c r="P66" s="407">
        <v>0.38322222222222602</v>
      </c>
      <c r="Q66" s="407">
        <v>0.38322222222222602</v>
      </c>
      <c r="R66" s="408">
        <v>0</v>
      </c>
      <c r="S66" s="408">
        <v>0</v>
      </c>
      <c r="T66" s="409">
        <v>0</v>
      </c>
      <c r="U66" s="409">
        <v>0</v>
      </c>
      <c r="V66" s="410" t="e">
        <v>#DIV/0!</v>
      </c>
      <c r="W66" s="409">
        <v>0</v>
      </c>
      <c r="X66" s="409">
        <v>0</v>
      </c>
      <c r="Y66" s="409">
        <v>0</v>
      </c>
      <c r="Z66" s="410" t="e">
        <v>#DIV/0!</v>
      </c>
      <c r="AA66" s="409">
        <v>0</v>
      </c>
      <c r="AB66" s="409">
        <v>0</v>
      </c>
      <c r="AC66" s="409">
        <v>0</v>
      </c>
      <c r="AD66" s="410" t="e">
        <v>#DIV/0!</v>
      </c>
      <c r="AE66" s="409">
        <v>0</v>
      </c>
      <c r="AF66" s="409">
        <v>0</v>
      </c>
      <c r="AG66" s="409">
        <v>0</v>
      </c>
      <c r="AH66" s="410" t="e">
        <v>#DIV/0!</v>
      </c>
      <c r="AI66" s="409">
        <v>0</v>
      </c>
      <c r="AJ66" s="409">
        <v>0</v>
      </c>
      <c r="AK66" s="409">
        <v>0</v>
      </c>
      <c r="AL66" s="410" t="e">
        <v>#DIV/0!</v>
      </c>
      <c r="AM66" s="409">
        <v>0</v>
      </c>
      <c r="AN66" s="411">
        <v>0</v>
      </c>
      <c r="AO66" s="411">
        <v>0</v>
      </c>
      <c r="AP66" s="409">
        <v>0</v>
      </c>
      <c r="AQ66" s="409" t="e">
        <v>#DIV/0!</v>
      </c>
      <c r="AR66" s="409" t="e">
        <v>#DIV/0!</v>
      </c>
    </row>
    <row r="67" spans="1:44" s="388" customFormat="1">
      <c r="A67" s="402" t="s">
        <v>231</v>
      </c>
      <c r="B67" s="402" t="s">
        <v>370</v>
      </c>
      <c r="C67" s="402" t="s">
        <v>21</v>
      </c>
      <c r="D67" s="402" t="s">
        <v>395</v>
      </c>
      <c r="E67" s="402" t="s">
        <v>402</v>
      </c>
      <c r="F67" s="402" t="s">
        <v>403</v>
      </c>
      <c r="G67" s="402" t="s">
        <v>374</v>
      </c>
      <c r="H67" s="402" t="s">
        <v>404</v>
      </c>
      <c r="I67" s="403">
        <v>2019</v>
      </c>
      <c r="J67" s="404">
        <v>0</v>
      </c>
      <c r="K67" s="405">
        <v>76.430000000000007</v>
      </c>
      <c r="L67" s="405">
        <v>0</v>
      </c>
      <c r="M67" s="406" t="s">
        <v>251</v>
      </c>
      <c r="N67" s="406" t="s">
        <v>251</v>
      </c>
      <c r="O67" s="406" t="s">
        <v>376</v>
      </c>
      <c r="P67" s="407">
        <v>0.38322222222222602</v>
      </c>
      <c r="Q67" s="407">
        <v>0.38322222222222602</v>
      </c>
      <c r="R67" s="408">
        <v>0</v>
      </c>
      <c r="S67" s="408">
        <v>0</v>
      </c>
      <c r="T67" s="409">
        <v>0</v>
      </c>
      <c r="U67" s="409">
        <v>0</v>
      </c>
      <c r="V67" s="410" t="e">
        <v>#DIV/0!</v>
      </c>
      <c r="W67" s="409">
        <v>0</v>
      </c>
      <c r="X67" s="409">
        <v>0</v>
      </c>
      <c r="Y67" s="409">
        <v>0</v>
      </c>
      <c r="Z67" s="410" t="e">
        <v>#DIV/0!</v>
      </c>
      <c r="AA67" s="409">
        <v>0</v>
      </c>
      <c r="AB67" s="409">
        <v>0</v>
      </c>
      <c r="AC67" s="409">
        <v>0</v>
      </c>
      <c r="AD67" s="410" t="e">
        <v>#DIV/0!</v>
      </c>
      <c r="AE67" s="409">
        <v>0</v>
      </c>
      <c r="AF67" s="409">
        <v>0</v>
      </c>
      <c r="AG67" s="409">
        <v>0</v>
      </c>
      <c r="AH67" s="410" t="e">
        <v>#DIV/0!</v>
      </c>
      <c r="AI67" s="409">
        <v>0</v>
      </c>
      <c r="AJ67" s="409">
        <v>0</v>
      </c>
      <c r="AK67" s="409">
        <v>0</v>
      </c>
      <c r="AL67" s="410" t="e">
        <v>#DIV/0!</v>
      </c>
      <c r="AM67" s="409">
        <v>0</v>
      </c>
      <c r="AN67" s="411">
        <v>0</v>
      </c>
      <c r="AO67" s="411">
        <v>0</v>
      </c>
      <c r="AP67" s="409">
        <v>0</v>
      </c>
      <c r="AQ67" s="409" t="e">
        <v>#DIV/0!</v>
      </c>
      <c r="AR67" s="409" t="e">
        <v>#DIV/0!</v>
      </c>
    </row>
    <row r="68" spans="1:44" s="388" customFormat="1">
      <c r="A68" s="402" t="s">
        <v>231</v>
      </c>
      <c r="B68" s="402" t="s">
        <v>370</v>
      </c>
      <c r="C68" s="402" t="s">
        <v>21</v>
      </c>
      <c r="D68" s="402" t="s">
        <v>395</v>
      </c>
      <c r="E68" s="402" t="s">
        <v>402</v>
      </c>
      <c r="F68" s="402" t="s">
        <v>403</v>
      </c>
      <c r="G68" s="402" t="s">
        <v>374</v>
      </c>
      <c r="H68" s="402" t="s">
        <v>404</v>
      </c>
      <c r="I68" s="403">
        <v>2020</v>
      </c>
      <c r="J68" s="404">
        <v>0</v>
      </c>
      <c r="K68" s="405">
        <v>76.430000000000007</v>
      </c>
      <c r="L68" s="405">
        <v>0</v>
      </c>
      <c r="M68" s="406" t="s">
        <v>251</v>
      </c>
      <c r="N68" s="406" t="s">
        <v>251</v>
      </c>
      <c r="O68" s="406" t="s">
        <v>376</v>
      </c>
      <c r="P68" s="407">
        <v>0.38322222222222602</v>
      </c>
      <c r="Q68" s="407">
        <v>0.38322222222222602</v>
      </c>
      <c r="R68" s="408">
        <v>0</v>
      </c>
      <c r="S68" s="408">
        <v>0</v>
      </c>
      <c r="T68" s="409">
        <v>0</v>
      </c>
      <c r="U68" s="409">
        <v>0</v>
      </c>
      <c r="V68" s="410" t="e">
        <v>#DIV/0!</v>
      </c>
      <c r="W68" s="409">
        <v>0</v>
      </c>
      <c r="X68" s="409">
        <v>0</v>
      </c>
      <c r="Y68" s="409">
        <v>0</v>
      </c>
      <c r="Z68" s="410" t="e">
        <v>#DIV/0!</v>
      </c>
      <c r="AA68" s="409">
        <v>0</v>
      </c>
      <c r="AB68" s="409">
        <v>0</v>
      </c>
      <c r="AC68" s="409">
        <v>0</v>
      </c>
      <c r="AD68" s="410" t="e">
        <v>#DIV/0!</v>
      </c>
      <c r="AE68" s="409">
        <v>0</v>
      </c>
      <c r="AF68" s="409">
        <v>0</v>
      </c>
      <c r="AG68" s="409">
        <v>0</v>
      </c>
      <c r="AH68" s="410" t="e">
        <v>#DIV/0!</v>
      </c>
      <c r="AI68" s="409">
        <v>0</v>
      </c>
      <c r="AJ68" s="409">
        <v>0</v>
      </c>
      <c r="AK68" s="409">
        <v>0</v>
      </c>
      <c r="AL68" s="410" t="e">
        <v>#DIV/0!</v>
      </c>
      <c r="AM68" s="409">
        <v>0</v>
      </c>
      <c r="AN68" s="411">
        <v>0</v>
      </c>
      <c r="AO68" s="411">
        <v>0</v>
      </c>
      <c r="AP68" s="409">
        <v>0</v>
      </c>
      <c r="AQ68" s="409" t="e">
        <v>#DIV/0!</v>
      </c>
      <c r="AR68" s="409" t="e">
        <v>#DIV/0!</v>
      </c>
    </row>
    <row r="69" spans="1:44" s="388" customFormat="1">
      <c r="A69" s="402" t="s">
        <v>231</v>
      </c>
      <c r="B69" s="402" t="s">
        <v>370</v>
      </c>
      <c r="C69" s="402" t="s">
        <v>21</v>
      </c>
      <c r="D69" s="402" t="s">
        <v>405</v>
      </c>
      <c r="E69" s="402" t="s">
        <v>406</v>
      </c>
      <c r="F69" s="402" t="s">
        <v>407</v>
      </c>
      <c r="G69" s="402" t="s">
        <v>374</v>
      </c>
      <c r="H69" s="402" t="s">
        <v>408</v>
      </c>
      <c r="I69" s="403">
        <v>2015</v>
      </c>
      <c r="J69" s="404">
        <v>0</v>
      </c>
      <c r="K69" s="405">
        <v>76.430000000000007</v>
      </c>
      <c r="L69" s="405">
        <v>0</v>
      </c>
      <c r="M69" s="406" t="s">
        <v>251</v>
      </c>
      <c r="N69" s="406" t="s">
        <v>251</v>
      </c>
      <c r="O69" s="406" t="s">
        <v>376</v>
      </c>
      <c r="P69" s="407">
        <v>0.48452941176478675</v>
      </c>
      <c r="Q69" s="407">
        <v>0.48452941176478675</v>
      </c>
      <c r="R69" s="408">
        <v>0</v>
      </c>
      <c r="S69" s="408">
        <v>0</v>
      </c>
      <c r="T69" s="409">
        <v>0</v>
      </c>
      <c r="U69" s="409">
        <v>0</v>
      </c>
      <c r="V69" s="410" t="e">
        <v>#DIV/0!</v>
      </c>
      <c r="W69" s="409">
        <v>0</v>
      </c>
      <c r="X69" s="409">
        <v>0</v>
      </c>
      <c r="Y69" s="409">
        <v>0</v>
      </c>
      <c r="Z69" s="410" t="e">
        <v>#DIV/0!</v>
      </c>
      <c r="AA69" s="409">
        <v>0</v>
      </c>
      <c r="AB69" s="409">
        <v>0</v>
      </c>
      <c r="AC69" s="409">
        <v>0</v>
      </c>
      <c r="AD69" s="410" t="e">
        <v>#DIV/0!</v>
      </c>
      <c r="AE69" s="409">
        <v>0</v>
      </c>
      <c r="AF69" s="409">
        <v>0</v>
      </c>
      <c r="AG69" s="409">
        <v>0</v>
      </c>
      <c r="AH69" s="410" t="e">
        <v>#DIV/0!</v>
      </c>
      <c r="AI69" s="409">
        <v>0</v>
      </c>
      <c r="AJ69" s="409">
        <v>0</v>
      </c>
      <c r="AK69" s="409">
        <v>0</v>
      </c>
      <c r="AL69" s="410" t="e">
        <v>#DIV/0!</v>
      </c>
      <c r="AM69" s="409">
        <v>0</v>
      </c>
      <c r="AN69" s="411">
        <v>0</v>
      </c>
      <c r="AO69" s="411">
        <v>0</v>
      </c>
      <c r="AP69" s="409">
        <v>0</v>
      </c>
      <c r="AQ69" s="409" t="e">
        <v>#DIV/0!</v>
      </c>
      <c r="AR69" s="409" t="e">
        <v>#DIV/0!</v>
      </c>
    </row>
    <row r="70" spans="1:44" s="388" customFormat="1">
      <c r="A70" s="402" t="s">
        <v>231</v>
      </c>
      <c r="B70" s="402" t="s">
        <v>370</v>
      </c>
      <c r="C70" s="402" t="s">
        <v>21</v>
      </c>
      <c r="D70" s="402" t="s">
        <v>405</v>
      </c>
      <c r="E70" s="402" t="s">
        <v>406</v>
      </c>
      <c r="F70" s="402" t="s">
        <v>407</v>
      </c>
      <c r="G70" s="402" t="s">
        <v>374</v>
      </c>
      <c r="H70" s="402" t="s">
        <v>408</v>
      </c>
      <c r="I70" s="403">
        <v>2016</v>
      </c>
      <c r="J70" s="404">
        <v>0</v>
      </c>
      <c r="K70" s="405">
        <v>76.430000000000007</v>
      </c>
      <c r="L70" s="405">
        <v>0</v>
      </c>
      <c r="M70" s="406" t="s">
        <v>251</v>
      </c>
      <c r="N70" s="406" t="s">
        <v>251</v>
      </c>
      <c r="O70" s="406" t="s">
        <v>376</v>
      </c>
      <c r="P70" s="407">
        <v>0.48452941176478675</v>
      </c>
      <c r="Q70" s="407">
        <v>0.48452941176478675</v>
      </c>
      <c r="R70" s="408">
        <v>0</v>
      </c>
      <c r="S70" s="408">
        <v>0</v>
      </c>
      <c r="T70" s="409">
        <v>0</v>
      </c>
      <c r="U70" s="409">
        <v>0</v>
      </c>
      <c r="V70" s="410" t="e">
        <v>#DIV/0!</v>
      </c>
      <c r="W70" s="409">
        <v>0</v>
      </c>
      <c r="X70" s="409">
        <v>0</v>
      </c>
      <c r="Y70" s="409">
        <v>0</v>
      </c>
      <c r="Z70" s="410" t="e">
        <v>#DIV/0!</v>
      </c>
      <c r="AA70" s="409">
        <v>0</v>
      </c>
      <c r="AB70" s="409">
        <v>0</v>
      </c>
      <c r="AC70" s="409">
        <v>0</v>
      </c>
      <c r="AD70" s="410" t="e">
        <v>#DIV/0!</v>
      </c>
      <c r="AE70" s="409">
        <v>0</v>
      </c>
      <c r="AF70" s="409">
        <v>0</v>
      </c>
      <c r="AG70" s="409">
        <v>0</v>
      </c>
      <c r="AH70" s="410" t="e">
        <v>#DIV/0!</v>
      </c>
      <c r="AI70" s="409">
        <v>0</v>
      </c>
      <c r="AJ70" s="409">
        <v>0</v>
      </c>
      <c r="AK70" s="409">
        <v>0</v>
      </c>
      <c r="AL70" s="410" t="e">
        <v>#DIV/0!</v>
      </c>
      <c r="AM70" s="409">
        <v>0</v>
      </c>
      <c r="AN70" s="411">
        <v>0</v>
      </c>
      <c r="AO70" s="411">
        <v>0</v>
      </c>
      <c r="AP70" s="409">
        <v>0</v>
      </c>
      <c r="AQ70" s="409" t="e">
        <v>#DIV/0!</v>
      </c>
      <c r="AR70" s="409" t="e">
        <v>#DIV/0!</v>
      </c>
    </row>
    <row r="71" spans="1:44" s="388" customFormat="1">
      <c r="A71" s="402" t="s">
        <v>231</v>
      </c>
      <c r="B71" s="402" t="s">
        <v>370</v>
      </c>
      <c r="C71" s="402" t="s">
        <v>21</v>
      </c>
      <c r="D71" s="402" t="s">
        <v>405</v>
      </c>
      <c r="E71" s="402" t="s">
        <v>406</v>
      </c>
      <c r="F71" s="402" t="s">
        <v>407</v>
      </c>
      <c r="G71" s="402" t="s">
        <v>374</v>
      </c>
      <c r="H71" s="402" t="s">
        <v>408</v>
      </c>
      <c r="I71" s="403">
        <v>2017</v>
      </c>
      <c r="J71" s="404">
        <v>0</v>
      </c>
      <c r="K71" s="405">
        <v>76.430000000000007</v>
      </c>
      <c r="L71" s="405">
        <v>0</v>
      </c>
      <c r="M71" s="406" t="s">
        <v>251</v>
      </c>
      <c r="N71" s="406" t="s">
        <v>251</v>
      </c>
      <c r="O71" s="406" t="s">
        <v>376</v>
      </c>
      <c r="P71" s="407">
        <v>0.48452941176478675</v>
      </c>
      <c r="Q71" s="407">
        <v>0.48452941176478675</v>
      </c>
      <c r="R71" s="408">
        <v>0</v>
      </c>
      <c r="S71" s="408">
        <v>0</v>
      </c>
      <c r="T71" s="409">
        <v>0</v>
      </c>
      <c r="U71" s="409">
        <v>0</v>
      </c>
      <c r="V71" s="410" t="e">
        <v>#DIV/0!</v>
      </c>
      <c r="W71" s="409">
        <v>0</v>
      </c>
      <c r="X71" s="409">
        <v>0</v>
      </c>
      <c r="Y71" s="409">
        <v>0</v>
      </c>
      <c r="Z71" s="410" t="e">
        <v>#DIV/0!</v>
      </c>
      <c r="AA71" s="409">
        <v>0</v>
      </c>
      <c r="AB71" s="409">
        <v>0</v>
      </c>
      <c r="AC71" s="409">
        <v>0</v>
      </c>
      <c r="AD71" s="410" t="e">
        <v>#DIV/0!</v>
      </c>
      <c r="AE71" s="409">
        <v>0</v>
      </c>
      <c r="AF71" s="409">
        <v>0</v>
      </c>
      <c r="AG71" s="409">
        <v>0</v>
      </c>
      <c r="AH71" s="410" t="e">
        <v>#DIV/0!</v>
      </c>
      <c r="AI71" s="409">
        <v>0</v>
      </c>
      <c r="AJ71" s="409">
        <v>0</v>
      </c>
      <c r="AK71" s="409">
        <v>0</v>
      </c>
      <c r="AL71" s="410" t="e">
        <v>#DIV/0!</v>
      </c>
      <c r="AM71" s="409">
        <v>0</v>
      </c>
      <c r="AN71" s="411">
        <v>0</v>
      </c>
      <c r="AO71" s="411">
        <v>0</v>
      </c>
      <c r="AP71" s="409">
        <v>0</v>
      </c>
      <c r="AQ71" s="409" t="e">
        <v>#DIV/0!</v>
      </c>
      <c r="AR71" s="409" t="e">
        <v>#DIV/0!</v>
      </c>
    </row>
    <row r="72" spans="1:44" s="388" customFormat="1">
      <c r="A72" s="402" t="s">
        <v>231</v>
      </c>
      <c r="B72" s="402" t="s">
        <v>370</v>
      </c>
      <c r="C72" s="402" t="s">
        <v>21</v>
      </c>
      <c r="D72" s="402" t="s">
        <v>405</v>
      </c>
      <c r="E72" s="402" t="s">
        <v>406</v>
      </c>
      <c r="F72" s="402" t="s">
        <v>407</v>
      </c>
      <c r="G72" s="402" t="s">
        <v>374</v>
      </c>
      <c r="H72" s="402" t="s">
        <v>408</v>
      </c>
      <c r="I72" s="403">
        <v>2018</v>
      </c>
      <c r="J72" s="404">
        <v>0</v>
      </c>
      <c r="K72" s="405">
        <v>76.430000000000007</v>
      </c>
      <c r="L72" s="405">
        <v>0</v>
      </c>
      <c r="M72" s="406" t="s">
        <v>251</v>
      </c>
      <c r="N72" s="406" t="s">
        <v>251</v>
      </c>
      <c r="O72" s="406" t="s">
        <v>376</v>
      </c>
      <c r="P72" s="407">
        <v>0.48452941176478675</v>
      </c>
      <c r="Q72" s="407">
        <v>0.48452941176478675</v>
      </c>
      <c r="R72" s="408">
        <v>0</v>
      </c>
      <c r="S72" s="408">
        <v>0</v>
      </c>
      <c r="T72" s="409">
        <v>0</v>
      </c>
      <c r="U72" s="409">
        <v>0</v>
      </c>
      <c r="V72" s="410" t="e">
        <v>#DIV/0!</v>
      </c>
      <c r="W72" s="409">
        <v>0</v>
      </c>
      <c r="X72" s="409">
        <v>0</v>
      </c>
      <c r="Y72" s="409">
        <v>0</v>
      </c>
      <c r="Z72" s="410" t="e">
        <v>#DIV/0!</v>
      </c>
      <c r="AA72" s="409">
        <v>0</v>
      </c>
      <c r="AB72" s="409">
        <v>0</v>
      </c>
      <c r="AC72" s="409">
        <v>0</v>
      </c>
      <c r="AD72" s="410" t="e">
        <v>#DIV/0!</v>
      </c>
      <c r="AE72" s="409">
        <v>0</v>
      </c>
      <c r="AF72" s="409">
        <v>0</v>
      </c>
      <c r="AG72" s="409">
        <v>0</v>
      </c>
      <c r="AH72" s="410" t="e">
        <v>#DIV/0!</v>
      </c>
      <c r="AI72" s="409">
        <v>0</v>
      </c>
      <c r="AJ72" s="409">
        <v>0</v>
      </c>
      <c r="AK72" s="409">
        <v>0</v>
      </c>
      <c r="AL72" s="410" t="e">
        <v>#DIV/0!</v>
      </c>
      <c r="AM72" s="409">
        <v>0</v>
      </c>
      <c r="AN72" s="411">
        <v>0</v>
      </c>
      <c r="AO72" s="411">
        <v>0</v>
      </c>
      <c r="AP72" s="409">
        <v>0</v>
      </c>
      <c r="AQ72" s="409" t="e">
        <v>#DIV/0!</v>
      </c>
      <c r="AR72" s="409" t="e">
        <v>#DIV/0!</v>
      </c>
    </row>
    <row r="73" spans="1:44" s="388" customFormat="1">
      <c r="A73" s="402" t="s">
        <v>231</v>
      </c>
      <c r="B73" s="402" t="s">
        <v>370</v>
      </c>
      <c r="C73" s="402" t="s">
        <v>21</v>
      </c>
      <c r="D73" s="402" t="s">
        <v>405</v>
      </c>
      <c r="E73" s="402" t="s">
        <v>406</v>
      </c>
      <c r="F73" s="402" t="s">
        <v>407</v>
      </c>
      <c r="G73" s="402" t="s">
        <v>374</v>
      </c>
      <c r="H73" s="402" t="s">
        <v>408</v>
      </c>
      <c r="I73" s="403">
        <v>2019</v>
      </c>
      <c r="J73" s="404">
        <v>0</v>
      </c>
      <c r="K73" s="405">
        <v>76.430000000000007</v>
      </c>
      <c r="L73" s="405">
        <v>0</v>
      </c>
      <c r="M73" s="406" t="s">
        <v>251</v>
      </c>
      <c r="N73" s="406" t="s">
        <v>251</v>
      </c>
      <c r="O73" s="406" t="s">
        <v>376</v>
      </c>
      <c r="P73" s="407">
        <v>0.48452941176478675</v>
      </c>
      <c r="Q73" s="407">
        <v>0.48452941176478675</v>
      </c>
      <c r="R73" s="408">
        <v>0</v>
      </c>
      <c r="S73" s="408">
        <v>0</v>
      </c>
      <c r="T73" s="409">
        <v>0</v>
      </c>
      <c r="U73" s="409">
        <v>0</v>
      </c>
      <c r="V73" s="410" t="e">
        <v>#DIV/0!</v>
      </c>
      <c r="W73" s="409">
        <v>0</v>
      </c>
      <c r="X73" s="409">
        <v>0</v>
      </c>
      <c r="Y73" s="409">
        <v>0</v>
      </c>
      <c r="Z73" s="410" t="e">
        <v>#DIV/0!</v>
      </c>
      <c r="AA73" s="409">
        <v>0</v>
      </c>
      <c r="AB73" s="409">
        <v>0</v>
      </c>
      <c r="AC73" s="409">
        <v>0</v>
      </c>
      <c r="AD73" s="410" t="e">
        <v>#DIV/0!</v>
      </c>
      <c r="AE73" s="409">
        <v>0</v>
      </c>
      <c r="AF73" s="409">
        <v>0</v>
      </c>
      <c r="AG73" s="409">
        <v>0</v>
      </c>
      <c r="AH73" s="410" t="e">
        <v>#DIV/0!</v>
      </c>
      <c r="AI73" s="409">
        <v>0</v>
      </c>
      <c r="AJ73" s="409">
        <v>0</v>
      </c>
      <c r="AK73" s="409">
        <v>0</v>
      </c>
      <c r="AL73" s="410" t="e">
        <v>#DIV/0!</v>
      </c>
      <c r="AM73" s="409">
        <v>0</v>
      </c>
      <c r="AN73" s="411">
        <v>0</v>
      </c>
      <c r="AO73" s="411">
        <v>0</v>
      </c>
      <c r="AP73" s="409">
        <v>0</v>
      </c>
      <c r="AQ73" s="409" t="e">
        <v>#DIV/0!</v>
      </c>
      <c r="AR73" s="409" t="e">
        <v>#DIV/0!</v>
      </c>
    </row>
    <row r="74" spans="1:44" s="388" customFormat="1">
      <c r="A74" s="402" t="s">
        <v>231</v>
      </c>
      <c r="B74" s="402" t="s">
        <v>370</v>
      </c>
      <c r="C74" s="402" t="s">
        <v>21</v>
      </c>
      <c r="D74" s="402" t="s">
        <v>405</v>
      </c>
      <c r="E74" s="402" t="s">
        <v>406</v>
      </c>
      <c r="F74" s="402" t="s">
        <v>407</v>
      </c>
      <c r="G74" s="402" t="s">
        <v>374</v>
      </c>
      <c r="H74" s="402" t="s">
        <v>408</v>
      </c>
      <c r="I74" s="403">
        <v>2020</v>
      </c>
      <c r="J74" s="404">
        <v>0</v>
      </c>
      <c r="K74" s="405">
        <v>76.430000000000007</v>
      </c>
      <c r="L74" s="405">
        <v>0</v>
      </c>
      <c r="M74" s="406" t="s">
        <v>251</v>
      </c>
      <c r="N74" s="406" t="s">
        <v>251</v>
      </c>
      <c r="O74" s="406" t="s">
        <v>376</v>
      </c>
      <c r="P74" s="407">
        <v>0.48452941176478675</v>
      </c>
      <c r="Q74" s="407">
        <v>0.48452941176478675</v>
      </c>
      <c r="R74" s="408">
        <v>0</v>
      </c>
      <c r="S74" s="408">
        <v>0</v>
      </c>
      <c r="T74" s="409">
        <v>0</v>
      </c>
      <c r="U74" s="409">
        <v>0</v>
      </c>
      <c r="V74" s="410" t="e">
        <v>#DIV/0!</v>
      </c>
      <c r="W74" s="409">
        <v>0</v>
      </c>
      <c r="X74" s="409">
        <v>0</v>
      </c>
      <c r="Y74" s="409">
        <v>0</v>
      </c>
      <c r="Z74" s="410" t="e">
        <v>#DIV/0!</v>
      </c>
      <c r="AA74" s="409">
        <v>0</v>
      </c>
      <c r="AB74" s="409">
        <v>0</v>
      </c>
      <c r="AC74" s="409">
        <v>0</v>
      </c>
      <c r="AD74" s="410" t="e">
        <v>#DIV/0!</v>
      </c>
      <c r="AE74" s="409">
        <v>0</v>
      </c>
      <c r="AF74" s="409">
        <v>0</v>
      </c>
      <c r="AG74" s="409">
        <v>0</v>
      </c>
      <c r="AH74" s="410" t="e">
        <v>#DIV/0!</v>
      </c>
      <c r="AI74" s="409">
        <v>0</v>
      </c>
      <c r="AJ74" s="409">
        <v>0</v>
      </c>
      <c r="AK74" s="409">
        <v>0</v>
      </c>
      <c r="AL74" s="410" t="e">
        <v>#DIV/0!</v>
      </c>
      <c r="AM74" s="409">
        <v>0</v>
      </c>
      <c r="AN74" s="411">
        <v>0</v>
      </c>
      <c r="AO74" s="411">
        <v>0</v>
      </c>
      <c r="AP74" s="409">
        <v>0</v>
      </c>
      <c r="AQ74" s="409" t="e">
        <v>#DIV/0!</v>
      </c>
      <c r="AR74" s="409" t="e">
        <v>#DIV/0!</v>
      </c>
    </row>
    <row r="75" spans="1:44" s="388" customFormat="1">
      <c r="A75" s="402" t="s">
        <v>231</v>
      </c>
      <c r="B75" s="402" t="s">
        <v>370</v>
      </c>
      <c r="C75" s="402" t="s">
        <v>21</v>
      </c>
      <c r="D75" s="402" t="s">
        <v>405</v>
      </c>
      <c r="E75" s="402" t="s">
        <v>409</v>
      </c>
      <c r="F75" s="402" t="s">
        <v>410</v>
      </c>
      <c r="G75" s="402" t="s">
        <v>374</v>
      </c>
      <c r="H75" s="402" t="s">
        <v>411</v>
      </c>
      <c r="I75" s="403">
        <v>2015</v>
      </c>
      <c r="J75" s="404">
        <v>0</v>
      </c>
      <c r="K75" s="405">
        <v>76.430000000000007</v>
      </c>
      <c r="L75" s="405">
        <v>0</v>
      </c>
      <c r="M75" s="406" t="s">
        <v>251</v>
      </c>
      <c r="N75" s="406" t="s">
        <v>251</v>
      </c>
      <c r="O75" s="406" t="s">
        <v>376</v>
      </c>
      <c r="P75" s="407">
        <v>0.46536965252313928</v>
      </c>
      <c r="Q75" s="407">
        <v>0.46536965252313928</v>
      </c>
      <c r="R75" s="408">
        <v>0</v>
      </c>
      <c r="S75" s="408">
        <v>0</v>
      </c>
      <c r="T75" s="409">
        <v>0</v>
      </c>
      <c r="U75" s="409">
        <v>0</v>
      </c>
      <c r="V75" s="410" t="e">
        <v>#DIV/0!</v>
      </c>
      <c r="W75" s="409">
        <v>0</v>
      </c>
      <c r="X75" s="409">
        <v>0</v>
      </c>
      <c r="Y75" s="409">
        <v>0</v>
      </c>
      <c r="Z75" s="410" t="e">
        <v>#DIV/0!</v>
      </c>
      <c r="AA75" s="409">
        <v>0</v>
      </c>
      <c r="AB75" s="409">
        <v>0</v>
      </c>
      <c r="AC75" s="409">
        <v>0</v>
      </c>
      <c r="AD75" s="410" t="e">
        <v>#DIV/0!</v>
      </c>
      <c r="AE75" s="409">
        <v>0</v>
      </c>
      <c r="AF75" s="409">
        <v>0</v>
      </c>
      <c r="AG75" s="409">
        <v>0</v>
      </c>
      <c r="AH75" s="410" t="e">
        <v>#DIV/0!</v>
      </c>
      <c r="AI75" s="409">
        <v>0</v>
      </c>
      <c r="AJ75" s="409">
        <v>0</v>
      </c>
      <c r="AK75" s="409">
        <v>0</v>
      </c>
      <c r="AL75" s="410" t="e">
        <v>#DIV/0!</v>
      </c>
      <c r="AM75" s="409">
        <v>0</v>
      </c>
      <c r="AN75" s="411">
        <v>0</v>
      </c>
      <c r="AO75" s="411">
        <v>0</v>
      </c>
      <c r="AP75" s="409">
        <v>0</v>
      </c>
      <c r="AQ75" s="409" t="e">
        <v>#DIV/0!</v>
      </c>
      <c r="AR75" s="409" t="e">
        <v>#DIV/0!</v>
      </c>
    </row>
    <row r="76" spans="1:44" s="388" customFormat="1">
      <c r="A76" s="402" t="s">
        <v>231</v>
      </c>
      <c r="B76" s="402" t="s">
        <v>370</v>
      </c>
      <c r="C76" s="402" t="s">
        <v>21</v>
      </c>
      <c r="D76" s="402" t="s">
        <v>405</v>
      </c>
      <c r="E76" s="402" t="s">
        <v>409</v>
      </c>
      <c r="F76" s="402" t="s">
        <v>410</v>
      </c>
      <c r="G76" s="402" t="s">
        <v>374</v>
      </c>
      <c r="H76" s="402" t="s">
        <v>411</v>
      </c>
      <c r="I76" s="403">
        <v>2016</v>
      </c>
      <c r="J76" s="404">
        <v>0</v>
      </c>
      <c r="K76" s="405">
        <v>76.430000000000007</v>
      </c>
      <c r="L76" s="405">
        <v>0</v>
      </c>
      <c r="M76" s="406" t="s">
        <v>251</v>
      </c>
      <c r="N76" s="406" t="s">
        <v>251</v>
      </c>
      <c r="O76" s="406" t="s">
        <v>376</v>
      </c>
      <c r="P76" s="407">
        <v>0.46536965252313928</v>
      </c>
      <c r="Q76" s="407">
        <v>0.46536965252313928</v>
      </c>
      <c r="R76" s="408">
        <v>0</v>
      </c>
      <c r="S76" s="408">
        <v>0</v>
      </c>
      <c r="T76" s="409">
        <v>0</v>
      </c>
      <c r="U76" s="409">
        <v>0</v>
      </c>
      <c r="V76" s="410" t="e">
        <v>#DIV/0!</v>
      </c>
      <c r="W76" s="409">
        <v>0</v>
      </c>
      <c r="X76" s="409">
        <v>0</v>
      </c>
      <c r="Y76" s="409">
        <v>0</v>
      </c>
      <c r="Z76" s="410" t="e">
        <v>#DIV/0!</v>
      </c>
      <c r="AA76" s="409">
        <v>0</v>
      </c>
      <c r="AB76" s="409">
        <v>0</v>
      </c>
      <c r="AC76" s="409">
        <v>0</v>
      </c>
      <c r="AD76" s="410" t="e">
        <v>#DIV/0!</v>
      </c>
      <c r="AE76" s="409">
        <v>0</v>
      </c>
      <c r="AF76" s="409">
        <v>0</v>
      </c>
      <c r="AG76" s="409">
        <v>0</v>
      </c>
      <c r="AH76" s="410" t="e">
        <v>#DIV/0!</v>
      </c>
      <c r="AI76" s="409">
        <v>0</v>
      </c>
      <c r="AJ76" s="409">
        <v>0</v>
      </c>
      <c r="AK76" s="409">
        <v>0</v>
      </c>
      <c r="AL76" s="410" t="e">
        <v>#DIV/0!</v>
      </c>
      <c r="AM76" s="409">
        <v>0</v>
      </c>
      <c r="AN76" s="411">
        <v>0</v>
      </c>
      <c r="AO76" s="411">
        <v>0</v>
      </c>
      <c r="AP76" s="409">
        <v>0</v>
      </c>
      <c r="AQ76" s="409" t="e">
        <v>#DIV/0!</v>
      </c>
      <c r="AR76" s="409" t="e">
        <v>#DIV/0!</v>
      </c>
    </row>
    <row r="77" spans="1:44" s="388" customFormat="1">
      <c r="A77" s="402" t="s">
        <v>231</v>
      </c>
      <c r="B77" s="402" t="s">
        <v>370</v>
      </c>
      <c r="C77" s="402" t="s">
        <v>21</v>
      </c>
      <c r="D77" s="402" t="s">
        <v>405</v>
      </c>
      <c r="E77" s="402" t="s">
        <v>409</v>
      </c>
      <c r="F77" s="402" t="s">
        <v>410</v>
      </c>
      <c r="G77" s="402" t="s">
        <v>374</v>
      </c>
      <c r="H77" s="402" t="s">
        <v>411</v>
      </c>
      <c r="I77" s="403">
        <v>2017</v>
      </c>
      <c r="J77" s="404">
        <v>0</v>
      </c>
      <c r="K77" s="405">
        <v>76.430000000000007</v>
      </c>
      <c r="L77" s="405">
        <v>0</v>
      </c>
      <c r="M77" s="406" t="s">
        <v>251</v>
      </c>
      <c r="N77" s="406" t="s">
        <v>251</v>
      </c>
      <c r="O77" s="406" t="s">
        <v>376</v>
      </c>
      <c r="P77" s="407">
        <v>0.46536965252313928</v>
      </c>
      <c r="Q77" s="407">
        <v>0.46536965252313928</v>
      </c>
      <c r="R77" s="408">
        <v>0</v>
      </c>
      <c r="S77" s="408">
        <v>0</v>
      </c>
      <c r="T77" s="409">
        <v>0</v>
      </c>
      <c r="U77" s="409">
        <v>0</v>
      </c>
      <c r="V77" s="410" t="e">
        <v>#DIV/0!</v>
      </c>
      <c r="W77" s="409">
        <v>0</v>
      </c>
      <c r="X77" s="409">
        <v>0</v>
      </c>
      <c r="Y77" s="409">
        <v>0</v>
      </c>
      <c r="Z77" s="410" t="e">
        <v>#DIV/0!</v>
      </c>
      <c r="AA77" s="409">
        <v>0</v>
      </c>
      <c r="AB77" s="409">
        <v>0</v>
      </c>
      <c r="AC77" s="409">
        <v>0</v>
      </c>
      <c r="AD77" s="410" t="e">
        <v>#DIV/0!</v>
      </c>
      <c r="AE77" s="409">
        <v>0</v>
      </c>
      <c r="AF77" s="409">
        <v>0</v>
      </c>
      <c r="AG77" s="409">
        <v>0</v>
      </c>
      <c r="AH77" s="410" t="e">
        <v>#DIV/0!</v>
      </c>
      <c r="AI77" s="409">
        <v>0</v>
      </c>
      <c r="AJ77" s="409">
        <v>0</v>
      </c>
      <c r="AK77" s="409">
        <v>0</v>
      </c>
      <c r="AL77" s="410" t="e">
        <v>#DIV/0!</v>
      </c>
      <c r="AM77" s="409">
        <v>0</v>
      </c>
      <c r="AN77" s="411">
        <v>0</v>
      </c>
      <c r="AO77" s="411">
        <v>0</v>
      </c>
      <c r="AP77" s="409">
        <v>0</v>
      </c>
      <c r="AQ77" s="409" t="e">
        <v>#DIV/0!</v>
      </c>
      <c r="AR77" s="409" t="e">
        <v>#DIV/0!</v>
      </c>
    </row>
    <row r="78" spans="1:44" s="388" customFormat="1">
      <c r="A78" s="402" t="s">
        <v>231</v>
      </c>
      <c r="B78" s="402" t="s">
        <v>370</v>
      </c>
      <c r="C78" s="402" t="s">
        <v>21</v>
      </c>
      <c r="D78" s="402" t="s">
        <v>405</v>
      </c>
      <c r="E78" s="402" t="s">
        <v>409</v>
      </c>
      <c r="F78" s="402" t="s">
        <v>410</v>
      </c>
      <c r="G78" s="402" t="s">
        <v>374</v>
      </c>
      <c r="H78" s="402" t="s">
        <v>411</v>
      </c>
      <c r="I78" s="403">
        <v>2018</v>
      </c>
      <c r="J78" s="404">
        <v>0</v>
      </c>
      <c r="K78" s="405">
        <v>76.430000000000007</v>
      </c>
      <c r="L78" s="405">
        <v>0</v>
      </c>
      <c r="M78" s="406" t="s">
        <v>251</v>
      </c>
      <c r="N78" s="406" t="s">
        <v>251</v>
      </c>
      <c r="O78" s="406" t="s">
        <v>376</v>
      </c>
      <c r="P78" s="407">
        <v>0.46536965252313928</v>
      </c>
      <c r="Q78" s="407">
        <v>0.46536965252313928</v>
      </c>
      <c r="R78" s="408">
        <v>0</v>
      </c>
      <c r="S78" s="408">
        <v>0</v>
      </c>
      <c r="T78" s="409">
        <v>0</v>
      </c>
      <c r="U78" s="409">
        <v>0</v>
      </c>
      <c r="V78" s="410" t="e">
        <v>#DIV/0!</v>
      </c>
      <c r="W78" s="409">
        <v>0</v>
      </c>
      <c r="X78" s="409">
        <v>0</v>
      </c>
      <c r="Y78" s="409">
        <v>0</v>
      </c>
      <c r="Z78" s="410" t="e">
        <v>#DIV/0!</v>
      </c>
      <c r="AA78" s="409">
        <v>0</v>
      </c>
      <c r="AB78" s="409">
        <v>0</v>
      </c>
      <c r="AC78" s="409">
        <v>0</v>
      </c>
      <c r="AD78" s="410" t="e">
        <v>#DIV/0!</v>
      </c>
      <c r="AE78" s="409">
        <v>0</v>
      </c>
      <c r="AF78" s="409">
        <v>0</v>
      </c>
      <c r="AG78" s="409">
        <v>0</v>
      </c>
      <c r="AH78" s="410" t="e">
        <v>#DIV/0!</v>
      </c>
      <c r="AI78" s="409">
        <v>0</v>
      </c>
      <c r="AJ78" s="409">
        <v>0</v>
      </c>
      <c r="AK78" s="409">
        <v>0</v>
      </c>
      <c r="AL78" s="410" t="e">
        <v>#DIV/0!</v>
      </c>
      <c r="AM78" s="409">
        <v>0</v>
      </c>
      <c r="AN78" s="411">
        <v>0</v>
      </c>
      <c r="AO78" s="411">
        <v>0</v>
      </c>
      <c r="AP78" s="409">
        <v>0</v>
      </c>
      <c r="AQ78" s="409" t="e">
        <v>#DIV/0!</v>
      </c>
      <c r="AR78" s="409" t="e">
        <v>#DIV/0!</v>
      </c>
    </row>
    <row r="79" spans="1:44" s="388" customFormat="1">
      <c r="A79" s="402" t="s">
        <v>231</v>
      </c>
      <c r="B79" s="402" t="s">
        <v>370</v>
      </c>
      <c r="C79" s="402" t="s">
        <v>21</v>
      </c>
      <c r="D79" s="402" t="s">
        <v>405</v>
      </c>
      <c r="E79" s="402" t="s">
        <v>409</v>
      </c>
      <c r="F79" s="402" t="s">
        <v>410</v>
      </c>
      <c r="G79" s="402" t="s">
        <v>374</v>
      </c>
      <c r="H79" s="402" t="s">
        <v>411</v>
      </c>
      <c r="I79" s="403">
        <v>2019</v>
      </c>
      <c r="J79" s="404">
        <v>0</v>
      </c>
      <c r="K79" s="405">
        <v>76.430000000000007</v>
      </c>
      <c r="L79" s="405">
        <v>0</v>
      </c>
      <c r="M79" s="406" t="s">
        <v>251</v>
      </c>
      <c r="N79" s="406" t="s">
        <v>251</v>
      </c>
      <c r="O79" s="406" t="s">
        <v>376</v>
      </c>
      <c r="P79" s="407">
        <v>0.46536965252313928</v>
      </c>
      <c r="Q79" s="407">
        <v>0.46536965252313928</v>
      </c>
      <c r="R79" s="408">
        <v>0</v>
      </c>
      <c r="S79" s="408">
        <v>0</v>
      </c>
      <c r="T79" s="409">
        <v>0</v>
      </c>
      <c r="U79" s="409">
        <v>0</v>
      </c>
      <c r="V79" s="410" t="e">
        <v>#DIV/0!</v>
      </c>
      <c r="W79" s="409">
        <v>0</v>
      </c>
      <c r="X79" s="409">
        <v>0</v>
      </c>
      <c r="Y79" s="409">
        <v>0</v>
      </c>
      <c r="Z79" s="410" t="e">
        <v>#DIV/0!</v>
      </c>
      <c r="AA79" s="409">
        <v>0</v>
      </c>
      <c r="AB79" s="409">
        <v>0</v>
      </c>
      <c r="AC79" s="409">
        <v>0</v>
      </c>
      <c r="AD79" s="410" t="e">
        <v>#DIV/0!</v>
      </c>
      <c r="AE79" s="409">
        <v>0</v>
      </c>
      <c r="AF79" s="409">
        <v>0</v>
      </c>
      <c r="AG79" s="409">
        <v>0</v>
      </c>
      <c r="AH79" s="410" t="e">
        <v>#DIV/0!</v>
      </c>
      <c r="AI79" s="409">
        <v>0</v>
      </c>
      <c r="AJ79" s="409">
        <v>0</v>
      </c>
      <c r="AK79" s="409">
        <v>0</v>
      </c>
      <c r="AL79" s="410" t="e">
        <v>#DIV/0!</v>
      </c>
      <c r="AM79" s="409">
        <v>0</v>
      </c>
      <c r="AN79" s="411">
        <v>0</v>
      </c>
      <c r="AO79" s="411">
        <v>0</v>
      </c>
      <c r="AP79" s="409">
        <v>0</v>
      </c>
      <c r="AQ79" s="409" t="e">
        <v>#DIV/0!</v>
      </c>
      <c r="AR79" s="409" t="e">
        <v>#DIV/0!</v>
      </c>
    </row>
    <row r="80" spans="1:44" s="388" customFormat="1">
      <c r="A80" s="402" t="s">
        <v>231</v>
      </c>
      <c r="B80" s="402" t="s">
        <v>370</v>
      </c>
      <c r="C80" s="402" t="s">
        <v>21</v>
      </c>
      <c r="D80" s="402" t="s">
        <v>405</v>
      </c>
      <c r="E80" s="402" t="s">
        <v>409</v>
      </c>
      <c r="F80" s="402" t="s">
        <v>410</v>
      </c>
      <c r="G80" s="402" t="s">
        <v>374</v>
      </c>
      <c r="H80" s="402" t="s">
        <v>411</v>
      </c>
      <c r="I80" s="403">
        <v>2020</v>
      </c>
      <c r="J80" s="404">
        <v>0</v>
      </c>
      <c r="K80" s="405">
        <v>76.430000000000007</v>
      </c>
      <c r="L80" s="405">
        <v>0</v>
      </c>
      <c r="M80" s="406" t="s">
        <v>251</v>
      </c>
      <c r="N80" s="406" t="s">
        <v>251</v>
      </c>
      <c r="O80" s="406" t="s">
        <v>376</v>
      </c>
      <c r="P80" s="407">
        <v>0.46536965252313928</v>
      </c>
      <c r="Q80" s="407">
        <v>0.46536965252313928</v>
      </c>
      <c r="R80" s="408">
        <v>0</v>
      </c>
      <c r="S80" s="408">
        <v>0</v>
      </c>
      <c r="T80" s="409">
        <v>0</v>
      </c>
      <c r="U80" s="409">
        <v>0</v>
      </c>
      <c r="V80" s="410" t="e">
        <v>#DIV/0!</v>
      </c>
      <c r="W80" s="409">
        <v>0</v>
      </c>
      <c r="X80" s="409">
        <v>0</v>
      </c>
      <c r="Y80" s="409">
        <v>0</v>
      </c>
      <c r="Z80" s="410" t="e">
        <v>#DIV/0!</v>
      </c>
      <c r="AA80" s="409">
        <v>0</v>
      </c>
      <c r="AB80" s="409">
        <v>0</v>
      </c>
      <c r="AC80" s="409">
        <v>0</v>
      </c>
      <c r="AD80" s="410" t="e">
        <v>#DIV/0!</v>
      </c>
      <c r="AE80" s="409">
        <v>0</v>
      </c>
      <c r="AF80" s="409">
        <v>0</v>
      </c>
      <c r="AG80" s="409">
        <v>0</v>
      </c>
      <c r="AH80" s="410" t="e">
        <v>#DIV/0!</v>
      </c>
      <c r="AI80" s="409">
        <v>0</v>
      </c>
      <c r="AJ80" s="409">
        <v>0</v>
      </c>
      <c r="AK80" s="409">
        <v>0</v>
      </c>
      <c r="AL80" s="410" t="e">
        <v>#DIV/0!</v>
      </c>
      <c r="AM80" s="409">
        <v>0</v>
      </c>
      <c r="AN80" s="411">
        <v>0</v>
      </c>
      <c r="AO80" s="411">
        <v>0</v>
      </c>
      <c r="AP80" s="409">
        <v>0</v>
      </c>
      <c r="AQ80" s="409" t="e">
        <v>#DIV/0!</v>
      </c>
      <c r="AR80" s="409" t="e">
        <v>#DIV/0!</v>
      </c>
    </row>
    <row r="81" spans="1:44" s="388" customFormat="1">
      <c r="A81" s="402" t="s">
        <v>231</v>
      </c>
      <c r="B81" s="402" t="s">
        <v>370</v>
      </c>
      <c r="C81" s="402" t="s">
        <v>412</v>
      </c>
      <c r="D81" s="402" t="s">
        <v>413</v>
      </c>
      <c r="E81" s="402" t="s">
        <v>414</v>
      </c>
      <c r="F81" s="402" t="s">
        <v>415</v>
      </c>
      <c r="G81" s="402" t="s">
        <v>374</v>
      </c>
      <c r="H81" s="402" t="s">
        <v>416</v>
      </c>
      <c r="I81" s="403">
        <v>2015</v>
      </c>
      <c r="J81" s="404">
        <v>9000</v>
      </c>
      <c r="K81" s="405">
        <v>0</v>
      </c>
      <c r="L81" s="405">
        <v>0</v>
      </c>
      <c r="M81" s="406" t="s">
        <v>251</v>
      </c>
      <c r="N81" s="406" t="s">
        <v>251</v>
      </c>
      <c r="O81" s="406" t="s">
        <v>376</v>
      </c>
      <c r="P81" s="407">
        <v>1</v>
      </c>
      <c r="Q81" s="407">
        <v>1</v>
      </c>
      <c r="R81" s="408">
        <v>0</v>
      </c>
      <c r="S81" s="408">
        <v>0</v>
      </c>
      <c r="T81" s="409">
        <v>124527.43176419866</v>
      </c>
      <c r="U81" s="409">
        <v>44999.999999999993</v>
      </c>
      <c r="V81" s="410">
        <v>2.7672762614266371</v>
      </c>
      <c r="W81" s="409">
        <v>79527.431764198671</v>
      </c>
      <c r="X81" s="409">
        <v>124527.43176419866</v>
      </c>
      <c r="Y81" s="409">
        <v>44999.999999999993</v>
      </c>
      <c r="Z81" s="410">
        <v>2.7672762614266371</v>
      </c>
      <c r="AA81" s="409">
        <v>79527.431764198671</v>
      </c>
      <c r="AB81" s="409">
        <v>108284.72327321624</v>
      </c>
      <c r="AC81" s="409">
        <v>0</v>
      </c>
      <c r="AD81" s="410" t="e">
        <v>#DIV/0!</v>
      </c>
      <c r="AE81" s="409">
        <v>108284.72327321624</v>
      </c>
      <c r="AF81" s="409">
        <v>288.75397952915534</v>
      </c>
      <c r="AG81" s="409">
        <v>44999.999999999993</v>
      </c>
      <c r="AH81" s="410">
        <v>6.4167551006478977E-3</v>
      </c>
      <c r="AI81" s="409">
        <v>-44711.24602047084</v>
      </c>
      <c r="AJ81" s="409">
        <v>108284.72327321624</v>
      </c>
      <c r="AK81" s="409">
        <v>288.75397952915534</v>
      </c>
      <c r="AL81" s="410">
        <v>375.00686033760024</v>
      </c>
      <c r="AM81" s="409">
        <v>107995.96929368709</v>
      </c>
      <c r="AN81" s="411">
        <v>141.4088992444691</v>
      </c>
      <c r="AO81" s="411">
        <v>2086401.2768805567</v>
      </c>
      <c r="AP81" s="409">
        <v>0</v>
      </c>
      <c r="AQ81" s="409">
        <v>0</v>
      </c>
      <c r="AR81" s="409">
        <v>0</v>
      </c>
    </row>
    <row r="82" spans="1:44" s="388" customFormat="1">
      <c r="A82" s="402" t="s">
        <v>231</v>
      </c>
      <c r="B82" s="402" t="s">
        <v>370</v>
      </c>
      <c r="C82" s="402" t="s">
        <v>412</v>
      </c>
      <c r="D82" s="402" t="s">
        <v>413</v>
      </c>
      <c r="E82" s="402" t="s">
        <v>414</v>
      </c>
      <c r="F82" s="402" t="s">
        <v>415</v>
      </c>
      <c r="G82" s="402" t="s">
        <v>374</v>
      </c>
      <c r="H82" s="402" t="s">
        <v>416</v>
      </c>
      <c r="I82" s="403">
        <v>2016</v>
      </c>
      <c r="J82" s="404">
        <v>300</v>
      </c>
      <c r="K82" s="405">
        <v>5</v>
      </c>
      <c r="L82" s="405">
        <v>1.75</v>
      </c>
      <c r="M82" s="406" t="s">
        <v>251</v>
      </c>
      <c r="N82" s="406" t="s">
        <v>251</v>
      </c>
      <c r="O82" s="406" t="s">
        <v>376</v>
      </c>
      <c r="P82" s="407">
        <v>1</v>
      </c>
      <c r="Q82" s="407">
        <v>1</v>
      </c>
      <c r="R82" s="408">
        <v>1500</v>
      </c>
      <c r="S82" s="408">
        <v>525</v>
      </c>
      <c r="T82" s="409">
        <v>4251.3111104284262</v>
      </c>
      <c r="U82" s="409">
        <v>1985.2941176470588</v>
      </c>
      <c r="V82" s="410">
        <v>2.1414011519195038</v>
      </c>
      <c r="W82" s="409">
        <v>2266.0169927813677</v>
      </c>
      <c r="X82" s="409">
        <v>4251.3111104284262</v>
      </c>
      <c r="Y82" s="409">
        <v>1985.2941176470588</v>
      </c>
      <c r="Z82" s="410">
        <v>2.1414011519195038</v>
      </c>
      <c r="AA82" s="409">
        <v>2266.0169927813677</v>
      </c>
      <c r="AB82" s="409">
        <v>3696.7922699377623</v>
      </c>
      <c r="AC82" s="409">
        <v>1985.2941176470588</v>
      </c>
      <c r="AD82" s="410">
        <v>1.8620879581908729</v>
      </c>
      <c r="AE82" s="409">
        <v>1711.4981522907035</v>
      </c>
      <c r="AF82" s="409">
        <v>1480.1925801558896</v>
      </c>
      <c r="AG82" s="409">
        <v>1470.5882352941176</v>
      </c>
      <c r="AH82" s="410">
        <v>1.006530954506005</v>
      </c>
      <c r="AI82" s="409">
        <v>9.604344861772006</v>
      </c>
      <c r="AJ82" s="409">
        <v>3696.7922699377623</v>
      </c>
      <c r="AK82" s="409">
        <v>1994.8984625088306</v>
      </c>
      <c r="AL82" s="410">
        <v>1.853123023258332</v>
      </c>
      <c r="AM82" s="409">
        <v>1701.8938074289317</v>
      </c>
      <c r="AN82" s="411">
        <v>4.6212058576623907</v>
      </c>
      <c r="AO82" s="411">
        <v>68183.048264070487</v>
      </c>
      <c r="AP82" s="409">
        <v>1985.2941176470588</v>
      </c>
      <c r="AQ82" s="409">
        <v>429.6052110198155</v>
      </c>
      <c r="AR82" s="409">
        <v>2.9117121750821207E-2</v>
      </c>
    </row>
    <row r="83" spans="1:44" s="388" customFormat="1">
      <c r="A83" s="402" t="s">
        <v>231</v>
      </c>
      <c r="B83" s="402" t="s">
        <v>370</v>
      </c>
      <c r="C83" s="402" t="s">
        <v>412</v>
      </c>
      <c r="D83" s="402" t="s">
        <v>413</v>
      </c>
      <c r="E83" s="402" t="s">
        <v>414</v>
      </c>
      <c r="F83" s="402" t="s">
        <v>415</v>
      </c>
      <c r="G83" s="402" t="s">
        <v>374</v>
      </c>
      <c r="H83" s="402" t="s">
        <v>416</v>
      </c>
      <c r="I83" s="403">
        <v>2017</v>
      </c>
      <c r="J83" s="404">
        <v>300</v>
      </c>
      <c r="K83" s="405">
        <v>5</v>
      </c>
      <c r="L83" s="405">
        <v>1.75</v>
      </c>
      <c r="M83" s="406" t="s">
        <v>251</v>
      </c>
      <c r="N83" s="406" t="s">
        <v>251</v>
      </c>
      <c r="O83" s="406" t="s">
        <v>376</v>
      </c>
      <c r="P83" s="407">
        <v>1</v>
      </c>
      <c r="Q83" s="407">
        <v>1</v>
      </c>
      <c r="R83" s="408">
        <v>1500</v>
      </c>
      <c r="S83" s="408">
        <v>525</v>
      </c>
      <c r="T83" s="409">
        <v>4401.3587691953426</v>
      </c>
      <c r="U83" s="409">
        <v>1946.3667820069204</v>
      </c>
      <c r="V83" s="410">
        <v>2.2613203276399183</v>
      </c>
      <c r="W83" s="409">
        <v>2454.9919871884222</v>
      </c>
      <c r="X83" s="409">
        <v>4401.3587691953426</v>
      </c>
      <c r="Y83" s="409">
        <v>1946.3667820069204</v>
      </c>
      <c r="Z83" s="410">
        <v>2.2613203276399183</v>
      </c>
      <c r="AA83" s="409">
        <v>2454.9919871884222</v>
      </c>
      <c r="AB83" s="409">
        <v>3827.2684949524719</v>
      </c>
      <c r="AC83" s="409">
        <v>1946.3667820069204</v>
      </c>
      <c r="AD83" s="410">
        <v>1.966365502295581</v>
      </c>
      <c r="AE83" s="409">
        <v>1880.9017129455515</v>
      </c>
      <c r="AF83" s="409">
        <v>1451.3438612728376</v>
      </c>
      <c r="AG83" s="409">
        <v>1441.753171856978</v>
      </c>
      <c r="AH83" s="410">
        <v>1.0066521021788402</v>
      </c>
      <c r="AI83" s="409">
        <v>9.5906894158595151</v>
      </c>
      <c r="AJ83" s="409">
        <v>3827.2684949524719</v>
      </c>
      <c r="AK83" s="409">
        <v>1955.9574714227799</v>
      </c>
      <c r="AL83" s="410">
        <v>1.9567237789523535</v>
      </c>
      <c r="AM83" s="409">
        <v>1871.311023529692</v>
      </c>
      <c r="AN83" s="411">
        <v>4.5305939781003826</v>
      </c>
      <c r="AO83" s="411">
        <v>66846.125749088707</v>
      </c>
      <c r="AP83" s="409">
        <v>1946.3667820069204</v>
      </c>
      <c r="AQ83" s="409">
        <v>429.60521101981556</v>
      </c>
      <c r="AR83" s="409">
        <v>2.9117121750821207E-2</v>
      </c>
    </row>
    <row r="84" spans="1:44" s="388" customFormat="1">
      <c r="A84" s="402" t="s">
        <v>231</v>
      </c>
      <c r="B84" s="402" t="s">
        <v>370</v>
      </c>
      <c r="C84" s="402" t="s">
        <v>412</v>
      </c>
      <c r="D84" s="402" t="s">
        <v>413</v>
      </c>
      <c r="E84" s="402" t="s">
        <v>414</v>
      </c>
      <c r="F84" s="402" t="s">
        <v>415</v>
      </c>
      <c r="G84" s="402" t="s">
        <v>374</v>
      </c>
      <c r="H84" s="402" t="s">
        <v>416</v>
      </c>
      <c r="I84" s="403">
        <v>2018</v>
      </c>
      <c r="J84" s="404">
        <v>300</v>
      </c>
      <c r="K84" s="405">
        <v>5</v>
      </c>
      <c r="L84" s="405">
        <v>1.75</v>
      </c>
      <c r="M84" s="406" t="s">
        <v>251</v>
      </c>
      <c r="N84" s="406" t="s">
        <v>251</v>
      </c>
      <c r="O84" s="406" t="s">
        <v>376</v>
      </c>
      <c r="P84" s="407">
        <v>1</v>
      </c>
      <c r="Q84" s="407">
        <v>1</v>
      </c>
      <c r="R84" s="408">
        <v>1500</v>
      </c>
      <c r="S84" s="408">
        <v>525</v>
      </c>
      <c r="T84" s="409">
        <v>4465.8074533459703</v>
      </c>
      <c r="U84" s="409">
        <v>1908.2027274577654</v>
      </c>
      <c r="V84" s="410">
        <v>2.3403212819507999</v>
      </c>
      <c r="W84" s="409">
        <v>2557.6047258882049</v>
      </c>
      <c r="X84" s="409">
        <v>4465.8074533459703</v>
      </c>
      <c r="Y84" s="409">
        <v>1908.2027274577654</v>
      </c>
      <c r="Z84" s="410">
        <v>2.3403212819507999</v>
      </c>
      <c r="AA84" s="409">
        <v>2557.6047258882049</v>
      </c>
      <c r="AB84" s="409">
        <v>3883.3108289964962</v>
      </c>
      <c r="AC84" s="409">
        <v>1908.2027274577654</v>
      </c>
      <c r="AD84" s="410">
        <v>2.0350619843050435</v>
      </c>
      <c r="AE84" s="409">
        <v>1975.1081015387308</v>
      </c>
      <c r="AF84" s="409">
        <v>1423.0581601876536</v>
      </c>
      <c r="AG84" s="409">
        <v>1413.483501820567</v>
      </c>
      <c r="AH84" s="410">
        <v>1.0067738027042794</v>
      </c>
      <c r="AI84" s="409">
        <v>9.574658367086613</v>
      </c>
      <c r="AJ84" s="409">
        <v>3883.3108289964962</v>
      </c>
      <c r="AK84" s="409">
        <v>1917.7773858248518</v>
      </c>
      <c r="AL84" s="410">
        <v>2.0249017731149501</v>
      </c>
      <c r="AM84" s="409">
        <v>1965.5334431716444</v>
      </c>
      <c r="AN84" s="411">
        <v>4.4417588020591987</v>
      </c>
      <c r="AO84" s="411">
        <v>65535.417401067367</v>
      </c>
      <c r="AP84" s="409">
        <v>1908.2027274577654</v>
      </c>
      <c r="AQ84" s="409">
        <v>429.60521101981561</v>
      </c>
      <c r="AR84" s="409">
        <v>2.911712175082121E-2</v>
      </c>
    </row>
    <row r="85" spans="1:44" s="388" customFormat="1">
      <c r="A85" s="402" t="s">
        <v>231</v>
      </c>
      <c r="B85" s="402" t="s">
        <v>370</v>
      </c>
      <c r="C85" s="402" t="s">
        <v>412</v>
      </c>
      <c r="D85" s="402" t="s">
        <v>413</v>
      </c>
      <c r="E85" s="402" t="s">
        <v>414</v>
      </c>
      <c r="F85" s="402" t="s">
        <v>415</v>
      </c>
      <c r="G85" s="402" t="s">
        <v>374</v>
      </c>
      <c r="H85" s="402" t="s">
        <v>416</v>
      </c>
      <c r="I85" s="403">
        <v>2019</v>
      </c>
      <c r="J85" s="404">
        <v>300</v>
      </c>
      <c r="K85" s="405">
        <v>5</v>
      </c>
      <c r="L85" s="405">
        <v>1.75</v>
      </c>
      <c r="M85" s="406" t="s">
        <v>251</v>
      </c>
      <c r="N85" s="406" t="s">
        <v>251</v>
      </c>
      <c r="O85" s="406" t="s">
        <v>376</v>
      </c>
      <c r="P85" s="407">
        <v>1</v>
      </c>
      <c r="Q85" s="407">
        <v>1</v>
      </c>
      <c r="R85" s="408">
        <v>1500</v>
      </c>
      <c r="S85" s="408">
        <v>525</v>
      </c>
      <c r="T85" s="409">
        <v>4542.4218316534307</v>
      </c>
      <c r="U85" s="409">
        <v>1870.7869877036912</v>
      </c>
      <c r="V85" s="410">
        <v>2.4280807283297676</v>
      </c>
      <c r="W85" s="409">
        <v>2671.6348439497397</v>
      </c>
      <c r="X85" s="409">
        <v>4542.4218316534307</v>
      </c>
      <c r="Y85" s="409">
        <v>1870.7869877036912</v>
      </c>
      <c r="Z85" s="410">
        <v>2.4280807283297676</v>
      </c>
      <c r="AA85" s="409">
        <v>2671.6348439497397</v>
      </c>
      <c r="AB85" s="409">
        <v>3949.9320275247223</v>
      </c>
      <c r="AC85" s="409">
        <v>1870.7869877036912</v>
      </c>
      <c r="AD85" s="410">
        <v>2.1113745463737108</v>
      </c>
      <c r="AE85" s="409">
        <v>2079.1450398210309</v>
      </c>
      <c r="AF85" s="409">
        <v>1395.3201327000202</v>
      </c>
      <c r="AG85" s="409">
        <v>1385.7681390397713</v>
      </c>
      <c r="AH85" s="410">
        <v>1.0068929234199797</v>
      </c>
      <c r="AI85" s="409">
        <v>9.5519936602488542</v>
      </c>
      <c r="AJ85" s="409">
        <v>3949.9320275247223</v>
      </c>
      <c r="AK85" s="409">
        <v>1880.3389813639401</v>
      </c>
      <c r="AL85" s="410">
        <v>2.100648907815315</v>
      </c>
      <c r="AM85" s="409">
        <v>2069.5930461607823</v>
      </c>
      <c r="AN85" s="411">
        <v>4.3546654922149006</v>
      </c>
      <c r="AO85" s="411">
        <v>64250.409216732718</v>
      </c>
      <c r="AP85" s="409">
        <v>1870.7869877036912</v>
      </c>
      <c r="AQ85" s="409">
        <v>429.60521101981556</v>
      </c>
      <c r="AR85" s="409">
        <v>2.9117121750821203E-2</v>
      </c>
    </row>
    <row r="86" spans="1:44" s="388" customFormat="1">
      <c r="A86" s="402" t="s">
        <v>231</v>
      </c>
      <c r="B86" s="402" t="s">
        <v>370</v>
      </c>
      <c r="C86" s="402" t="s">
        <v>412</v>
      </c>
      <c r="D86" s="402" t="s">
        <v>413</v>
      </c>
      <c r="E86" s="402" t="s">
        <v>414</v>
      </c>
      <c r="F86" s="402" t="s">
        <v>415</v>
      </c>
      <c r="G86" s="402" t="s">
        <v>374</v>
      </c>
      <c r="H86" s="402" t="s">
        <v>416</v>
      </c>
      <c r="I86" s="403">
        <v>2020</v>
      </c>
      <c r="J86" s="404">
        <v>300</v>
      </c>
      <c r="K86" s="405">
        <v>5</v>
      </c>
      <c r="L86" s="405">
        <v>1.75</v>
      </c>
      <c r="M86" s="406" t="s">
        <v>251</v>
      </c>
      <c r="N86" s="406" t="s">
        <v>251</v>
      </c>
      <c r="O86" s="406" t="s">
        <v>376</v>
      </c>
      <c r="P86" s="407">
        <v>1</v>
      </c>
      <c r="Q86" s="407">
        <v>1</v>
      </c>
      <c r="R86" s="408">
        <v>1500</v>
      </c>
      <c r="S86" s="408">
        <v>525</v>
      </c>
      <c r="T86" s="409">
        <v>4589.9179186920137</v>
      </c>
      <c r="U86" s="409">
        <v>1834.1048899055795</v>
      </c>
      <c r="V86" s="410">
        <v>2.5025384011316301</v>
      </c>
      <c r="W86" s="409">
        <v>2755.8130287864342</v>
      </c>
      <c r="X86" s="409">
        <v>4589.9179186920137</v>
      </c>
      <c r="Y86" s="409">
        <v>1834.1048899055795</v>
      </c>
      <c r="Z86" s="410">
        <v>2.5025384011316301</v>
      </c>
      <c r="AA86" s="409">
        <v>2755.8130287864342</v>
      </c>
      <c r="AB86" s="409">
        <v>3991.2329727756646</v>
      </c>
      <c r="AC86" s="409">
        <v>1834.1048899055795</v>
      </c>
      <c r="AD86" s="410">
        <v>2.1761203488101137</v>
      </c>
      <c r="AE86" s="409">
        <v>2157.1280828700851</v>
      </c>
      <c r="AF86" s="409">
        <v>1368.1053524254266</v>
      </c>
      <c r="AG86" s="409">
        <v>1358.5962147448738</v>
      </c>
      <c r="AH86" s="410">
        <v>1.0069992375787227</v>
      </c>
      <c r="AI86" s="409">
        <v>9.5091376805528398</v>
      </c>
      <c r="AJ86" s="409">
        <v>3991.2329727756646</v>
      </c>
      <c r="AK86" s="409">
        <v>1843.6140275861324</v>
      </c>
      <c r="AL86" s="410">
        <v>2.1648961838294523</v>
      </c>
      <c r="AM86" s="409">
        <v>2147.6189451895325</v>
      </c>
      <c r="AN86" s="411">
        <v>4.269279894328335</v>
      </c>
      <c r="AO86" s="411">
        <v>62990.5972713066</v>
      </c>
      <c r="AP86" s="409">
        <v>1834.1048899055795</v>
      </c>
      <c r="AQ86" s="409">
        <v>429.60521101981539</v>
      </c>
      <c r="AR86" s="409">
        <v>2.9117121750821193E-2</v>
      </c>
    </row>
    <row r="87" spans="1:44" s="388" customFormat="1">
      <c r="A87" s="402" t="s">
        <v>231</v>
      </c>
      <c r="B87" s="402" t="s">
        <v>370</v>
      </c>
      <c r="C87" s="402" t="s">
        <v>412</v>
      </c>
      <c r="D87" s="402" t="s">
        <v>413</v>
      </c>
      <c r="E87" s="402" t="s">
        <v>417</v>
      </c>
      <c r="F87" s="402" t="s">
        <v>418</v>
      </c>
      <c r="G87" s="402" t="s">
        <v>374</v>
      </c>
      <c r="H87" s="402" t="s">
        <v>416</v>
      </c>
      <c r="I87" s="403">
        <v>2015</v>
      </c>
      <c r="J87" s="404">
        <v>0</v>
      </c>
      <c r="K87" s="405">
        <v>5</v>
      </c>
      <c r="L87" s="405">
        <v>1.75</v>
      </c>
      <c r="M87" s="406" t="s">
        <v>251</v>
      </c>
      <c r="N87" s="406" t="s">
        <v>251</v>
      </c>
      <c r="O87" s="406" t="s">
        <v>376</v>
      </c>
      <c r="P87" s="407">
        <v>0.99</v>
      </c>
      <c r="Q87" s="407">
        <v>0.99</v>
      </c>
      <c r="R87" s="408">
        <v>0</v>
      </c>
      <c r="S87" s="408">
        <v>0</v>
      </c>
      <c r="T87" s="409">
        <v>0</v>
      </c>
      <c r="U87" s="409">
        <v>0</v>
      </c>
      <c r="V87" s="410" t="e">
        <v>#DIV/0!</v>
      </c>
      <c r="W87" s="409">
        <v>0</v>
      </c>
      <c r="X87" s="409">
        <v>0</v>
      </c>
      <c r="Y87" s="409">
        <v>0</v>
      </c>
      <c r="Z87" s="410" t="e">
        <v>#DIV/0!</v>
      </c>
      <c r="AA87" s="409">
        <v>0</v>
      </c>
      <c r="AB87" s="409">
        <v>0</v>
      </c>
      <c r="AC87" s="409">
        <v>0</v>
      </c>
      <c r="AD87" s="410" t="e">
        <v>#DIV/0!</v>
      </c>
      <c r="AE87" s="409">
        <v>0</v>
      </c>
      <c r="AF87" s="409">
        <v>0</v>
      </c>
      <c r="AG87" s="409">
        <v>0</v>
      </c>
      <c r="AH87" s="410" t="e">
        <v>#DIV/0!</v>
      </c>
      <c r="AI87" s="409">
        <v>0</v>
      </c>
      <c r="AJ87" s="409">
        <v>0</v>
      </c>
      <c r="AK87" s="409">
        <v>0</v>
      </c>
      <c r="AL87" s="410" t="e">
        <v>#DIV/0!</v>
      </c>
      <c r="AM87" s="409">
        <v>0</v>
      </c>
      <c r="AN87" s="411">
        <v>0</v>
      </c>
      <c r="AO87" s="411">
        <v>0</v>
      </c>
      <c r="AP87" s="409">
        <v>0</v>
      </c>
      <c r="AQ87" s="409" t="e">
        <v>#DIV/0!</v>
      </c>
      <c r="AR87" s="409" t="e">
        <v>#DIV/0!</v>
      </c>
    </row>
    <row r="88" spans="1:44" s="388" customFormat="1">
      <c r="A88" s="402" t="s">
        <v>231</v>
      </c>
      <c r="B88" s="402" t="s">
        <v>370</v>
      </c>
      <c r="C88" s="402" t="s">
        <v>412</v>
      </c>
      <c r="D88" s="402" t="s">
        <v>413</v>
      </c>
      <c r="E88" s="402" t="s">
        <v>417</v>
      </c>
      <c r="F88" s="402" t="s">
        <v>418</v>
      </c>
      <c r="G88" s="402" t="s">
        <v>374</v>
      </c>
      <c r="H88" s="402" t="s">
        <v>416</v>
      </c>
      <c r="I88" s="403">
        <v>2016</v>
      </c>
      <c r="J88" s="404">
        <v>0</v>
      </c>
      <c r="K88" s="405">
        <v>5</v>
      </c>
      <c r="L88" s="405">
        <v>1.75</v>
      </c>
      <c r="M88" s="406" t="s">
        <v>251</v>
      </c>
      <c r="N88" s="406" t="s">
        <v>251</v>
      </c>
      <c r="O88" s="406" t="s">
        <v>376</v>
      </c>
      <c r="P88" s="407">
        <v>0.99</v>
      </c>
      <c r="Q88" s="407">
        <v>0.99</v>
      </c>
      <c r="R88" s="408">
        <v>0</v>
      </c>
      <c r="S88" s="408">
        <v>0</v>
      </c>
      <c r="T88" s="409">
        <v>0</v>
      </c>
      <c r="U88" s="409">
        <v>0</v>
      </c>
      <c r="V88" s="410" t="e">
        <v>#DIV/0!</v>
      </c>
      <c r="W88" s="409">
        <v>0</v>
      </c>
      <c r="X88" s="409">
        <v>0</v>
      </c>
      <c r="Y88" s="409">
        <v>0</v>
      </c>
      <c r="Z88" s="410" t="e">
        <v>#DIV/0!</v>
      </c>
      <c r="AA88" s="409">
        <v>0</v>
      </c>
      <c r="AB88" s="409">
        <v>0</v>
      </c>
      <c r="AC88" s="409">
        <v>0</v>
      </c>
      <c r="AD88" s="410" t="e">
        <v>#DIV/0!</v>
      </c>
      <c r="AE88" s="409">
        <v>0</v>
      </c>
      <c r="AF88" s="409">
        <v>0</v>
      </c>
      <c r="AG88" s="409">
        <v>0</v>
      </c>
      <c r="AH88" s="410" t="e">
        <v>#DIV/0!</v>
      </c>
      <c r="AI88" s="409">
        <v>0</v>
      </c>
      <c r="AJ88" s="409">
        <v>0</v>
      </c>
      <c r="AK88" s="409">
        <v>0</v>
      </c>
      <c r="AL88" s="410" t="e">
        <v>#DIV/0!</v>
      </c>
      <c r="AM88" s="409">
        <v>0</v>
      </c>
      <c r="AN88" s="411">
        <v>0</v>
      </c>
      <c r="AO88" s="411">
        <v>0</v>
      </c>
      <c r="AP88" s="409">
        <v>0</v>
      </c>
      <c r="AQ88" s="409" t="e">
        <v>#DIV/0!</v>
      </c>
      <c r="AR88" s="409" t="e">
        <v>#DIV/0!</v>
      </c>
    </row>
    <row r="89" spans="1:44" s="388" customFormat="1">
      <c r="A89" s="402" t="s">
        <v>231</v>
      </c>
      <c r="B89" s="402" t="s">
        <v>370</v>
      </c>
      <c r="C89" s="402" t="s">
        <v>412</v>
      </c>
      <c r="D89" s="402" t="s">
        <v>413</v>
      </c>
      <c r="E89" s="402" t="s">
        <v>417</v>
      </c>
      <c r="F89" s="402" t="s">
        <v>418</v>
      </c>
      <c r="G89" s="402" t="s">
        <v>374</v>
      </c>
      <c r="H89" s="402" t="s">
        <v>416</v>
      </c>
      <c r="I89" s="403">
        <v>2017</v>
      </c>
      <c r="J89" s="404">
        <v>0</v>
      </c>
      <c r="K89" s="405">
        <v>5</v>
      </c>
      <c r="L89" s="405">
        <v>1.75</v>
      </c>
      <c r="M89" s="406" t="s">
        <v>251</v>
      </c>
      <c r="N89" s="406" t="s">
        <v>251</v>
      </c>
      <c r="O89" s="406" t="s">
        <v>376</v>
      </c>
      <c r="P89" s="407">
        <v>0.99</v>
      </c>
      <c r="Q89" s="407">
        <v>0.99</v>
      </c>
      <c r="R89" s="408">
        <v>0</v>
      </c>
      <c r="S89" s="408">
        <v>0</v>
      </c>
      <c r="T89" s="409">
        <v>0</v>
      </c>
      <c r="U89" s="409">
        <v>0</v>
      </c>
      <c r="V89" s="410" t="e">
        <v>#DIV/0!</v>
      </c>
      <c r="W89" s="409">
        <v>0</v>
      </c>
      <c r="X89" s="409">
        <v>0</v>
      </c>
      <c r="Y89" s="409">
        <v>0</v>
      </c>
      <c r="Z89" s="410" t="e">
        <v>#DIV/0!</v>
      </c>
      <c r="AA89" s="409">
        <v>0</v>
      </c>
      <c r="AB89" s="409">
        <v>0</v>
      </c>
      <c r="AC89" s="409">
        <v>0</v>
      </c>
      <c r="AD89" s="410" t="e">
        <v>#DIV/0!</v>
      </c>
      <c r="AE89" s="409">
        <v>0</v>
      </c>
      <c r="AF89" s="409">
        <v>0</v>
      </c>
      <c r="AG89" s="409">
        <v>0</v>
      </c>
      <c r="AH89" s="410" t="e">
        <v>#DIV/0!</v>
      </c>
      <c r="AI89" s="409">
        <v>0</v>
      </c>
      <c r="AJ89" s="409">
        <v>0</v>
      </c>
      <c r="AK89" s="409">
        <v>0</v>
      </c>
      <c r="AL89" s="410" t="e">
        <v>#DIV/0!</v>
      </c>
      <c r="AM89" s="409">
        <v>0</v>
      </c>
      <c r="AN89" s="411">
        <v>0</v>
      </c>
      <c r="AO89" s="411">
        <v>0</v>
      </c>
      <c r="AP89" s="409">
        <v>0</v>
      </c>
      <c r="AQ89" s="409" t="e">
        <v>#DIV/0!</v>
      </c>
      <c r="AR89" s="409" t="e">
        <v>#DIV/0!</v>
      </c>
    </row>
    <row r="90" spans="1:44" s="388" customFormat="1">
      <c r="A90" s="402" t="s">
        <v>231</v>
      </c>
      <c r="B90" s="402" t="s">
        <v>370</v>
      </c>
      <c r="C90" s="402" t="s">
        <v>412</v>
      </c>
      <c r="D90" s="402" t="s">
        <v>413</v>
      </c>
      <c r="E90" s="402" t="s">
        <v>417</v>
      </c>
      <c r="F90" s="402" t="s">
        <v>418</v>
      </c>
      <c r="G90" s="402" t="s">
        <v>374</v>
      </c>
      <c r="H90" s="402" t="s">
        <v>416</v>
      </c>
      <c r="I90" s="403">
        <v>2018</v>
      </c>
      <c r="J90" s="404">
        <v>0</v>
      </c>
      <c r="K90" s="405">
        <v>5</v>
      </c>
      <c r="L90" s="405">
        <v>1.75</v>
      </c>
      <c r="M90" s="406" t="s">
        <v>251</v>
      </c>
      <c r="N90" s="406" t="s">
        <v>251</v>
      </c>
      <c r="O90" s="406" t="s">
        <v>376</v>
      </c>
      <c r="P90" s="407">
        <v>0.99</v>
      </c>
      <c r="Q90" s="407">
        <v>0.99</v>
      </c>
      <c r="R90" s="408">
        <v>0</v>
      </c>
      <c r="S90" s="408">
        <v>0</v>
      </c>
      <c r="T90" s="409">
        <v>0</v>
      </c>
      <c r="U90" s="409">
        <v>0</v>
      </c>
      <c r="V90" s="410" t="e">
        <v>#DIV/0!</v>
      </c>
      <c r="W90" s="409">
        <v>0</v>
      </c>
      <c r="X90" s="409">
        <v>0</v>
      </c>
      <c r="Y90" s="409">
        <v>0</v>
      </c>
      <c r="Z90" s="410" t="e">
        <v>#DIV/0!</v>
      </c>
      <c r="AA90" s="409">
        <v>0</v>
      </c>
      <c r="AB90" s="409">
        <v>0</v>
      </c>
      <c r="AC90" s="409">
        <v>0</v>
      </c>
      <c r="AD90" s="410" t="e">
        <v>#DIV/0!</v>
      </c>
      <c r="AE90" s="409">
        <v>0</v>
      </c>
      <c r="AF90" s="409">
        <v>0</v>
      </c>
      <c r="AG90" s="409">
        <v>0</v>
      </c>
      <c r="AH90" s="410" t="e">
        <v>#DIV/0!</v>
      </c>
      <c r="AI90" s="409">
        <v>0</v>
      </c>
      <c r="AJ90" s="409">
        <v>0</v>
      </c>
      <c r="AK90" s="409">
        <v>0</v>
      </c>
      <c r="AL90" s="410" t="e">
        <v>#DIV/0!</v>
      </c>
      <c r="AM90" s="409">
        <v>0</v>
      </c>
      <c r="AN90" s="411">
        <v>0</v>
      </c>
      <c r="AO90" s="411">
        <v>0</v>
      </c>
      <c r="AP90" s="409">
        <v>0</v>
      </c>
      <c r="AQ90" s="409" t="e">
        <v>#DIV/0!</v>
      </c>
      <c r="AR90" s="409" t="e">
        <v>#DIV/0!</v>
      </c>
    </row>
    <row r="91" spans="1:44" s="388" customFormat="1">
      <c r="A91" s="402" t="s">
        <v>231</v>
      </c>
      <c r="B91" s="402" t="s">
        <v>370</v>
      </c>
      <c r="C91" s="402" t="s">
        <v>412</v>
      </c>
      <c r="D91" s="402" t="s">
        <v>413</v>
      </c>
      <c r="E91" s="402" t="s">
        <v>417</v>
      </c>
      <c r="F91" s="402" t="s">
        <v>418</v>
      </c>
      <c r="G91" s="402" t="s">
        <v>374</v>
      </c>
      <c r="H91" s="402" t="s">
        <v>416</v>
      </c>
      <c r="I91" s="403">
        <v>2019</v>
      </c>
      <c r="J91" s="404">
        <v>0</v>
      </c>
      <c r="K91" s="405">
        <v>5</v>
      </c>
      <c r="L91" s="405">
        <v>1.75</v>
      </c>
      <c r="M91" s="406" t="s">
        <v>251</v>
      </c>
      <c r="N91" s="406" t="s">
        <v>251</v>
      </c>
      <c r="O91" s="406" t="s">
        <v>376</v>
      </c>
      <c r="P91" s="407">
        <v>0.99</v>
      </c>
      <c r="Q91" s="407">
        <v>0.99</v>
      </c>
      <c r="R91" s="408">
        <v>0</v>
      </c>
      <c r="S91" s="408">
        <v>0</v>
      </c>
      <c r="T91" s="409">
        <v>0</v>
      </c>
      <c r="U91" s="409">
        <v>0</v>
      </c>
      <c r="V91" s="410" t="e">
        <v>#DIV/0!</v>
      </c>
      <c r="W91" s="409">
        <v>0</v>
      </c>
      <c r="X91" s="409">
        <v>0</v>
      </c>
      <c r="Y91" s="409">
        <v>0</v>
      </c>
      <c r="Z91" s="410" t="e">
        <v>#DIV/0!</v>
      </c>
      <c r="AA91" s="409">
        <v>0</v>
      </c>
      <c r="AB91" s="409">
        <v>0</v>
      </c>
      <c r="AC91" s="409">
        <v>0</v>
      </c>
      <c r="AD91" s="410" t="e">
        <v>#DIV/0!</v>
      </c>
      <c r="AE91" s="409">
        <v>0</v>
      </c>
      <c r="AF91" s="409">
        <v>0</v>
      </c>
      <c r="AG91" s="409">
        <v>0</v>
      </c>
      <c r="AH91" s="410" t="e">
        <v>#DIV/0!</v>
      </c>
      <c r="AI91" s="409">
        <v>0</v>
      </c>
      <c r="AJ91" s="409">
        <v>0</v>
      </c>
      <c r="AK91" s="409">
        <v>0</v>
      </c>
      <c r="AL91" s="410" t="e">
        <v>#DIV/0!</v>
      </c>
      <c r="AM91" s="409">
        <v>0</v>
      </c>
      <c r="AN91" s="411">
        <v>0</v>
      </c>
      <c r="AO91" s="411">
        <v>0</v>
      </c>
      <c r="AP91" s="409">
        <v>0</v>
      </c>
      <c r="AQ91" s="409" t="e">
        <v>#DIV/0!</v>
      </c>
      <c r="AR91" s="409" t="e">
        <v>#DIV/0!</v>
      </c>
    </row>
    <row r="92" spans="1:44" s="388" customFormat="1">
      <c r="A92" s="402" t="s">
        <v>231</v>
      </c>
      <c r="B92" s="402" t="s">
        <v>370</v>
      </c>
      <c r="C92" s="402" t="s">
        <v>412</v>
      </c>
      <c r="D92" s="402" t="s">
        <v>413</v>
      </c>
      <c r="E92" s="402" t="s">
        <v>417</v>
      </c>
      <c r="F92" s="402" t="s">
        <v>418</v>
      </c>
      <c r="G92" s="402" t="s">
        <v>374</v>
      </c>
      <c r="H92" s="402" t="s">
        <v>416</v>
      </c>
      <c r="I92" s="403">
        <v>2020</v>
      </c>
      <c r="J92" s="404">
        <v>0</v>
      </c>
      <c r="K92" s="405">
        <v>5</v>
      </c>
      <c r="L92" s="405">
        <v>1.75</v>
      </c>
      <c r="M92" s="406" t="s">
        <v>251</v>
      </c>
      <c r="N92" s="406" t="s">
        <v>251</v>
      </c>
      <c r="O92" s="406" t="s">
        <v>376</v>
      </c>
      <c r="P92" s="407">
        <v>0.99</v>
      </c>
      <c r="Q92" s="407">
        <v>0.99</v>
      </c>
      <c r="R92" s="408">
        <v>0</v>
      </c>
      <c r="S92" s="408">
        <v>0</v>
      </c>
      <c r="T92" s="409">
        <v>0</v>
      </c>
      <c r="U92" s="409">
        <v>0</v>
      </c>
      <c r="V92" s="410" t="e">
        <v>#DIV/0!</v>
      </c>
      <c r="W92" s="409">
        <v>0</v>
      </c>
      <c r="X92" s="409">
        <v>0</v>
      </c>
      <c r="Y92" s="409">
        <v>0</v>
      </c>
      <c r="Z92" s="410" t="e">
        <v>#DIV/0!</v>
      </c>
      <c r="AA92" s="409">
        <v>0</v>
      </c>
      <c r="AB92" s="409">
        <v>0</v>
      </c>
      <c r="AC92" s="409">
        <v>0</v>
      </c>
      <c r="AD92" s="410" t="e">
        <v>#DIV/0!</v>
      </c>
      <c r="AE92" s="409">
        <v>0</v>
      </c>
      <c r="AF92" s="409">
        <v>0</v>
      </c>
      <c r="AG92" s="409">
        <v>0</v>
      </c>
      <c r="AH92" s="410" t="e">
        <v>#DIV/0!</v>
      </c>
      <c r="AI92" s="409">
        <v>0</v>
      </c>
      <c r="AJ92" s="409">
        <v>0</v>
      </c>
      <c r="AK92" s="409">
        <v>0</v>
      </c>
      <c r="AL92" s="410" t="e">
        <v>#DIV/0!</v>
      </c>
      <c r="AM92" s="409">
        <v>0</v>
      </c>
      <c r="AN92" s="411">
        <v>0</v>
      </c>
      <c r="AO92" s="411">
        <v>0</v>
      </c>
      <c r="AP92" s="409">
        <v>0</v>
      </c>
      <c r="AQ92" s="409" t="e">
        <v>#DIV/0!</v>
      </c>
      <c r="AR92" s="409" t="e">
        <v>#DIV/0!</v>
      </c>
    </row>
    <row r="93" spans="1:44" s="388" customFormat="1">
      <c r="A93" s="402" t="s">
        <v>231</v>
      </c>
      <c r="B93" s="402" t="s">
        <v>370</v>
      </c>
      <c r="C93" s="402" t="s">
        <v>11</v>
      </c>
      <c r="D93" s="402" t="s">
        <v>419</v>
      </c>
      <c r="E93" s="402" t="s">
        <v>420</v>
      </c>
      <c r="F93" s="402" t="s">
        <v>421</v>
      </c>
      <c r="G93" s="402" t="s">
        <v>374</v>
      </c>
      <c r="H93" s="402" t="s">
        <v>398</v>
      </c>
      <c r="I93" s="403">
        <v>2015</v>
      </c>
      <c r="J93" s="404">
        <v>0</v>
      </c>
      <c r="K93" s="405">
        <v>750</v>
      </c>
      <c r="L93" s="405">
        <v>0</v>
      </c>
      <c r="M93" s="406" t="s">
        <v>251</v>
      </c>
      <c r="N93" s="406" t="s">
        <v>251</v>
      </c>
      <c r="O93" s="406" t="s">
        <v>376</v>
      </c>
      <c r="P93" s="407">
        <v>0.62999999999999978</v>
      </c>
      <c r="Q93" s="407">
        <v>0.62999999999999978</v>
      </c>
      <c r="R93" s="408">
        <v>0</v>
      </c>
      <c r="S93" s="408">
        <v>0</v>
      </c>
      <c r="T93" s="409">
        <v>0</v>
      </c>
      <c r="U93" s="409">
        <v>0</v>
      </c>
      <c r="V93" s="410" t="e">
        <v>#DIV/0!</v>
      </c>
      <c r="W93" s="409">
        <v>0</v>
      </c>
      <c r="X93" s="409">
        <v>0</v>
      </c>
      <c r="Y93" s="409">
        <v>0</v>
      </c>
      <c r="Z93" s="410" t="e">
        <v>#DIV/0!</v>
      </c>
      <c r="AA93" s="409">
        <v>0</v>
      </c>
      <c r="AB93" s="409">
        <v>0</v>
      </c>
      <c r="AC93" s="409">
        <v>0</v>
      </c>
      <c r="AD93" s="410" t="e">
        <v>#DIV/0!</v>
      </c>
      <c r="AE93" s="409">
        <v>0</v>
      </c>
      <c r="AF93" s="409">
        <v>0</v>
      </c>
      <c r="AG93" s="409">
        <v>0</v>
      </c>
      <c r="AH93" s="410" t="e">
        <v>#DIV/0!</v>
      </c>
      <c r="AI93" s="409">
        <v>0</v>
      </c>
      <c r="AJ93" s="409">
        <v>0</v>
      </c>
      <c r="AK93" s="409">
        <v>0</v>
      </c>
      <c r="AL93" s="410" t="e">
        <v>#DIV/0!</v>
      </c>
      <c r="AM93" s="409">
        <v>0</v>
      </c>
      <c r="AN93" s="411">
        <v>0</v>
      </c>
      <c r="AO93" s="411">
        <v>0</v>
      </c>
      <c r="AP93" s="409">
        <v>0</v>
      </c>
      <c r="AQ93" s="409" t="e">
        <v>#DIV/0!</v>
      </c>
      <c r="AR93" s="409" t="e">
        <v>#DIV/0!</v>
      </c>
    </row>
    <row r="94" spans="1:44" s="388" customFormat="1">
      <c r="A94" s="402" t="s">
        <v>231</v>
      </c>
      <c r="B94" s="402" t="s">
        <v>370</v>
      </c>
      <c r="C94" s="402" t="s">
        <v>11</v>
      </c>
      <c r="D94" s="402" t="s">
        <v>419</v>
      </c>
      <c r="E94" s="402" t="s">
        <v>420</v>
      </c>
      <c r="F94" s="402" t="s">
        <v>421</v>
      </c>
      <c r="G94" s="402" t="s">
        <v>374</v>
      </c>
      <c r="H94" s="402" t="s">
        <v>398</v>
      </c>
      <c r="I94" s="403">
        <v>2016</v>
      </c>
      <c r="J94" s="404">
        <v>0</v>
      </c>
      <c r="K94" s="405">
        <v>750</v>
      </c>
      <c r="L94" s="405">
        <v>0</v>
      </c>
      <c r="M94" s="406" t="s">
        <v>251</v>
      </c>
      <c r="N94" s="406" t="s">
        <v>251</v>
      </c>
      <c r="O94" s="406" t="s">
        <v>376</v>
      </c>
      <c r="P94" s="407">
        <v>0.62999999999999978</v>
      </c>
      <c r="Q94" s="407">
        <v>0.62999999999999978</v>
      </c>
      <c r="R94" s="408">
        <v>0</v>
      </c>
      <c r="S94" s="408">
        <v>0</v>
      </c>
      <c r="T94" s="409">
        <v>0</v>
      </c>
      <c r="U94" s="409">
        <v>0</v>
      </c>
      <c r="V94" s="410" t="e">
        <v>#DIV/0!</v>
      </c>
      <c r="W94" s="409">
        <v>0</v>
      </c>
      <c r="X94" s="409">
        <v>0</v>
      </c>
      <c r="Y94" s="409">
        <v>0</v>
      </c>
      <c r="Z94" s="410" t="e">
        <v>#DIV/0!</v>
      </c>
      <c r="AA94" s="409">
        <v>0</v>
      </c>
      <c r="AB94" s="409">
        <v>0</v>
      </c>
      <c r="AC94" s="409">
        <v>0</v>
      </c>
      <c r="AD94" s="410" t="e">
        <v>#DIV/0!</v>
      </c>
      <c r="AE94" s="409">
        <v>0</v>
      </c>
      <c r="AF94" s="409">
        <v>0</v>
      </c>
      <c r="AG94" s="409">
        <v>0</v>
      </c>
      <c r="AH94" s="410" t="e">
        <v>#DIV/0!</v>
      </c>
      <c r="AI94" s="409">
        <v>0</v>
      </c>
      <c r="AJ94" s="409">
        <v>0</v>
      </c>
      <c r="AK94" s="409">
        <v>0</v>
      </c>
      <c r="AL94" s="410" t="e">
        <v>#DIV/0!</v>
      </c>
      <c r="AM94" s="409">
        <v>0</v>
      </c>
      <c r="AN94" s="411">
        <v>0</v>
      </c>
      <c r="AO94" s="411">
        <v>0</v>
      </c>
      <c r="AP94" s="409">
        <v>0</v>
      </c>
      <c r="AQ94" s="409" t="e">
        <v>#DIV/0!</v>
      </c>
      <c r="AR94" s="409" t="e">
        <v>#DIV/0!</v>
      </c>
    </row>
    <row r="95" spans="1:44" s="388" customFormat="1">
      <c r="A95" s="402" t="s">
        <v>231</v>
      </c>
      <c r="B95" s="402" t="s">
        <v>370</v>
      </c>
      <c r="C95" s="402" t="s">
        <v>11</v>
      </c>
      <c r="D95" s="402" t="s">
        <v>419</v>
      </c>
      <c r="E95" s="402" t="s">
        <v>420</v>
      </c>
      <c r="F95" s="402" t="s">
        <v>421</v>
      </c>
      <c r="G95" s="402" t="s">
        <v>374</v>
      </c>
      <c r="H95" s="402" t="s">
        <v>398</v>
      </c>
      <c r="I95" s="403">
        <v>2017</v>
      </c>
      <c r="J95" s="404">
        <v>0</v>
      </c>
      <c r="K95" s="405">
        <v>750</v>
      </c>
      <c r="L95" s="405">
        <v>0</v>
      </c>
      <c r="M95" s="406" t="s">
        <v>251</v>
      </c>
      <c r="N95" s="406" t="s">
        <v>251</v>
      </c>
      <c r="O95" s="406" t="s">
        <v>376</v>
      </c>
      <c r="P95" s="407">
        <v>0.62999999999999978</v>
      </c>
      <c r="Q95" s="407">
        <v>0.62999999999999978</v>
      </c>
      <c r="R95" s="408">
        <v>0</v>
      </c>
      <c r="S95" s="408">
        <v>0</v>
      </c>
      <c r="T95" s="409">
        <v>0</v>
      </c>
      <c r="U95" s="409">
        <v>0</v>
      </c>
      <c r="V95" s="410" t="e">
        <v>#DIV/0!</v>
      </c>
      <c r="W95" s="409">
        <v>0</v>
      </c>
      <c r="X95" s="409">
        <v>0</v>
      </c>
      <c r="Y95" s="409">
        <v>0</v>
      </c>
      <c r="Z95" s="410" t="e">
        <v>#DIV/0!</v>
      </c>
      <c r="AA95" s="409">
        <v>0</v>
      </c>
      <c r="AB95" s="409">
        <v>0</v>
      </c>
      <c r="AC95" s="409">
        <v>0</v>
      </c>
      <c r="AD95" s="410" t="e">
        <v>#DIV/0!</v>
      </c>
      <c r="AE95" s="409">
        <v>0</v>
      </c>
      <c r="AF95" s="409">
        <v>0</v>
      </c>
      <c r="AG95" s="409">
        <v>0</v>
      </c>
      <c r="AH95" s="410" t="e">
        <v>#DIV/0!</v>
      </c>
      <c r="AI95" s="409">
        <v>0</v>
      </c>
      <c r="AJ95" s="409">
        <v>0</v>
      </c>
      <c r="AK95" s="409">
        <v>0</v>
      </c>
      <c r="AL95" s="410" t="e">
        <v>#DIV/0!</v>
      </c>
      <c r="AM95" s="409">
        <v>0</v>
      </c>
      <c r="AN95" s="411">
        <v>0</v>
      </c>
      <c r="AO95" s="411">
        <v>0</v>
      </c>
      <c r="AP95" s="409">
        <v>0</v>
      </c>
      <c r="AQ95" s="409" t="e">
        <v>#DIV/0!</v>
      </c>
      <c r="AR95" s="409" t="e">
        <v>#DIV/0!</v>
      </c>
    </row>
    <row r="96" spans="1:44" s="388" customFormat="1">
      <c r="A96" s="402" t="s">
        <v>231</v>
      </c>
      <c r="B96" s="402" t="s">
        <v>370</v>
      </c>
      <c r="C96" s="402" t="s">
        <v>11</v>
      </c>
      <c r="D96" s="402" t="s">
        <v>419</v>
      </c>
      <c r="E96" s="402" t="s">
        <v>420</v>
      </c>
      <c r="F96" s="402" t="s">
        <v>421</v>
      </c>
      <c r="G96" s="402" t="s">
        <v>374</v>
      </c>
      <c r="H96" s="402" t="s">
        <v>398</v>
      </c>
      <c r="I96" s="403">
        <v>2018</v>
      </c>
      <c r="J96" s="404">
        <v>0</v>
      </c>
      <c r="K96" s="405">
        <v>750</v>
      </c>
      <c r="L96" s="405">
        <v>0</v>
      </c>
      <c r="M96" s="406" t="s">
        <v>251</v>
      </c>
      <c r="N96" s="406" t="s">
        <v>251</v>
      </c>
      <c r="O96" s="406" t="s">
        <v>376</v>
      </c>
      <c r="P96" s="407">
        <v>0.62999999999999978</v>
      </c>
      <c r="Q96" s="407">
        <v>0.62999999999999978</v>
      </c>
      <c r="R96" s="408">
        <v>0</v>
      </c>
      <c r="S96" s="408">
        <v>0</v>
      </c>
      <c r="T96" s="409">
        <v>0</v>
      </c>
      <c r="U96" s="409">
        <v>0</v>
      </c>
      <c r="V96" s="410" t="e">
        <v>#DIV/0!</v>
      </c>
      <c r="W96" s="409">
        <v>0</v>
      </c>
      <c r="X96" s="409">
        <v>0</v>
      </c>
      <c r="Y96" s="409">
        <v>0</v>
      </c>
      <c r="Z96" s="410" t="e">
        <v>#DIV/0!</v>
      </c>
      <c r="AA96" s="409">
        <v>0</v>
      </c>
      <c r="AB96" s="409">
        <v>0</v>
      </c>
      <c r="AC96" s="409">
        <v>0</v>
      </c>
      <c r="AD96" s="410" t="e">
        <v>#DIV/0!</v>
      </c>
      <c r="AE96" s="409">
        <v>0</v>
      </c>
      <c r="AF96" s="409">
        <v>0</v>
      </c>
      <c r="AG96" s="409">
        <v>0</v>
      </c>
      <c r="AH96" s="410" t="e">
        <v>#DIV/0!</v>
      </c>
      <c r="AI96" s="409">
        <v>0</v>
      </c>
      <c r="AJ96" s="409">
        <v>0</v>
      </c>
      <c r="AK96" s="409">
        <v>0</v>
      </c>
      <c r="AL96" s="410" t="e">
        <v>#DIV/0!</v>
      </c>
      <c r="AM96" s="409">
        <v>0</v>
      </c>
      <c r="AN96" s="411">
        <v>0</v>
      </c>
      <c r="AO96" s="411">
        <v>0</v>
      </c>
      <c r="AP96" s="409">
        <v>0</v>
      </c>
      <c r="AQ96" s="409" t="e">
        <v>#DIV/0!</v>
      </c>
      <c r="AR96" s="409" t="e">
        <v>#DIV/0!</v>
      </c>
    </row>
    <row r="97" spans="1:44" s="388" customFormat="1">
      <c r="A97" s="402" t="s">
        <v>231</v>
      </c>
      <c r="B97" s="402" t="s">
        <v>370</v>
      </c>
      <c r="C97" s="402" t="s">
        <v>11</v>
      </c>
      <c r="D97" s="402" t="s">
        <v>419</v>
      </c>
      <c r="E97" s="402" t="s">
        <v>420</v>
      </c>
      <c r="F97" s="402" t="s">
        <v>421</v>
      </c>
      <c r="G97" s="402" t="s">
        <v>374</v>
      </c>
      <c r="H97" s="402" t="s">
        <v>398</v>
      </c>
      <c r="I97" s="403">
        <v>2019</v>
      </c>
      <c r="J97" s="404">
        <v>0</v>
      </c>
      <c r="K97" s="405">
        <v>750</v>
      </c>
      <c r="L97" s="405">
        <v>0</v>
      </c>
      <c r="M97" s="406" t="s">
        <v>251</v>
      </c>
      <c r="N97" s="406" t="s">
        <v>251</v>
      </c>
      <c r="O97" s="406" t="s">
        <v>376</v>
      </c>
      <c r="P97" s="407">
        <v>0.62999999999999978</v>
      </c>
      <c r="Q97" s="407">
        <v>0.62999999999999978</v>
      </c>
      <c r="R97" s="408">
        <v>0</v>
      </c>
      <c r="S97" s="408">
        <v>0</v>
      </c>
      <c r="T97" s="409">
        <v>0</v>
      </c>
      <c r="U97" s="409">
        <v>0</v>
      </c>
      <c r="V97" s="410" t="e">
        <v>#DIV/0!</v>
      </c>
      <c r="W97" s="409">
        <v>0</v>
      </c>
      <c r="X97" s="409">
        <v>0</v>
      </c>
      <c r="Y97" s="409">
        <v>0</v>
      </c>
      <c r="Z97" s="410" t="e">
        <v>#DIV/0!</v>
      </c>
      <c r="AA97" s="409">
        <v>0</v>
      </c>
      <c r="AB97" s="409">
        <v>0</v>
      </c>
      <c r="AC97" s="409">
        <v>0</v>
      </c>
      <c r="AD97" s="410" t="e">
        <v>#DIV/0!</v>
      </c>
      <c r="AE97" s="409">
        <v>0</v>
      </c>
      <c r="AF97" s="409">
        <v>0</v>
      </c>
      <c r="AG97" s="409">
        <v>0</v>
      </c>
      <c r="AH97" s="410" t="e">
        <v>#DIV/0!</v>
      </c>
      <c r="AI97" s="409">
        <v>0</v>
      </c>
      <c r="AJ97" s="409">
        <v>0</v>
      </c>
      <c r="AK97" s="409">
        <v>0</v>
      </c>
      <c r="AL97" s="410" t="e">
        <v>#DIV/0!</v>
      </c>
      <c r="AM97" s="409">
        <v>0</v>
      </c>
      <c r="AN97" s="411">
        <v>0</v>
      </c>
      <c r="AO97" s="411">
        <v>0</v>
      </c>
      <c r="AP97" s="409">
        <v>0</v>
      </c>
      <c r="AQ97" s="409" t="e">
        <v>#DIV/0!</v>
      </c>
      <c r="AR97" s="409" t="e">
        <v>#DIV/0!</v>
      </c>
    </row>
    <row r="98" spans="1:44" s="388" customFormat="1">
      <c r="A98" s="402" t="s">
        <v>231</v>
      </c>
      <c r="B98" s="402" t="s">
        <v>370</v>
      </c>
      <c r="C98" s="402" t="s">
        <v>11</v>
      </c>
      <c r="D98" s="402" t="s">
        <v>419</v>
      </c>
      <c r="E98" s="402" t="s">
        <v>420</v>
      </c>
      <c r="F98" s="402" t="s">
        <v>421</v>
      </c>
      <c r="G98" s="402" t="s">
        <v>374</v>
      </c>
      <c r="H98" s="402" t="s">
        <v>398</v>
      </c>
      <c r="I98" s="403">
        <v>2020</v>
      </c>
      <c r="J98" s="404">
        <v>0</v>
      </c>
      <c r="K98" s="405">
        <v>750</v>
      </c>
      <c r="L98" s="405">
        <v>0</v>
      </c>
      <c r="M98" s="406" t="s">
        <v>251</v>
      </c>
      <c r="N98" s="406" t="s">
        <v>251</v>
      </c>
      <c r="O98" s="406" t="s">
        <v>376</v>
      </c>
      <c r="P98" s="407">
        <v>0.62999999999999978</v>
      </c>
      <c r="Q98" s="407">
        <v>0.62999999999999978</v>
      </c>
      <c r="R98" s="408">
        <v>0</v>
      </c>
      <c r="S98" s="408">
        <v>0</v>
      </c>
      <c r="T98" s="409">
        <v>0</v>
      </c>
      <c r="U98" s="409">
        <v>0</v>
      </c>
      <c r="V98" s="410" t="e">
        <v>#DIV/0!</v>
      </c>
      <c r="W98" s="409">
        <v>0</v>
      </c>
      <c r="X98" s="409">
        <v>0</v>
      </c>
      <c r="Y98" s="409">
        <v>0</v>
      </c>
      <c r="Z98" s="410" t="e">
        <v>#DIV/0!</v>
      </c>
      <c r="AA98" s="409">
        <v>0</v>
      </c>
      <c r="AB98" s="409">
        <v>0</v>
      </c>
      <c r="AC98" s="409">
        <v>0</v>
      </c>
      <c r="AD98" s="410" t="e">
        <v>#DIV/0!</v>
      </c>
      <c r="AE98" s="409">
        <v>0</v>
      </c>
      <c r="AF98" s="409">
        <v>0</v>
      </c>
      <c r="AG98" s="409">
        <v>0</v>
      </c>
      <c r="AH98" s="410" t="e">
        <v>#DIV/0!</v>
      </c>
      <c r="AI98" s="409">
        <v>0</v>
      </c>
      <c r="AJ98" s="409">
        <v>0</v>
      </c>
      <c r="AK98" s="409">
        <v>0</v>
      </c>
      <c r="AL98" s="410" t="e">
        <v>#DIV/0!</v>
      </c>
      <c r="AM98" s="409">
        <v>0</v>
      </c>
      <c r="AN98" s="411">
        <v>0</v>
      </c>
      <c r="AO98" s="411">
        <v>0</v>
      </c>
      <c r="AP98" s="409">
        <v>0</v>
      </c>
      <c r="AQ98" s="409" t="e">
        <v>#DIV/0!</v>
      </c>
      <c r="AR98" s="409" t="e">
        <v>#DIV/0!</v>
      </c>
    </row>
    <row r="99" spans="1:44" s="388" customFormat="1">
      <c r="A99" s="402" t="s">
        <v>231</v>
      </c>
      <c r="B99" s="402" t="s">
        <v>370</v>
      </c>
      <c r="C99" s="402" t="s">
        <v>23</v>
      </c>
      <c r="D99" s="402" t="s">
        <v>422</v>
      </c>
      <c r="E99" s="402" t="s">
        <v>423</v>
      </c>
      <c r="F99" s="402" t="s">
        <v>424</v>
      </c>
      <c r="G99" s="402" t="s">
        <v>374</v>
      </c>
      <c r="H99" s="402" t="s">
        <v>398</v>
      </c>
      <c r="I99" s="403">
        <v>2015</v>
      </c>
      <c r="J99" s="404">
        <v>0</v>
      </c>
      <c r="K99" s="405">
        <v>275</v>
      </c>
      <c r="L99" s="405">
        <v>200</v>
      </c>
      <c r="M99" s="406" t="s">
        <v>251</v>
      </c>
      <c r="N99" s="406" t="s">
        <v>251</v>
      </c>
      <c r="O99" s="406" t="s">
        <v>376</v>
      </c>
      <c r="P99" s="407">
        <v>1</v>
      </c>
      <c r="Q99" s="407">
        <v>1</v>
      </c>
      <c r="R99" s="408">
        <v>0</v>
      </c>
      <c r="S99" s="408">
        <v>0</v>
      </c>
      <c r="T99" s="409">
        <v>0</v>
      </c>
      <c r="U99" s="409">
        <v>0</v>
      </c>
      <c r="V99" s="410" t="e">
        <v>#DIV/0!</v>
      </c>
      <c r="W99" s="409">
        <v>0</v>
      </c>
      <c r="X99" s="409">
        <v>0</v>
      </c>
      <c r="Y99" s="409">
        <v>0</v>
      </c>
      <c r="Z99" s="410" t="e">
        <v>#DIV/0!</v>
      </c>
      <c r="AA99" s="409">
        <v>0</v>
      </c>
      <c r="AB99" s="409">
        <v>0</v>
      </c>
      <c r="AC99" s="409">
        <v>0</v>
      </c>
      <c r="AD99" s="410" t="e">
        <v>#DIV/0!</v>
      </c>
      <c r="AE99" s="409">
        <v>0</v>
      </c>
      <c r="AF99" s="409">
        <v>0</v>
      </c>
      <c r="AG99" s="409">
        <v>0</v>
      </c>
      <c r="AH99" s="410" t="e">
        <v>#DIV/0!</v>
      </c>
      <c r="AI99" s="409">
        <v>0</v>
      </c>
      <c r="AJ99" s="409">
        <v>0</v>
      </c>
      <c r="AK99" s="409">
        <v>0</v>
      </c>
      <c r="AL99" s="410" t="e">
        <v>#DIV/0!</v>
      </c>
      <c r="AM99" s="409">
        <v>0</v>
      </c>
      <c r="AN99" s="411">
        <v>0</v>
      </c>
      <c r="AO99" s="411">
        <v>0</v>
      </c>
      <c r="AP99" s="409">
        <v>0</v>
      </c>
      <c r="AQ99" s="409" t="e">
        <v>#DIV/0!</v>
      </c>
      <c r="AR99" s="409" t="e">
        <v>#DIV/0!</v>
      </c>
    </row>
    <row r="100" spans="1:44" s="388" customFormat="1">
      <c r="A100" s="402" t="s">
        <v>231</v>
      </c>
      <c r="B100" s="402" t="s">
        <v>370</v>
      </c>
      <c r="C100" s="402" t="s">
        <v>23</v>
      </c>
      <c r="D100" s="402" t="s">
        <v>422</v>
      </c>
      <c r="E100" s="402" t="s">
        <v>423</v>
      </c>
      <c r="F100" s="402" t="s">
        <v>424</v>
      </c>
      <c r="G100" s="402" t="s">
        <v>374</v>
      </c>
      <c r="H100" s="402" t="s">
        <v>398</v>
      </c>
      <c r="I100" s="403">
        <v>2016</v>
      </c>
      <c r="J100" s="404">
        <v>40</v>
      </c>
      <c r="K100" s="405">
        <v>275</v>
      </c>
      <c r="L100" s="405">
        <v>200</v>
      </c>
      <c r="M100" s="406" t="s">
        <v>251</v>
      </c>
      <c r="N100" s="406" t="s">
        <v>251</v>
      </c>
      <c r="O100" s="406" t="s">
        <v>376</v>
      </c>
      <c r="P100" s="407">
        <v>1</v>
      </c>
      <c r="Q100" s="407">
        <v>1</v>
      </c>
      <c r="R100" s="408">
        <v>11000</v>
      </c>
      <c r="S100" s="408">
        <v>8000</v>
      </c>
      <c r="T100" s="409">
        <v>62159.009204223075</v>
      </c>
      <c r="U100" s="409">
        <v>26823.529411764703</v>
      </c>
      <c r="V100" s="410">
        <v>2.317331483490773</v>
      </c>
      <c r="W100" s="409">
        <v>35335.479792458369</v>
      </c>
      <c r="X100" s="409">
        <v>62159.009204223075</v>
      </c>
      <c r="Y100" s="409">
        <v>26823.529411764703</v>
      </c>
      <c r="Z100" s="410">
        <v>2.317331483490773</v>
      </c>
      <c r="AA100" s="409">
        <v>35335.479792458369</v>
      </c>
      <c r="AB100" s="409">
        <v>54051.312351498331</v>
      </c>
      <c r="AC100" s="409">
        <v>18627.450980392157</v>
      </c>
      <c r="AD100" s="410">
        <v>2.9017020315014892</v>
      </c>
      <c r="AE100" s="409">
        <v>35423.861371106177</v>
      </c>
      <c r="AF100" s="409">
        <v>10816.228967371255</v>
      </c>
      <c r="AG100" s="409">
        <v>18980.392156862745</v>
      </c>
      <c r="AH100" s="410">
        <v>0.56986330303298971</v>
      </c>
      <c r="AI100" s="409">
        <v>-8164.1631894914899</v>
      </c>
      <c r="AJ100" s="409">
        <v>54051.312351498331</v>
      </c>
      <c r="AK100" s="409">
        <v>18659.366222273216</v>
      </c>
      <c r="AL100" s="410">
        <v>2.896738919619823</v>
      </c>
      <c r="AM100" s="409">
        <v>35391.946129225114</v>
      </c>
      <c r="AN100" s="411">
        <v>264.94636458266831</v>
      </c>
      <c r="AO100" s="411">
        <v>227939.43305129735</v>
      </c>
      <c r="AP100" s="409">
        <v>18627.450980392157</v>
      </c>
      <c r="AQ100" s="409">
        <v>70.306497731090914</v>
      </c>
      <c r="AR100" s="409">
        <v>8.1721055155033584E-2</v>
      </c>
    </row>
    <row r="101" spans="1:44" s="388" customFormat="1">
      <c r="A101" s="402" t="s">
        <v>231</v>
      </c>
      <c r="B101" s="402" t="s">
        <v>370</v>
      </c>
      <c r="C101" s="402" t="s">
        <v>23</v>
      </c>
      <c r="D101" s="402" t="s">
        <v>422</v>
      </c>
      <c r="E101" s="402" t="s">
        <v>423</v>
      </c>
      <c r="F101" s="402" t="s">
        <v>424</v>
      </c>
      <c r="G101" s="402" t="s">
        <v>374</v>
      </c>
      <c r="H101" s="402" t="s">
        <v>398</v>
      </c>
      <c r="I101" s="403">
        <v>2017</v>
      </c>
      <c r="J101" s="404">
        <v>40</v>
      </c>
      <c r="K101" s="405">
        <v>275</v>
      </c>
      <c r="L101" s="405">
        <v>200</v>
      </c>
      <c r="M101" s="406" t="s">
        <v>251</v>
      </c>
      <c r="N101" s="406" t="s">
        <v>251</v>
      </c>
      <c r="O101" s="406" t="s">
        <v>376</v>
      </c>
      <c r="P101" s="407">
        <v>1</v>
      </c>
      <c r="Q101" s="407">
        <v>1</v>
      </c>
      <c r="R101" s="408">
        <v>11000</v>
      </c>
      <c r="S101" s="408">
        <v>8000</v>
      </c>
      <c r="T101" s="409">
        <v>69569.236477323662</v>
      </c>
      <c r="U101" s="409">
        <v>26297.577854671283</v>
      </c>
      <c r="V101" s="410">
        <v>2.645461755519281</v>
      </c>
      <c r="W101" s="409">
        <v>43271.65862265238</v>
      </c>
      <c r="X101" s="409">
        <v>69569.236477323662</v>
      </c>
      <c r="Y101" s="409">
        <v>26297.577854671283</v>
      </c>
      <c r="Z101" s="410">
        <v>2.645461755519281</v>
      </c>
      <c r="AA101" s="409">
        <v>43271.65862265238</v>
      </c>
      <c r="AB101" s="409">
        <v>60494.988241151012</v>
      </c>
      <c r="AC101" s="409">
        <v>18262.206843521722</v>
      </c>
      <c r="AD101" s="410">
        <v>3.3125781982154479</v>
      </c>
      <c r="AE101" s="409">
        <v>42232.781397629289</v>
      </c>
      <c r="AF101" s="409">
        <v>10604.689711499997</v>
      </c>
      <c r="AG101" s="409">
        <v>18608.227604767399</v>
      </c>
      <c r="AH101" s="410">
        <v>0.56989251941346053</v>
      </c>
      <c r="AI101" s="409">
        <v>-8003.5378932674012</v>
      </c>
      <c r="AJ101" s="409">
        <v>60494.988241151012</v>
      </c>
      <c r="AK101" s="409">
        <v>18294.03996140388</v>
      </c>
      <c r="AL101" s="410">
        <v>3.3068140426489285</v>
      </c>
      <c r="AM101" s="409">
        <v>42200.948279747128</v>
      </c>
      <c r="AN101" s="411">
        <v>259.75133782614535</v>
      </c>
      <c r="AO101" s="411">
        <v>223470.03240323262</v>
      </c>
      <c r="AP101" s="409">
        <v>18262.206843521722</v>
      </c>
      <c r="AQ101" s="409">
        <v>70.306497731090928</v>
      </c>
      <c r="AR101" s="409">
        <v>8.1721055155033612E-2</v>
      </c>
    </row>
    <row r="102" spans="1:44" s="388" customFormat="1">
      <c r="A102" s="402" t="s">
        <v>231</v>
      </c>
      <c r="B102" s="402" t="s">
        <v>370</v>
      </c>
      <c r="C102" s="402" t="s">
        <v>23</v>
      </c>
      <c r="D102" s="402" t="s">
        <v>422</v>
      </c>
      <c r="E102" s="402" t="s">
        <v>423</v>
      </c>
      <c r="F102" s="402" t="s">
        <v>424</v>
      </c>
      <c r="G102" s="402" t="s">
        <v>374</v>
      </c>
      <c r="H102" s="402" t="s">
        <v>398</v>
      </c>
      <c r="I102" s="403">
        <v>2018</v>
      </c>
      <c r="J102" s="404">
        <v>40</v>
      </c>
      <c r="K102" s="405">
        <v>275</v>
      </c>
      <c r="L102" s="405">
        <v>200</v>
      </c>
      <c r="M102" s="406" t="s">
        <v>251</v>
      </c>
      <c r="N102" s="406" t="s">
        <v>251</v>
      </c>
      <c r="O102" s="406" t="s">
        <v>376</v>
      </c>
      <c r="P102" s="407">
        <v>1</v>
      </c>
      <c r="Q102" s="407">
        <v>1</v>
      </c>
      <c r="R102" s="408">
        <v>11000</v>
      </c>
      <c r="S102" s="408">
        <v>8000</v>
      </c>
      <c r="T102" s="409">
        <v>69809.540802476389</v>
      </c>
      <c r="U102" s="409">
        <v>25781.939073207141</v>
      </c>
      <c r="V102" s="410">
        <v>2.7076916365465773</v>
      </c>
      <c r="W102" s="409">
        <v>44027.601729269249</v>
      </c>
      <c r="X102" s="409">
        <v>69809.540802476389</v>
      </c>
      <c r="Y102" s="409">
        <v>25781.939073207141</v>
      </c>
      <c r="Z102" s="410">
        <v>2.7076916365465773</v>
      </c>
      <c r="AA102" s="409">
        <v>44027.601729269249</v>
      </c>
      <c r="AB102" s="409">
        <v>60703.948523892526</v>
      </c>
      <c r="AC102" s="409">
        <v>17904.124356393844</v>
      </c>
      <c r="AD102" s="410">
        <v>3.3905008318496286</v>
      </c>
      <c r="AE102" s="409">
        <v>42799.824167498678</v>
      </c>
      <c r="AF102" s="409">
        <v>10397.304586172599</v>
      </c>
      <c r="AG102" s="409">
        <v>18243.360396830783</v>
      </c>
      <c r="AH102" s="410">
        <v>0.569922665562141</v>
      </c>
      <c r="AI102" s="409">
        <v>-7846.0558106581848</v>
      </c>
      <c r="AJ102" s="409">
        <v>60703.948523892526</v>
      </c>
      <c r="AK102" s="409">
        <v>17935.883262548956</v>
      </c>
      <c r="AL102" s="410">
        <v>3.3844973027141343</v>
      </c>
      <c r="AM102" s="409">
        <v>42768.065261343567</v>
      </c>
      <c r="AN102" s="411">
        <v>254.65817433935823</v>
      </c>
      <c r="AO102" s="411">
        <v>219088.26706199281</v>
      </c>
      <c r="AP102" s="409">
        <v>17904.124356393844</v>
      </c>
      <c r="AQ102" s="409">
        <v>70.306497731090914</v>
      </c>
      <c r="AR102" s="409">
        <v>8.1721055155033598E-2</v>
      </c>
    </row>
    <row r="103" spans="1:44" s="388" customFormat="1">
      <c r="A103" s="402" t="s">
        <v>231</v>
      </c>
      <c r="B103" s="402" t="s">
        <v>370</v>
      </c>
      <c r="C103" s="402" t="s">
        <v>23</v>
      </c>
      <c r="D103" s="402" t="s">
        <v>422</v>
      </c>
      <c r="E103" s="402" t="s">
        <v>423</v>
      </c>
      <c r="F103" s="402" t="s">
        <v>424</v>
      </c>
      <c r="G103" s="402" t="s">
        <v>374</v>
      </c>
      <c r="H103" s="402" t="s">
        <v>398</v>
      </c>
      <c r="I103" s="403">
        <v>2019</v>
      </c>
      <c r="J103" s="404">
        <v>40</v>
      </c>
      <c r="K103" s="405">
        <v>275</v>
      </c>
      <c r="L103" s="405">
        <v>200</v>
      </c>
      <c r="M103" s="406" t="s">
        <v>251</v>
      </c>
      <c r="N103" s="406" t="s">
        <v>251</v>
      </c>
      <c r="O103" s="406" t="s">
        <v>376</v>
      </c>
      <c r="P103" s="407">
        <v>1</v>
      </c>
      <c r="Q103" s="407">
        <v>1</v>
      </c>
      <c r="R103" s="408">
        <v>11000</v>
      </c>
      <c r="S103" s="408">
        <v>8000</v>
      </c>
      <c r="T103" s="409">
        <v>70135.788421602789</v>
      </c>
      <c r="U103" s="409">
        <v>25276.410856085426</v>
      </c>
      <c r="V103" s="410">
        <v>2.7747526664655888</v>
      </c>
      <c r="W103" s="409">
        <v>44859.377565517367</v>
      </c>
      <c r="X103" s="409">
        <v>70135.788421602789</v>
      </c>
      <c r="Y103" s="409">
        <v>25276.410856085426</v>
      </c>
      <c r="Z103" s="410">
        <v>2.7747526664655888</v>
      </c>
      <c r="AA103" s="409">
        <v>44859.377565517367</v>
      </c>
      <c r="AB103" s="409">
        <v>60987.64210574155</v>
      </c>
      <c r="AC103" s="409">
        <v>17553.06309450377</v>
      </c>
      <c r="AD103" s="410">
        <v>3.4744729040960407</v>
      </c>
      <c r="AE103" s="409">
        <v>43434.57901123778</v>
      </c>
      <c r="AF103" s="409">
        <v>10193.976628017956</v>
      </c>
      <c r="AG103" s="409">
        <v>17885.647447873314</v>
      </c>
      <c r="AH103" s="410">
        <v>0.56995289981689012</v>
      </c>
      <c r="AI103" s="409">
        <v>-7691.6708198553588</v>
      </c>
      <c r="AJ103" s="409">
        <v>60987.64210574155</v>
      </c>
      <c r="AK103" s="409">
        <v>17584.740036230069</v>
      </c>
      <c r="AL103" s="410">
        <v>3.4682140298968265</v>
      </c>
      <c r="AM103" s="409">
        <v>43402.902069511481</v>
      </c>
      <c r="AN103" s="411">
        <v>249.66487680329237</v>
      </c>
      <c r="AO103" s="411">
        <v>214792.41868822832</v>
      </c>
      <c r="AP103" s="409">
        <v>17553.06309450377</v>
      </c>
      <c r="AQ103" s="409">
        <v>70.306497731090928</v>
      </c>
      <c r="AR103" s="409">
        <v>8.172105515503357E-2</v>
      </c>
    </row>
    <row r="104" spans="1:44" s="388" customFormat="1">
      <c r="A104" s="402" t="s">
        <v>231</v>
      </c>
      <c r="B104" s="402" t="s">
        <v>370</v>
      </c>
      <c r="C104" s="402" t="s">
        <v>23</v>
      </c>
      <c r="D104" s="402" t="s">
        <v>422</v>
      </c>
      <c r="E104" s="402" t="s">
        <v>423</v>
      </c>
      <c r="F104" s="402" t="s">
        <v>424</v>
      </c>
      <c r="G104" s="402" t="s">
        <v>374</v>
      </c>
      <c r="H104" s="402" t="s">
        <v>398</v>
      </c>
      <c r="I104" s="403">
        <v>2020</v>
      </c>
      <c r="J104" s="404">
        <v>40</v>
      </c>
      <c r="K104" s="405">
        <v>275</v>
      </c>
      <c r="L104" s="405">
        <v>200</v>
      </c>
      <c r="M104" s="406" t="s">
        <v>251</v>
      </c>
      <c r="N104" s="406" t="s">
        <v>251</v>
      </c>
      <c r="O104" s="406" t="s">
        <v>376</v>
      </c>
      <c r="P104" s="407">
        <v>1</v>
      </c>
      <c r="Q104" s="407">
        <v>1</v>
      </c>
      <c r="R104" s="408">
        <v>11000</v>
      </c>
      <c r="S104" s="408">
        <v>8000</v>
      </c>
      <c r="T104" s="409">
        <v>70290.913882031542</v>
      </c>
      <c r="U104" s="409">
        <v>24780.794956946498</v>
      </c>
      <c r="V104" s="410">
        <v>2.8365076263353588</v>
      </c>
      <c r="W104" s="409">
        <v>45510.118925085044</v>
      </c>
      <c r="X104" s="409">
        <v>70290.913882031542</v>
      </c>
      <c r="Y104" s="409">
        <v>24780.794956946498</v>
      </c>
      <c r="Z104" s="410">
        <v>2.8365076263353588</v>
      </c>
      <c r="AA104" s="409">
        <v>45510.118925085044</v>
      </c>
      <c r="AB104" s="409">
        <v>61122.533810462206</v>
      </c>
      <c r="AC104" s="409">
        <v>17208.885386768401</v>
      </c>
      <c r="AD104" s="410">
        <v>3.5518008538460144</v>
      </c>
      <c r="AE104" s="409">
        <v>43913.648423693805</v>
      </c>
      <c r="AF104" s="409">
        <v>9994.5608659007194</v>
      </c>
      <c r="AG104" s="409">
        <v>17534.948478307168</v>
      </c>
      <c r="AH104" s="410">
        <v>0.56997948287473943</v>
      </c>
      <c r="AI104" s="409">
        <v>-7540.3876124064482</v>
      </c>
      <c r="AJ104" s="409">
        <v>61122.533810462206</v>
      </c>
      <c r="AK104" s="409">
        <v>17240.407344540046</v>
      </c>
      <c r="AL104" s="410">
        <v>3.5453068241928412</v>
      </c>
      <c r="AM104" s="409">
        <v>43882.126465922163</v>
      </c>
      <c r="AN104" s="411">
        <v>244.76948706205138</v>
      </c>
      <c r="AO104" s="411">
        <v>210580.80263551796</v>
      </c>
      <c r="AP104" s="409">
        <v>17208.885386768401</v>
      </c>
      <c r="AQ104" s="409">
        <v>70.306497731090914</v>
      </c>
      <c r="AR104" s="409">
        <v>8.172105515503357E-2</v>
      </c>
    </row>
    <row r="105" spans="1:44" s="388" customFormat="1">
      <c r="A105" s="402" t="s">
        <v>231</v>
      </c>
      <c r="B105" s="402" t="s">
        <v>370</v>
      </c>
      <c r="C105" s="402" t="s">
        <v>38</v>
      </c>
      <c r="D105" s="402" t="s">
        <v>371</v>
      </c>
      <c r="E105" s="402" t="s">
        <v>149</v>
      </c>
      <c r="F105" s="402" t="s">
        <v>425</v>
      </c>
      <c r="G105" s="402" t="s">
        <v>374</v>
      </c>
      <c r="H105" s="402" t="s">
        <v>426</v>
      </c>
      <c r="I105" s="403">
        <v>2015</v>
      </c>
      <c r="J105" s="404">
        <v>0</v>
      </c>
      <c r="K105" s="405">
        <v>1278</v>
      </c>
      <c r="L105" s="405">
        <v>281</v>
      </c>
      <c r="M105" s="406" t="s">
        <v>251</v>
      </c>
      <c r="N105" s="406" t="s">
        <v>251</v>
      </c>
      <c r="O105" s="406" t="s">
        <v>376</v>
      </c>
      <c r="P105" s="407">
        <v>0.94</v>
      </c>
      <c r="Q105" s="407">
        <v>0.94</v>
      </c>
      <c r="R105" s="408">
        <v>0</v>
      </c>
      <c r="S105" s="408">
        <v>0</v>
      </c>
      <c r="T105" s="409">
        <v>0</v>
      </c>
      <c r="U105" s="409">
        <v>0</v>
      </c>
      <c r="V105" s="410" t="e">
        <v>#DIV/0!</v>
      </c>
      <c r="W105" s="409">
        <v>0</v>
      </c>
      <c r="X105" s="409">
        <v>0</v>
      </c>
      <c r="Y105" s="409">
        <v>0</v>
      </c>
      <c r="Z105" s="410" t="e">
        <v>#DIV/0!</v>
      </c>
      <c r="AA105" s="409">
        <v>0</v>
      </c>
      <c r="AB105" s="409">
        <v>0</v>
      </c>
      <c r="AC105" s="409">
        <v>0</v>
      </c>
      <c r="AD105" s="410" t="e">
        <v>#DIV/0!</v>
      </c>
      <c r="AE105" s="409">
        <v>0</v>
      </c>
      <c r="AF105" s="409">
        <v>0</v>
      </c>
      <c r="AG105" s="409">
        <v>0</v>
      </c>
      <c r="AH105" s="410" t="e">
        <v>#DIV/0!</v>
      </c>
      <c r="AI105" s="409">
        <v>0</v>
      </c>
      <c r="AJ105" s="409">
        <v>0</v>
      </c>
      <c r="AK105" s="409">
        <v>0</v>
      </c>
      <c r="AL105" s="410" t="e">
        <v>#DIV/0!</v>
      </c>
      <c r="AM105" s="409">
        <v>0</v>
      </c>
      <c r="AN105" s="411">
        <v>0</v>
      </c>
      <c r="AO105" s="411">
        <v>0</v>
      </c>
      <c r="AP105" s="409">
        <v>0</v>
      </c>
      <c r="AQ105" s="409" t="e">
        <v>#DIV/0!</v>
      </c>
      <c r="AR105" s="409" t="e">
        <v>#DIV/0!</v>
      </c>
    </row>
    <row r="106" spans="1:44" s="388" customFormat="1">
      <c r="A106" s="402" t="s">
        <v>231</v>
      </c>
      <c r="B106" s="402" t="s">
        <v>370</v>
      </c>
      <c r="C106" s="402" t="s">
        <v>38</v>
      </c>
      <c r="D106" s="402" t="s">
        <v>371</v>
      </c>
      <c r="E106" s="402" t="s">
        <v>149</v>
      </c>
      <c r="F106" s="402" t="s">
        <v>425</v>
      </c>
      <c r="G106" s="402" t="s">
        <v>374</v>
      </c>
      <c r="H106" s="402" t="s">
        <v>426</v>
      </c>
      <c r="I106" s="403">
        <v>2016</v>
      </c>
      <c r="J106" s="404">
        <v>110</v>
      </c>
      <c r="K106" s="405">
        <v>1278</v>
      </c>
      <c r="L106" s="405">
        <v>281</v>
      </c>
      <c r="M106" s="406" t="s">
        <v>251</v>
      </c>
      <c r="N106" s="406" t="s">
        <v>251</v>
      </c>
      <c r="O106" s="406" t="s">
        <v>376</v>
      </c>
      <c r="P106" s="407">
        <v>0.94</v>
      </c>
      <c r="Q106" s="407">
        <v>0.94</v>
      </c>
      <c r="R106" s="408">
        <v>140580</v>
      </c>
      <c r="S106" s="408">
        <v>30910</v>
      </c>
      <c r="T106" s="409">
        <v>302388.92696258851</v>
      </c>
      <c r="U106" s="409">
        <v>159858.03921568627</v>
      </c>
      <c r="V106" s="410">
        <v>1.8916091329920193</v>
      </c>
      <c r="W106" s="409">
        <v>142530.88774690224</v>
      </c>
      <c r="X106" s="409">
        <v>302388.92696258851</v>
      </c>
      <c r="Y106" s="409">
        <v>159858.03921568627</v>
      </c>
      <c r="Z106" s="410">
        <v>1.8916091329920193</v>
      </c>
      <c r="AA106" s="409">
        <v>142530.88774690224</v>
      </c>
      <c r="AB106" s="409">
        <v>262946.89301094657</v>
      </c>
      <c r="AC106" s="409">
        <v>168127.45098039217</v>
      </c>
      <c r="AD106" s="410">
        <v>1.5639735895455449</v>
      </c>
      <c r="AE106" s="409">
        <v>94819.442030554404</v>
      </c>
      <c r="AF106" s="409">
        <v>138252.27638895097</v>
      </c>
      <c r="AG106" s="409">
        <v>137823.5294117647</v>
      </c>
      <c r="AH106" s="410">
        <v>1.0031108402100584</v>
      </c>
      <c r="AI106" s="409">
        <v>428.74697718626703</v>
      </c>
      <c r="AJ106" s="409">
        <v>262946.89301094657</v>
      </c>
      <c r="AK106" s="409">
        <v>168530.47313894724</v>
      </c>
      <c r="AL106" s="410">
        <v>1.5602335180899685</v>
      </c>
      <c r="AM106" s="409">
        <v>94416.419871999329</v>
      </c>
      <c r="AN106" s="411">
        <v>890.15062007222639</v>
      </c>
      <c r="AO106" s="411">
        <v>3062121.3295674291</v>
      </c>
      <c r="AP106" s="409">
        <v>168127.45098039217</v>
      </c>
      <c r="AQ106" s="409">
        <v>188.87528378820923</v>
      </c>
      <c r="AR106" s="409">
        <v>5.490554843695325E-2</v>
      </c>
    </row>
    <row r="107" spans="1:44" s="388" customFormat="1">
      <c r="A107" s="402" t="s">
        <v>231</v>
      </c>
      <c r="B107" s="402" t="s">
        <v>370</v>
      </c>
      <c r="C107" s="402" t="s">
        <v>38</v>
      </c>
      <c r="D107" s="402" t="s">
        <v>371</v>
      </c>
      <c r="E107" s="402" t="s">
        <v>149</v>
      </c>
      <c r="F107" s="402" t="s">
        <v>425</v>
      </c>
      <c r="G107" s="402" t="s">
        <v>374</v>
      </c>
      <c r="H107" s="402" t="s">
        <v>426</v>
      </c>
      <c r="I107" s="403">
        <v>2017</v>
      </c>
      <c r="J107" s="404">
        <v>120</v>
      </c>
      <c r="K107" s="405">
        <v>1278</v>
      </c>
      <c r="L107" s="405">
        <v>281</v>
      </c>
      <c r="M107" s="406" t="s">
        <v>251</v>
      </c>
      <c r="N107" s="406" t="s">
        <v>251</v>
      </c>
      <c r="O107" s="406" t="s">
        <v>376</v>
      </c>
      <c r="P107" s="407">
        <v>0.94</v>
      </c>
      <c r="Q107" s="407">
        <v>0.94</v>
      </c>
      <c r="R107" s="408">
        <v>153360</v>
      </c>
      <c r="S107" s="408">
        <v>33720</v>
      </c>
      <c r="T107" s="409">
        <v>357472.36610547709</v>
      </c>
      <c r="U107" s="409">
        <v>170971.16493656288</v>
      </c>
      <c r="V107" s="410">
        <v>2.0908342423596027</v>
      </c>
      <c r="W107" s="409">
        <v>186501.20116891421</v>
      </c>
      <c r="X107" s="409">
        <v>357472.36610547709</v>
      </c>
      <c r="Y107" s="409">
        <v>170971.16493656288</v>
      </c>
      <c r="Z107" s="410">
        <v>2.0908342423596027</v>
      </c>
      <c r="AA107" s="409">
        <v>186501.20116891421</v>
      </c>
      <c r="AB107" s="409">
        <v>310845.53574389318</v>
      </c>
      <c r="AC107" s="409">
        <v>179815.45559400233</v>
      </c>
      <c r="AD107" s="410">
        <v>1.7286919787681549</v>
      </c>
      <c r="AE107" s="409">
        <v>131030.08014989085</v>
      </c>
      <c r="AF107" s="409">
        <v>147871.36472285565</v>
      </c>
      <c r="AG107" s="409">
        <v>147404.84429065746</v>
      </c>
      <c r="AH107" s="410">
        <v>1.0031648921339267</v>
      </c>
      <c r="AI107" s="409">
        <v>466.52043219818734</v>
      </c>
      <c r="AJ107" s="409">
        <v>310845.53574389318</v>
      </c>
      <c r="AK107" s="409">
        <v>180253.98480026863</v>
      </c>
      <c r="AL107" s="410">
        <v>1.7244863467974214</v>
      </c>
      <c r="AM107" s="409">
        <v>130591.55094362455</v>
      </c>
      <c r="AN107" s="411">
        <v>952.03274874034889</v>
      </c>
      <c r="AO107" s="411">
        <v>3274996.0744036674</v>
      </c>
      <c r="AP107" s="409">
        <v>179815.45559400233</v>
      </c>
      <c r="AQ107" s="409">
        <v>188.87528378820926</v>
      </c>
      <c r="AR107" s="409">
        <v>5.4905548436953257E-2</v>
      </c>
    </row>
    <row r="108" spans="1:44" s="388" customFormat="1">
      <c r="A108" s="402" t="s">
        <v>231</v>
      </c>
      <c r="B108" s="402" t="s">
        <v>370</v>
      </c>
      <c r="C108" s="402" t="s">
        <v>38</v>
      </c>
      <c r="D108" s="402" t="s">
        <v>371</v>
      </c>
      <c r="E108" s="402" t="s">
        <v>149</v>
      </c>
      <c r="F108" s="402" t="s">
        <v>425</v>
      </c>
      <c r="G108" s="402" t="s">
        <v>374</v>
      </c>
      <c r="H108" s="402" t="s">
        <v>426</v>
      </c>
      <c r="I108" s="403">
        <v>2018</v>
      </c>
      <c r="J108" s="404">
        <v>130</v>
      </c>
      <c r="K108" s="405">
        <v>1278</v>
      </c>
      <c r="L108" s="405">
        <v>281</v>
      </c>
      <c r="M108" s="406" t="s">
        <v>251</v>
      </c>
      <c r="N108" s="406" t="s">
        <v>251</v>
      </c>
      <c r="O108" s="406" t="s">
        <v>376</v>
      </c>
      <c r="P108" s="407">
        <v>0.94</v>
      </c>
      <c r="Q108" s="407">
        <v>0.94</v>
      </c>
      <c r="R108" s="408">
        <v>166140</v>
      </c>
      <c r="S108" s="408">
        <v>36530</v>
      </c>
      <c r="T108" s="409">
        <v>389948.35789778724</v>
      </c>
      <c r="U108" s="409">
        <v>181587.02158295075</v>
      </c>
      <c r="V108" s="410">
        <v>2.1474461913548981</v>
      </c>
      <c r="W108" s="409">
        <v>208361.33631483649</v>
      </c>
      <c r="X108" s="409">
        <v>389948.35789778724</v>
      </c>
      <c r="Y108" s="409">
        <v>181587.02158295075</v>
      </c>
      <c r="Z108" s="410">
        <v>2.1474461913548981</v>
      </c>
      <c r="AA108" s="409">
        <v>208361.33631483649</v>
      </c>
      <c r="AB108" s="409">
        <v>339085.52860677155</v>
      </c>
      <c r="AC108" s="409">
        <v>190980.46754264954</v>
      </c>
      <c r="AD108" s="410">
        <v>1.7754984735862969</v>
      </c>
      <c r="AE108" s="409">
        <v>148105.06106412201</v>
      </c>
      <c r="AF108" s="409">
        <v>157061.65157721614</v>
      </c>
      <c r="AG108" s="409">
        <v>156557.43266164599</v>
      </c>
      <c r="AH108" s="410">
        <v>1.0032206641805368</v>
      </c>
      <c r="AI108" s="409">
        <v>504.21891557014897</v>
      </c>
      <c r="AJ108" s="409">
        <v>339085.52860677155</v>
      </c>
      <c r="AK108" s="409">
        <v>191454.43332328548</v>
      </c>
      <c r="AL108" s="410">
        <v>1.7711030385710611</v>
      </c>
      <c r="AM108" s="409">
        <v>147631.09528348607</v>
      </c>
      <c r="AN108" s="411">
        <v>1011.1458932699787</v>
      </c>
      <c r="AO108" s="411">
        <v>3478345.5038601044</v>
      </c>
      <c r="AP108" s="409">
        <v>190980.46754264954</v>
      </c>
      <c r="AQ108" s="409">
        <v>188.8752837882092</v>
      </c>
      <c r="AR108" s="409">
        <v>5.4905548436953257E-2</v>
      </c>
    </row>
    <row r="109" spans="1:44" s="388" customFormat="1">
      <c r="A109" s="402" t="s">
        <v>231</v>
      </c>
      <c r="B109" s="402" t="s">
        <v>370</v>
      </c>
      <c r="C109" s="402" t="s">
        <v>38</v>
      </c>
      <c r="D109" s="402" t="s">
        <v>371</v>
      </c>
      <c r="E109" s="402" t="s">
        <v>149</v>
      </c>
      <c r="F109" s="402" t="s">
        <v>425</v>
      </c>
      <c r="G109" s="402" t="s">
        <v>374</v>
      </c>
      <c r="H109" s="402" t="s">
        <v>426</v>
      </c>
      <c r="I109" s="403">
        <v>2019</v>
      </c>
      <c r="J109" s="404">
        <v>140</v>
      </c>
      <c r="K109" s="405">
        <v>1278</v>
      </c>
      <c r="L109" s="405">
        <v>281</v>
      </c>
      <c r="M109" s="406" t="s">
        <v>251</v>
      </c>
      <c r="N109" s="406" t="s">
        <v>251</v>
      </c>
      <c r="O109" s="406" t="s">
        <v>376</v>
      </c>
      <c r="P109" s="407">
        <v>0.94</v>
      </c>
      <c r="Q109" s="407">
        <v>0.94</v>
      </c>
      <c r="R109" s="408">
        <v>178920</v>
      </c>
      <c r="S109" s="408">
        <v>39340</v>
      </c>
      <c r="T109" s="409">
        <v>425000.66447740281</v>
      </c>
      <c r="U109" s="409">
        <v>191720.83726706717</v>
      </c>
      <c r="V109" s="410">
        <v>2.2167682477068302</v>
      </c>
      <c r="W109" s="409">
        <v>233279.82721033564</v>
      </c>
      <c r="X109" s="409">
        <v>425000.66447740281</v>
      </c>
      <c r="Y109" s="409">
        <v>191720.83726706717</v>
      </c>
      <c r="Z109" s="410">
        <v>2.2167682477068302</v>
      </c>
      <c r="AA109" s="409">
        <v>233279.82721033564</v>
      </c>
      <c r="AB109" s="409">
        <v>369565.79519774159</v>
      </c>
      <c r="AC109" s="409">
        <v>201638.50268454701</v>
      </c>
      <c r="AD109" s="410">
        <v>1.8328136257583112</v>
      </c>
      <c r="AE109" s="409">
        <v>167927.29251319458</v>
      </c>
      <c r="AF109" s="409">
        <v>165836.02720554802</v>
      </c>
      <c r="AG109" s="409">
        <v>165294.42362466393</v>
      </c>
      <c r="AH109" s="410">
        <v>1.0032765992282588</v>
      </c>
      <c r="AI109" s="409">
        <v>541.60358088408248</v>
      </c>
      <c r="AJ109" s="409">
        <v>369565.79519774159</v>
      </c>
      <c r="AK109" s="409">
        <v>202147.61005057805</v>
      </c>
      <c r="AL109" s="410">
        <v>1.8281976972434892</v>
      </c>
      <c r="AM109" s="409">
        <v>167418.18514716355</v>
      </c>
      <c r="AN109" s="411">
        <v>1067.5748496063125</v>
      </c>
      <c r="AO109" s="411">
        <v>3672461.3162927194</v>
      </c>
      <c r="AP109" s="409">
        <v>201638.50268454701</v>
      </c>
      <c r="AQ109" s="409">
        <v>188.8752837882092</v>
      </c>
      <c r="AR109" s="409">
        <v>5.4905548436953257E-2</v>
      </c>
    </row>
    <row r="110" spans="1:44" s="388" customFormat="1">
      <c r="A110" s="402" t="s">
        <v>231</v>
      </c>
      <c r="B110" s="402" t="s">
        <v>370</v>
      </c>
      <c r="C110" s="402" t="s">
        <v>38</v>
      </c>
      <c r="D110" s="402" t="s">
        <v>371</v>
      </c>
      <c r="E110" s="402" t="s">
        <v>149</v>
      </c>
      <c r="F110" s="402" t="s">
        <v>425</v>
      </c>
      <c r="G110" s="402" t="s">
        <v>374</v>
      </c>
      <c r="H110" s="402" t="s">
        <v>426</v>
      </c>
      <c r="I110" s="403">
        <v>2020</v>
      </c>
      <c r="J110" s="404">
        <v>150</v>
      </c>
      <c r="K110" s="405">
        <v>1278</v>
      </c>
      <c r="L110" s="405">
        <v>281</v>
      </c>
      <c r="M110" s="406" t="s">
        <v>251</v>
      </c>
      <c r="N110" s="406" t="s">
        <v>251</v>
      </c>
      <c r="O110" s="406" t="s">
        <v>376</v>
      </c>
      <c r="P110" s="407">
        <v>0.94</v>
      </c>
      <c r="Q110" s="407">
        <v>0.94</v>
      </c>
      <c r="R110" s="408">
        <v>191700</v>
      </c>
      <c r="S110" s="408">
        <v>42150</v>
      </c>
      <c r="T110" s="409">
        <v>457531.95994866022</v>
      </c>
      <c r="U110" s="409">
        <v>201387.43410406209</v>
      </c>
      <c r="V110" s="410">
        <v>2.2718992472600927</v>
      </c>
      <c r="W110" s="409">
        <v>256144.52584459813</v>
      </c>
      <c r="X110" s="409">
        <v>457531.95994866022</v>
      </c>
      <c r="Y110" s="409">
        <v>201387.43410406209</v>
      </c>
      <c r="Z110" s="410">
        <v>2.2718992472600927</v>
      </c>
      <c r="AA110" s="409">
        <v>256144.52584459813</v>
      </c>
      <c r="AB110" s="409">
        <v>397853.87821622635</v>
      </c>
      <c r="AC110" s="409">
        <v>211805.14987872579</v>
      </c>
      <c r="AD110" s="410">
        <v>1.8783956784999198</v>
      </c>
      <c r="AE110" s="409">
        <v>186048.72833750056</v>
      </c>
      <c r="AF110" s="409">
        <v>174206.04664596243</v>
      </c>
      <c r="AG110" s="409">
        <v>173628.59624439484</v>
      </c>
      <c r="AH110" s="410">
        <v>1.003325779359264</v>
      </c>
      <c r="AI110" s="409">
        <v>577.45040156759205</v>
      </c>
      <c r="AJ110" s="409">
        <v>397853.87821622635</v>
      </c>
      <c r="AK110" s="409">
        <v>212347.95325619934</v>
      </c>
      <c r="AL110" s="410">
        <v>1.8735941275412848</v>
      </c>
      <c r="AM110" s="409">
        <v>185505.92496002701</v>
      </c>
      <c r="AN110" s="411">
        <v>1121.4021529478077</v>
      </c>
      <c r="AO110" s="411">
        <v>3857627.4330805889</v>
      </c>
      <c r="AP110" s="409">
        <v>211805.14987872579</v>
      </c>
      <c r="AQ110" s="409">
        <v>188.87528378820903</v>
      </c>
      <c r="AR110" s="409">
        <v>5.4905548436953222E-2</v>
      </c>
    </row>
    <row r="111" spans="1:44" s="388" customFormat="1">
      <c r="A111" s="402" t="s">
        <v>231</v>
      </c>
      <c r="B111" s="402" t="s">
        <v>370</v>
      </c>
      <c r="C111" s="402" t="s">
        <v>427</v>
      </c>
      <c r="D111" s="402" t="s">
        <v>428</v>
      </c>
      <c r="E111" s="402" t="s">
        <v>429</v>
      </c>
      <c r="F111" s="402" t="s">
        <v>430</v>
      </c>
      <c r="G111" s="402" t="s">
        <v>374</v>
      </c>
      <c r="H111" s="402" t="s">
        <v>375</v>
      </c>
      <c r="I111" s="403">
        <v>2015</v>
      </c>
      <c r="J111" s="404">
        <v>1.05</v>
      </c>
      <c r="K111" s="405">
        <v>0</v>
      </c>
      <c r="L111" s="405">
        <v>0</v>
      </c>
      <c r="M111" s="406" t="s">
        <v>251</v>
      </c>
      <c r="N111" s="406" t="s">
        <v>251</v>
      </c>
      <c r="O111" s="406" t="s">
        <v>376</v>
      </c>
      <c r="P111" s="407">
        <v>0.54</v>
      </c>
      <c r="Q111" s="407">
        <v>0.54</v>
      </c>
      <c r="R111" s="408">
        <v>0</v>
      </c>
      <c r="S111" s="408">
        <v>0</v>
      </c>
      <c r="T111" s="409">
        <v>66257.124365134019</v>
      </c>
      <c r="U111" s="409">
        <v>51392.313000000002</v>
      </c>
      <c r="V111" s="410">
        <v>1.289241921552237</v>
      </c>
      <c r="W111" s="409">
        <v>14864.811365134017</v>
      </c>
      <c r="X111" s="409">
        <v>66257.124365134019</v>
      </c>
      <c r="Y111" s="409">
        <v>51392.313000000002</v>
      </c>
      <c r="Z111" s="410">
        <v>1.289241921552237</v>
      </c>
      <c r="AA111" s="409">
        <v>14864.811365134017</v>
      </c>
      <c r="AB111" s="409">
        <v>57614.890752290448</v>
      </c>
      <c r="AC111" s="409">
        <v>0</v>
      </c>
      <c r="AD111" s="410" t="e">
        <v>#DIV/0!</v>
      </c>
      <c r="AE111" s="409">
        <v>57614.890752290448</v>
      </c>
      <c r="AF111" s="409">
        <v>159.49797637526223</v>
      </c>
      <c r="AG111" s="409">
        <v>95170.949999999983</v>
      </c>
      <c r="AH111" s="410">
        <v>1.6759103106069894E-3</v>
      </c>
      <c r="AI111" s="409">
        <v>-95011.452023624719</v>
      </c>
      <c r="AJ111" s="409">
        <v>57614.890752290448</v>
      </c>
      <c r="AK111" s="409">
        <v>86.128907242641603</v>
      </c>
      <c r="AL111" s="410">
        <v>668.93790478472329</v>
      </c>
      <c r="AM111" s="409">
        <v>57528.761845047804</v>
      </c>
      <c r="AN111" s="411">
        <v>358.05060139050852</v>
      </c>
      <c r="AO111" s="411">
        <v>1120698.339883697</v>
      </c>
      <c r="AP111" s="409">
        <v>0</v>
      </c>
      <c r="AQ111" s="409">
        <v>0</v>
      </c>
      <c r="AR111" s="409">
        <v>0</v>
      </c>
    </row>
    <row r="112" spans="1:44" s="388" customFormat="1">
      <c r="A112" s="402" t="s">
        <v>231</v>
      </c>
      <c r="B112" s="402" t="s">
        <v>370</v>
      </c>
      <c r="C112" s="402" t="s">
        <v>427</v>
      </c>
      <c r="D112" s="402" t="s">
        <v>428</v>
      </c>
      <c r="E112" s="402" t="s">
        <v>429</v>
      </c>
      <c r="F112" s="402" t="s">
        <v>430</v>
      </c>
      <c r="G112" s="402" t="s">
        <v>374</v>
      </c>
      <c r="H112" s="402" t="s">
        <v>375</v>
      </c>
      <c r="I112" s="403">
        <v>2016</v>
      </c>
      <c r="J112" s="404">
        <v>2</v>
      </c>
      <c r="K112" s="405">
        <v>18718</v>
      </c>
      <c r="L112" s="405">
        <v>0</v>
      </c>
      <c r="M112" s="406" t="s">
        <v>251</v>
      </c>
      <c r="N112" s="406" t="s">
        <v>251</v>
      </c>
      <c r="O112" s="406" t="s">
        <v>376</v>
      </c>
      <c r="P112" s="407">
        <v>0.54</v>
      </c>
      <c r="Q112" s="407">
        <v>0.54</v>
      </c>
      <c r="R112" s="408">
        <v>37436</v>
      </c>
      <c r="S112" s="408">
        <v>0</v>
      </c>
      <c r="T112" s="409">
        <v>133072.50612613416</v>
      </c>
      <c r="U112" s="409">
        <v>95970.705882352937</v>
      </c>
      <c r="V112" s="410">
        <v>1.3865950542164709</v>
      </c>
      <c r="W112" s="409">
        <v>37101.800243781225</v>
      </c>
      <c r="X112" s="409">
        <v>133072.50612613416</v>
      </c>
      <c r="Y112" s="409">
        <v>95970.705882352937</v>
      </c>
      <c r="Z112" s="410">
        <v>1.3865950542164709</v>
      </c>
      <c r="AA112" s="409">
        <v>37101.800243781225</v>
      </c>
      <c r="AB112" s="409">
        <v>115715.22271837754</v>
      </c>
      <c r="AC112" s="409">
        <v>36701.960784313727</v>
      </c>
      <c r="AD112" s="410">
        <v>3.1528348961626533</v>
      </c>
      <c r="AE112" s="409">
        <v>79013.261934063805</v>
      </c>
      <c r="AF112" s="409">
        <v>37005.573459440464</v>
      </c>
      <c r="AG112" s="409">
        <v>177723.5294117647</v>
      </c>
      <c r="AH112" s="410">
        <v>0.20821988839588518</v>
      </c>
      <c r="AI112" s="409">
        <v>-140717.95595232424</v>
      </c>
      <c r="AJ112" s="409">
        <v>115715.22271837754</v>
      </c>
      <c r="AK112" s="409">
        <v>36865.911628882168</v>
      </c>
      <c r="AL112" s="410">
        <v>3.1388135436130598</v>
      </c>
      <c r="AM112" s="409">
        <v>78849.311089495372</v>
      </c>
      <c r="AN112" s="411">
        <v>668.62857402522604</v>
      </c>
      <c r="AO112" s="411">
        <v>2092807.3573925246</v>
      </c>
      <c r="AP112" s="409">
        <v>36701.960784313727</v>
      </c>
      <c r="AQ112" s="409">
        <v>54.891403404080414</v>
      </c>
      <c r="AR112" s="409">
        <v>1.7537190250535777E-2</v>
      </c>
    </row>
    <row r="113" spans="1:44" s="388" customFormat="1">
      <c r="A113" s="402" t="s">
        <v>231</v>
      </c>
      <c r="B113" s="402" t="s">
        <v>370</v>
      </c>
      <c r="C113" s="402" t="s">
        <v>427</v>
      </c>
      <c r="D113" s="402" t="s">
        <v>428</v>
      </c>
      <c r="E113" s="402" t="s">
        <v>429</v>
      </c>
      <c r="F113" s="402" t="s">
        <v>430</v>
      </c>
      <c r="G113" s="402" t="s">
        <v>374</v>
      </c>
      <c r="H113" s="402" t="s">
        <v>375</v>
      </c>
      <c r="I113" s="403">
        <v>2017</v>
      </c>
      <c r="J113" s="404">
        <v>2</v>
      </c>
      <c r="K113" s="405">
        <v>18718</v>
      </c>
      <c r="L113" s="405">
        <v>0</v>
      </c>
      <c r="M113" s="406" t="s">
        <v>251</v>
      </c>
      <c r="N113" s="406" t="s">
        <v>251</v>
      </c>
      <c r="O113" s="406" t="s">
        <v>376</v>
      </c>
      <c r="P113" s="407">
        <v>0.54</v>
      </c>
      <c r="Q113" s="407">
        <v>0.54</v>
      </c>
      <c r="R113" s="408">
        <v>37436</v>
      </c>
      <c r="S113" s="408">
        <v>0</v>
      </c>
      <c r="T113" s="409">
        <v>140857.84045312047</v>
      </c>
      <c r="U113" s="409">
        <v>94088.927335640154</v>
      </c>
      <c r="V113" s="410">
        <v>1.4970713817433927</v>
      </c>
      <c r="W113" s="409">
        <v>46768.913117480319</v>
      </c>
      <c r="X113" s="409">
        <v>140857.84045312047</v>
      </c>
      <c r="Y113" s="409">
        <v>94088.927335640154</v>
      </c>
      <c r="Z113" s="410">
        <v>1.4970713817433927</v>
      </c>
      <c r="AA113" s="409">
        <v>46768.913117480319</v>
      </c>
      <c r="AB113" s="409">
        <v>122485.07865488739</v>
      </c>
      <c r="AC113" s="409">
        <v>35982.31449442522</v>
      </c>
      <c r="AD113" s="410">
        <v>3.4040355762513315</v>
      </c>
      <c r="AE113" s="409">
        <v>86502.76416046216</v>
      </c>
      <c r="AF113" s="409">
        <v>36285.699944354921</v>
      </c>
      <c r="AG113" s="409">
        <v>174238.75432525954</v>
      </c>
      <c r="AH113" s="410">
        <v>0.20825275114524022</v>
      </c>
      <c r="AI113" s="409">
        <v>-137953.05438090462</v>
      </c>
      <c r="AJ113" s="409">
        <v>122485.07865488739</v>
      </c>
      <c r="AK113" s="409">
        <v>36146.14263738726</v>
      </c>
      <c r="AL113" s="410">
        <v>3.3886071851051862</v>
      </c>
      <c r="AM113" s="409">
        <v>86338.93601750012</v>
      </c>
      <c r="AN113" s="411">
        <v>655.51820982865263</v>
      </c>
      <c r="AO113" s="411">
        <v>2051771.9190122781</v>
      </c>
      <c r="AP113" s="409">
        <v>35982.31449442522</v>
      </c>
      <c r="AQ113" s="409">
        <v>54.891403404080442</v>
      </c>
      <c r="AR113" s="409">
        <v>1.7537190250535784E-2</v>
      </c>
    </row>
    <row r="114" spans="1:44" s="388" customFormat="1">
      <c r="A114" s="402" t="s">
        <v>231</v>
      </c>
      <c r="B114" s="402" t="s">
        <v>370</v>
      </c>
      <c r="C114" s="402" t="s">
        <v>427</v>
      </c>
      <c r="D114" s="402" t="s">
        <v>428</v>
      </c>
      <c r="E114" s="402" t="s">
        <v>429</v>
      </c>
      <c r="F114" s="402" t="s">
        <v>430</v>
      </c>
      <c r="G114" s="402" t="s">
        <v>374</v>
      </c>
      <c r="H114" s="402" t="s">
        <v>375</v>
      </c>
      <c r="I114" s="403">
        <v>2018</v>
      </c>
      <c r="J114" s="404">
        <v>2</v>
      </c>
      <c r="K114" s="405">
        <v>18718</v>
      </c>
      <c r="L114" s="405">
        <v>0</v>
      </c>
      <c r="M114" s="406" t="s">
        <v>251</v>
      </c>
      <c r="N114" s="406" t="s">
        <v>251</v>
      </c>
      <c r="O114" s="406" t="s">
        <v>376</v>
      </c>
      <c r="P114" s="407">
        <v>0.54</v>
      </c>
      <c r="Q114" s="407">
        <v>0.54</v>
      </c>
      <c r="R114" s="408">
        <v>37436</v>
      </c>
      <c r="S114" s="408">
        <v>0</v>
      </c>
      <c r="T114" s="409">
        <v>141654.10623417477</v>
      </c>
      <c r="U114" s="409">
        <v>92244.046407490343</v>
      </c>
      <c r="V114" s="410">
        <v>1.5356449738600395</v>
      </c>
      <c r="W114" s="409">
        <v>49410.059826684432</v>
      </c>
      <c r="X114" s="409">
        <v>141654.10623417477</v>
      </c>
      <c r="Y114" s="409">
        <v>92244.046407490343</v>
      </c>
      <c r="Z114" s="410">
        <v>1.5356449738600395</v>
      </c>
      <c r="AA114" s="409">
        <v>49410.059826684432</v>
      </c>
      <c r="AB114" s="409">
        <v>123177.48368189113</v>
      </c>
      <c r="AC114" s="409">
        <v>35276.778916103161</v>
      </c>
      <c r="AD114" s="410">
        <v>3.4917440726330886</v>
      </c>
      <c r="AE114" s="409">
        <v>87900.704765787959</v>
      </c>
      <c r="AF114" s="409">
        <v>35579.774286455075</v>
      </c>
      <c r="AG114" s="409">
        <v>170822.30816201915</v>
      </c>
      <c r="AH114" s="410">
        <v>0.20828529171206883</v>
      </c>
      <c r="AI114" s="409">
        <v>-135242.53387556408</v>
      </c>
      <c r="AJ114" s="409">
        <v>123177.48368189113</v>
      </c>
      <c r="AK114" s="409">
        <v>35440.396416093194</v>
      </c>
      <c r="AL114" s="410">
        <v>3.4756237553245097</v>
      </c>
      <c r="AM114" s="409">
        <v>87737.087265797934</v>
      </c>
      <c r="AN114" s="411">
        <v>642.66491159671864</v>
      </c>
      <c r="AO114" s="411">
        <v>2011541.0970708611</v>
      </c>
      <c r="AP114" s="409">
        <v>35276.778916103161</v>
      </c>
      <c r="AQ114" s="409">
        <v>54.891403404080414</v>
      </c>
      <c r="AR114" s="409">
        <v>1.7537190250535784E-2</v>
      </c>
    </row>
    <row r="115" spans="1:44" s="388" customFormat="1">
      <c r="A115" s="402" t="s">
        <v>231</v>
      </c>
      <c r="B115" s="402" t="s">
        <v>370</v>
      </c>
      <c r="C115" s="402" t="s">
        <v>427</v>
      </c>
      <c r="D115" s="402" t="s">
        <v>428</v>
      </c>
      <c r="E115" s="402" t="s">
        <v>429</v>
      </c>
      <c r="F115" s="402" t="s">
        <v>430</v>
      </c>
      <c r="G115" s="402" t="s">
        <v>374</v>
      </c>
      <c r="H115" s="402" t="s">
        <v>375</v>
      </c>
      <c r="I115" s="403">
        <v>2019</v>
      </c>
      <c r="J115" s="404">
        <v>2</v>
      </c>
      <c r="K115" s="405">
        <v>18718</v>
      </c>
      <c r="L115" s="405">
        <v>0</v>
      </c>
      <c r="M115" s="406" t="s">
        <v>251</v>
      </c>
      <c r="N115" s="406" t="s">
        <v>251</v>
      </c>
      <c r="O115" s="406" t="s">
        <v>376</v>
      </c>
      <c r="P115" s="407">
        <v>0.54</v>
      </c>
      <c r="Q115" s="407">
        <v>0.54</v>
      </c>
      <c r="R115" s="408">
        <v>37436</v>
      </c>
      <c r="S115" s="408">
        <v>0</v>
      </c>
      <c r="T115" s="409">
        <v>142632.30462886504</v>
      </c>
      <c r="U115" s="409">
        <v>90435.339615186604</v>
      </c>
      <c r="V115" s="410">
        <v>1.5771744235802385</v>
      </c>
      <c r="W115" s="409">
        <v>52196.965013678433</v>
      </c>
      <c r="X115" s="409">
        <v>142632.30462886504</v>
      </c>
      <c r="Y115" s="409">
        <v>90435.339615186604</v>
      </c>
      <c r="Z115" s="410">
        <v>1.5771744235802385</v>
      </c>
      <c r="AA115" s="409">
        <v>52196.965013678433</v>
      </c>
      <c r="AB115" s="409">
        <v>124028.09098162179</v>
      </c>
      <c r="AC115" s="409">
        <v>34585.077368728584</v>
      </c>
      <c r="AD115" s="410">
        <v>3.586173587507036</v>
      </c>
      <c r="AE115" s="409">
        <v>89443.013612893206</v>
      </c>
      <c r="AF115" s="409">
        <v>34887.521244328083</v>
      </c>
      <c r="AG115" s="409">
        <v>167472.85113923444</v>
      </c>
      <c r="AH115" s="410">
        <v>0.2083174735905291</v>
      </c>
      <c r="AI115" s="409">
        <v>-132585.32989490635</v>
      </c>
      <c r="AJ115" s="409">
        <v>124028.09098162179</v>
      </c>
      <c r="AK115" s="409">
        <v>34748.397061552314</v>
      </c>
      <c r="AL115" s="410">
        <v>3.569318341848172</v>
      </c>
      <c r="AM115" s="409">
        <v>89279.693920069476</v>
      </c>
      <c r="AN115" s="411">
        <v>630.06363882031212</v>
      </c>
      <c r="AO115" s="411">
        <v>1972099.114775354</v>
      </c>
      <c r="AP115" s="409">
        <v>34585.077368728584</v>
      </c>
      <c r="AQ115" s="409">
        <v>54.891403404080428</v>
      </c>
      <c r="AR115" s="409">
        <v>1.7537190250535781E-2</v>
      </c>
    </row>
    <row r="116" spans="1:44" s="388" customFormat="1">
      <c r="A116" s="402" t="s">
        <v>231</v>
      </c>
      <c r="B116" s="402" t="s">
        <v>370</v>
      </c>
      <c r="C116" s="402" t="s">
        <v>427</v>
      </c>
      <c r="D116" s="402" t="s">
        <v>428</v>
      </c>
      <c r="E116" s="402" t="s">
        <v>429</v>
      </c>
      <c r="F116" s="402" t="s">
        <v>430</v>
      </c>
      <c r="G116" s="402" t="s">
        <v>374</v>
      </c>
      <c r="H116" s="402" t="s">
        <v>375</v>
      </c>
      <c r="I116" s="403">
        <v>2020</v>
      </c>
      <c r="J116" s="404">
        <v>2</v>
      </c>
      <c r="K116" s="405">
        <v>18718</v>
      </c>
      <c r="L116" s="405">
        <v>0</v>
      </c>
      <c r="M116" s="406" t="s">
        <v>251</v>
      </c>
      <c r="N116" s="406" t="s">
        <v>251</v>
      </c>
      <c r="O116" s="406" t="s">
        <v>376</v>
      </c>
      <c r="P116" s="407">
        <v>0.54</v>
      </c>
      <c r="Q116" s="407">
        <v>0.54</v>
      </c>
      <c r="R116" s="408">
        <v>37436</v>
      </c>
      <c r="S116" s="408">
        <v>0</v>
      </c>
      <c r="T116" s="409">
        <v>142999.60637370357</v>
      </c>
      <c r="U116" s="409">
        <v>88662.097661947642</v>
      </c>
      <c r="V116" s="410">
        <v>1.6128606264080838</v>
      </c>
      <c r="W116" s="409">
        <v>54337.508711755931</v>
      </c>
      <c r="X116" s="409">
        <v>142999.60637370357</v>
      </c>
      <c r="Y116" s="409">
        <v>88662.097661947642</v>
      </c>
      <c r="Z116" s="410">
        <v>1.6128606264080838</v>
      </c>
      <c r="AA116" s="409">
        <v>54337.508711755931</v>
      </c>
      <c r="AB116" s="409">
        <v>124347.4838032205</v>
      </c>
      <c r="AC116" s="409">
        <v>33906.93859679273</v>
      </c>
      <c r="AD116" s="410">
        <v>3.6673167484068458</v>
      </c>
      <c r="AE116" s="409">
        <v>90440.545206427778</v>
      </c>
      <c r="AF116" s="409">
        <v>34208.339668349763</v>
      </c>
      <c r="AG116" s="409">
        <v>164189.06974434748</v>
      </c>
      <c r="AH116" s="410">
        <v>0.20834724090717038</v>
      </c>
      <c r="AI116" s="409">
        <v>-129980.73007599771</v>
      </c>
      <c r="AJ116" s="409">
        <v>124347.4838032205</v>
      </c>
      <c r="AK116" s="409">
        <v>34069.695175433524</v>
      </c>
      <c r="AL116" s="410">
        <v>3.6497973686856806</v>
      </c>
      <c r="AM116" s="409">
        <v>90277.788627786969</v>
      </c>
      <c r="AN116" s="411">
        <v>617.7094498238356</v>
      </c>
      <c r="AO116" s="411">
        <v>1933430.5046817202</v>
      </c>
      <c r="AP116" s="409">
        <v>33906.93859679273</v>
      </c>
      <c r="AQ116" s="409">
        <v>54.891403404080414</v>
      </c>
      <c r="AR116" s="409">
        <v>1.7537190250535777E-2</v>
      </c>
    </row>
    <row r="117" spans="1:44" s="388" customFormat="1">
      <c r="A117" s="402" t="s">
        <v>231</v>
      </c>
      <c r="B117" s="402" t="s">
        <v>370</v>
      </c>
      <c r="C117" s="402" t="s">
        <v>243</v>
      </c>
      <c r="D117" s="402" t="s">
        <v>413</v>
      </c>
      <c r="E117" s="402" t="s">
        <v>431</v>
      </c>
      <c r="F117" s="402" t="s">
        <v>432</v>
      </c>
      <c r="G117" s="402" t="s">
        <v>374</v>
      </c>
      <c r="H117" s="402" t="s">
        <v>380</v>
      </c>
      <c r="I117" s="403">
        <v>2015</v>
      </c>
      <c r="J117" s="404">
        <v>1.32</v>
      </c>
      <c r="K117" s="405">
        <v>0</v>
      </c>
      <c r="L117" s="405">
        <v>0</v>
      </c>
      <c r="M117" s="406" t="s">
        <v>251</v>
      </c>
      <c r="N117" s="406" t="s">
        <v>251</v>
      </c>
      <c r="O117" s="406" t="s">
        <v>376</v>
      </c>
      <c r="P117" s="407">
        <v>1</v>
      </c>
      <c r="Q117" s="407">
        <v>1</v>
      </c>
      <c r="R117" s="408">
        <v>0</v>
      </c>
      <c r="S117" s="408">
        <v>0</v>
      </c>
      <c r="T117" s="409">
        <v>38970.165540739225</v>
      </c>
      <c r="U117" s="409">
        <v>76541.229599999991</v>
      </c>
      <c r="V117" s="410">
        <v>0.50913952838744614</v>
      </c>
      <c r="W117" s="409">
        <v>-37571.064059260767</v>
      </c>
      <c r="X117" s="409">
        <v>38970.165540739225</v>
      </c>
      <c r="Y117" s="409">
        <v>76541.229599999991</v>
      </c>
      <c r="Z117" s="410">
        <v>0.50913952838744614</v>
      </c>
      <c r="AA117" s="409">
        <v>-37571.064059260767</v>
      </c>
      <c r="AB117" s="409">
        <v>19866.257465716993</v>
      </c>
      <c r="AC117" s="409">
        <v>0</v>
      </c>
      <c r="AD117" s="410" t="e">
        <v>#DIV/0!</v>
      </c>
      <c r="AE117" s="409">
        <v>19866.257465716993</v>
      </c>
      <c r="AF117" s="409">
        <v>50.166497751537825</v>
      </c>
      <c r="AG117" s="409">
        <v>76541.229599999991</v>
      </c>
      <c r="AH117" s="410">
        <v>6.5541797556304001E-4</v>
      </c>
      <c r="AI117" s="409">
        <v>-76491.063102248459</v>
      </c>
      <c r="AJ117" s="409">
        <v>33887.100470208024</v>
      </c>
      <c r="AK117" s="409">
        <v>50.166497751537825</v>
      </c>
      <c r="AL117" s="410">
        <v>675.49264925852299</v>
      </c>
      <c r="AM117" s="409">
        <v>33836.933972456485</v>
      </c>
      <c r="AN117" s="411">
        <v>65.935094640652139</v>
      </c>
      <c r="AO117" s="411">
        <v>378607.84855242592</v>
      </c>
      <c r="AP117" s="409">
        <v>0</v>
      </c>
      <c r="AQ117" s="409">
        <v>0</v>
      </c>
      <c r="AR117" s="409">
        <v>0</v>
      </c>
    </row>
    <row r="118" spans="1:44" s="388" customFormat="1">
      <c r="A118" s="402" t="s">
        <v>231</v>
      </c>
      <c r="B118" s="402" t="s">
        <v>370</v>
      </c>
      <c r="C118" s="402" t="s">
        <v>243</v>
      </c>
      <c r="D118" s="402" t="s">
        <v>413</v>
      </c>
      <c r="E118" s="402" t="s">
        <v>431</v>
      </c>
      <c r="F118" s="402" t="s">
        <v>432</v>
      </c>
      <c r="G118" s="402" t="s">
        <v>374</v>
      </c>
      <c r="H118" s="402" t="s">
        <v>380</v>
      </c>
      <c r="I118" s="403">
        <v>2016</v>
      </c>
      <c r="J118" s="404">
        <v>2</v>
      </c>
      <c r="K118" s="405">
        <v>5327.27</v>
      </c>
      <c r="L118" s="405">
        <v>0</v>
      </c>
      <c r="M118" s="406" t="s">
        <v>251</v>
      </c>
      <c r="N118" s="406" t="s">
        <v>251</v>
      </c>
      <c r="O118" s="406" t="s">
        <v>376</v>
      </c>
      <c r="P118" s="407">
        <v>1</v>
      </c>
      <c r="Q118" s="407">
        <v>1</v>
      </c>
      <c r="R118" s="408">
        <v>10654.54</v>
      </c>
      <c r="S118" s="408">
        <v>0</v>
      </c>
      <c r="T118" s="409">
        <v>63350.752038981278</v>
      </c>
      <c r="U118" s="409">
        <v>113697.60784313724</v>
      </c>
      <c r="V118" s="410">
        <v>0.55718632292055836</v>
      </c>
      <c r="W118" s="409">
        <v>-50346.855804155966</v>
      </c>
      <c r="X118" s="409">
        <v>63350.752038981278</v>
      </c>
      <c r="Y118" s="409">
        <v>113697.60784313724</v>
      </c>
      <c r="Z118" s="410">
        <v>0.55718632292055836</v>
      </c>
      <c r="AA118" s="409">
        <v>-50346.855804155966</v>
      </c>
      <c r="AB118" s="409">
        <v>33843.908946723277</v>
      </c>
      <c r="AC118" s="409">
        <v>10445.627450980393</v>
      </c>
      <c r="AD118" s="410">
        <v>3.2400072763026597</v>
      </c>
      <c r="AE118" s="409">
        <v>23398.281495742885</v>
      </c>
      <c r="AF118" s="409">
        <v>10522.139174620868</v>
      </c>
      <c r="AG118" s="409">
        <v>113697.60784313724</v>
      </c>
      <c r="AH118" s="410">
        <v>9.2544947727816088E-2</v>
      </c>
      <c r="AI118" s="409">
        <v>-103175.46866851638</v>
      </c>
      <c r="AJ118" s="409">
        <v>55087.610468679377</v>
      </c>
      <c r="AK118" s="409">
        <v>10522.139174620868</v>
      </c>
      <c r="AL118" s="410">
        <v>5.2354002883319861</v>
      </c>
      <c r="AM118" s="409">
        <v>44565.471294058509</v>
      </c>
      <c r="AN118" s="411">
        <v>97.942802496512385</v>
      </c>
      <c r="AO118" s="411">
        <v>562400.25037496432</v>
      </c>
      <c r="AP118" s="409">
        <v>10445.627450980393</v>
      </c>
      <c r="AQ118" s="409">
        <v>106.65028143698817</v>
      </c>
      <c r="AR118" s="409">
        <v>1.8573298009764521E-2</v>
      </c>
    </row>
    <row r="119" spans="1:44" s="388" customFormat="1">
      <c r="A119" s="402" t="s">
        <v>231</v>
      </c>
      <c r="B119" s="402" t="s">
        <v>370</v>
      </c>
      <c r="C119" s="402" t="s">
        <v>243</v>
      </c>
      <c r="D119" s="402" t="s">
        <v>413</v>
      </c>
      <c r="E119" s="402" t="s">
        <v>431</v>
      </c>
      <c r="F119" s="402" t="s">
        <v>432</v>
      </c>
      <c r="G119" s="402" t="s">
        <v>374</v>
      </c>
      <c r="H119" s="402" t="s">
        <v>380</v>
      </c>
      <c r="I119" s="403">
        <v>2017</v>
      </c>
      <c r="J119" s="404">
        <v>2</v>
      </c>
      <c r="K119" s="405">
        <v>5327.27</v>
      </c>
      <c r="L119" s="405">
        <v>0</v>
      </c>
      <c r="M119" s="406" t="s">
        <v>251</v>
      </c>
      <c r="N119" s="406" t="s">
        <v>251</v>
      </c>
      <c r="O119" s="406" t="s">
        <v>376</v>
      </c>
      <c r="P119" s="407">
        <v>1</v>
      </c>
      <c r="Q119" s="407">
        <v>1</v>
      </c>
      <c r="R119" s="408">
        <v>10654.54</v>
      </c>
      <c r="S119" s="408">
        <v>0</v>
      </c>
      <c r="T119" s="409">
        <v>68617.781970082666</v>
      </c>
      <c r="U119" s="409">
        <v>111468.24298346791</v>
      </c>
      <c r="V119" s="410">
        <v>0.61558144394775749</v>
      </c>
      <c r="W119" s="409">
        <v>-42850.46101338524</v>
      </c>
      <c r="X119" s="409">
        <v>68617.781970082666</v>
      </c>
      <c r="Y119" s="409">
        <v>111468.24298346791</v>
      </c>
      <c r="Z119" s="410">
        <v>0.61558144394775749</v>
      </c>
      <c r="AA119" s="409">
        <v>-42850.46101338524</v>
      </c>
      <c r="AB119" s="409">
        <v>38423.934973767973</v>
      </c>
      <c r="AC119" s="409">
        <v>10240.811226451366</v>
      </c>
      <c r="AD119" s="410">
        <v>3.7520401581587</v>
      </c>
      <c r="AE119" s="409">
        <v>28183.123747316607</v>
      </c>
      <c r="AF119" s="409">
        <v>10317.982190041692</v>
      </c>
      <c r="AG119" s="409">
        <v>111468.24298346791</v>
      </c>
      <c r="AH119" s="410">
        <v>9.2564320687928789E-2</v>
      </c>
      <c r="AI119" s="409">
        <v>-101150.26079342622</v>
      </c>
      <c r="AJ119" s="409">
        <v>59667.636495724066</v>
      </c>
      <c r="AK119" s="409">
        <v>10317.982190041692</v>
      </c>
      <c r="AL119" s="410">
        <v>5.7828784152498098</v>
      </c>
      <c r="AM119" s="409">
        <v>49349.654305682372</v>
      </c>
      <c r="AN119" s="411">
        <v>96.022355388737651</v>
      </c>
      <c r="AO119" s="411">
        <v>551372.7944852591</v>
      </c>
      <c r="AP119" s="409">
        <v>10240.811226451366</v>
      </c>
      <c r="AQ119" s="409">
        <v>106.65028143698814</v>
      </c>
      <c r="AR119" s="409">
        <v>1.8573298009764521E-2</v>
      </c>
    </row>
    <row r="120" spans="1:44" s="388" customFormat="1">
      <c r="A120" s="402" t="s">
        <v>231</v>
      </c>
      <c r="B120" s="402" t="s">
        <v>370</v>
      </c>
      <c r="C120" s="402" t="s">
        <v>243</v>
      </c>
      <c r="D120" s="402" t="s">
        <v>413</v>
      </c>
      <c r="E120" s="402" t="s">
        <v>431</v>
      </c>
      <c r="F120" s="402" t="s">
        <v>432</v>
      </c>
      <c r="G120" s="402" t="s">
        <v>374</v>
      </c>
      <c r="H120" s="402" t="s">
        <v>380</v>
      </c>
      <c r="I120" s="403">
        <v>2018</v>
      </c>
      <c r="J120" s="404">
        <v>2</v>
      </c>
      <c r="K120" s="405">
        <v>5327.27</v>
      </c>
      <c r="L120" s="405">
        <v>0</v>
      </c>
      <c r="M120" s="406" t="s">
        <v>251</v>
      </c>
      <c r="N120" s="406" t="s">
        <v>251</v>
      </c>
      <c r="O120" s="406" t="s">
        <v>376</v>
      </c>
      <c r="P120" s="407">
        <v>1</v>
      </c>
      <c r="Q120" s="407">
        <v>1</v>
      </c>
      <c r="R120" s="408">
        <v>10654.54</v>
      </c>
      <c r="S120" s="408">
        <v>0</v>
      </c>
      <c r="T120" s="409">
        <v>70243.293173137688</v>
      </c>
      <c r="U120" s="409">
        <v>109282.59116026266</v>
      </c>
      <c r="V120" s="410">
        <v>0.64276745662194323</v>
      </c>
      <c r="W120" s="409">
        <v>-39039.29798712497</v>
      </c>
      <c r="X120" s="409">
        <v>70243.293173137688</v>
      </c>
      <c r="Y120" s="409">
        <v>109282.59116026266</v>
      </c>
      <c r="Z120" s="410">
        <v>0.64276745662194323</v>
      </c>
      <c r="AA120" s="409">
        <v>-39039.29798712497</v>
      </c>
      <c r="AB120" s="409">
        <v>39837.42297642451</v>
      </c>
      <c r="AC120" s="409">
        <v>10040.01100632487</v>
      </c>
      <c r="AD120" s="410">
        <v>3.9678664646212307</v>
      </c>
      <c r="AE120" s="409">
        <v>29797.411970099638</v>
      </c>
      <c r="AF120" s="409">
        <v>10116.996564483334</v>
      </c>
      <c r="AG120" s="409">
        <v>109282.59116026266</v>
      </c>
      <c r="AH120" s="410">
        <v>9.2576470388104015E-2</v>
      </c>
      <c r="AI120" s="409">
        <v>-99165.59459577933</v>
      </c>
      <c r="AJ120" s="409">
        <v>61081.124498380603</v>
      </c>
      <c r="AK120" s="409">
        <v>10116.996564483334</v>
      </c>
      <c r="AL120" s="410">
        <v>6.0374760541890096</v>
      </c>
      <c r="AM120" s="409">
        <v>50964.127933897267</v>
      </c>
      <c r="AN120" s="411">
        <v>94.139564106605533</v>
      </c>
      <c r="AO120" s="411">
        <v>540561.56322084216</v>
      </c>
      <c r="AP120" s="409">
        <v>10040.01100632487</v>
      </c>
      <c r="AQ120" s="409">
        <v>106.65028143698818</v>
      </c>
      <c r="AR120" s="409">
        <v>1.8573298009764528E-2</v>
      </c>
    </row>
    <row r="121" spans="1:44" s="388" customFormat="1">
      <c r="A121" s="402" t="s">
        <v>231</v>
      </c>
      <c r="B121" s="402" t="s">
        <v>370</v>
      </c>
      <c r="C121" s="402" t="s">
        <v>243</v>
      </c>
      <c r="D121" s="402" t="s">
        <v>413</v>
      </c>
      <c r="E121" s="402" t="s">
        <v>431</v>
      </c>
      <c r="F121" s="402" t="s">
        <v>432</v>
      </c>
      <c r="G121" s="402" t="s">
        <v>374</v>
      </c>
      <c r="H121" s="402" t="s">
        <v>380</v>
      </c>
      <c r="I121" s="403">
        <v>2019</v>
      </c>
      <c r="J121" s="404">
        <v>2</v>
      </c>
      <c r="K121" s="405">
        <v>5327.27</v>
      </c>
      <c r="L121" s="405">
        <v>0</v>
      </c>
      <c r="M121" s="406" t="s">
        <v>251</v>
      </c>
      <c r="N121" s="406" t="s">
        <v>251</v>
      </c>
      <c r="O121" s="406" t="s">
        <v>376</v>
      </c>
      <c r="P121" s="407">
        <v>1</v>
      </c>
      <c r="Q121" s="407">
        <v>1</v>
      </c>
      <c r="R121" s="408">
        <v>10654.54</v>
      </c>
      <c r="S121" s="408">
        <v>0</v>
      </c>
      <c r="T121" s="409">
        <v>72321.913473618144</v>
      </c>
      <c r="U121" s="409">
        <v>107139.79525515945</v>
      </c>
      <c r="V121" s="410">
        <v>0.67502381632687869</v>
      </c>
      <c r="W121" s="409">
        <v>-34817.881781541306</v>
      </c>
      <c r="X121" s="409">
        <v>72321.913473618144</v>
      </c>
      <c r="Y121" s="409">
        <v>107139.79525515945</v>
      </c>
      <c r="Z121" s="410">
        <v>0.67502381632687869</v>
      </c>
      <c r="AA121" s="409">
        <v>-34817.881781541306</v>
      </c>
      <c r="AB121" s="409">
        <v>41644.918889885783</v>
      </c>
      <c r="AC121" s="409">
        <v>9843.1480454165376</v>
      </c>
      <c r="AD121" s="410">
        <v>4.2308536555312442</v>
      </c>
      <c r="AE121" s="409">
        <v>31801.770844469247</v>
      </c>
      <c r="AF121" s="409">
        <v>9919.6145213121144</v>
      </c>
      <c r="AG121" s="409">
        <v>107139.79525515945</v>
      </c>
      <c r="AH121" s="410">
        <v>9.2585714744815348E-2</v>
      </c>
      <c r="AI121" s="409">
        <v>-97220.18073384733</v>
      </c>
      <c r="AJ121" s="409">
        <v>62888.620411841875</v>
      </c>
      <c r="AK121" s="409">
        <v>9919.6145213121144</v>
      </c>
      <c r="AL121" s="410">
        <v>6.3398250281527373</v>
      </c>
      <c r="AM121" s="409">
        <v>52969.005890529763</v>
      </c>
      <c r="AN121" s="411">
        <v>92.293690300593681</v>
      </c>
      <c r="AO121" s="411">
        <v>529962.31688317878</v>
      </c>
      <c r="AP121" s="409">
        <v>9843.1480454165376</v>
      </c>
      <c r="AQ121" s="409">
        <v>106.65028143698812</v>
      </c>
      <c r="AR121" s="409">
        <v>1.8573298009764518E-2</v>
      </c>
    </row>
    <row r="122" spans="1:44" s="388" customFormat="1">
      <c r="A122" s="402" t="s">
        <v>231</v>
      </c>
      <c r="B122" s="402" t="s">
        <v>370</v>
      </c>
      <c r="C122" s="402" t="s">
        <v>243</v>
      </c>
      <c r="D122" s="402" t="s">
        <v>413</v>
      </c>
      <c r="E122" s="402" t="s">
        <v>431</v>
      </c>
      <c r="F122" s="402" t="s">
        <v>432</v>
      </c>
      <c r="G122" s="402" t="s">
        <v>374</v>
      </c>
      <c r="H122" s="402" t="s">
        <v>380</v>
      </c>
      <c r="I122" s="403">
        <v>2020</v>
      </c>
      <c r="J122" s="404">
        <v>2</v>
      </c>
      <c r="K122" s="405">
        <v>5327.27</v>
      </c>
      <c r="L122" s="405">
        <v>0</v>
      </c>
      <c r="M122" s="406" t="s">
        <v>251</v>
      </c>
      <c r="N122" s="406" t="s">
        <v>251</v>
      </c>
      <c r="O122" s="406" t="s">
        <v>376</v>
      </c>
      <c r="P122" s="407">
        <v>1</v>
      </c>
      <c r="Q122" s="407">
        <v>1</v>
      </c>
      <c r="R122" s="408">
        <v>10654.54</v>
      </c>
      <c r="S122" s="408">
        <v>0</v>
      </c>
      <c r="T122" s="409">
        <v>73059.246749331578</v>
      </c>
      <c r="U122" s="409">
        <v>105039.01495603868</v>
      </c>
      <c r="V122" s="410">
        <v>0.69554390604204164</v>
      </c>
      <c r="W122" s="409">
        <v>-31979.7682067071</v>
      </c>
      <c r="X122" s="409">
        <v>73059.246749331578</v>
      </c>
      <c r="Y122" s="409">
        <v>105039.01495603868</v>
      </c>
      <c r="Z122" s="410">
        <v>0.69554390604204164</v>
      </c>
      <c r="AA122" s="409">
        <v>-31979.7682067071</v>
      </c>
      <c r="AB122" s="409">
        <v>42286.078260071372</v>
      </c>
      <c r="AC122" s="409">
        <v>9650.1451425652322</v>
      </c>
      <c r="AD122" s="410">
        <v>4.3819111148447192</v>
      </c>
      <c r="AE122" s="409">
        <v>32635.933117506138</v>
      </c>
      <c r="AF122" s="409">
        <v>9725.5863691913601</v>
      </c>
      <c r="AG122" s="409">
        <v>105039.01495603868</v>
      </c>
      <c r="AH122" s="410">
        <v>9.2590228242922387E-2</v>
      </c>
      <c r="AI122" s="409">
        <v>-95313.428586847323</v>
      </c>
      <c r="AJ122" s="409">
        <v>63529.779782027465</v>
      </c>
      <c r="AK122" s="409">
        <v>9725.5863691913601</v>
      </c>
      <c r="AL122" s="410">
        <v>6.5322313092891369</v>
      </c>
      <c r="AM122" s="409">
        <v>53804.193412836103</v>
      </c>
      <c r="AN122" s="411">
        <v>90.484010098621241</v>
      </c>
      <c r="AO122" s="411">
        <v>519570.89890507708</v>
      </c>
      <c r="AP122" s="409">
        <v>9650.1451425652322</v>
      </c>
      <c r="AQ122" s="409">
        <v>106.65028143698814</v>
      </c>
      <c r="AR122" s="409">
        <v>1.8573298009764524E-2</v>
      </c>
    </row>
    <row r="123" spans="1:44" s="388" customFormat="1">
      <c r="A123" s="402" t="s">
        <v>231</v>
      </c>
      <c r="B123" s="402" t="s">
        <v>1</v>
      </c>
      <c r="C123" s="402" t="s">
        <v>433</v>
      </c>
      <c r="D123" s="402" t="s">
        <v>434</v>
      </c>
      <c r="E123" s="402" t="s">
        <v>435</v>
      </c>
      <c r="F123" s="402" t="s">
        <v>436</v>
      </c>
      <c r="G123" s="402" t="s">
        <v>437</v>
      </c>
      <c r="H123" s="402" t="s">
        <v>438</v>
      </c>
      <c r="I123" s="403">
        <v>2017</v>
      </c>
      <c r="J123" s="404">
        <v>1</v>
      </c>
      <c r="K123" s="405">
        <v>200000</v>
      </c>
      <c r="L123" s="405"/>
      <c r="M123" s="406" t="s">
        <v>251</v>
      </c>
      <c r="N123" s="406" t="s">
        <v>251</v>
      </c>
      <c r="O123" s="406" t="s">
        <v>376</v>
      </c>
      <c r="P123" s="407">
        <v>1</v>
      </c>
      <c r="Q123" s="407">
        <v>1</v>
      </c>
      <c r="R123" s="408">
        <v>200000</v>
      </c>
      <c r="S123" s="408">
        <v>0</v>
      </c>
      <c r="T123" s="409">
        <v>2132491.3221695526</v>
      </c>
      <c r="U123" s="409">
        <v>480584.39061899274</v>
      </c>
      <c r="V123" s="410">
        <v>4.4372879431704044</v>
      </c>
      <c r="W123" s="409">
        <v>1651906.9315505598</v>
      </c>
      <c r="X123" s="409">
        <v>2132491.3221695526</v>
      </c>
      <c r="Y123" s="409">
        <v>480584.39061899274</v>
      </c>
      <c r="Z123" s="410">
        <v>4.4372879431704044</v>
      </c>
      <c r="AA123" s="409">
        <v>1651906.9315505598</v>
      </c>
      <c r="AB123" s="409">
        <v>1854340.2801474372</v>
      </c>
      <c r="AC123" s="409">
        <v>192233.75624759708</v>
      </c>
      <c r="AD123" s="410">
        <v>9.6462781373269681</v>
      </c>
      <c r="AE123" s="409">
        <v>1662106.5238998402</v>
      </c>
      <c r="AF123" s="409">
        <v>196207.78912789622</v>
      </c>
      <c r="AG123" s="409">
        <v>480584.39061899274</v>
      </c>
      <c r="AH123" s="410">
        <v>0.4082691676173264</v>
      </c>
      <c r="AI123" s="409">
        <v>-284376.60149109655</v>
      </c>
      <c r="AJ123" s="409">
        <v>1854340.2801474372</v>
      </c>
      <c r="AK123" s="409">
        <v>196207.78912789622</v>
      </c>
      <c r="AL123" s="410">
        <v>9.450900437692118</v>
      </c>
      <c r="AM123" s="409">
        <v>1658132.4910195409</v>
      </c>
      <c r="AN123" s="411">
        <v>3037.41392582156</v>
      </c>
      <c r="AO123" s="411">
        <v>26680643.912720963</v>
      </c>
      <c r="AP123" s="409">
        <v>192233.75624759708</v>
      </c>
      <c r="AQ123" s="409">
        <v>63.288626753629458</v>
      </c>
      <c r="AR123" s="409">
        <v>7.204989387679008E-3</v>
      </c>
    </row>
    <row r="124" spans="1:44" s="388" customFormat="1">
      <c r="A124" s="402" t="s">
        <v>231</v>
      </c>
      <c r="B124" s="402" t="s">
        <v>1</v>
      </c>
      <c r="C124" s="402" t="s">
        <v>433</v>
      </c>
      <c r="D124" s="402" t="s">
        <v>389</v>
      </c>
      <c r="E124" s="402" t="s">
        <v>439</v>
      </c>
      <c r="F124" s="402" t="s">
        <v>150</v>
      </c>
      <c r="G124" s="402" t="s">
        <v>440</v>
      </c>
      <c r="H124" s="402" t="s">
        <v>441</v>
      </c>
      <c r="I124" s="403">
        <v>2016</v>
      </c>
      <c r="J124" s="404">
        <v>4</v>
      </c>
      <c r="K124" s="405">
        <v>10000</v>
      </c>
      <c r="L124" s="405"/>
      <c r="M124" s="406" t="s">
        <v>251</v>
      </c>
      <c r="N124" s="406" t="s">
        <v>231</v>
      </c>
      <c r="O124" s="406" t="s">
        <v>376</v>
      </c>
      <c r="P124" s="407">
        <v>1</v>
      </c>
      <c r="Q124" s="407">
        <v>1</v>
      </c>
      <c r="R124" s="408">
        <v>40000</v>
      </c>
      <c r="S124" s="408">
        <v>0</v>
      </c>
      <c r="T124" s="409">
        <v>883591.17659856868</v>
      </c>
      <c r="U124" s="409">
        <v>1568627.4509803921</v>
      </c>
      <c r="V124" s="410">
        <v>0.56328937508158761</v>
      </c>
      <c r="W124" s="409">
        <v>-685036.27438182337</v>
      </c>
      <c r="X124" s="409">
        <v>883591.17659856868</v>
      </c>
      <c r="Y124" s="409">
        <v>1568627.4509803921</v>
      </c>
      <c r="Z124" s="410">
        <v>0.56328937508158761</v>
      </c>
      <c r="AA124" s="409">
        <v>-685036.27438182337</v>
      </c>
      <c r="AB124" s="409">
        <v>768340.1535639728</v>
      </c>
      <c r="AC124" s="409">
        <v>39215.686274509804</v>
      </c>
      <c r="AD124" s="410">
        <v>19.592673915881306</v>
      </c>
      <c r="AE124" s="409">
        <v>729124.46728946303</v>
      </c>
      <c r="AF124" s="409">
        <v>39954.723763943504</v>
      </c>
      <c r="AG124" s="409">
        <v>1568627.4509803921</v>
      </c>
      <c r="AH124" s="410">
        <v>2.5471136399513986E-2</v>
      </c>
      <c r="AI124" s="409">
        <v>-1528672.7272164486</v>
      </c>
      <c r="AJ124" s="409">
        <v>768340.1535639728</v>
      </c>
      <c r="AK124" s="409">
        <v>39954.723763943504</v>
      </c>
      <c r="AL124" s="410">
        <v>19.230270695985865</v>
      </c>
      <c r="AM124" s="409">
        <v>728385.42980002926</v>
      </c>
      <c r="AN124" s="411">
        <v>2757.3455182582634</v>
      </c>
      <c r="AO124" s="411">
        <v>4885659.3642593315</v>
      </c>
      <c r="AP124" s="409">
        <v>39215.686274509804</v>
      </c>
      <c r="AQ124" s="409">
        <v>14.22226050918756</v>
      </c>
      <c r="AR124" s="409">
        <v>8.0266926837734877E-3</v>
      </c>
    </row>
    <row r="125" spans="1:44" s="388" customFormat="1">
      <c r="A125" s="402" t="s">
        <v>231</v>
      </c>
      <c r="B125" s="402" t="s">
        <v>1</v>
      </c>
      <c r="C125" s="402" t="s">
        <v>433</v>
      </c>
      <c r="D125" s="402" t="s">
        <v>389</v>
      </c>
      <c r="E125" s="402" t="s">
        <v>439</v>
      </c>
      <c r="F125" s="402" t="s">
        <v>150</v>
      </c>
      <c r="G125" s="402" t="s">
        <v>440</v>
      </c>
      <c r="H125" s="402" t="s">
        <v>441</v>
      </c>
      <c r="I125" s="403">
        <v>2017</v>
      </c>
      <c r="J125" s="404">
        <v>4</v>
      </c>
      <c r="K125" s="405">
        <v>10000</v>
      </c>
      <c r="L125" s="405"/>
      <c r="M125" s="406" t="s">
        <v>251</v>
      </c>
      <c r="N125" s="406" t="s">
        <v>231</v>
      </c>
      <c r="O125" s="406" t="s">
        <v>376</v>
      </c>
      <c r="P125" s="407">
        <v>1</v>
      </c>
      <c r="Q125" s="407">
        <v>1</v>
      </c>
      <c r="R125" s="408">
        <v>40000</v>
      </c>
      <c r="S125" s="408">
        <v>0</v>
      </c>
      <c r="T125" s="409">
        <v>930775.82086002582</v>
      </c>
      <c r="U125" s="409">
        <v>1537870.0499807766</v>
      </c>
      <c r="V125" s="410">
        <v>0.60523697751423178</v>
      </c>
      <c r="W125" s="409">
        <v>-607094.2291207508</v>
      </c>
      <c r="X125" s="409">
        <v>930775.82086002582</v>
      </c>
      <c r="Y125" s="409">
        <v>1537870.0499807766</v>
      </c>
      <c r="Z125" s="410">
        <v>0.60523697751423178</v>
      </c>
      <c r="AA125" s="409">
        <v>-607094.2291207508</v>
      </c>
      <c r="AB125" s="409">
        <v>809370.27900871821</v>
      </c>
      <c r="AC125" s="409">
        <v>38446.751249519417</v>
      </c>
      <c r="AD125" s="410">
        <v>21.051720957016759</v>
      </c>
      <c r="AE125" s="409">
        <v>770923.5277591988</v>
      </c>
      <c r="AF125" s="409">
        <v>39185.358206733457</v>
      </c>
      <c r="AG125" s="409">
        <v>1537870.0499807766</v>
      </c>
      <c r="AH125" s="410">
        <v>2.5480279173928432E-2</v>
      </c>
      <c r="AI125" s="409">
        <v>-1498684.6917740433</v>
      </c>
      <c r="AJ125" s="409">
        <v>809370.27900871821</v>
      </c>
      <c r="AK125" s="409">
        <v>39185.358206733457</v>
      </c>
      <c r="AL125" s="410">
        <v>20.65491591881478</v>
      </c>
      <c r="AM125" s="409">
        <v>770184.92080198473</v>
      </c>
      <c r="AN125" s="411">
        <v>2703.279919861041</v>
      </c>
      <c r="AO125" s="411">
        <v>4789862.1218228713</v>
      </c>
      <c r="AP125" s="409">
        <v>38446.751249519417</v>
      </c>
      <c r="AQ125" s="409">
        <v>14.222260509187569</v>
      </c>
      <c r="AR125" s="409">
        <v>8.0266926837734929E-3</v>
      </c>
    </row>
    <row r="126" spans="1:44" s="388" customFormat="1">
      <c r="A126" s="402" t="s">
        <v>231</v>
      </c>
      <c r="B126" s="402" t="s">
        <v>1</v>
      </c>
      <c r="C126" s="402" t="s">
        <v>433</v>
      </c>
      <c r="D126" s="402" t="s">
        <v>389</v>
      </c>
      <c r="E126" s="402" t="s">
        <v>439</v>
      </c>
      <c r="F126" s="402" t="s">
        <v>150</v>
      </c>
      <c r="G126" s="402" t="s">
        <v>440</v>
      </c>
      <c r="H126" s="402" t="s">
        <v>441</v>
      </c>
      <c r="I126" s="403">
        <v>2018</v>
      </c>
      <c r="J126" s="404">
        <v>4</v>
      </c>
      <c r="K126" s="405">
        <v>10000</v>
      </c>
      <c r="L126" s="405"/>
      <c r="M126" s="406" t="s">
        <v>251</v>
      </c>
      <c r="N126" s="406" t="s">
        <v>231</v>
      </c>
      <c r="O126" s="406" t="s">
        <v>376</v>
      </c>
      <c r="P126" s="407">
        <v>1</v>
      </c>
      <c r="Q126" s="407">
        <v>1</v>
      </c>
      <c r="R126" s="408">
        <v>40000</v>
      </c>
      <c r="S126" s="408">
        <v>0</v>
      </c>
      <c r="T126" s="409">
        <v>934482.34350282128</v>
      </c>
      <c r="U126" s="409">
        <v>1507715.7352752713</v>
      </c>
      <c r="V126" s="410">
        <v>0.61980008673996367</v>
      </c>
      <c r="W126" s="409">
        <v>-573233.39177245006</v>
      </c>
      <c r="X126" s="409">
        <v>934482.34350282128</v>
      </c>
      <c r="Y126" s="409">
        <v>1507715.7352752713</v>
      </c>
      <c r="Z126" s="410">
        <v>0.61980008673996367</v>
      </c>
      <c r="AA126" s="409">
        <v>-573233.39177245006</v>
      </c>
      <c r="AB126" s="409">
        <v>812593.34217636636</v>
      </c>
      <c r="AC126" s="409">
        <v>37692.893381881782</v>
      </c>
      <c r="AD126" s="410">
        <v>21.558263886607435</v>
      </c>
      <c r="AE126" s="409">
        <v>774900.4487944846</v>
      </c>
      <c r="AF126" s="409">
        <v>38430.761240489417</v>
      </c>
      <c r="AG126" s="409">
        <v>1507715.7352752713</v>
      </c>
      <c r="AH126" s="410">
        <v>2.5489394546560806E-2</v>
      </c>
      <c r="AI126" s="409">
        <v>-1469284.974034782</v>
      </c>
      <c r="AJ126" s="409">
        <v>812593.34217636636</v>
      </c>
      <c r="AK126" s="409">
        <v>38430.761240489417</v>
      </c>
      <c r="AL126" s="410">
        <v>21.144346766679295</v>
      </c>
      <c r="AM126" s="409">
        <v>774162.58093587693</v>
      </c>
      <c r="AN126" s="411">
        <v>2650.2744312363152</v>
      </c>
      <c r="AO126" s="411">
        <v>4695943.2566890912</v>
      </c>
      <c r="AP126" s="409">
        <v>37692.893381881782</v>
      </c>
      <c r="AQ126" s="409">
        <v>14.222260509187565</v>
      </c>
      <c r="AR126" s="409">
        <v>8.0266926837734894E-3</v>
      </c>
    </row>
    <row r="127" spans="1:44" s="388" customFormat="1">
      <c r="A127" s="402" t="s">
        <v>231</v>
      </c>
      <c r="B127" s="402" t="s">
        <v>1</v>
      </c>
      <c r="C127" s="402" t="s">
        <v>433</v>
      </c>
      <c r="D127" s="402" t="s">
        <v>389</v>
      </c>
      <c r="E127" s="402" t="s">
        <v>439</v>
      </c>
      <c r="F127" s="402" t="s">
        <v>150</v>
      </c>
      <c r="G127" s="402" t="s">
        <v>440</v>
      </c>
      <c r="H127" s="402" t="s">
        <v>441</v>
      </c>
      <c r="I127" s="403">
        <v>2019</v>
      </c>
      <c r="J127" s="404">
        <v>3</v>
      </c>
      <c r="K127" s="405">
        <v>10000</v>
      </c>
      <c r="L127" s="405"/>
      <c r="M127" s="406" t="s">
        <v>251</v>
      </c>
      <c r="N127" s="406" t="s">
        <v>231</v>
      </c>
      <c r="O127" s="406" t="s">
        <v>376</v>
      </c>
      <c r="P127" s="407">
        <v>1</v>
      </c>
      <c r="Q127" s="407">
        <v>1</v>
      </c>
      <c r="R127" s="408">
        <v>30000</v>
      </c>
      <c r="S127" s="408">
        <v>0</v>
      </c>
      <c r="T127" s="409">
        <v>704774.79759826686</v>
      </c>
      <c r="U127" s="409">
        <v>1108614.5112318171</v>
      </c>
      <c r="V127" s="410">
        <v>0.6357257553982123</v>
      </c>
      <c r="W127" s="409">
        <v>-403839.71363355021</v>
      </c>
      <c r="X127" s="409">
        <v>704774.79759826686</v>
      </c>
      <c r="Y127" s="409">
        <v>1108614.5112318171</v>
      </c>
      <c r="Z127" s="410">
        <v>0.6357257553982123</v>
      </c>
      <c r="AA127" s="409">
        <v>-403839.71363355021</v>
      </c>
      <c r="AB127" s="409">
        <v>612847.65008544957</v>
      </c>
      <c r="AC127" s="409">
        <v>27715.362780795425</v>
      </c>
      <c r="AD127" s="410">
        <v>22.112200187763914</v>
      </c>
      <c r="AE127" s="409">
        <v>585132.28730465414</v>
      </c>
      <c r="AF127" s="409">
        <v>28267.979971195215</v>
      </c>
      <c r="AG127" s="409">
        <v>1108614.5112318171</v>
      </c>
      <c r="AH127" s="410">
        <v>2.5498475515881313E-2</v>
      </c>
      <c r="AI127" s="409">
        <v>-1080346.531260622</v>
      </c>
      <c r="AJ127" s="409">
        <v>612847.65008544957</v>
      </c>
      <c r="AK127" s="409">
        <v>28267.979971195215</v>
      </c>
      <c r="AL127" s="410">
        <v>21.679923740922948</v>
      </c>
      <c r="AM127" s="409">
        <v>584579.67011425435</v>
      </c>
      <c r="AN127" s="411">
        <v>1948.7311994384672</v>
      </c>
      <c r="AO127" s="411">
        <v>3452899.4534478616</v>
      </c>
      <c r="AP127" s="409">
        <v>27715.362780795425</v>
      </c>
      <c r="AQ127" s="409">
        <v>14.222260509187564</v>
      </c>
      <c r="AR127" s="409">
        <v>8.0266926837734877E-3</v>
      </c>
    </row>
    <row r="128" spans="1:44" s="388" customFormat="1">
      <c r="A128" s="402" t="s">
        <v>231</v>
      </c>
      <c r="B128" s="402" t="s">
        <v>1</v>
      </c>
      <c r="C128" s="402" t="s">
        <v>433</v>
      </c>
      <c r="D128" s="402" t="s">
        <v>389</v>
      </c>
      <c r="E128" s="402" t="s">
        <v>439</v>
      </c>
      <c r="F128" s="402" t="s">
        <v>150</v>
      </c>
      <c r="G128" s="402" t="s">
        <v>440</v>
      </c>
      <c r="H128" s="402" t="s">
        <v>441</v>
      </c>
      <c r="I128" s="403">
        <v>2020</v>
      </c>
      <c r="J128" s="404">
        <v>3</v>
      </c>
      <c r="K128" s="405">
        <v>10000</v>
      </c>
      <c r="L128" s="405"/>
      <c r="M128" s="406" t="s">
        <v>251</v>
      </c>
      <c r="N128" s="406" t="s">
        <v>231</v>
      </c>
      <c r="O128" s="406" t="s">
        <v>376</v>
      </c>
      <c r="P128" s="407">
        <v>1</v>
      </c>
      <c r="Q128" s="407">
        <v>1</v>
      </c>
      <c r="R128" s="408">
        <v>30000</v>
      </c>
      <c r="S128" s="408">
        <v>0</v>
      </c>
      <c r="T128" s="409">
        <v>705598.11457837594</v>
      </c>
      <c r="U128" s="409">
        <v>1086876.9717958989</v>
      </c>
      <c r="V128" s="410">
        <v>0.64919777756674923</v>
      </c>
      <c r="W128" s="409">
        <v>-381278.85721752292</v>
      </c>
      <c r="X128" s="409">
        <v>705598.11457837594</v>
      </c>
      <c r="Y128" s="409">
        <v>1086876.9717958989</v>
      </c>
      <c r="Z128" s="410">
        <v>0.64919777756674923</v>
      </c>
      <c r="AA128" s="409">
        <v>-381278.85721752292</v>
      </c>
      <c r="AB128" s="409">
        <v>613563.57789424004</v>
      </c>
      <c r="AC128" s="409">
        <v>27171.924294897472</v>
      </c>
      <c r="AD128" s="410">
        <v>22.580792263191281</v>
      </c>
      <c r="AE128" s="409">
        <v>586391.65359934256</v>
      </c>
      <c r="AF128" s="409">
        <v>27723.059604948157</v>
      </c>
      <c r="AG128" s="409">
        <v>1086876.9717958989</v>
      </c>
      <c r="AH128" s="410">
        <v>2.5507081596493869E-2</v>
      </c>
      <c r="AI128" s="409">
        <v>-1059153.9121909507</v>
      </c>
      <c r="AJ128" s="409">
        <v>613563.57789424004</v>
      </c>
      <c r="AK128" s="409">
        <v>27723.059604948157</v>
      </c>
      <c r="AL128" s="410">
        <v>22.131885392070071</v>
      </c>
      <c r="AM128" s="409">
        <v>585840.51828929188</v>
      </c>
      <c r="AN128" s="411">
        <v>1910.5207837632033</v>
      </c>
      <c r="AO128" s="411">
        <v>3385195.542595942</v>
      </c>
      <c r="AP128" s="409">
        <v>27171.924294897472</v>
      </c>
      <c r="AQ128" s="409">
        <v>14.22226050918756</v>
      </c>
      <c r="AR128" s="409">
        <v>8.0266926837734877E-3</v>
      </c>
    </row>
    <row r="129" spans="1:44" s="388" customFormat="1">
      <c r="A129" s="402" t="s">
        <v>231</v>
      </c>
      <c r="B129" s="402" t="s">
        <v>1</v>
      </c>
      <c r="C129" s="402" t="s">
        <v>433</v>
      </c>
      <c r="D129" s="402" t="s">
        <v>434</v>
      </c>
      <c r="E129" s="402" t="s">
        <v>442</v>
      </c>
      <c r="F129" s="402" t="s">
        <v>443</v>
      </c>
      <c r="G129" s="402" t="s">
        <v>444</v>
      </c>
      <c r="H129" s="402" t="s">
        <v>438</v>
      </c>
      <c r="I129" s="403">
        <v>2016</v>
      </c>
      <c r="J129" s="404">
        <v>1</v>
      </c>
      <c r="K129" s="405">
        <v>216000</v>
      </c>
      <c r="L129" s="405"/>
      <c r="M129" s="406" t="s">
        <v>251</v>
      </c>
      <c r="N129" s="406" t="s">
        <v>231</v>
      </c>
      <c r="O129" s="406" t="s">
        <v>376</v>
      </c>
      <c r="P129" s="407">
        <v>1</v>
      </c>
      <c r="Q129" s="407">
        <v>1</v>
      </c>
      <c r="R129" s="408">
        <v>216000</v>
      </c>
      <c r="S129" s="408">
        <v>0</v>
      </c>
      <c r="T129" s="409">
        <v>7251105.1481939489</v>
      </c>
      <c r="U129" s="409">
        <v>529411.76470588229</v>
      </c>
      <c r="V129" s="410">
        <v>13.696531946588571</v>
      </c>
      <c r="W129" s="409">
        <v>6721693.3834880665</v>
      </c>
      <c r="X129" s="409">
        <v>7251105.1481939489</v>
      </c>
      <c r="Y129" s="409">
        <v>529411.76470588229</v>
      </c>
      <c r="Z129" s="410">
        <v>13.696531946588571</v>
      </c>
      <c r="AA129" s="409">
        <v>6721693.3834880665</v>
      </c>
      <c r="AB129" s="409">
        <v>6305308.824516478</v>
      </c>
      <c r="AC129" s="409">
        <v>211764.70588235292</v>
      </c>
      <c r="AD129" s="410">
        <v>29.775069449105594</v>
      </c>
      <c r="AE129" s="409">
        <v>6093544.1186341252</v>
      </c>
      <c r="AF129" s="409">
        <v>225659.4605768194</v>
      </c>
      <c r="AG129" s="409">
        <v>529411.76470588229</v>
      </c>
      <c r="AH129" s="410">
        <v>0.42624564775621449</v>
      </c>
      <c r="AI129" s="409">
        <v>-303752.30412906292</v>
      </c>
      <c r="AJ129" s="409">
        <v>6305308.824516478</v>
      </c>
      <c r="AK129" s="409">
        <v>225659.4605768194</v>
      </c>
      <c r="AL129" s="410">
        <v>27.941699445700898</v>
      </c>
      <c r="AM129" s="409">
        <v>6079649.3639396587</v>
      </c>
      <c r="AN129" s="411">
        <v>10457.196562033419</v>
      </c>
      <c r="AO129" s="411">
        <v>91856014.55634433</v>
      </c>
      <c r="AP129" s="409">
        <v>211764.70588235292</v>
      </c>
      <c r="AQ129" s="409">
        <v>20.250619238735521</v>
      </c>
      <c r="AR129" s="409">
        <v>2.3053983661838148E-3</v>
      </c>
    </row>
    <row r="130" spans="1:44" s="388" customFormat="1">
      <c r="A130" s="402" t="s">
        <v>231</v>
      </c>
      <c r="B130" s="402" t="s">
        <v>445</v>
      </c>
      <c r="C130" s="402" t="s">
        <v>433</v>
      </c>
      <c r="D130" s="402" t="s">
        <v>445</v>
      </c>
      <c r="E130" s="402" t="s">
        <v>445</v>
      </c>
      <c r="F130" s="402" t="s">
        <v>150</v>
      </c>
      <c r="G130" s="402" t="s">
        <v>150</v>
      </c>
      <c r="H130" s="402" t="s">
        <v>438</v>
      </c>
      <c r="I130" s="403">
        <v>2015</v>
      </c>
      <c r="J130" s="404">
        <v>1</v>
      </c>
      <c r="K130" s="405">
        <v>0</v>
      </c>
      <c r="L130" s="405">
        <v>0</v>
      </c>
      <c r="M130" s="406" t="s">
        <v>251</v>
      </c>
      <c r="N130" s="406" t="s">
        <v>251</v>
      </c>
      <c r="O130" s="406" t="s">
        <v>376</v>
      </c>
      <c r="P130" s="407">
        <v>1</v>
      </c>
      <c r="Q130" s="407">
        <v>1</v>
      </c>
      <c r="R130" s="408">
        <v>0</v>
      </c>
      <c r="S130" s="408">
        <v>0</v>
      </c>
      <c r="T130" s="409">
        <v>53779.132723456969</v>
      </c>
      <c r="U130" s="409">
        <v>99999.999999999985</v>
      </c>
      <c r="V130" s="410">
        <v>0.53779132723456979</v>
      </c>
      <c r="W130" s="409">
        <v>-46220.867276543016</v>
      </c>
      <c r="X130" s="409">
        <v>53779.132723456969</v>
      </c>
      <c r="Y130" s="409">
        <v>99999.999999999985</v>
      </c>
      <c r="Z130" s="410">
        <v>0.53779132723456979</v>
      </c>
      <c r="AA130" s="409">
        <v>-46220.867276543016</v>
      </c>
      <c r="AB130" s="409">
        <v>46764.463237788674</v>
      </c>
      <c r="AC130" s="409">
        <v>0</v>
      </c>
      <c r="AD130" s="410" t="e">
        <v>#DIV/0!</v>
      </c>
      <c r="AE130" s="409">
        <v>46764.463237788674</v>
      </c>
      <c r="AF130" s="409">
        <v>110.93974931963859</v>
      </c>
      <c r="AG130" s="409">
        <v>99999.999999999985</v>
      </c>
      <c r="AH130" s="410">
        <v>1.1093974931963861E-3</v>
      </c>
      <c r="AI130" s="409">
        <v>-99889.060250680341</v>
      </c>
      <c r="AJ130" s="409">
        <v>46764.463237788674</v>
      </c>
      <c r="AK130" s="409">
        <v>110.93974931963859</v>
      </c>
      <c r="AL130" s="410">
        <v>421.53027679061478</v>
      </c>
      <c r="AM130" s="409">
        <v>46653.523488469036</v>
      </c>
      <c r="AN130" s="411">
        <v>91.256689259397632</v>
      </c>
      <c r="AO130" s="411">
        <v>801598.76935629186</v>
      </c>
      <c r="AP130" s="409">
        <v>0</v>
      </c>
      <c r="AQ130" s="409">
        <v>0</v>
      </c>
      <c r="AR130" s="409">
        <v>0</v>
      </c>
    </row>
  </sheetData>
  <mergeCells count="6">
    <mergeCell ref="AN1:AR1"/>
    <mergeCell ref="T1:W1"/>
    <mergeCell ref="X1:AA1"/>
    <mergeCell ref="AB1:AE1"/>
    <mergeCell ref="AF1:AI1"/>
    <mergeCell ref="AJ1:AM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9"/>
  <sheetViews>
    <sheetView topLeftCell="A37" zoomScaleNormal="100" workbookViewId="0">
      <selection activeCell="K96" sqref="K96"/>
    </sheetView>
  </sheetViews>
  <sheetFormatPr defaultRowHeight="15"/>
  <cols>
    <col min="1" max="1" width="19.85546875" customWidth="1"/>
    <col min="2" max="7" width="11.140625" customWidth="1"/>
    <col min="8" max="10" width="11.85546875" bestFit="1" customWidth="1"/>
    <col min="11" max="11" width="10.85546875" bestFit="1" customWidth="1"/>
    <col min="12" max="19" width="11.85546875" bestFit="1" customWidth="1"/>
    <col min="20" max="20" width="7.85546875" bestFit="1" customWidth="1"/>
    <col min="21" max="25" width="11.85546875" bestFit="1" customWidth="1"/>
    <col min="26" max="26" width="7.85546875" bestFit="1" customWidth="1"/>
    <col min="27" max="34" width="11.85546875" bestFit="1" customWidth="1"/>
    <col min="35" max="36" width="10.85546875" bestFit="1" customWidth="1"/>
    <col min="37" max="49" width="11.85546875" bestFit="1" customWidth="1"/>
    <col min="50" max="50" width="8.85546875" bestFit="1" customWidth="1"/>
    <col min="52" max="52" width="6.7109375" bestFit="1" customWidth="1"/>
    <col min="53" max="53" width="10.7109375" bestFit="1" customWidth="1"/>
  </cols>
  <sheetData>
    <row r="1" spans="1:5">
      <c r="A1" s="583" t="s">
        <v>33</v>
      </c>
      <c r="B1" s="53">
        <v>2011</v>
      </c>
    </row>
    <row r="2" spans="1:5">
      <c r="A2" s="731" t="s">
        <v>550</v>
      </c>
      <c r="B2" s="731"/>
      <c r="C2" s="731"/>
      <c r="D2" s="731"/>
      <c r="E2" s="731"/>
    </row>
    <row r="3" spans="1:5">
      <c r="A3" s="583" t="s">
        <v>517</v>
      </c>
      <c r="B3" s="45" t="s">
        <v>545</v>
      </c>
      <c r="C3" s="45" t="s">
        <v>546</v>
      </c>
      <c r="D3" s="45" t="s">
        <v>547</v>
      </c>
      <c r="E3" s="45" t="s">
        <v>548</v>
      </c>
    </row>
    <row r="4" spans="1:5">
      <c r="A4" s="53" t="s">
        <v>94</v>
      </c>
      <c r="B4" s="35">
        <v>1.0354349259129566E-2</v>
      </c>
      <c r="C4" s="35">
        <v>1.0354349259129566E-2</v>
      </c>
      <c r="D4" s="35">
        <v>1.0354349259129566E-2</v>
      </c>
      <c r="E4" s="35">
        <v>1.0354349259129566E-2</v>
      </c>
    </row>
    <row r="5" spans="1:5">
      <c r="A5" s="53" t="s">
        <v>92</v>
      </c>
      <c r="B5" s="35">
        <v>0.1104514389218641</v>
      </c>
      <c r="C5" s="35">
        <v>0.1104514389218641</v>
      </c>
      <c r="D5" s="35">
        <v>0.11029013707604904</v>
      </c>
      <c r="E5" s="35">
        <v>9.004560327021717E-2</v>
      </c>
    </row>
    <row r="6" spans="1:5">
      <c r="A6" s="53" t="s">
        <v>71</v>
      </c>
      <c r="B6" s="35">
        <v>1.2423171199999999E-2</v>
      </c>
      <c r="C6" s="35">
        <v>1.2423171199999999E-2</v>
      </c>
      <c r="D6" s="35">
        <v>1.2423171199999999E-2</v>
      </c>
      <c r="E6" s="35">
        <v>1.2423171199999999E-2</v>
      </c>
    </row>
    <row r="7" spans="1:5">
      <c r="A7" s="53" t="s">
        <v>57</v>
      </c>
      <c r="B7" s="35">
        <v>0.15102399999999999</v>
      </c>
      <c r="C7" s="35">
        <v>0.15102399999999999</v>
      </c>
      <c r="D7" s="35">
        <v>0.15102399999999999</v>
      </c>
      <c r="E7" s="35">
        <v>0.15102399999999999</v>
      </c>
    </row>
    <row r="8" spans="1:5">
      <c r="A8" s="53" t="s">
        <v>58</v>
      </c>
      <c r="B8" s="35">
        <v>4.0183739999999997</v>
      </c>
      <c r="C8" s="35">
        <v>0</v>
      </c>
      <c r="D8" s="35">
        <v>0</v>
      </c>
      <c r="E8" s="35">
        <v>0</v>
      </c>
    </row>
    <row r="9" spans="1:5">
      <c r="A9" s="53" t="s">
        <v>17</v>
      </c>
      <c r="B9" s="35">
        <v>0.1215762551521116</v>
      </c>
      <c r="C9" s="35">
        <v>0.1215762551521116</v>
      </c>
      <c r="D9" s="35">
        <v>0.1215762551521116</v>
      </c>
      <c r="E9" s="35">
        <v>0.11989505136426666</v>
      </c>
    </row>
    <row r="10" spans="1:5">
      <c r="A10" s="53" t="s">
        <v>93</v>
      </c>
      <c r="B10" s="35">
        <v>0.36362856751333628</v>
      </c>
      <c r="C10" s="35">
        <v>0.36362856751333628</v>
      </c>
      <c r="D10" s="35">
        <v>0.36362856751333628</v>
      </c>
      <c r="E10" s="35">
        <v>0.36340114517880417</v>
      </c>
    </row>
    <row r="11" spans="1:5">
      <c r="A11" s="53" t="s">
        <v>519</v>
      </c>
      <c r="B11" s="35">
        <v>4.7878317820464416</v>
      </c>
      <c r="C11" s="35">
        <v>0.76945778204644155</v>
      </c>
      <c r="D11" s="35">
        <v>0.76929648020062646</v>
      </c>
      <c r="E11" s="35">
        <v>0.74714332027241759</v>
      </c>
    </row>
    <row r="14" spans="1:5">
      <c r="A14" s="731" t="s">
        <v>551</v>
      </c>
      <c r="B14" s="731"/>
      <c r="C14" s="731"/>
      <c r="D14" s="731"/>
      <c r="E14" s="731"/>
    </row>
    <row r="15" spans="1:5">
      <c r="A15" s="53"/>
      <c r="B15">
        <v>2011</v>
      </c>
      <c r="C15">
        <v>2012</v>
      </c>
      <c r="D15">
        <v>2013</v>
      </c>
      <c r="E15">
        <v>2014</v>
      </c>
    </row>
    <row r="16" spans="1:5">
      <c r="A16" s="53" t="s">
        <v>71</v>
      </c>
      <c r="B16" s="35">
        <f>(GETPIVOTDATA("Sum of 2011",$A$3,"Rate Class","GS Greater Than 50kW")+(GETPIVOTDATA("Sum of 2011",$A$3,"Rate Class","AU 2011")*'Allocation to Rate Classes'!$E$43)+(GETPIVOTDATA("Sum of 2011",'KH MW Savings Pivot'!$A$3,"Rate Class","DI 2011")*'Allocation to Rate Classes'!$E$36)+(GETPIVOTDATA("Sum of 2011",$A$3,"Rate Class","RF 2011")*'Allocation to Rate Classes'!$E$50)*1000)/2</f>
        <v>80.821433970955852</v>
      </c>
      <c r="C16" s="35">
        <f>(GETPIVOTDATA("Sum of 2012",$A$3,"Rate Class","GS Greater Than 50kW")+(GETPIVOTDATA("Sum of 2012",$A$3,"Rate Class","AU 2011")*'Allocation to Rate Classes'!$E$43)+(GETPIVOTDATA("Sum of 2012",'KH MW Savings Pivot'!$A$3,"Rate Class","DI 2011")*'Allocation to Rate Classes'!$E$36)+(GETPIVOTDATA("Sum of 2012",$A$3,"Rate Class","RF 2011")*'Allocation to Rate Classes'!$E$50)*1000)</f>
        <v>161.6428679419117</v>
      </c>
      <c r="D16" s="35">
        <f>(GETPIVOTDATA("Sum of 2013",$A$3,"Rate Class","GS Greater Than 50kW")+(GETPIVOTDATA("Sum of 2013",$A$3,"Rate Class","AU 2011")*'Allocation to Rate Classes'!$E$43)+(GETPIVOTDATA("Sum of 2013",'KH MW Savings Pivot'!$A$3,"Rate Class","DI 2011")*'Allocation to Rate Classes'!$E$36)+(GETPIVOTDATA("Sum of 2013",$A$3,"Rate Class","RF 2011")*'Allocation to Rate Classes'!$E$50)*1000)</f>
        <v>161.64286644837608</v>
      </c>
      <c r="E16" s="35">
        <f>(GETPIVOTDATA("Sum of 2014",$A$3,"Rate Class","GS Greater Than 50kW")+(GETPIVOTDATA("Sum of 2014",$A$3,"Rate Class","AU 2011")*'Allocation to Rate Classes'!$E$43)+(GETPIVOTDATA("Sum of 2014",'KH MW Savings Pivot'!$A$3,"Rate Class","DI 2011")*'Allocation to Rate Classes'!$E$36)+(GETPIVOTDATA("Sum of 2014",$A$3,"Rate Class","RF 2011")*'Allocation to Rate Classes'!$E$50)*1000)</f>
        <v>161.54159842125057</v>
      </c>
    </row>
    <row r="17" spans="1:5">
      <c r="A17" s="53" t="s">
        <v>57</v>
      </c>
      <c r="B17" s="35">
        <f>((GETPIVOTDATA("Sum of 2011",$A$3,"Rate Class","Large User")+(GETPIVOTDATA("Sum of 2011",$A$3,"Rate Class","RF 2011")*'Allocation to Rate Classes'!$G$50))*1000)/2</f>
        <v>140.72585418904555</v>
      </c>
      <c r="C17" s="35">
        <f>((GETPIVOTDATA("Sum of 2012",$A$3,"Rate Class","Large User")+(GETPIVOTDATA("Sum of 2012",$A$3,"Rate Class","RF 2011")*'Allocation to Rate Classes'!$G$50))*1000)</f>
        <v>281.4517083780911</v>
      </c>
      <c r="D17" s="35">
        <f>((GETPIVOTDATA("Sum of 2013",$A$3,"Rate Class","Large User")+(GETPIVOTDATA("Sum of 2013",$A$3,"Rate Class","RF 2011")*'Allocation to Rate Classes'!$G$50))*1000)</f>
        <v>281.4517083780911</v>
      </c>
      <c r="E17" s="35">
        <f>((GETPIVOTDATA("Sum of 2014",$A$3,"Rate Class","Large User")+(GETPIVOTDATA("Sum of 2014",$A$3,"Rate Class","RF 2011")*'Allocation to Rate Classes'!$G$50))*1000)</f>
        <v>281.3701356509265</v>
      </c>
    </row>
    <row r="18" spans="1:5" s="45" customFormat="1">
      <c r="A18" s="53" t="s">
        <v>496</v>
      </c>
      <c r="B18" s="35">
        <v>0</v>
      </c>
      <c r="C18" s="35">
        <v>0</v>
      </c>
      <c r="D18" s="35">
        <v>0</v>
      </c>
      <c r="E18" s="35">
        <v>0</v>
      </c>
    </row>
    <row r="19" spans="1:5" s="45" customFormat="1">
      <c r="A19" s="53"/>
    </row>
    <row r="20" spans="1:5">
      <c r="A20" s="583" t="s">
        <v>33</v>
      </c>
      <c r="B20" s="53">
        <v>2012</v>
      </c>
    </row>
    <row r="21" spans="1:5">
      <c r="A21" s="731" t="s">
        <v>550</v>
      </c>
      <c r="B21" s="731"/>
      <c r="C21" s="731"/>
      <c r="D21" s="731"/>
      <c r="E21" s="731"/>
    </row>
    <row r="22" spans="1:5">
      <c r="A22" s="583" t="s">
        <v>517</v>
      </c>
      <c r="B22" s="45" t="s">
        <v>545</v>
      </c>
      <c r="C22" s="45" t="s">
        <v>546</v>
      </c>
      <c r="D22" s="45" t="s">
        <v>547</v>
      </c>
      <c r="E22" s="45" t="s">
        <v>548</v>
      </c>
    </row>
    <row r="23" spans="1:5">
      <c r="A23" s="53" t="s">
        <v>97</v>
      </c>
      <c r="B23" s="35">
        <v>0</v>
      </c>
      <c r="C23" s="35">
        <v>3.624022240682391E-2</v>
      </c>
      <c r="D23" s="35">
        <v>3.624022240682391E-2</v>
      </c>
      <c r="E23" s="35">
        <v>3.624022240682391E-2</v>
      </c>
    </row>
    <row r="24" spans="1:5">
      <c r="A24" s="53" t="s">
        <v>95</v>
      </c>
      <c r="B24" s="35">
        <v>0</v>
      </c>
      <c r="C24" s="35">
        <v>0.25729365008767552</v>
      </c>
      <c r="D24" s="35">
        <v>0.25729365008767552</v>
      </c>
      <c r="E24" s="35">
        <v>0.25490598836765122</v>
      </c>
    </row>
    <row r="25" spans="1:5">
      <c r="A25" s="53" t="s">
        <v>98</v>
      </c>
      <c r="B25" s="35">
        <v>0</v>
      </c>
      <c r="C25" s="35">
        <v>7.3548999999999999E-4</v>
      </c>
      <c r="D25" s="35">
        <v>7.3548999999999999E-4</v>
      </c>
      <c r="E25" s="35">
        <v>7.3548999999999999E-4</v>
      </c>
    </row>
    <row r="26" spans="1:5">
      <c r="A26" s="53" t="s">
        <v>57</v>
      </c>
      <c r="B26" s="35">
        <v>0</v>
      </c>
      <c r="C26" s="35">
        <v>9.0391555267743048E-2</v>
      </c>
      <c r="D26" s="35">
        <v>9.0391555267743048E-2</v>
      </c>
      <c r="E26" s="35">
        <v>9.0391555267743048E-2</v>
      </c>
    </row>
    <row r="27" spans="1:5">
      <c r="A27" s="53" t="s">
        <v>128</v>
      </c>
      <c r="B27" s="35">
        <v>0</v>
      </c>
      <c r="C27" s="35">
        <v>4.3794220990000001</v>
      </c>
      <c r="D27" s="35">
        <v>0</v>
      </c>
      <c r="E27" s="35">
        <v>0</v>
      </c>
    </row>
    <row r="28" spans="1:5">
      <c r="A28" s="53" t="s">
        <v>17</v>
      </c>
      <c r="B28" s="35">
        <v>0</v>
      </c>
      <c r="C28" s="35">
        <v>8.3577475336556351E-2</v>
      </c>
      <c r="D28" s="35">
        <v>8.3449479682314226E-2</v>
      </c>
      <c r="E28" s="35">
        <v>8.3449479682314226E-2</v>
      </c>
    </row>
    <row r="29" spans="1:5">
      <c r="A29" s="53" t="s">
        <v>96</v>
      </c>
      <c r="B29" s="35">
        <v>0</v>
      </c>
      <c r="C29" s="35">
        <v>0.54982589387915348</v>
      </c>
      <c r="D29" s="35">
        <v>0.54982589387915348</v>
      </c>
      <c r="E29" s="35">
        <v>0.52176076582419084</v>
      </c>
    </row>
    <row r="30" spans="1:5">
      <c r="A30" s="53" t="s">
        <v>519</v>
      </c>
      <c r="B30" s="35">
        <v>0</v>
      </c>
      <c r="C30" s="35">
        <v>5.3974863859779516</v>
      </c>
      <c r="D30" s="35">
        <v>1.0179362913237102</v>
      </c>
      <c r="E30" s="35">
        <v>0.98748350154872322</v>
      </c>
    </row>
    <row r="32" spans="1:5">
      <c r="A32" s="731" t="s">
        <v>552</v>
      </c>
      <c r="B32" s="731"/>
      <c r="C32" s="731"/>
      <c r="D32" s="731"/>
      <c r="E32" s="731"/>
    </row>
    <row r="33" spans="1:5">
      <c r="B33">
        <v>2011</v>
      </c>
      <c r="C33">
        <v>2012</v>
      </c>
      <c r="D33">
        <v>2013</v>
      </c>
      <c r="E33">
        <v>2014</v>
      </c>
    </row>
    <row r="34" spans="1:5">
      <c r="A34" t="s">
        <v>71</v>
      </c>
      <c r="B34" s="35">
        <v>0</v>
      </c>
      <c r="C34" s="35">
        <f>(((GETPIVOTDATA("Sum of 2012",$A$22,"Rate Class","AU 2012")*'Allocation to Rate Classes'!$E$44)+(GETPIVOTDATA("Sum of 2012",'KH MW Savings Pivot'!$A$22,"Rate Class","DI 2012")*'Allocation to Rate Classes'!$E$37)+(GETPIVOTDATA("Sum of 2012",'KH MW Savings Pivot'!$A$22,"Rate Class","RF 2012")*'Allocation to Rate Classes'!$E$51))*1000)/2</f>
        <v>224.85010209576274</v>
      </c>
      <c r="D34" s="35">
        <f>(((GETPIVOTDATA("Sum of 2013",$A$22,"Rate Class","AU 2012")*'Allocation to Rate Classes'!$E$44)+(GETPIVOTDATA("Sum of 2013",'KH MW Savings Pivot'!$A$22,"Rate Class","DI 2012")*'Allocation to Rate Classes'!$E$37)+(GETPIVOTDATA("Sum of 2013",'KH MW Savings Pivot'!$A$22,"Rate Class","RF 2012")*'Allocation to Rate Classes'!$E$51))*1000)</f>
        <v>449.70020419152547</v>
      </c>
      <c r="E34" s="35">
        <f>(((GETPIVOTDATA("Sum of 2013",$A$22,"Rate Class","AU 2012")*'Allocation to Rate Classes'!$E$44)+(GETPIVOTDATA("Sum of 2013",'KH MW Savings Pivot'!$A$22,"Rate Class","DI 2012")*'Allocation to Rate Classes'!$E$37)+(GETPIVOTDATA("Sum of 2013",'KH MW Savings Pivot'!$A$22,"Rate Class","RF 2012")*'Allocation to Rate Classes'!$E$51))*1000)</f>
        <v>449.70020419152547</v>
      </c>
    </row>
    <row r="35" spans="1:5">
      <c r="A35" t="s">
        <v>57</v>
      </c>
      <c r="B35" s="35">
        <v>0</v>
      </c>
      <c r="C35" s="35">
        <f>((GETPIVOTDATA("Sum of 2012",$A$22,"Rate Class","Large User")+(GETPIVOTDATA("Sum of 2012",$A$22,"Rate Class","RF 2012")*'Allocation to Rate Classes'!$G$51)+(GETPIVOTDATA("Sum of 2012",$A$22,"Rate Class","HP 2012")*'Allocation to Rate Classes'!$G$58))*1000)/2</f>
        <v>91.577149055114702</v>
      </c>
      <c r="D35" s="35">
        <f>((GETPIVOTDATA("Sum of 2013",$A$22,"Rate Class","Large User")+(GETPIVOTDATA("Sum of 2013",$A$22,"Rate Class","RF 2012")*'Allocation to Rate Classes'!$G$51)+(GETPIVOTDATA("Sum of 2013",$A$22,"Rate Class","HP 2012")*'Allocation to Rate Classes'!$G$58))*1000)</f>
        <v>183.1542981102294</v>
      </c>
      <c r="E35" s="35">
        <f>((GETPIVOTDATA("Sum of 2014",$A$22,"Rate Class","Large User")+(GETPIVOTDATA("Sum of 2014",$A$22,"Rate Class","RF 2012")*'Allocation to Rate Classes'!$G$51)+(GETPIVOTDATA("Sum of 2014",$A$22,"Rate Class","HP 2012")*'Allocation to Rate Classes'!$G$58))*1000)</f>
        <v>178.4443759244177</v>
      </c>
    </row>
    <row r="36" spans="1:5">
      <c r="A36" t="s">
        <v>496</v>
      </c>
      <c r="B36" s="35">
        <v>0</v>
      </c>
      <c r="C36" s="35">
        <f>('Allocation to Rate Classes'!M20/2)*'Kingston Hydro - NTGs'!$D$18*'Kingston Hydro - NTGs'!$H$18</f>
        <v>3.0331011986301371</v>
      </c>
      <c r="D36" s="35">
        <f>('Allocation to Rate Classes'!M20)*'Kingston Hydro - NTGs'!$D$18*'Kingston Hydro - NTGs'!$H$18</f>
        <v>6.0662023972602741</v>
      </c>
      <c r="E36" s="35">
        <f>('Allocation to Rate Classes'!M20)*'Kingston Hydro - NTGs'!$D$18*'Kingston Hydro - NTGs'!$H$18</f>
        <v>6.0662023972602741</v>
      </c>
    </row>
    <row r="37" spans="1:5" s="45" customFormat="1"/>
    <row r="38" spans="1:5">
      <c r="A38" s="583" t="s">
        <v>33</v>
      </c>
      <c r="B38" s="53">
        <v>2013</v>
      </c>
    </row>
    <row r="39" spans="1:5">
      <c r="A39" s="731" t="s">
        <v>550</v>
      </c>
      <c r="B39" s="731"/>
      <c r="C39" s="731"/>
      <c r="D39" s="731"/>
      <c r="E39" s="731"/>
    </row>
    <row r="40" spans="1:5">
      <c r="A40" s="583" t="s">
        <v>517</v>
      </c>
      <c r="B40" s="45" t="s">
        <v>545</v>
      </c>
      <c r="C40" s="45" t="s">
        <v>546</v>
      </c>
      <c r="D40" s="45" t="s">
        <v>547</v>
      </c>
      <c r="E40" s="45" t="s">
        <v>548</v>
      </c>
    </row>
    <row r="41" spans="1:5">
      <c r="A41" s="53" t="s">
        <v>99</v>
      </c>
      <c r="B41" s="35">
        <v>0</v>
      </c>
      <c r="C41" s="35">
        <v>0</v>
      </c>
      <c r="D41" s="35">
        <v>1.7625353245999998E-2</v>
      </c>
      <c r="E41" s="35">
        <v>1.7625353245999998E-2</v>
      </c>
    </row>
    <row r="42" spans="1:5">
      <c r="A42" s="53" t="s">
        <v>102</v>
      </c>
      <c r="B42" s="35">
        <v>0</v>
      </c>
      <c r="C42" s="35">
        <v>0</v>
      </c>
      <c r="D42" s="35">
        <v>6.4120936588000013E-2</v>
      </c>
      <c r="E42" s="35">
        <v>6.4120936588000013E-2</v>
      </c>
    </row>
    <row r="43" spans="1:5">
      <c r="A43" s="53" t="s">
        <v>100</v>
      </c>
      <c r="B43" s="35">
        <v>0</v>
      </c>
      <c r="C43" s="35">
        <v>0</v>
      </c>
      <c r="D43" s="35">
        <v>2.1600000000000001E-2</v>
      </c>
      <c r="E43" s="35">
        <v>2.1600000000000001E-2</v>
      </c>
    </row>
    <row r="44" spans="1:5">
      <c r="A44" s="53" t="s">
        <v>128</v>
      </c>
      <c r="B44" s="35">
        <v>0</v>
      </c>
      <c r="C44" s="35">
        <v>0</v>
      </c>
      <c r="D44" s="35">
        <v>3.8944540000000001</v>
      </c>
      <c r="E44" s="35">
        <v>0</v>
      </c>
    </row>
    <row r="45" spans="1:5">
      <c r="A45" s="53" t="s">
        <v>58</v>
      </c>
      <c r="B45" s="35">
        <v>0</v>
      </c>
      <c r="C45" s="35">
        <v>0</v>
      </c>
      <c r="D45" s="35">
        <v>0.32550490000000004</v>
      </c>
      <c r="E45" s="35">
        <v>0</v>
      </c>
    </row>
    <row r="46" spans="1:5">
      <c r="A46" s="53" t="s">
        <v>17</v>
      </c>
      <c r="B46" s="35">
        <v>0</v>
      </c>
      <c r="C46" s="35">
        <v>0</v>
      </c>
      <c r="D46" s="35">
        <v>7.8120861358000004E-2</v>
      </c>
      <c r="E46" s="35">
        <v>7.7833564178000011E-2</v>
      </c>
    </row>
    <row r="47" spans="1:5">
      <c r="A47" s="53" t="s">
        <v>101</v>
      </c>
      <c r="B47" s="35">
        <v>0</v>
      </c>
      <c r="C47" s="35">
        <v>0</v>
      </c>
      <c r="D47" s="35">
        <v>0.240247059165</v>
      </c>
      <c r="E47" s="35">
        <v>0.240247059165</v>
      </c>
    </row>
    <row r="48" spans="1:5">
      <c r="A48" s="53" t="s">
        <v>519</v>
      </c>
      <c r="B48" s="35">
        <v>0</v>
      </c>
      <c r="C48" s="35">
        <v>0</v>
      </c>
      <c r="D48" s="35">
        <v>4.6416731103570008</v>
      </c>
      <c r="E48" s="35">
        <v>0.42142691317700004</v>
      </c>
    </row>
    <row r="50" spans="1:5">
      <c r="A50" s="731" t="s">
        <v>553</v>
      </c>
      <c r="B50" s="731"/>
      <c r="C50" s="731"/>
      <c r="D50" s="731"/>
      <c r="E50" s="731"/>
    </row>
    <row r="51" spans="1:5">
      <c r="A51" s="45"/>
      <c r="B51" s="45">
        <v>2011</v>
      </c>
      <c r="C51" s="45">
        <v>2012</v>
      </c>
      <c r="D51" s="45">
        <v>2013</v>
      </c>
      <c r="E51" s="45">
        <v>2014</v>
      </c>
    </row>
    <row r="52" spans="1:5">
      <c r="A52" s="45" t="s">
        <v>71</v>
      </c>
      <c r="B52" s="35">
        <v>0</v>
      </c>
      <c r="C52" s="35">
        <v>0</v>
      </c>
      <c r="D52" s="35">
        <f>(((GETPIVOTDATA("Sum of 2013",'KH MW Savings Pivot'!$A$40,"Rate Class","DI 2013")*'Allocation to Rate Classes'!$E$38)+(GETPIVOTDATA("Sum of 2013",'KH MW Savings Pivot'!$A$40,"Rate Class","HP 2013")*'Allocation to Rate Classes'!$E$59)+(GETPIVOTDATA("Sum of 2013",'KH MW Savings Pivot'!$A$40,"Rate Class","RF 2013")*'Allocation to Rate Classes'!$E$52))*1000)/2</f>
        <v>113.1945622548897</v>
      </c>
      <c r="E52" s="35">
        <f>(((GETPIVOTDATA("Sum of 2014",'KH MW Savings Pivot'!$A$40,"Rate Class","DI 2013")*'Allocation to Rate Classes'!$E$38)+(GETPIVOTDATA("Sum of 2014",'KH MW Savings Pivot'!$A$40,"Rate Class","HP 2013")*'Allocation to Rate Classes'!$E$59)+(GETPIVOTDATA("Sum of 2014",'KH MW Savings Pivot'!$A$40,"Rate Class","RF 2013")*'Allocation to Rate Classes'!$E$52))*1000)</f>
        <v>226.38912450977941</v>
      </c>
    </row>
    <row r="53" spans="1:5">
      <c r="A53" s="45" t="s">
        <v>57</v>
      </c>
      <c r="B53" s="35">
        <v>0</v>
      </c>
      <c r="C53" s="35">
        <v>0</v>
      </c>
      <c r="D53" s="35">
        <f>((GETPIVOTDATA("Sum of 2013",$A$40,"Rate Class","RF 2013")*'Allocation to Rate Classes'!$G$52)*1000)/2</f>
        <v>0.45896534394799993</v>
      </c>
      <c r="E53" s="35">
        <f>((GETPIVOTDATA("Sum of 2014",$A$40,"Rate Class","RF 2013")*'Allocation to Rate Classes'!$G$52)*1000)</f>
        <v>0.91793068789599985</v>
      </c>
    </row>
    <row r="54" spans="1:5">
      <c r="A54" s="45" t="s">
        <v>496</v>
      </c>
      <c r="B54" s="35">
        <v>0</v>
      </c>
      <c r="C54" s="35">
        <v>0</v>
      </c>
      <c r="D54" s="35">
        <f>('Allocation to Rate Classes'!$M$21*'Kingston Hydro - NTGs'!$E$18*'Kingston Hydro - NTGs'!$I$18)/2</f>
        <v>192.93669936073061</v>
      </c>
      <c r="E54" s="35">
        <f>'Allocation to Rate Classes'!$M$21*'Kingston Hydro - NTGs'!$E$18*'Kingston Hydro - NTGs'!$I$18</f>
        <v>385.87339872146123</v>
      </c>
    </row>
    <row r="55" spans="1:5" s="45" customFormat="1"/>
    <row r="56" spans="1:5">
      <c r="A56" s="583" t="s">
        <v>33</v>
      </c>
      <c r="B56" s="53">
        <v>2014</v>
      </c>
    </row>
    <row r="57" spans="1:5">
      <c r="A57" s="731" t="s">
        <v>550</v>
      </c>
      <c r="B57" s="731"/>
      <c r="C57" s="731"/>
      <c r="D57" s="731"/>
      <c r="E57" s="731"/>
    </row>
    <row r="58" spans="1:5">
      <c r="A58" s="583" t="s">
        <v>517</v>
      </c>
      <c r="B58" s="45" t="s">
        <v>545</v>
      </c>
      <c r="C58" s="45" t="s">
        <v>546</v>
      </c>
      <c r="D58" s="45" t="s">
        <v>547</v>
      </c>
      <c r="E58" s="45" t="s">
        <v>548</v>
      </c>
    </row>
    <row r="59" spans="1:5">
      <c r="A59" s="53" t="s">
        <v>104</v>
      </c>
      <c r="B59" s="35"/>
      <c r="C59" s="35"/>
      <c r="D59" s="35"/>
      <c r="E59" s="35">
        <v>6.6834999999999992E-2</v>
      </c>
    </row>
    <row r="60" spans="1:5">
      <c r="A60" s="53" t="s">
        <v>106</v>
      </c>
      <c r="B60" s="35"/>
      <c r="C60" s="35"/>
      <c r="D60" s="35"/>
      <c r="E60" s="35">
        <v>9.3215999999999993E-2</v>
      </c>
    </row>
    <row r="61" spans="1:5">
      <c r="A61" s="53" t="s">
        <v>105</v>
      </c>
      <c r="B61" s="35"/>
      <c r="C61" s="35"/>
      <c r="D61" s="35"/>
      <c r="E61" s="35">
        <v>4.8905000000000004E-2</v>
      </c>
    </row>
    <row r="62" spans="1:5">
      <c r="A62" s="53" t="s">
        <v>17</v>
      </c>
      <c r="B62" s="35"/>
      <c r="C62" s="35"/>
      <c r="D62" s="35"/>
      <c r="E62" s="35">
        <v>0.139492</v>
      </c>
    </row>
    <row r="63" spans="1:5">
      <c r="A63" s="53" t="s">
        <v>103</v>
      </c>
      <c r="B63" s="35"/>
      <c r="C63" s="35"/>
      <c r="D63" s="35"/>
      <c r="E63" s="35">
        <v>0.233043</v>
      </c>
    </row>
    <row r="64" spans="1:5">
      <c r="A64" s="53" t="s">
        <v>518</v>
      </c>
      <c r="B64" s="35"/>
      <c r="C64" s="35"/>
      <c r="D64" s="35"/>
      <c r="E64" s="35"/>
    </row>
    <row r="65" spans="1:7">
      <c r="A65" s="53" t="s">
        <v>519</v>
      </c>
      <c r="B65" s="35"/>
      <c r="C65" s="35"/>
      <c r="D65" s="35"/>
      <c r="E65" s="35">
        <v>0.58149099999999998</v>
      </c>
    </row>
    <row r="67" spans="1:7">
      <c r="A67" s="731" t="s">
        <v>554</v>
      </c>
      <c r="B67" s="731"/>
      <c r="C67" s="731"/>
      <c r="D67" s="731"/>
      <c r="E67" s="731"/>
    </row>
    <row r="68" spans="1:7">
      <c r="A68" s="45"/>
      <c r="B68" s="45">
        <v>2011</v>
      </c>
      <c r="C68" s="45">
        <v>2012</v>
      </c>
      <c r="D68" s="45">
        <v>2013</v>
      </c>
      <c r="E68" s="45">
        <v>2014</v>
      </c>
    </row>
    <row r="69" spans="1:7">
      <c r="A69" s="45" t="s">
        <v>71</v>
      </c>
      <c r="B69" s="35">
        <v>0</v>
      </c>
      <c r="C69" s="35">
        <v>0</v>
      </c>
      <c r="D69" s="35">
        <v>0</v>
      </c>
      <c r="E69" s="35">
        <f>(((GETPIVOTDATA("Sum of 2014",$A$58,"Rate Class","AU 2014")*'Allocation to Rate Classes'!E46)+(GETPIVOTDATA("Sum of 2014",'KH MW Savings Pivot'!$A$58,"Rate Class","DI 2014")*'Allocation to Rate Classes'!E39)+(GETPIVOTDATA("Sum of 2014",'KH MW Savings Pivot'!$A$58,"Rate Class","HP 2014")*'Allocation to Rate Classes'!E60)+(GETPIVOTDATA("Sum of 2014",'KH MW Savings Pivot'!$A$58,"Rate Class","RF 2014")*'Allocation to Rate Classes'!E53))*1000)/2</f>
        <v>133.11873508368586</v>
      </c>
    </row>
    <row r="70" spans="1:7">
      <c r="A70" s="45" t="s">
        <v>57</v>
      </c>
      <c r="B70" s="35">
        <v>0</v>
      </c>
      <c r="C70" s="35">
        <v>0</v>
      </c>
      <c r="D70" s="597">
        <v>0</v>
      </c>
      <c r="E70" s="597">
        <f>((GETPIVOTDATA("Sum of 2014",'KH MW Savings Pivot'!$A$58,"Rate Class","RF 2014")*'Allocation to Rate Classes'!G53)*1000)/2</f>
        <v>8.5952148995936941</v>
      </c>
    </row>
    <row r="71" spans="1:7">
      <c r="A71" s="45" t="s">
        <v>496</v>
      </c>
      <c r="B71" s="35">
        <v>0</v>
      </c>
      <c r="C71" s="35">
        <v>0</v>
      </c>
      <c r="D71" s="35">
        <v>0</v>
      </c>
      <c r="E71" s="35">
        <v>0</v>
      </c>
    </row>
    <row r="74" spans="1:7">
      <c r="A74" s="583" t="s">
        <v>33</v>
      </c>
      <c r="B74" s="45" t="s">
        <v>481</v>
      </c>
      <c r="C74" s="45"/>
      <c r="D74" s="45"/>
      <c r="E74" s="45"/>
    </row>
    <row r="75" spans="1:7">
      <c r="A75" s="731" t="s">
        <v>550</v>
      </c>
      <c r="B75" s="731"/>
      <c r="C75" s="731"/>
      <c r="D75" s="731"/>
      <c r="E75" s="731"/>
    </row>
    <row r="76" spans="1:7">
      <c r="A76" s="583" t="s">
        <v>517</v>
      </c>
      <c r="B76" s="45" t="s">
        <v>549</v>
      </c>
      <c r="C76" s="45" t="s">
        <v>559</v>
      </c>
      <c r="D76" s="45" t="s">
        <v>560</v>
      </c>
      <c r="E76" s="45" t="s">
        <v>561</v>
      </c>
      <c r="F76" s="45" t="s">
        <v>562</v>
      </c>
      <c r="G76" s="45" t="s">
        <v>563</v>
      </c>
    </row>
    <row r="77" spans="1:7">
      <c r="A77" s="53" t="s">
        <v>474</v>
      </c>
      <c r="B77" s="35">
        <v>1.7515828554380618E-2</v>
      </c>
      <c r="C77" s="35">
        <v>4.4054962727684582E-2</v>
      </c>
      <c r="D77" s="35">
        <v>7.0594096900988543E-2</v>
      </c>
      <c r="E77" s="35">
        <v>9.7133231074292517E-2</v>
      </c>
      <c r="F77" s="35">
        <v>0.10615653669321586</v>
      </c>
      <c r="G77" s="35">
        <v>0.10615653669321586</v>
      </c>
    </row>
    <row r="78" spans="1:7">
      <c r="A78" s="53" t="s">
        <v>472</v>
      </c>
      <c r="B78" s="35">
        <v>0.11569634489222118</v>
      </c>
      <c r="C78" s="35">
        <v>0.23139296702899312</v>
      </c>
      <c r="D78" s="35">
        <v>0.3576074639054716</v>
      </c>
      <c r="E78" s="35">
        <v>0.49433983552165661</v>
      </c>
      <c r="F78" s="35">
        <v>0.64159008187754818</v>
      </c>
      <c r="G78" s="35">
        <v>0.79935820297314641</v>
      </c>
    </row>
    <row r="79" spans="1:7">
      <c r="A79" s="53" t="s">
        <v>71</v>
      </c>
      <c r="B79" s="35">
        <v>0</v>
      </c>
      <c r="C79" s="35">
        <v>0.2267680859377747</v>
      </c>
      <c r="D79" s="35">
        <v>0.4535361718755494</v>
      </c>
      <c r="E79" s="35">
        <v>0.68030425781332415</v>
      </c>
      <c r="F79" s="35">
        <v>0.85038032226665505</v>
      </c>
      <c r="G79" s="35">
        <v>1.0204563867199861</v>
      </c>
    </row>
    <row r="80" spans="1:7">
      <c r="A80" s="53" t="s">
        <v>473</v>
      </c>
      <c r="B80" s="35">
        <v>1.9207617595385685E-2</v>
      </c>
      <c r="C80" s="35">
        <v>5.5793555872310802E-2</v>
      </c>
      <c r="D80" s="35">
        <v>9.2379494149235922E-2</v>
      </c>
      <c r="E80" s="35">
        <v>0.12896543242616104</v>
      </c>
      <c r="F80" s="35">
        <v>0.16555137070308618</v>
      </c>
      <c r="G80" s="35">
        <v>0.20213730898001131</v>
      </c>
    </row>
    <row r="81" spans="1:7">
      <c r="A81" s="53" t="s">
        <v>57</v>
      </c>
      <c r="B81" s="35">
        <v>1.1435669721379271E-2</v>
      </c>
      <c r="C81" s="35">
        <v>0.23820375565915397</v>
      </c>
      <c r="D81" s="35">
        <v>0.46497184159692867</v>
      </c>
      <c r="E81" s="35">
        <v>0.69173992753470337</v>
      </c>
      <c r="F81" s="35">
        <v>0.86181599198803438</v>
      </c>
      <c r="G81" s="35">
        <v>1.0318920564413654</v>
      </c>
    </row>
    <row r="82" spans="1:7">
      <c r="A82" s="53" t="s">
        <v>128</v>
      </c>
      <c r="B82" s="35">
        <v>0</v>
      </c>
      <c r="C82" s="35">
        <v>0.86001497924181647</v>
      </c>
      <c r="D82" s="35">
        <v>1.1605443837386027</v>
      </c>
      <c r="E82" s="35">
        <v>1.1605443837386027</v>
      </c>
      <c r="F82" s="35">
        <v>1.1605443837386027</v>
      </c>
      <c r="G82" s="35">
        <v>1.1605443837386027</v>
      </c>
    </row>
    <row r="83" spans="1:7">
      <c r="A83" s="53" t="s">
        <v>17</v>
      </c>
      <c r="B83" s="35">
        <v>0.13053566593997923</v>
      </c>
      <c r="C83" s="35">
        <v>0.21556938104196982</v>
      </c>
      <c r="D83" s="35">
        <v>0.26341660572896197</v>
      </c>
      <c r="E83" s="35">
        <v>0.31126383041595407</v>
      </c>
      <c r="F83" s="35">
        <v>0.35911105510294622</v>
      </c>
      <c r="G83" s="35">
        <v>0.40695827978993832</v>
      </c>
    </row>
    <row r="84" spans="1:7">
      <c r="A84" s="53" t="s">
        <v>471</v>
      </c>
      <c r="B84" s="35">
        <v>0.4397411982388944</v>
      </c>
      <c r="C84" s="35">
        <v>0.95046664476836518</v>
      </c>
      <c r="D84" s="35">
        <v>1.5250063535209557</v>
      </c>
      <c r="E84" s="35">
        <v>2.1802734475058538</v>
      </c>
      <c r="F84" s="35">
        <v>2.91626792672306</v>
      </c>
      <c r="G84" s="35">
        <v>3.732989791172574</v>
      </c>
    </row>
    <row r="85" spans="1:7">
      <c r="A85" s="53" t="s">
        <v>519</v>
      </c>
      <c r="B85" s="35">
        <v>0.73413232494224046</v>
      </c>
      <c r="C85" s="35">
        <v>2.8222643322780687</v>
      </c>
      <c r="D85" s="35">
        <v>4.3880564114166942</v>
      </c>
      <c r="E85" s="35">
        <v>5.7445643460305487</v>
      </c>
      <c r="F85" s="35">
        <v>7.0614176690931494</v>
      </c>
      <c r="G85" s="35">
        <v>8.4604929465088397</v>
      </c>
    </row>
    <row r="86" spans="1:7">
      <c r="A86" s="45"/>
      <c r="B86" s="45">
        <v>2015</v>
      </c>
      <c r="C86" s="45">
        <v>2016</v>
      </c>
      <c r="D86" s="45">
        <v>2017</v>
      </c>
      <c r="E86" s="45">
        <v>2018</v>
      </c>
      <c r="F86" s="45">
        <v>2019</v>
      </c>
      <c r="G86" s="45">
        <v>2020</v>
      </c>
    </row>
    <row r="87" spans="1:7">
      <c r="A87" s="45" t="s">
        <v>71</v>
      </c>
      <c r="B87" s="35">
        <f>((GETPIVOTDATA("Sum of 2015",$A$76,"Rate Class","GS Greater Than 50kW")+(GETPIVOTDATA("Sum of 2015",$A$76,"Rate Class","AU 2015-20")*'Allocation to Rate Classes'!$E$47)+(GETPIVOTDATA("Sum of 2015",'KH MW Savings Pivot'!$A$76,"Rate Class","DI 2015-20")*'Allocation to Rate Classes'!$E$40)+(GETPIVOTDATA("Sum of 2015",'KH MW Savings Pivot'!$A$76,"Rate Class","HP 2015-20")*'Allocation to Rate Classes'!$E$61)+(GETPIVOTDATA("Sum of 2015",'KH MW Savings Pivot'!$A$76,"Rate Class","RF 2015-20")*'Allocation to Rate Classes'!$E$54))*1000)/2</f>
        <v>156.91042178848343</v>
      </c>
      <c r="C87" s="35">
        <f>((GETPIVOTDATA("Sum of 2016",$A$76,"Rate Class","GS Greater Than 50kW")+(GETPIVOTDATA("Sum of 2016",$A$76,"Rate Class","AU 2015-20")*'Allocation to Rate Classes'!$E$47)+(GETPIVOTDATA("Sum of 2016",'KH MW Savings Pivot'!$A$76,"Rate Class","DI 2015-20")*'Allocation to Rate Classes'!$E$40)+(GETPIVOTDATA("Sum of 2016",'KH MW Savings Pivot'!$A$76,"Rate Class","HP 2015-20")*'Allocation to Rate Classes'!$E$61)+(GETPIVOTDATA("Sum of 2016",'KH MW Savings Pivot'!$A$76,"Rate Class","RF 2015-20")*'Allocation to Rate Classes'!$E$54))*1000)</f>
        <v>909.17818554723419</v>
      </c>
      <c r="D87" s="35">
        <f>((GETPIVOTDATA("Sum of 2017",$A$76,"Rate Class","GS Greater Than 50kW")+(GETPIVOTDATA("Sum of 2017",$A$76,"Rate Class","AU 2015-20")*'Allocation to Rate Classes'!$E$47)+(GETPIVOTDATA("Sum of 2017",'KH MW Savings Pivot'!$A$76,"Rate Class","DI 2015-20")*'Allocation to Rate Classes'!$E$40)+(GETPIVOTDATA("Sum of 2017",'KH MW Savings Pivot'!$A$76,"Rate Class","HP 2015-20")*'Allocation to Rate Classes'!$E$61)+(GETPIVOTDATA("Sum of 2017",'KH MW Savings Pivot'!$A$76,"Rate Class","RF 2015-20")*'Allocation to Rate Classes'!$E$54))*1000)</f>
        <v>1548.0266443894636</v>
      </c>
      <c r="E87" s="35">
        <f>((GETPIVOTDATA("Sum of 2018",$A$76,"Rate Class","GS Greater Than 50kW")+(GETPIVOTDATA("Sum of 2018",$A$76,"Rate Class","AU 2015-20")*'Allocation to Rate Classes'!$E$47)+(GETPIVOTDATA("Sum of 2018",'KH MW Savings Pivot'!$A$76,"Rate Class","DI 2015-20")*'Allocation to Rate Classes'!$E$40)+(GETPIVOTDATA("Sum of 2018",'KH MW Savings Pivot'!$A$76,"Rate Class","HP 2015-20")*'Allocation to Rate Classes'!$E$61)+(GETPIVOTDATA("Sum of 2018",'KH MW Savings Pivot'!$A$76,"Rate Class","RF 2015-20")*'Allocation to Rate Classes'!$E$54))*1000)</f>
        <v>2241.635972362405</v>
      </c>
      <c r="F87" s="35">
        <f>((GETPIVOTDATA("Sum of 2019",$A$76,"Rate Class","GS Greater Than 50kW")+(GETPIVOTDATA("Sum of 2019",$A$76,"Rate Class","AU 2015-20")*'Allocation to Rate Classes'!$E$47)+(GETPIVOTDATA("Sum of 2019",'KH MW Savings Pivot'!$A$76,"Rate Class","DI 2015-20")*'Allocation to Rate Classes'!$E$40)+(GETPIVOTDATA("Sum of 2019",'KH MW Savings Pivot'!$A$76,"Rate Class","HP 2015-20")*'Allocation to Rate Classes'!$E$61)+(GETPIVOTDATA("Sum of 2019",'KH MW Savings Pivot'!$A$76,"Rate Class","RF 2015-20")*'Allocation to Rate Classes'!$E$54))*1000)</f>
        <v>2928.935190843019</v>
      </c>
      <c r="G87" s="35">
        <f>((GETPIVOTDATA("Sum of 2020",$A$76,"Rate Class","GS Greater Than 50kW")+(GETPIVOTDATA("Sum of 2020",$A$76,"Rate Class","AU 2015-20")*'Allocation to Rate Classes'!$E$47)+(GETPIVOTDATA("Sum of 2020",'KH MW Savings Pivot'!$A$76,"Rate Class","DI 2015-20")*'Allocation to Rate Classes'!$E$40)+(GETPIVOTDATA("Sum of 2020",'KH MW Savings Pivot'!$A$76,"Rate Class","HP 2015-20")*'Allocation to Rate Classes'!$E$61)+(GETPIVOTDATA("Sum of 2020",'KH MW Savings Pivot'!$A$76,"Rate Class","RF 2015-20")*'Allocation to Rate Classes'!$E$54))*1000)</f>
        <v>3668.7394520496132</v>
      </c>
    </row>
    <row r="88" spans="1:7">
      <c r="A88" s="45" t="s">
        <v>57</v>
      </c>
      <c r="B88" s="35">
        <f>((GETPIVOTDATA("Sum of 2015",$A$76,"Rate Class","Large User")+(GETPIVOTDATA("Sum of 2015",$A$76,"Rate Class","AU 2015-20")*'Allocation to Rate Classes'!$F$47)+(GETPIVOTDATA("Sum of 2015",'KH MW Savings Pivot'!$A$76,"Rate Class","HP 2015-20")*'Allocation to Rate Classes'!$F$61)+(GETPIVOTDATA("Sum of 2015",'KH MW Savings Pivot'!$A$76,"Rate Class","RF 2015-20")*'Allocation to Rate Classes'!$G$54))*1000)/2</f>
        <v>52.563779702415715</v>
      </c>
      <c r="C88" s="35">
        <f>((GETPIVOTDATA("Sum of 2016",$A$76,"Rate Class","Large User")+(GETPIVOTDATA("Sum of 2016",$A$76,"Rate Class","AU 2015-20")*'Allocation to Rate Classes'!$F$47)+(GETPIVOTDATA("Sum of 2016",'KH MW Savings Pivot'!$A$76,"Rate Class","HP 2015-20")*'Allocation to Rate Classes'!$F$61)+(GETPIVOTDATA("Sum of 2016",'KH MW Savings Pivot'!$A$76,"Rate Class","RF 2015-20")*'Allocation to Rate Classes'!$G$54))*1000)</f>
        <v>450.94835336053939</v>
      </c>
      <c r="D88" s="35">
        <f>((GETPIVOTDATA("Sum of 2017",$A$76,"Rate Class","Large User")+(GETPIVOTDATA("Sum of 2017",$A$76,"Rate Class","AU 2015-20")*'Allocation to Rate Classes'!$F$47)+(GETPIVOTDATA("Sum of 2017",'KH MW Savings Pivot'!$A$76,"Rate Class","HP 2015-20")*'Allocation to Rate Classes'!$F$61)+(GETPIVOTDATA("Sum of 2017",'KH MW Savings Pivot'!$A$76,"Rate Class","RF 2015-20")*'Allocation to Rate Classes'!$G$54))*1000)</f>
        <v>807.70089313520293</v>
      </c>
      <c r="E88" s="35">
        <f>((GETPIVOTDATA("Sum of 2018",$A$76,"Rate Class","Large User")+(GETPIVOTDATA("Sum of 2018",$A$76,"Rate Class","AU 2015-20")*'Allocation to Rate Classes'!$F$47)+(GETPIVOTDATA("Sum of 2018",'KH MW Savings Pivot'!$A$76,"Rate Class","HP 2015-20")*'Allocation to Rate Classes'!$F$61)+(GETPIVOTDATA("Sum of 2018",'KH MW Savings Pivot'!$A$76,"Rate Class","RF 2015-20")*'Allocation to Rate Classes'!$G$54))*1000)</f>
        <v>1178.2824928291516</v>
      </c>
      <c r="F88" s="35">
        <f>((GETPIVOTDATA("Sum of 2019",$A$76,"Rate Class","Large User")+(GETPIVOTDATA("Sum of 2019",$A$76,"Rate Class","AU 2015-20")*'Allocation to Rate Classes'!$F$47)+(GETPIVOTDATA("Sum of 2019",'KH MW Savings Pivot'!$A$76,"Rate Class","HP 2015-20")*'Allocation to Rate Classes'!$F$61)+(GETPIVOTDATA("Sum of 2019",'KH MW Savings Pivot'!$A$76,"Rate Class","RF 2015-20")*'Allocation to Rate Classes'!$G$54))*1000)</f>
        <v>1497.2432166807509</v>
      </c>
      <c r="G88" s="35">
        <f>((GETPIVOTDATA("Sum of 2020",$A$76,"Rate Class","Large User")+(GETPIVOTDATA("Sum of 2020",$A$76,"Rate Class","AU 2015-20")*'Allocation to Rate Classes'!$F$47)+(GETPIVOTDATA("Sum of 2020",'KH MW Savings Pivot'!$A$76,"Rate Class","HP 2015-20")*'Allocation to Rate Classes'!$F$61)+(GETPIVOTDATA("Sum of 2020",'KH MW Savings Pivot'!$A$76,"Rate Class","RF 2015-20")*'Allocation to Rate Classes'!$G$54))*1000)</f>
        <v>1825.5213476421743</v>
      </c>
    </row>
    <row r="89" spans="1:7">
      <c r="A89" s="45"/>
    </row>
  </sheetData>
  <mergeCells count="9">
    <mergeCell ref="A75:E75"/>
    <mergeCell ref="A14:E14"/>
    <mergeCell ref="A2:E2"/>
    <mergeCell ref="A32:E32"/>
    <mergeCell ref="A50:E50"/>
    <mergeCell ref="A67:E67"/>
    <mergeCell ref="A21:E21"/>
    <mergeCell ref="A39:E39"/>
    <mergeCell ref="A57:E57"/>
  </mergeCells>
  <pageMargins left="0.7" right="0.7" top="0.75" bottom="0.75" header="0.3" footer="0.3"/>
  <pageSetup scale="88" orientation="portrait" r:id="rId6"/>
  <rowBreaks count="1" manualBreakCount="1">
    <brk id="37" max="16383" man="1"/>
  </rowBreaks>
  <legacyDrawing r:id="rId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43"/>
  <sheetViews>
    <sheetView topLeftCell="C91" zoomScaleNormal="100" workbookViewId="0">
      <selection activeCell="B46" sqref="B46"/>
    </sheetView>
  </sheetViews>
  <sheetFormatPr defaultRowHeight="15.75"/>
  <cols>
    <col min="1" max="1" width="25.140625" style="29" bestFit="1" customWidth="1"/>
    <col min="2" max="2" width="56.28515625" style="29" bestFit="1" customWidth="1"/>
    <col min="3" max="3" width="69.140625" style="29" bestFit="1" customWidth="1"/>
    <col min="4" max="4" width="28.42578125" style="29" bestFit="1" customWidth="1"/>
    <col min="5" max="5" width="26.85546875" style="29" bestFit="1" customWidth="1"/>
    <col min="6" max="6" width="8.140625" style="29" bestFit="1" customWidth="1"/>
    <col min="7" max="7" width="10.5703125" style="29" bestFit="1" customWidth="1"/>
    <col min="8" max="8" width="20.42578125" style="29" bestFit="1" customWidth="1"/>
    <col min="9" max="9" width="29.140625" style="29" bestFit="1" customWidth="1"/>
    <col min="10" max="17" width="10.5703125" style="29" bestFit="1" customWidth="1"/>
    <col min="18" max="18" width="11.7109375" style="29" bestFit="1" customWidth="1"/>
    <col min="19" max="43" width="12.85546875" style="29" bestFit="1" customWidth="1"/>
    <col min="44" max="44" width="6.42578125" style="29" bestFit="1" customWidth="1"/>
    <col min="45" max="45" width="5.140625" style="29" bestFit="1" customWidth="1"/>
  </cols>
  <sheetData>
    <row r="1" spans="1:45" ht="78.75">
      <c r="A1" s="3" t="s">
        <v>28</v>
      </c>
      <c r="B1" s="3" t="s">
        <v>29</v>
      </c>
      <c r="C1" s="3" t="s">
        <v>30</v>
      </c>
      <c r="D1" s="2" t="s">
        <v>0</v>
      </c>
      <c r="E1" s="2" t="s">
        <v>31</v>
      </c>
      <c r="F1" s="2" t="s">
        <v>32</v>
      </c>
      <c r="G1" s="1" t="s">
        <v>33</v>
      </c>
      <c r="H1" s="1" t="s">
        <v>34</v>
      </c>
      <c r="I1" s="1" t="s">
        <v>56</v>
      </c>
      <c r="J1" s="1">
        <v>2006</v>
      </c>
      <c r="K1" s="1">
        <v>2007</v>
      </c>
      <c r="L1" s="1">
        <v>2008</v>
      </c>
      <c r="M1" s="1">
        <v>2009</v>
      </c>
      <c r="N1" s="1">
        <v>2010</v>
      </c>
      <c r="O1" s="1">
        <v>2011</v>
      </c>
      <c r="P1" s="1">
        <v>2012</v>
      </c>
      <c r="Q1" s="1">
        <v>2013</v>
      </c>
      <c r="R1" s="1">
        <v>2014</v>
      </c>
      <c r="S1" s="1">
        <v>2015</v>
      </c>
      <c r="T1" s="1">
        <v>2016</v>
      </c>
      <c r="U1" s="1">
        <v>2017</v>
      </c>
      <c r="V1" s="1">
        <v>2018</v>
      </c>
      <c r="W1" s="1">
        <v>2019</v>
      </c>
      <c r="X1" s="1">
        <v>2020</v>
      </c>
      <c r="Y1" s="1">
        <v>2021</v>
      </c>
      <c r="Z1" s="1">
        <v>2022</v>
      </c>
      <c r="AA1" s="1">
        <v>2023</v>
      </c>
      <c r="AB1" s="1">
        <v>2024</v>
      </c>
      <c r="AC1" s="1">
        <v>2025</v>
      </c>
      <c r="AD1" s="1">
        <v>2026</v>
      </c>
      <c r="AE1" s="1">
        <v>2027</v>
      </c>
      <c r="AF1" s="1">
        <v>2028</v>
      </c>
      <c r="AG1" s="1">
        <v>2029</v>
      </c>
      <c r="AH1" s="1">
        <v>2030</v>
      </c>
      <c r="AI1" s="1">
        <v>2031</v>
      </c>
      <c r="AJ1" s="1">
        <v>2032</v>
      </c>
      <c r="AK1" s="1">
        <v>2033</v>
      </c>
      <c r="AL1" s="1">
        <v>2034</v>
      </c>
      <c r="AM1" s="1">
        <v>2035</v>
      </c>
      <c r="AN1" s="1">
        <v>2036</v>
      </c>
      <c r="AO1" s="1">
        <v>2037</v>
      </c>
      <c r="AP1" s="1">
        <v>2038</v>
      </c>
      <c r="AQ1" s="1">
        <v>2039</v>
      </c>
      <c r="AR1" s="1">
        <v>2040</v>
      </c>
      <c r="AS1" s="1">
        <v>2041</v>
      </c>
    </row>
    <row r="2" spans="1:45">
      <c r="A2" s="31">
        <v>1</v>
      </c>
      <c r="B2" s="31" t="s">
        <v>15</v>
      </c>
      <c r="C2" s="31" t="s">
        <v>520</v>
      </c>
      <c r="D2" s="31"/>
      <c r="E2" s="31"/>
      <c r="F2" s="31" t="s">
        <v>544</v>
      </c>
      <c r="G2" s="31">
        <v>2006</v>
      </c>
      <c r="H2" s="31"/>
      <c r="I2" s="33" t="s">
        <v>17</v>
      </c>
      <c r="J2" s="34">
        <v>27.786910128021361</v>
      </c>
      <c r="K2" s="34">
        <v>27.786910128021361</v>
      </c>
      <c r="L2" s="34">
        <v>27.786910128021361</v>
      </c>
      <c r="M2" s="34">
        <v>27.786910128021361</v>
      </c>
      <c r="N2" s="34">
        <v>27.786910128021361</v>
      </c>
      <c r="O2" s="33">
        <v>27.786910128021361</v>
      </c>
      <c r="P2" s="33">
        <v>0</v>
      </c>
      <c r="Q2" s="33">
        <v>0</v>
      </c>
      <c r="R2" s="33">
        <v>0</v>
      </c>
      <c r="S2" s="33">
        <v>0</v>
      </c>
      <c r="T2" s="33">
        <v>0</v>
      </c>
      <c r="U2" s="33">
        <v>0</v>
      </c>
      <c r="V2" s="33">
        <v>0</v>
      </c>
      <c r="W2" s="33">
        <v>0</v>
      </c>
      <c r="X2" s="33">
        <v>0</v>
      </c>
      <c r="Y2" s="33">
        <v>0</v>
      </c>
      <c r="Z2" s="33">
        <v>0</v>
      </c>
      <c r="AA2" s="33">
        <v>0</v>
      </c>
      <c r="AB2" s="33">
        <v>0</v>
      </c>
      <c r="AC2" s="33">
        <v>0</v>
      </c>
      <c r="AD2" s="33">
        <v>0</v>
      </c>
      <c r="AE2" s="33">
        <v>0</v>
      </c>
      <c r="AF2" s="33">
        <v>0</v>
      </c>
      <c r="AG2" s="33">
        <v>0</v>
      </c>
      <c r="AH2" s="33">
        <v>0</v>
      </c>
      <c r="AI2" s="33">
        <v>0</v>
      </c>
      <c r="AJ2" s="33">
        <v>0</v>
      </c>
      <c r="AK2" s="33">
        <v>0</v>
      </c>
      <c r="AL2" s="33">
        <v>0</v>
      </c>
      <c r="AM2" s="33">
        <v>0</v>
      </c>
      <c r="AN2" s="33"/>
      <c r="AO2" s="33"/>
      <c r="AS2" s="31"/>
    </row>
    <row r="3" spans="1:45">
      <c r="A3" s="31">
        <v>2</v>
      </c>
      <c r="B3" s="31" t="s">
        <v>15</v>
      </c>
      <c r="C3" s="31" t="s">
        <v>521</v>
      </c>
      <c r="D3" s="31"/>
      <c r="E3" s="31"/>
      <c r="F3" s="31" t="s">
        <v>544</v>
      </c>
      <c r="G3" s="31">
        <v>2006</v>
      </c>
      <c r="H3" s="31"/>
      <c r="I3" s="33" t="s">
        <v>17</v>
      </c>
      <c r="J3" s="34">
        <v>68.594205032184831</v>
      </c>
      <c r="K3" s="34">
        <v>68.594205032184831</v>
      </c>
      <c r="L3" s="34">
        <v>68.594205032184831</v>
      </c>
      <c r="M3" s="34">
        <v>68.594205032184831</v>
      </c>
      <c r="N3" s="34">
        <v>68.594205032184831</v>
      </c>
      <c r="O3" s="33">
        <v>68.594205032184831</v>
      </c>
      <c r="P3" s="33">
        <v>68.594205032184831</v>
      </c>
      <c r="Q3" s="33">
        <v>68.594205032184831</v>
      </c>
      <c r="R3" s="33">
        <v>50.606642727339562</v>
      </c>
      <c r="S3" s="33">
        <v>50.606642727339562</v>
      </c>
      <c r="T3" s="33">
        <v>50.606642727339562</v>
      </c>
      <c r="U3" s="33">
        <v>50.606642727339562</v>
      </c>
      <c r="V3" s="33">
        <v>50.606642727339562</v>
      </c>
      <c r="W3" s="33">
        <v>50.606642727339562</v>
      </c>
      <c r="X3" s="33">
        <v>25.517419987395233</v>
      </c>
      <c r="Y3" s="33">
        <v>9.9462305879994481</v>
      </c>
      <c r="Z3" s="33">
        <v>9.9462305879994481</v>
      </c>
      <c r="AA3" s="33">
        <v>9.9462305879994481</v>
      </c>
      <c r="AB3" s="33">
        <v>0</v>
      </c>
      <c r="AC3" s="33">
        <v>0</v>
      </c>
      <c r="AD3" s="33">
        <v>0</v>
      </c>
      <c r="AE3" s="33">
        <v>0</v>
      </c>
      <c r="AF3" s="33">
        <v>0</v>
      </c>
      <c r="AG3" s="33">
        <v>0</v>
      </c>
      <c r="AH3" s="33">
        <v>0</v>
      </c>
      <c r="AI3" s="33">
        <v>0</v>
      </c>
      <c r="AJ3" s="33">
        <v>0</v>
      </c>
      <c r="AK3" s="33">
        <v>0</v>
      </c>
      <c r="AL3" s="33">
        <v>0</v>
      </c>
      <c r="AM3" s="33">
        <v>0</v>
      </c>
      <c r="AN3" s="33"/>
      <c r="AO3" s="33"/>
      <c r="AS3" s="31"/>
    </row>
    <row r="4" spans="1:45">
      <c r="A4" s="31">
        <v>3</v>
      </c>
      <c r="B4" s="31" t="s">
        <v>15</v>
      </c>
      <c r="C4" s="31" t="s">
        <v>522</v>
      </c>
      <c r="D4" s="31"/>
      <c r="E4" s="31"/>
      <c r="F4" s="31" t="s">
        <v>544</v>
      </c>
      <c r="G4" s="31">
        <v>2006</v>
      </c>
      <c r="H4" s="31"/>
      <c r="I4" s="33" t="s">
        <v>17</v>
      </c>
      <c r="J4" s="34">
        <v>1779.857419207262</v>
      </c>
      <c r="K4" s="34">
        <v>1779.857419207262</v>
      </c>
      <c r="L4" s="34">
        <v>1779.857419207262</v>
      </c>
      <c r="M4" s="34">
        <v>1779.857419207262</v>
      </c>
      <c r="N4" s="34">
        <v>229.4799735529177</v>
      </c>
      <c r="O4" s="33">
        <v>229.4799735529177</v>
      </c>
      <c r="P4" s="33">
        <v>229.4799735529177</v>
      </c>
      <c r="Q4" s="33">
        <v>229.4799735529177</v>
      </c>
      <c r="R4" s="33">
        <v>229.4799735529177</v>
      </c>
      <c r="S4" s="33">
        <v>229.4799735529177</v>
      </c>
      <c r="T4" s="33">
        <v>214.01342869268902</v>
      </c>
      <c r="U4" s="33">
        <v>214.01342869268902</v>
      </c>
      <c r="V4" s="33">
        <v>214.01342869268902</v>
      </c>
      <c r="W4" s="33">
        <v>214.01342869268902</v>
      </c>
      <c r="X4" s="33">
        <v>214.01342869268902</v>
      </c>
      <c r="Y4" s="33">
        <v>198.25763518941719</v>
      </c>
      <c r="Z4" s="33">
        <v>198.25763518941719</v>
      </c>
      <c r="AA4" s="33">
        <v>198.25763518941719</v>
      </c>
      <c r="AB4" s="33">
        <v>112.49868174790195</v>
      </c>
      <c r="AC4" s="33">
        <v>112.49868174790195</v>
      </c>
      <c r="AD4" s="33">
        <v>65.642743632997878</v>
      </c>
      <c r="AE4" s="33">
        <v>65.642743632997878</v>
      </c>
      <c r="AF4" s="33">
        <v>65.642743632997878</v>
      </c>
      <c r="AG4" s="33">
        <v>65.642743632997878</v>
      </c>
      <c r="AH4" s="33">
        <v>65.642743632997878</v>
      </c>
      <c r="AI4" s="33">
        <v>10.651235022659334</v>
      </c>
      <c r="AJ4" s="33">
        <v>10.651235022659334</v>
      </c>
      <c r="AK4" s="33">
        <v>10.651235022659334</v>
      </c>
      <c r="AL4" s="33">
        <v>10.651235022659334</v>
      </c>
      <c r="AM4" s="33">
        <v>10.651235022659334</v>
      </c>
      <c r="AN4" s="33"/>
      <c r="AO4" s="33"/>
      <c r="AS4" s="31"/>
    </row>
    <row r="5" spans="1:45">
      <c r="A5" s="31">
        <v>4</v>
      </c>
      <c r="B5" s="31" t="s">
        <v>62</v>
      </c>
      <c r="C5" s="31" t="s">
        <v>523</v>
      </c>
      <c r="D5" s="31"/>
      <c r="E5" s="31"/>
      <c r="F5" s="31" t="s">
        <v>544</v>
      </c>
      <c r="G5" s="31">
        <v>2006</v>
      </c>
      <c r="H5" s="31"/>
      <c r="I5" s="33" t="s">
        <v>71</v>
      </c>
      <c r="J5" s="34">
        <v>0</v>
      </c>
      <c r="K5" s="34">
        <v>0</v>
      </c>
      <c r="L5" s="34">
        <v>0</v>
      </c>
      <c r="M5" s="34">
        <v>0</v>
      </c>
      <c r="N5" s="34">
        <v>0</v>
      </c>
      <c r="O5" s="33">
        <v>0</v>
      </c>
      <c r="P5" s="33">
        <v>0</v>
      </c>
      <c r="Q5" s="33">
        <v>0</v>
      </c>
      <c r="R5" s="33">
        <v>0</v>
      </c>
      <c r="S5" s="33">
        <v>0</v>
      </c>
      <c r="T5" s="33">
        <v>0</v>
      </c>
      <c r="U5" s="33">
        <v>0</v>
      </c>
      <c r="V5" s="33">
        <v>0</v>
      </c>
      <c r="W5" s="33">
        <v>0</v>
      </c>
      <c r="X5" s="33">
        <v>0</v>
      </c>
      <c r="Y5" s="33">
        <v>0</v>
      </c>
      <c r="Z5" s="33">
        <v>0</v>
      </c>
      <c r="AA5" s="33">
        <v>0</v>
      </c>
      <c r="AB5" s="33">
        <v>0</v>
      </c>
      <c r="AC5" s="33">
        <v>0</v>
      </c>
      <c r="AD5" s="33">
        <v>0</v>
      </c>
      <c r="AE5" s="33">
        <v>0</v>
      </c>
      <c r="AF5" s="33">
        <v>0</v>
      </c>
      <c r="AG5" s="33">
        <v>0</v>
      </c>
      <c r="AH5" s="33">
        <v>0</v>
      </c>
      <c r="AI5" s="33">
        <v>0</v>
      </c>
      <c r="AJ5" s="33">
        <v>0</v>
      </c>
      <c r="AK5" s="33">
        <v>0</v>
      </c>
      <c r="AL5" s="33">
        <v>0</v>
      </c>
      <c r="AM5" s="33">
        <v>0</v>
      </c>
      <c r="AN5" s="33"/>
      <c r="AO5" s="33"/>
      <c r="AS5" s="31"/>
    </row>
    <row r="6" spans="1:45">
      <c r="A6" s="31">
        <v>5</v>
      </c>
      <c r="B6" s="31" t="s">
        <v>62</v>
      </c>
      <c r="C6" s="31" t="s">
        <v>63</v>
      </c>
      <c r="D6" s="31"/>
      <c r="E6" s="31"/>
      <c r="F6" s="31" t="s">
        <v>544</v>
      </c>
      <c r="G6" s="31">
        <v>2006</v>
      </c>
      <c r="H6" s="31"/>
      <c r="I6" s="33" t="s">
        <v>71</v>
      </c>
      <c r="J6" s="34">
        <v>0</v>
      </c>
      <c r="K6" s="34">
        <v>0</v>
      </c>
      <c r="L6" s="34">
        <v>0</v>
      </c>
      <c r="M6" s="34">
        <v>0</v>
      </c>
      <c r="N6" s="34">
        <v>0</v>
      </c>
      <c r="O6" s="33">
        <v>0</v>
      </c>
      <c r="P6" s="33">
        <v>0</v>
      </c>
      <c r="Q6" s="33">
        <v>0</v>
      </c>
      <c r="R6" s="33">
        <v>0</v>
      </c>
      <c r="S6" s="33">
        <v>0</v>
      </c>
      <c r="T6" s="33">
        <v>0</v>
      </c>
      <c r="U6" s="33">
        <v>0</v>
      </c>
      <c r="V6" s="33">
        <v>0</v>
      </c>
      <c r="W6" s="33">
        <v>0</v>
      </c>
      <c r="X6" s="33">
        <v>0</v>
      </c>
      <c r="Y6" s="33">
        <v>0</v>
      </c>
      <c r="Z6" s="33">
        <v>0</v>
      </c>
      <c r="AA6" s="33">
        <v>0</v>
      </c>
      <c r="AB6" s="33">
        <v>0</v>
      </c>
      <c r="AC6" s="33">
        <v>0</v>
      </c>
      <c r="AD6" s="33">
        <v>0</v>
      </c>
      <c r="AE6" s="33">
        <v>0</v>
      </c>
      <c r="AF6" s="33">
        <v>0</v>
      </c>
      <c r="AG6" s="33">
        <v>0</v>
      </c>
      <c r="AH6" s="33">
        <v>0</v>
      </c>
      <c r="AI6" s="33">
        <v>0</v>
      </c>
      <c r="AJ6" s="33">
        <v>0</v>
      </c>
      <c r="AK6" s="33">
        <v>0</v>
      </c>
      <c r="AL6" s="33">
        <v>0</v>
      </c>
      <c r="AM6" s="33">
        <v>0</v>
      </c>
      <c r="AN6" s="33"/>
      <c r="AO6" s="33"/>
      <c r="AS6" s="31"/>
    </row>
    <row r="7" spans="1:45">
      <c r="A7" s="31">
        <v>6</v>
      </c>
      <c r="B7" s="31" t="s">
        <v>15</v>
      </c>
      <c r="C7" s="31" t="s">
        <v>524</v>
      </c>
      <c r="D7" s="31"/>
      <c r="E7" s="31"/>
      <c r="F7" s="31" t="s">
        <v>544</v>
      </c>
      <c r="G7" s="31">
        <v>2007</v>
      </c>
      <c r="H7" s="31"/>
      <c r="I7" s="33" t="s">
        <v>17</v>
      </c>
      <c r="J7" s="34">
        <v>0</v>
      </c>
      <c r="K7" s="34">
        <v>61.0890258095747</v>
      </c>
      <c r="L7" s="34">
        <v>61.0890258095747</v>
      </c>
      <c r="M7" s="34">
        <v>61.0890258095747</v>
      </c>
      <c r="N7" s="34">
        <v>61.0890258095747</v>
      </c>
      <c r="O7" s="33">
        <v>60.933754501886966</v>
      </c>
      <c r="P7" s="33">
        <v>60.778483194199232</v>
      </c>
      <c r="Q7" s="33">
        <v>60.778483194199232</v>
      </c>
      <c r="R7" s="33">
        <v>60.778483194199232</v>
      </c>
      <c r="S7" s="33">
        <v>50.585221194297702</v>
      </c>
      <c r="T7" s="33">
        <v>0</v>
      </c>
      <c r="U7" s="33">
        <v>0</v>
      </c>
      <c r="V7" s="33">
        <v>0</v>
      </c>
      <c r="W7" s="33">
        <v>0</v>
      </c>
      <c r="X7" s="33">
        <v>0</v>
      </c>
      <c r="Y7" s="33">
        <v>0</v>
      </c>
      <c r="Z7" s="33">
        <v>0</v>
      </c>
      <c r="AA7" s="33">
        <v>0</v>
      </c>
      <c r="AB7" s="33">
        <v>0</v>
      </c>
      <c r="AC7" s="33">
        <v>0</v>
      </c>
      <c r="AD7" s="33">
        <v>0</v>
      </c>
      <c r="AE7" s="33">
        <v>0</v>
      </c>
      <c r="AF7" s="33">
        <v>0</v>
      </c>
      <c r="AG7" s="33">
        <v>0</v>
      </c>
      <c r="AH7" s="33">
        <v>0</v>
      </c>
      <c r="AI7" s="33">
        <v>0</v>
      </c>
      <c r="AJ7" s="33">
        <v>0</v>
      </c>
      <c r="AK7" s="33">
        <v>0</v>
      </c>
      <c r="AL7" s="33">
        <v>0</v>
      </c>
      <c r="AM7" s="33">
        <v>0</v>
      </c>
      <c r="AN7" s="33"/>
      <c r="AO7" s="33"/>
      <c r="AS7" s="31"/>
    </row>
    <row r="8" spans="1:45">
      <c r="A8" s="31">
        <v>7</v>
      </c>
      <c r="B8" s="31" t="s">
        <v>15</v>
      </c>
      <c r="C8" s="31" t="s">
        <v>521</v>
      </c>
      <c r="D8" s="31"/>
      <c r="E8" s="31"/>
      <c r="F8" s="31" t="s">
        <v>544</v>
      </c>
      <c r="G8" s="31">
        <v>2007</v>
      </c>
      <c r="H8" s="31"/>
      <c r="I8" s="33" t="s">
        <v>17</v>
      </c>
      <c r="J8" s="34">
        <v>0</v>
      </c>
      <c r="K8" s="34">
        <v>117.87568510677875</v>
      </c>
      <c r="L8" s="34">
        <v>117.87568510677875</v>
      </c>
      <c r="M8" s="34">
        <v>117.87568510677875</v>
      </c>
      <c r="N8" s="34">
        <v>117.87568510677875</v>
      </c>
      <c r="O8" s="33">
        <v>117.87568510677875</v>
      </c>
      <c r="P8" s="33">
        <v>112.2872479638088</v>
      </c>
      <c r="Q8" s="33">
        <v>112.2872479638088</v>
      </c>
      <c r="R8" s="33">
        <v>112.2872479638088</v>
      </c>
      <c r="S8" s="33">
        <v>112.2872479638088</v>
      </c>
      <c r="T8" s="33">
        <v>112.2872479638088</v>
      </c>
      <c r="U8" s="33">
        <v>112.2872479638088</v>
      </c>
      <c r="V8" s="33">
        <v>112.2872479638088</v>
      </c>
      <c r="W8" s="33">
        <v>112.2872479638088</v>
      </c>
      <c r="X8" s="33">
        <v>112.2872479638088</v>
      </c>
      <c r="Y8" s="33">
        <v>112.2872479638088</v>
      </c>
      <c r="Z8" s="33">
        <v>12.313267905893658</v>
      </c>
      <c r="AA8" s="33">
        <v>12.313267905893658</v>
      </c>
      <c r="AB8" s="33">
        <v>12.313267905893658</v>
      </c>
      <c r="AC8" s="33">
        <v>0</v>
      </c>
      <c r="AD8" s="33">
        <v>0</v>
      </c>
      <c r="AE8" s="33">
        <v>0</v>
      </c>
      <c r="AF8" s="33">
        <v>0</v>
      </c>
      <c r="AG8" s="33">
        <v>0</v>
      </c>
      <c r="AH8" s="33">
        <v>0</v>
      </c>
      <c r="AI8" s="33">
        <v>0</v>
      </c>
      <c r="AJ8" s="33">
        <v>0</v>
      </c>
      <c r="AK8" s="33">
        <v>0</v>
      </c>
      <c r="AL8" s="33">
        <v>0</v>
      </c>
      <c r="AM8" s="33">
        <v>0</v>
      </c>
      <c r="AN8" s="33"/>
      <c r="AO8" s="33"/>
      <c r="AS8" s="31"/>
    </row>
    <row r="9" spans="1:45">
      <c r="A9" s="31">
        <v>8</v>
      </c>
      <c r="B9" s="31" t="s">
        <v>15</v>
      </c>
      <c r="C9" s="31" t="s">
        <v>522</v>
      </c>
      <c r="D9" s="31"/>
      <c r="E9" s="31"/>
      <c r="F9" s="31" t="s">
        <v>544</v>
      </c>
      <c r="G9" s="31">
        <v>2007</v>
      </c>
      <c r="H9" s="31"/>
      <c r="I9" s="33" t="s">
        <v>17</v>
      </c>
      <c r="J9" s="34">
        <v>0</v>
      </c>
      <c r="K9" s="34">
        <v>706.59765787836398</v>
      </c>
      <c r="L9" s="34">
        <v>697.95602111293226</v>
      </c>
      <c r="M9" s="34">
        <v>697.95602111293226</v>
      </c>
      <c r="N9" s="34">
        <v>697.95602111293226</v>
      </c>
      <c r="O9" s="33">
        <v>697.95602111293226</v>
      </c>
      <c r="P9" s="33">
        <v>674.12112793337371</v>
      </c>
      <c r="Q9" s="33">
        <v>674.12112793337371</v>
      </c>
      <c r="R9" s="33">
        <v>674.12112793337371</v>
      </c>
      <c r="S9" s="33">
        <v>54.749276375538201</v>
      </c>
      <c r="T9" s="33">
        <v>54.749276375538201</v>
      </c>
      <c r="U9" s="33">
        <v>10.316243513196282</v>
      </c>
      <c r="V9" s="33">
        <v>10.316243513196282</v>
      </c>
      <c r="W9" s="33">
        <v>10.316243513196282</v>
      </c>
      <c r="X9" s="33">
        <v>10.316243513196282</v>
      </c>
      <c r="Y9" s="33">
        <v>10.316243513196282</v>
      </c>
      <c r="Z9" s="33">
        <v>6.162747119732785</v>
      </c>
      <c r="AA9" s="33">
        <v>2.7960996273735383</v>
      </c>
      <c r="AB9" s="33">
        <v>2.7960996273735383</v>
      </c>
      <c r="AC9" s="33">
        <v>0</v>
      </c>
      <c r="AD9" s="33">
        <v>0</v>
      </c>
      <c r="AE9" s="33">
        <v>0</v>
      </c>
      <c r="AF9" s="33">
        <v>0</v>
      </c>
      <c r="AG9" s="33">
        <v>0</v>
      </c>
      <c r="AH9" s="33">
        <v>0</v>
      </c>
      <c r="AI9" s="33">
        <v>0</v>
      </c>
      <c r="AJ9" s="33">
        <v>0</v>
      </c>
      <c r="AK9" s="33">
        <v>0</v>
      </c>
      <c r="AL9" s="33">
        <v>0</v>
      </c>
      <c r="AM9" s="33">
        <v>0</v>
      </c>
      <c r="AN9" s="33"/>
      <c r="AO9" s="33"/>
      <c r="AS9" s="31"/>
    </row>
    <row r="10" spans="1:45">
      <c r="A10" s="31">
        <v>9</v>
      </c>
      <c r="B10" s="31" t="s">
        <v>65</v>
      </c>
      <c r="C10" s="31" t="s">
        <v>525</v>
      </c>
      <c r="D10" s="31"/>
      <c r="E10" s="31"/>
      <c r="F10" s="31" t="s">
        <v>544</v>
      </c>
      <c r="G10" s="31">
        <v>2007</v>
      </c>
      <c r="H10" s="31"/>
      <c r="I10" s="33" t="s">
        <v>58</v>
      </c>
      <c r="J10" s="34">
        <v>0</v>
      </c>
      <c r="K10" s="34">
        <v>0</v>
      </c>
      <c r="L10" s="34">
        <v>0</v>
      </c>
      <c r="M10" s="34">
        <v>0</v>
      </c>
      <c r="N10" s="34">
        <v>0</v>
      </c>
      <c r="O10" s="33">
        <v>0</v>
      </c>
      <c r="P10" s="33">
        <v>0</v>
      </c>
      <c r="Q10" s="33">
        <v>0</v>
      </c>
      <c r="R10" s="33">
        <v>0</v>
      </c>
      <c r="S10" s="33">
        <v>0</v>
      </c>
      <c r="T10" s="33">
        <v>0</v>
      </c>
      <c r="U10" s="33">
        <v>0</v>
      </c>
      <c r="V10" s="33">
        <v>0</v>
      </c>
      <c r="W10" s="33">
        <v>0</v>
      </c>
      <c r="X10" s="33">
        <v>0</v>
      </c>
      <c r="Y10" s="33">
        <v>0</v>
      </c>
      <c r="Z10" s="33">
        <v>0</v>
      </c>
      <c r="AA10" s="33">
        <v>0</v>
      </c>
      <c r="AB10" s="33">
        <v>0</v>
      </c>
      <c r="AC10" s="33">
        <v>0</v>
      </c>
      <c r="AD10" s="33">
        <v>0</v>
      </c>
      <c r="AE10" s="33">
        <v>0</v>
      </c>
      <c r="AF10" s="33">
        <v>0</v>
      </c>
      <c r="AG10" s="33">
        <v>0</v>
      </c>
      <c r="AH10" s="33">
        <v>0</v>
      </c>
      <c r="AI10" s="33">
        <v>0</v>
      </c>
      <c r="AJ10" s="33">
        <v>0</v>
      </c>
      <c r="AK10" s="33">
        <v>0</v>
      </c>
      <c r="AL10" s="33">
        <v>0</v>
      </c>
      <c r="AM10" s="33">
        <v>0</v>
      </c>
      <c r="AN10" s="33"/>
      <c r="AO10" s="33"/>
      <c r="AS10" s="31"/>
    </row>
    <row r="11" spans="1:45">
      <c r="A11" s="31">
        <v>10</v>
      </c>
      <c r="B11" s="31" t="s">
        <v>15</v>
      </c>
      <c r="C11" s="31" t="s">
        <v>526</v>
      </c>
      <c r="D11" s="31"/>
      <c r="E11" s="31"/>
      <c r="F11" s="31" t="s">
        <v>544</v>
      </c>
      <c r="G11" s="31">
        <v>2007</v>
      </c>
      <c r="H11" s="31"/>
      <c r="I11" s="33" t="s">
        <v>17</v>
      </c>
      <c r="J11" s="34">
        <v>0</v>
      </c>
      <c r="K11" s="34">
        <v>329.98675831798073</v>
      </c>
      <c r="L11" s="34">
        <v>55.620070514863954</v>
      </c>
      <c r="M11" s="34">
        <v>21.053092681750751</v>
      </c>
      <c r="N11" s="34">
        <v>21.053092681750751</v>
      </c>
      <c r="O11" s="33">
        <v>21.053092681750751</v>
      </c>
      <c r="P11" s="33">
        <v>21.053092681750751</v>
      </c>
      <c r="Q11" s="33">
        <v>21.053092681750751</v>
      </c>
      <c r="R11" s="33">
        <v>21.053092681750751</v>
      </c>
      <c r="S11" s="33">
        <v>13.370915840510813</v>
      </c>
      <c r="T11" s="33">
        <v>13.370915840510813</v>
      </c>
      <c r="U11" s="33">
        <v>13.370915840510813</v>
      </c>
      <c r="V11" s="33">
        <v>13.370915840510813</v>
      </c>
      <c r="W11" s="33">
        <v>13.370915840510813</v>
      </c>
      <c r="X11" s="33">
        <v>13.370915840510813</v>
      </c>
      <c r="Y11" s="33">
        <v>0</v>
      </c>
      <c r="Z11" s="33">
        <v>0</v>
      </c>
      <c r="AA11" s="33">
        <v>0</v>
      </c>
      <c r="AB11" s="33">
        <v>0</v>
      </c>
      <c r="AC11" s="33">
        <v>0</v>
      </c>
      <c r="AD11" s="33">
        <v>0</v>
      </c>
      <c r="AE11" s="33">
        <v>0</v>
      </c>
      <c r="AF11" s="33">
        <v>0</v>
      </c>
      <c r="AG11" s="33">
        <v>0</v>
      </c>
      <c r="AH11" s="33">
        <v>0</v>
      </c>
      <c r="AI11" s="33">
        <v>0</v>
      </c>
      <c r="AJ11" s="33">
        <v>0</v>
      </c>
      <c r="AK11" s="33">
        <v>0</v>
      </c>
      <c r="AL11" s="33">
        <v>0</v>
      </c>
      <c r="AM11" s="33">
        <v>0</v>
      </c>
      <c r="AN11" s="33"/>
      <c r="AO11" s="33"/>
      <c r="AS11" s="31"/>
    </row>
    <row r="12" spans="1:45">
      <c r="A12" s="31">
        <v>11</v>
      </c>
      <c r="B12" s="31" t="s">
        <v>15</v>
      </c>
      <c r="C12" s="31" t="s">
        <v>527</v>
      </c>
      <c r="D12" s="31"/>
      <c r="E12" s="31"/>
      <c r="F12" s="31" t="s">
        <v>544</v>
      </c>
      <c r="G12" s="31">
        <v>2007</v>
      </c>
      <c r="H12" s="31"/>
      <c r="I12" s="33" t="s">
        <v>58</v>
      </c>
      <c r="J12" s="34">
        <v>0</v>
      </c>
      <c r="K12" s="34">
        <v>0</v>
      </c>
      <c r="L12" s="34">
        <v>0</v>
      </c>
      <c r="M12" s="34">
        <v>0</v>
      </c>
      <c r="N12" s="34">
        <v>0</v>
      </c>
      <c r="O12" s="33">
        <v>0</v>
      </c>
      <c r="P12" s="33">
        <v>0</v>
      </c>
      <c r="Q12" s="33">
        <v>0</v>
      </c>
      <c r="R12" s="33">
        <v>0</v>
      </c>
      <c r="S12" s="33">
        <v>0</v>
      </c>
      <c r="T12" s="33">
        <v>0</v>
      </c>
      <c r="U12" s="33">
        <v>0</v>
      </c>
      <c r="V12" s="33">
        <v>0</v>
      </c>
      <c r="W12" s="33">
        <v>0</v>
      </c>
      <c r="X12" s="33">
        <v>0</v>
      </c>
      <c r="Y12" s="33">
        <v>0</v>
      </c>
      <c r="Z12" s="33">
        <v>0</v>
      </c>
      <c r="AA12" s="33">
        <v>0</v>
      </c>
      <c r="AB12" s="33">
        <v>0</v>
      </c>
      <c r="AC12" s="33">
        <v>0</v>
      </c>
      <c r="AD12" s="33">
        <v>0</v>
      </c>
      <c r="AE12" s="33">
        <v>0</v>
      </c>
      <c r="AF12" s="33">
        <v>0</v>
      </c>
      <c r="AG12" s="33">
        <v>0</v>
      </c>
      <c r="AH12" s="33">
        <v>0</v>
      </c>
      <c r="AI12" s="33">
        <v>0</v>
      </c>
      <c r="AJ12" s="33">
        <v>0</v>
      </c>
      <c r="AK12" s="33">
        <v>0</v>
      </c>
      <c r="AL12" s="33">
        <v>0</v>
      </c>
      <c r="AM12" s="33">
        <v>0</v>
      </c>
      <c r="AN12" s="33"/>
      <c r="AO12" s="33"/>
      <c r="AS12" s="31"/>
    </row>
    <row r="13" spans="1:45">
      <c r="A13" s="31">
        <v>12</v>
      </c>
      <c r="B13" s="31" t="s">
        <v>66</v>
      </c>
      <c r="C13" s="31" t="s">
        <v>528</v>
      </c>
      <c r="D13" s="31"/>
      <c r="E13" s="31"/>
      <c r="F13" s="31" t="s">
        <v>544</v>
      </c>
      <c r="G13" s="31">
        <v>2007</v>
      </c>
      <c r="H13" s="31"/>
      <c r="I13" s="33" t="s">
        <v>17</v>
      </c>
      <c r="J13" s="34">
        <v>0</v>
      </c>
      <c r="K13" s="34">
        <v>120.72139</v>
      </c>
      <c r="L13" s="34">
        <v>120.72139</v>
      </c>
      <c r="M13" s="34">
        <v>120.72139</v>
      </c>
      <c r="N13" s="34">
        <v>120.72139</v>
      </c>
      <c r="O13" s="33">
        <v>120.72139</v>
      </c>
      <c r="P13" s="33">
        <v>120.72139</v>
      </c>
      <c r="Q13" s="33">
        <v>120.72139</v>
      </c>
      <c r="R13" s="33">
        <v>120.72139</v>
      </c>
      <c r="S13" s="33">
        <v>120.72139</v>
      </c>
      <c r="T13" s="33">
        <v>120.72139</v>
      </c>
      <c r="U13" s="33">
        <v>120.72139</v>
      </c>
      <c r="V13" s="33">
        <v>120.72139</v>
      </c>
      <c r="W13" s="33">
        <v>120.72139</v>
      </c>
      <c r="X13" s="33">
        <v>120.72139</v>
      </c>
      <c r="Y13" s="33">
        <v>0</v>
      </c>
      <c r="Z13" s="33">
        <v>0</v>
      </c>
      <c r="AA13" s="33">
        <v>0</v>
      </c>
      <c r="AB13" s="33">
        <v>0</v>
      </c>
      <c r="AC13" s="33">
        <v>0</v>
      </c>
      <c r="AD13" s="33">
        <v>0</v>
      </c>
      <c r="AE13" s="33">
        <v>0</v>
      </c>
      <c r="AF13" s="33">
        <v>0</v>
      </c>
      <c r="AG13" s="33">
        <v>0</v>
      </c>
      <c r="AH13" s="33">
        <v>0</v>
      </c>
      <c r="AI13" s="33">
        <v>0</v>
      </c>
      <c r="AJ13" s="33">
        <v>0</v>
      </c>
      <c r="AK13" s="33">
        <v>0</v>
      </c>
      <c r="AL13" s="33">
        <v>0</v>
      </c>
      <c r="AM13" s="33">
        <v>0</v>
      </c>
      <c r="AN13" s="33"/>
      <c r="AO13" s="33"/>
      <c r="AS13" s="31"/>
    </row>
    <row r="14" spans="1:45">
      <c r="A14" s="31">
        <v>13</v>
      </c>
      <c r="B14" s="31" t="s">
        <v>66</v>
      </c>
      <c r="C14" s="31" t="s">
        <v>529</v>
      </c>
      <c r="D14" s="31"/>
      <c r="E14" s="31"/>
      <c r="F14" s="31" t="s">
        <v>544</v>
      </c>
      <c r="G14" s="31">
        <v>2007</v>
      </c>
      <c r="H14" s="31"/>
      <c r="I14" s="33" t="s">
        <v>17</v>
      </c>
      <c r="J14" s="34">
        <v>0</v>
      </c>
      <c r="K14" s="34">
        <v>64.220752287921457</v>
      </c>
      <c r="L14" s="34">
        <v>64.220752287921457</v>
      </c>
      <c r="M14" s="34">
        <v>64.220752287921457</v>
      </c>
      <c r="N14" s="34">
        <v>64.220752287921457</v>
      </c>
      <c r="O14" s="33">
        <v>64.220752287921457</v>
      </c>
      <c r="P14" s="33">
        <v>64.220752287921457</v>
      </c>
      <c r="Q14" s="33">
        <v>64.220752287921457</v>
      </c>
      <c r="R14" s="33">
        <v>64.220752287921457</v>
      </c>
      <c r="S14" s="33">
        <v>64.220752287921457</v>
      </c>
      <c r="T14" s="33">
        <v>64.220752287921457</v>
      </c>
      <c r="U14" s="33">
        <v>0</v>
      </c>
      <c r="V14" s="33">
        <v>0</v>
      </c>
      <c r="W14" s="33">
        <v>0</v>
      </c>
      <c r="X14" s="33">
        <v>0</v>
      </c>
      <c r="Y14" s="33">
        <v>0</v>
      </c>
      <c r="Z14" s="33">
        <v>0</v>
      </c>
      <c r="AA14" s="33">
        <v>0</v>
      </c>
      <c r="AB14" s="33">
        <v>0</v>
      </c>
      <c r="AC14" s="33">
        <v>0</v>
      </c>
      <c r="AD14" s="33">
        <v>0</v>
      </c>
      <c r="AE14" s="33">
        <v>0</v>
      </c>
      <c r="AF14" s="33">
        <v>0</v>
      </c>
      <c r="AG14" s="33">
        <v>0</v>
      </c>
      <c r="AH14" s="33">
        <v>0</v>
      </c>
      <c r="AI14" s="33">
        <v>0</v>
      </c>
      <c r="AJ14" s="33">
        <v>0</v>
      </c>
      <c r="AK14" s="33">
        <v>0</v>
      </c>
      <c r="AL14" s="33">
        <v>0</v>
      </c>
      <c r="AM14" s="33">
        <v>0</v>
      </c>
      <c r="AN14" s="33"/>
      <c r="AO14" s="33"/>
      <c r="AS14" s="31"/>
    </row>
    <row r="15" spans="1:45">
      <c r="A15" s="31">
        <v>14</v>
      </c>
      <c r="B15" s="31" t="s">
        <v>66</v>
      </c>
      <c r="C15" s="31" t="s">
        <v>530</v>
      </c>
      <c r="D15" s="31"/>
      <c r="E15" s="31"/>
      <c r="F15" s="31" t="s">
        <v>544</v>
      </c>
      <c r="G15" s="31">
        <v>2007</v>
      </c>
      <c r="H15" s="31"/>
      <c r="I15" s="33" t="s">
        <v>17</v>
      </c>
      <c r="J15" s="34">
        <v>0</v>
      </c>
      <c r="K15" s="34">
        <v>131.6722004675193</v>
      </c>
      <c r="L15" s="34">
        <v>131.6722004675193</v>
      </c>
      <c r="M15" s="34">
        <v>131.6722004675193</v>
      </c>
      <c r="N15" s="34">
        <v>131.6722004675193</v>
      </c>
      <c r="O15" s="33">
        <v>131.6722004675193</v>
      </c>
      <c r="P15" s="33">
        <v>131.6722004675193</v>
      </c>
      <c r="Q15" s="33">
        <v>131.6722004675193</v>
      </c>
      <c r="R15" s="33">
        <v>131.6722004675193</v>
      </c>
      <c r="S15" s="33">
        <v>131.6722004675193</v>
      </c>
      <c r="T15" s="33">
        <v>131.6722004675193</v>
      </c>
      <c r="U15" s="33">
        <v>131.6722004675193</v>
      </c>
      <c r="V15" s="33">
        <v>131.6722004675193</v>
      </c>
      <c r="W15" s="33">
        <v>131.6722004675193</v>
      </c>
      <c r="X15" s="33">
        <v>131.6722004675193</v>
      </c>
      <c r="Y15" s="33">
        <v>131.6722004675193</v>
      </c>
      <c r="Z15" s="33">
        <v>131.6722004675193</v>
      </c>
      <c r="AA15" s="33">
        <v>131.6722004675193</v>
      </c>
      <c r="AB15" s="33">
        <v>131.6722004675193</v>
      </c>
      <c r="AC15" s="33">
        <v>131.6722004675193</v>
      </c>
      <c r="AD15" s="33">
        <v>0</v>
      </c>
      <c r="AE15" s="33">
        <v>0</v>
      </c>
      <c r="AF15" s="33">
        <v>0</v>
      </c>
      <c r="AG15" s="33">
        <v>0</v>
      </c>
      <c r="AH15" s="33">
        <v>0</v>
      </c>
      <c r="AI15" s="33">
        <v>0</v>
      </c>
      <c r="AJ15" s="33">
        <v>0</v>
      </c>
      <c r="AK15" s="33">
        <v>0</v>
      </c>
      <c r="AL15" s="33">
        <v>0</v>
      </c>
      <c r="AM15" s="33">
        <v>0</v>
      </c>
      <c r="AN15" s="33"/>
      <c r="AO15" s="33"/>
      <c r="AS15" s="31"/>
    </row>
    <row r="16" spans="1:45">
      <c r="A16" s="31">
        <v>15</v>
      </c>
      <c r="B16" s="31" t="s">
        <v>1</v>
      </c>
      <c r="C16" s="31" t="s">
        <v>531</v>
      </c>
      <c r="D16" s="31"/>
      <c r="E16" s="31"/>
      <c r="F16" s="31" t="s">
        <v>544</v>
      </c>
      <c r="G16" s="31">
        <v>2007</v>
      </c>
      <c r="H16" s="31"/>
      <c r="I16" s="33" t="s">
        <v>71</v>
      </c>
      <c r="J16" s="34">
        <v>0</v>
      </c>
      <c r="K16" s="34">
        <v>0</v>
      </c>
      <c r="L16" s="34">
        <v>0</v>
      </c>
      <c r="M16" s="34">
        <v>0</v>
      </c>
      <c r="N16" s="34">
        <v>0</v>
      </c>
      <c r="O16" s="33">
        <v>0</v>
      </c>
      <c r="P16" s="33">
        <v>0</v>
      </c>
      <c r="Q16" s="33">
        <v>0</v>
      </c>
      <c r="R16" s="33">
        <v>0</v>
      </c>
      <c r="S16" s="33">
        <v>0</v>
      </c>
      <c r="T16" s="33">
        <v>0</v>
      </c>
      <c r="U16" s="33">
        <v>0</v>
      </c>
      <c r="V16" s="33">
        <v>0</v>
      </c>
      <c r="W16" s="33">
        <v>0</v>
      </c>
      <c r="X16" s="33">
        <v>0</v>
      </c>
      <c r="Y16" s="33">
        <v>0</v>
      </c>
      <c r="Z16" s="33">
        <v>0</v>
      </c>
      <c r="AA16" s="33">
        <v>0</v>
      </c>
      <c r="AB16" s="33">
        <v>0</v>
      </c>
      <c r="AC16" s="33">
        <v>0</v>
      </c>
      <c r="AD16" s="33">
        <v>0</v>
      </c>
      <c r="AE16" s="33">
        <v>0</v>
      </c>
      <c r="AF16" s="33">
        <v>0</v>
      </c>
      <c r="AG16" s="33">
        <v>0</v>
      </c>
      <c r="AH16" s="33">
        <v>0</v>
      </c>
      <c r="AI16" s="33">
        <v>0</v>
      </c>
      <c r="AJ16" s="33">
        <v>0</v>
      </c>
      <c r="AK16" s="33">
        <v>0</v>
      </c>
      <c r="AL16" s="33">
        <v>0</v>
      </c>
      <c r="AM16" s="33">
        <v>0</v>
      </c>
      <c r="AN16" s="33"/>
      <c r="AO16" s="33"/>
      <c r="AS16" s="31"/>
    </row>
    <row r="17" spans="1:45">
      <c r="A17" s="31">
        <v>16</v>
      </c>
      <c r="B17" s="31" t="s">
        <v>1</v>
      </c>
      <c r="C17" s="31" t="s">
        <v>139</v>
      </c>
      <c r="D17" s="31"/>
      <c r="E17" s="31"/>
      <c r="F17" s="31" t="s">
        <v>544</v>
      </c>
      <c r="G17" s="31">
        <v>2007</v>
      </c>
      <c r="H17" s="31"/>
      <c r="I17" s="33" t="s">
        <v>58</v>
      </c>
      <c r="J17" s="34">
        <v>0</v>
      </c>
      <c r="K17" s="34">
        <v>0</v>
      </c>
      <c r="L17" s="34">
        <v>0</v>
      </c>
      <c r="M17" s="34">
        <v>0</v>
      </c>
      <c r="N17" s="34">
        <v>0</v>
      </c>
      <c r="O17" s="33">
        <v>0</v>
      </c>
      <c r="P17" s="33">
        <v>0</v>
      </c>
      <c r="Q17" s="33">
        <v>0</v>
      </c>
      <c r="R17" s="33">
        <v>0</v>
      </c>
      <c r="S17" s="33">
        <v>0</v>
      </c>
      <c r="T17" s="33">
        <v>0</v>
      </c>
      <c r="U17" s="33">
        <v>0</v>
      </c>
      <c r="V17" s="33">
        <v>0</v>
      </c>
      <c r="W17" s="33">
        <v>0</v>
      </c>
      <c r="X17" s="33">
        <v>0</v>
      </c>
      <c r="Y17" s="33">
        <v>0</v>
      </c>
      <c r="Z17" s="33">
        <v>0</v>
      </c>
      <c r="AA17" s="33">
        <v>0</v>
      </c>
      <c r="AB17" s="33">
        <v>0</v>
      </c>
      <c r="AC17" s="33">
        <v>0</v>
      </c>
      <c r="AD17" s="33">
        <v>0</v>
      </c>
      <c r="AE17" s="33">
        <v>0</v>
      </c>
      <c r="AF17" s="33">
        <v>0</v>
      </c>
      <c r="AG17" s="33">
        <v>0</v>
      </c>
      <c r="AH17" s="33">
        <v>0</v>
      </c>
      <c r="AI17" s="33">
        <v>0</v>
      </c>
      <c r="AJ17" s="33">
        <v>0</v>
      </c>
      <c r="AK17" s="33">
        <v>0</v>
      </c>
      <c r="AL17" s="33">
        <v>0</v>
      </c>
      <c r="AM17" s="33">
        <v>0</v>
      </c>
      <c r="AN17" s="33"/>
      <c r="AO17" s="33"/>
      <c r="AS17" s="31"/>
    </row>
    <row r="18" spans="1:45">
      <c r="A18" s="31">
        <v>17</v>
      </c>
      <c r="B18" s="31" t="s">
        <v>62</v>
      </c>
      <c r="C18" s="31" t="s">
        <v>523</v>
      </c>
      <c r="D18" s="31"/>
      <c r="E18" s="31"/>
      <c r="F18" s="31" t="s">
        <v>544</v>
      </c>
      <c r="G18" s="31">
        <v>2007</v>
      </c>
      <c r="H18" s="31"/>
      <c r="I18" s="33" t="s">
        <v>71</v>
      </c>
      <c r="J18" s="34">
        <v>0</v>
      </c>
      <c r="K18" s="34">
        <v>0</v>
      </c>
      <c r="L18" s="34">
        <v>0</v>
      </c>
      <c r="M18" s="34">
        <v>0</v>
      </c>
      <c r="N18" s="34">
        <v>0</v>
      </c>
      <c r="O18" s="33">
        <v>0</v>
      </c>
      <c r="P18" s="33">
        <v>0</v>
      </c>
      <c r="Q18" s="33">
        <v>0</v>
      </c>
      <c r="R18" s="33">
        <v>0</v>
      </c>
      <c r="S18" s="33">
        <v>0</v>
      </c>
      <c r="T18" s="33">
        <v>0</v>
      </c>
      <c r="U18" s="33">
        <v>0</v>
      </c>
      <c r="V18" s="33">
        <v>0</v>
      </c>
      <c r="W18" s="33">
        <v>0</v>
      </c>
      <c r="X18" s="33">
        <v>0</v>
      </c>
      <c r="Y18" s="33">
        <v>0</v>
      </c>
      <c r="Z18" s="33">
        <v>0</v>
      </c>
      <c r="AA18" s="33">
        <v>0</v>
      </c>
      <c r="AB18" s="33">
        <v>0</v>
      </c>
      <c r="AC18" s="33">
        <v>0</v>
      </c>
      <c r="AD18" s="33">
        <v>0</v>
      </c>
      <c r="AE18" s="33">
        <v>0</v>
      </c>
      <c r="AF18" s="33">
        <v>0</v>
      </c>
      <c r="AG18" s="33">
        <v>0</v>
      </c>
      <c r="AH18" s="33">
        <v>0</v>
      </c>
      <c r="AI18" s="33">
        <v>0</v>
      </c>
      <c r="AJ18" s="33">
        <v>0</v>
      </c>
      <c r="AK18" s="33">
        <v>0</v>
      </c>
      <c r="AL18" s="33">
        <v>0</v>
      </c>
      <c r="AM18" s="33">
        <v>0</v>
      </c>
      <c r="AN18" s="33"/>
      <c r="AO18" s="33"/>
      <c r="AS18" s="31"/>
    </row>
    <row r="19" spans="1:45">
      <c r="A19" s="31">
        <v>18</v>
      </c>
      <c r="B19" s="31" t="s">
        <v>62</v>
      </c>
      <c r="C19" s="31" t="s">
        <v>63</v>
      </c>
      <c r="D19" s="31"/>
      <c r="E19" s="31"/>
      <c r="F19" s="31" t="s">
        <v>544</v>
      </c>
      <c r="G19" s="31">
        <v>2007</v>
      </c>
      <c r="H19" s="31"/>
      <c r="I19" s="33" t="s">
        <v>71</v>
      </c>
      <c r="J19" s="34">
        <v>0</v>
      </c>
      <c r="K19" s="34">
        <v>0</v>
      </c>
      <c r="L19" s="34">
        <v>0</v>
      </c>
      <c r="M19" s="34">
        <v>0</v>
      </c>
      <c r="N19" s="34">
        <v>0</v>
      </c>
      <c r="O19" s="33">
        <v>0</v>
      </c>
      <c r="P19" s="33">
        <v>0</v>
      </c>
      <c r="Q19" s="33">
        <v>0</v>
      </c>
      <c r="R19" s="33">
        <v>0</v>
      </c>
      <c r="S19" s="33">
        <v>0</v>
      </c>
      <c r="T19" s="33">
        <v>0</v>
      </c>
      <c r="U19" s="33">
        <v>0</v>
      </c>
      <c r="V19" s="33">
        <v>0</v>
      </c>
      <c r="W19" s="33">
        <v>0</v>
      </c>
      <c r="X19" s="33">
        <v>0</v>
      </c>
      <c r="Y19" s="33">
        <v>0</v>
      </c>
      <c r="Z19" s="33">
        <v>0</v>
      </c>
      <c r="AA19" s="33">
        <v>0</v>
      </c>
      <c r="AB19" s="33">
        <v>0</v>
      </c>
      <c r="AC19" s="33">
        <v>0</v>
      </c>
      <c r="AD19" s="33">
        <v>0</v>
      </c>
      <c r="AE19" s="33">
        <v>0</v>
      </c>
      <c r="AF19" s="33">
        <v>0</v>
      </c>
      <c r="AG19" s="33">
        <v>0</v>
      </c>
      <c r="AH19" s="33">
        <v>0</v>
      </c>
      <c r="AI19" s="33">
        <v>0</v>
      </c>
      <c r="AJ19" s="33">
        <v>0</v>
      </c>
      <c r="AK19" s="33">
        <v>0</v>
      </c>
      <c r="AL19" s="33">
        <v>0</v>
      </c>
      <c r="AM19" s="33">
        <v>0</v>
      </c>
      <c r="AN19" s="33"/>
      <c r="AO19" s="33"/>
      <c r="AS19" s="31"/>
    </row>
    <row r="20" spans="1:45">
      <c r="A20" s="31">
        <v>19</v>
      </c>
      <c r="B20" s="31" t="s">
        <v>67</v>
      </c>
      <c r="C20" s="31" t="s">
        <v>532</v>
      </c>
      <c r="D20" s="31"/>
      <c r="E20" s="31"/>
      <c r="F20" s="31" t="s">
        <v>544</v>
      </c>
      <c r="G20" s="31">
        <v>2007</v>
      </c>
      <c r="H20" s="31"/>
      <c r="I20" s="33" t="s">
        <v>17</v>
      </c>
      <c r="J20" s="34">
        <v>0</v>
      </c>
      <c r="K20" s="34">
        <v>24.438648000000001</v>
      </c>
      <c r="L20" s="34">
        <v>24.438648000000001</v>
      </c>
      <c r="M20" s="34">
        <v>24.438648000000001</v>
      </c>
      <c r="N20" s="34">
        <v>24.438648000000001</v>
      </c>
      <c r="O20" s="33">
        <v>24.438648000000001</v>
      </c>
      <c r="P20" s="33">
        <v>24.438648000000001</v>
      </c>
      <c r="Q20" s="33">
        <v>24.438648000000001</v>
      </c>
      <c r="R20" s="33">
        <v>24.438648000000001</v>
      </c>
      <c r="S20" s="33">
        <v>24.438648000000001</v>
      </c>
      <c r="T20" s="33">
        <v>24.438648000000001</v>
      </c>
      <c r="U20" s="33">
        <v>24.438648000000001</v>
      </c>
      <c r="V20" s="33">
        <v>24.438648000000001</v>
      </c>
      <c r="W20" s="33">
        <v>24.438648000000001</v>
      </c>
      <c r="X20" s="33">
        <v>24.438648000000001</v>
      </c>
      <c r="Y20" s="33">
        <v>24.438648000000001</v>
      </c>
      <c r="Z20" s="33">
        <v>24.438648000000001</v>
      </c>
      <c r="AA20" s="33">
        <v>24.438648000000001</v>
      </c>
      <c r="AB20" s="33">
        <v>24.438648000000001</v>
      </c>
      <c r="AC20" s="33">
        <v>24.438648000000001</v>
      </c>
      <c r="AD20" s="33">
        <v>24.438648000000001</v>
      </c>
      <c r="AE20" s="33">
        <v>0</v>
      </c>
      <c r="AF20" s="33">
        <v>0</v>
      </c>
      <c r="AG20" s="33">
        <v>0</v>
      </c>
      <c r="AH20" s="33">
        <v>0</v>
      </c>
      <c r="AI20" s="33">
        <v>0</v>
      </c>
      <c r="AJ20" s="33">
        <v>0</v>
      </c>
      <c r="AK20" s="33">
        <v>0</v>
      </c>
      <c r="AL20" s="33">
        <v>0</v>
      </c>
      <c r="AM20" s="33">
        <v>0</v>
      </c>
      <c r="AN20" s="33"/>
      <c r="AO20" s="33"/>
      <c r="AS20" s="31"/>
    </row>
    <row r="21" spans="1:45">
      <c r="A21" s="31">
        <v>20</v>
      </c>
      <c r="B21" s="31" t="s">
        <v>15</v>
      </c>
      <c r="C21" s="31" t="s">
        <v>524</v>
      </c>
      <c r="D21" s="31"/>
      <c r="E21" s="31"/>
      <c r="F21" s="31" t="s">
        <v>544</v>
      </c>
      <c r="G21" s="31">
        <v>2008</v>
      </c>
      <c r="H21" s="31"/>
      <c r="I21" s="33" t="s">
        <v>17</v>
      </c>
      <c r="J21" s="34">
        <v>0</v>
      </c>
      <c r="K21" s="34">
        <v>0</v>
      </c>
      <c r="L21" s="34">
        <v>114.40516</v>
      </c>
      <c r="M21" s="34">
        <v>114.40516</v>
      </c>
      <c r="N21" s="34">
        <v>114.40516</v>
      </c>
      <c r="O21" s="33">
        <v>114.40516</v>
      </c>
      <c r="P21" s="33">
        <v>114.12147999999998</v>
      </c>
      <c r="Q21" s="33">
        <v>113.83779999999999</v>
      </c>
      <c r="R21" s="33">
        <v>113.83779999999999</v>
      </c>
      <c r="S21" s="33">
        <v>113.83779999999999</v>
      </c>
      <c r="T21" s="33">
        <v>90.364999999999995</v>
      </c>
      <c r="U21" s="33">
        <v>0</v>
      </c>
      <c r="V21" s="33">
        <v>0</v>
      </c>
      <c r="W21" s="33">
        <v>0</v>
      </c>
      <c r="X21" s="33">
        <v>0</v>
      </c>
      <c r="Y21" s="33">
        <v>0</v>
      </c>
      <c r="Z21" s="33">
        <v>0</v>
      </c>
      <c r="AA21" s="33">
        <v>0</v>
      </c>
      <c r="AB21" s="33">
        <v>0</v>
      </c>
      <c r="AC21" s="33">
        <v>0</v>
      </c>
      <c r="AD21" s="33">
        <v>0</v>
      </c>
      <c r="AE21" s="33">
        <v>0</v>
      </c>
      <c r="AF21" s="33">
        <v>0</v>
      </c>
      <c r="AG21" s="33">
        <v>0</v>
      </c>
      <c r="AH21" s="33">
        <v>0</v>
      </c>
      <c r="AI21" s="33">
        <v>0</v>
      </c>
      <c r="AJ21" s="33">
        <v>0</v>
      </c>
      <c r="AK21" s="33">
        <v>0</v>
      </c>
      <c r="AL21" s="33">
        <v>0</v>
      </c>
      <c r="AM21" s="33">
        <v>0</v>
      </c>
      <c r="AN21" s="33"/>
      <c r="AO21" s="33"/>
      <c r="AS21" s="31"/>
    </row>
    <row r="22" spans="1:45">
      <c r="A22" s="31">
        <v>21</v>
      </c>
      <c r="B22" s="31" t="s">
        <v>15</v>
      </c>
      <c r="C22" s="31" t="s">
        <v>533</v>
      </c>
      <c r="D22" s="31"/>
      <c r="E22" s="31"/>
      <c r="F22" s="31" t="s">
        <v>544</v>
      </c>
      <c r="G22" s="31">
        <v>2008</v>
      </c>
      <c r="H22" s="31"/>
      <c r="I22" s="33" t="s">
        <v>17</v>
      </c>
      <c r="J22" s="34">
        <v>0</v>
      </c>
      <c r="K22" s="34">
        <v>0</v>
      </c>
      <c r="L22" s="34">
        <v>115.59733116888511</v>
      </c>
      <c r="M22" s="34">
        <v>115.59733116888511</v>
      </c>
      <c r="N22" s="34">
        <v>115.59733116888511</v>
      </c>
      <c r="O22" s="33">
        <v>115.59733116888511</v>
      </c>
      <c r="P22" s="33">
        <v>115.59733116888511</v>
      </c>
      <c r="Q22" s="33">
        <v>115.59733116888511</v>
      </c>
      <c r="R22" s="33">
        <v>115.59733116888511</v>
      </c>
      <c r="S22" s="33">
        <v>115.59733116888511</v>
      </c>
      <c r="T22" s="33">
        <v>115.59733116888511</v>
      </c>
      <c r="U22" s="33">
        <v>115.59733116888511</v>
      </c>
      <c r="V22" s="33">
        <v>115.59733116888511</v>
      </c>
      <c r="W22" s="33">
        <v>115.59733116888511</v>
      </c>
      <c r="X22" s="33">
        <v>115.59733116888511</v>
      </c>
      <c r="Y22" s="33">
        <v>115.59733116888511</v>
      </c>
      <c r="Z22" s="33">
        <v>115.59733116888511</v>
      </c>
      <c r="AA22" s="33">
        <v>92.180854829928066</v>
      </c>
      <c r="AB22" s="33">
        <v>92.180854829928066</v>
      </c>
      <c r="AC22" s="33">
        <v>92.180854829928066</v>
      </c>
      <c r="AD22" s="33">
        <v>0</v>
      </c>
      <c r="AE22" s="33">
        <v>0</v>
      </c>
      <c r="AF22" s="33">
        <v>0</v>
      </c>
      <c r="AG22" s="33">
        <v>0</v>
      </c>
      <c r="AH22" s="33">
        <v>0</v>
      </c>
      <c r="AI22" s="33">
        <v>0</v>
      </c>
      <c r="AJ22" s="33">
        <v>0</v>
      </c>
      <c r="AK22" s="33">
        <v>0</v>
      </c>
      <c r="AL22" s="33">
        <v>0</v>
      </c>
      <c r="AM22" s="33">
        <v>0</v>
      </c>
      <c r="AN22" s="33"/>
      <c r="AO22" s="33"/>
      <c r="AS22" s="31"/>
    </row>
    <row r="23" spans="1:45">
      <c r="A23" s="31">
        <v>22</v>
      </c>
      <c r="B23" s="31" t="s">
        <v>15</v>
      </c>
      <c r="C23" s="31" t="s">
        <v>534</v>
      </c>
      <c r="D23" s="31"/>
      <c r="E23" s="31"/>
      <c r="F23" s="31" t="s">
        <v>544</v>
      </c>
      <c r="G23" s="31">
        <v>2008</v>
      </c>
      <c r="H23" s="31"/>
      <c r="I23" s="33" t="s">
        <v>17</v>
      </c>
      <c r="J23" s="34">
        <v>0</v>
      </c>
      <c r="K23" s="34">
        <v>0</v>
      </c>
      <c r="L23" s="34">
        <v>586.80083092528616</v>
      </c>
      <c r="M23" s="34">
        <v>584.24816249900425</v>
      </c>
      <c r="N23" s="34">
        <v>584.24816249900425</v>
      </c>
      <c r="O23" s="33">
        <v>584.24816249900425</v>
      </c>
      <c r="P23" s="33">
        <v>495.89046442035021</v>
      </c>
      <c r="Q23" s="33">
        <v>495.89046442035021</v>
      </c>
      <c r="R23" s="33">
        <v>403.88130234424233</v>
      </c>
      <c r="S23" s="33">
        <v>335.1426669440844</v>
      </c>
      <c r="T23" s="33">
        <v>211.5981537201412</v>
      </c>
      <c r="U23" s="33">
        <v>208.9010914171856</v>
      </c>
      <c r="V23" s="33">
        <v>171.30116197290698</v>
      </c>
      <c r="W23" s="33">
        <v>171.30116197290698</v>
      </c>
      <c r="X23" s="33">
        <v>162.49249884426379</v>
      </c>
      <c r="Y23" s="33">
        <v>162.49249884426379</v>
      </c>
      <c r="Z23" s="33">
        <v>162.49249884426379</v>
      </c>
      <c r="AA23" s="33">
        <v>156.421604982259</v>
      </c>
      <c r="AB23" s="33">
        <v>0</v>
      </c>
      <c r="AC23" s="33">
        <v>0</v>
      </c>
      <c r="AD23" s="33">
        <v>0</v>
      </c>
      <c r="AE23" s="33">
        <v>0</v>
      </c>
      <c r="AF23" s="33">
        <v>0</v>
      </c>
      <c r="AG23" s="33">
        <v>0</v>
      </c>
      <c r="AH23" s="33">
        <v>0</v>
      </c>
      <c r="AI23" s="33">
        <v>0</v>
      </c>
      <c r="AJ23" s="33">
        <v>0</v>
      </c>
      <c r="AK23" s="33">
        <v>0</v>
      </c>
      <c r="AL23" s="33">
        <v>0</v>
      </c>
      <c r="AM23" s="33">
        <v>0</v>
      </c>
      <c r="AN23" s="33"/>
      <c r="AO23" s="33"/>
      <c r="AS23" s="31"/>
    </row>
    <row r="24" spans="1:45">
      <c r="A24" s="31">
        <v>23</v>
      </c>
      <c r="B24" s="31" t="s">
        <v>65</v>
      </c>
      <c r="C24" s="31" t="s">
        <v>525</v>
      </c>
      <c r="D24" s="31"/>
      <c r="E24" s="31"/>
      <c r="F24" s="31" t="s">
        <v>544</v>
      </c>
      <c r="G24" s="31">
        <v>2008</v>
      </c>
      <c r="H24" s="31"/>
      <c r="I24" s="33" t="s">
        <v>58</v>
      </c>
      <c r="J24" s="34">
        <v>0</v>
      </c>
      <c r="K24" s="34">
        <v>0</v>
      </c>
      <c r="L24" s="34">
        <v>0</v>
      </c>
      <c r="M24" s="34">
        <v>0</v>
      </c>
      <c r="N24" s="34">
        <v>0</v>
      </c>
      <c r="O24" s="33">
        <v>0</v>
      </c>
      <c r="P24" s="33">
        <v>0</v>
      </c>
      <c r="Q24" s="33">
        <v>0</v>
      </c>
      <c r="R24" s="33">
        <v>0</v>
      </c>
      <c r="S24" s="33">
        <v>0</v>
      </c>
      <c r="T24" s="33">
        <v>0</v>
      </c>
      <c r="U24" s="33">
        <v>0</v>
      </c>
      <c r="V24" s="33">
        <v>0</v>
      </c>
      <c r="W24" s="33">
        <v>0</v>
      </c>
      <c r="X24" s="33">
        <v>0</v>
      </c>
      <c r="Y24" s="33">
        <v>0</v>
      </c>
      <c r="Z24" s="33">
        <v>0</v>
      </c>
      <c r="AA24" s="33">
        <v>0</v>
      </c>
      <c r="AB24" s="33">
        <v>0</v>
      </c>
      <c r="AC24" s="33">
        <v>0</v>
      </c>
      <c r="AD24" s="33">
        <v>0</v>
      </c>
      <c r="AE24" s="33">
        <v>0</v>
      </c>
      <c r="AF24" s="33">
        <v>0</v>
      </c>
      <c r="AG24" s="33">
        <v>0</v>
      </c>
      <c r="AH24" s="33">
        <v>0</v>
      </c>
      <c r="AI24" s="33">
        <v>0</v>
      </c>
      <c r="AJ24" s="33">
        <v>0</v>
      </c>
      <c r="AK24" s="33">
        <v>0</v>
      </c>
      <c r="AL24" s="33">
        <v>0</v>
      </c>
      <c r="AM24" s="33">
        <v>0</v>
      </c>
      <c r="AN24" s="33"/>
      <c r="AO24" s="33"/>
      <c r="AS24" s="31"/>
    </row>
    <row r="25" spans="1:45">
      <c r="A25" s="31">
        <v>24</v>
      </c>
      <c r="B25" s="31" t="s">
        <v>15</v>
      </c>
      <c r="C25" s="31" t="s">
        <v>535</v>
      </c>
      <c r="D25" s="31"/>
      <c r="E25" s="31"/>
      <c r="F25" s="31" t="s">
        <v>544</v>
      </c>
      <c r="G25" s="31">
        <v>2008</v>
      </c>
      <c r="H25" s="31"/>
      <c r="I25" s="33" t="s">
        <v>17</v>
      </c>
      <c r="J25" s="34">
        <v>0</v>
      </c>
      <c r="K25" s="34">
        <v>0</v>
      </c>
      <c r="L25" s="34">
        <v>263.04053755573591</v>
      </c>
      <c r="M25" s="34">
        <v>94.919061593347493</v>
      </c>
      <c r="N25" s="34">
        <v>94.919061593347493</v>
      </c>
      <c r="O25" s="33">
        <v>94.919061593347493</v>
      </c>
      <c r="P25" s="33">
        <v>94.919061593347493</v>
      </c>
      <c r="Q25" s="33">
        <v>94.919061593347493</v>
      </c>
      <c r="R25" s="33">
        <v>94.919061593347493</v>
      </c>
      <c r="S25" s="33">
        <v>94.919061593347493</v>
      </c>
      <c r="T25" s="33">
        <v>52.000047194422017</v>
      </c>
      <c r="U25" s="33">
        <v>52.000047194422017</v>
      </c>
      <c r="V25" s="33">
        <v>39.400394351800976</v>
      </c>
      <c r="W25" s="33">
        <v>39.400394351800976</v>
      </c>
      <c r="X25" s="33">
        <v>39.400394351800976</v>
      </c>
      <c r="Y25" s="33">
        <v>34.858617178971095</v>
      </c>
      <c r="Z25" s="33">
        <v>33.240359680946696</v>
      </c>
      <c r="AA25" s="33">
        <v>31.603078487661914</v>
      </c>
      <c r="AB25" s="33">
        <v>31.603078487661914</v>
      </c>
      <c r="AC25" s="33">
        <v>31.603078487661914</v>
      </c>
      <c r="AD25" s="33">
        <v>31.603078487661914</v>
      </c>
      <c r="AE25" s="33">
        <v>31.603078487661914</v>
      </c>
      <c r="AF25" s="33">
        <v>0</v>
      </c>
      <c r="AG25" s="33">
        <v>0</v>
      </c>
      <c r="AH25" s="33">
        <v>0</v>
      </c>
      <c r="AI25" s="33">
        <v>0</v>
      </c>
      <c r="AJ25" s="33">
        <v>0</v>
      </c>
      <c r="AK25" s="33">
        <v>0</v>
      </c>
      <c r="AL25" s="33">
        <v>0</v>
      </c>
      <c r="AM25" s="33">
        <v>0</v>
      </c>
      <c r="AN25" s="33"/>
      <c r="AO25" s="33"/>
      <c r="AS25" s="31"/>
    </row>
    <row r="26" spans="1:45">
      <c r="A26" s="31">
        <v>25</v>
      </c>
      <c r="B26" s="31" t="s">
        <v>65</v>
      </c>
      <c r="C26" s="31" t="s">
        <v>531</v>
      </c>
      <c r="D26" s="31"/>
      <c r="E26" s="31"/>
      <c r="F26" s="31" t="s">
        <v>544</v>
      </c>
      <c r="G26" s="31">
        <v>2008</v>
      </c>
      <c r="H26" s="31"/>
      <c r="I26" s="33" t="s">
        <v>71</v>
      </c>
      <c r="J26" s="34">
        <v>0</v>
      </c>
      <c r="K26" s="34">
        <v>0</v>
      </c>
      <c r="L26" s="34">
        <v>1366.6943951189435</v>
      </c>
      <c r="M26" s="34">
        <v>1366.6850616468018</v>
      </c>
      <c r="N26" s="34">
        <v>1366.6850616468018</v>
      </c>
      <c r="O26" s="33">
        <v>1366.6850616468018</v>
      </c>
      <c r="P26" s="33">
        <v>1366.6850616468018</v>
      </c>
      <c r="Q26" s="33">
        <v>1366.6850616468018</v>
      </c>
      <c r="R26" s="33">
        <v>1366.6850616468018</v>
      </c>
      <c r="S26" s="33">
        <v>1366.6850616468018</v>
      </c>
      <c r="T26" s="33">
        <v>1255.2022258965644</v>
      </c>
      <c r="U26" s="33">
        <v>1255.2022258965644</v>
      </c>
      <c r="V26" s="33">
        <v>1255.2022258965644</v>
      </c>
      <c r="W26" s="33">
        <v>1255.2022258965644</v>
      </c>
      <c r="X26" s="33">
        <v>1255.2022258965644</v>
      </c>
      <c r="Y26" s="33">
        <v>1255.2022258965644</v>
      </c>
      <c r="Z26" s="33">
        <v>1255.2022258965644</v>
      </c>
      <c r="AA26" s="33">
        <v>1217.5461591196672</v>
      </c>
      <c r="AB26" s="33">
        <v>0</v>
      </c>
      <c r="AC26" s="33">
        <v>0</v>
      </c>
      <c r="AD26" s="33">
        <v>0</v>
      </c>
      <c r="AE26" s="33">
        <v>0</v>
      </c>
      <c r="AF26" s="33">
        <v>0</v>
      </c>
      <c r="AG26" s="33">
        <v>0</v>
      </c>
      <c r="AH26" s="33">
        <v>0</v>
      </c>
      <c r="AI26" s="33">
        <v>0</v>
      </c>
      <c r="AJ26" s="33">
        <v>0</v>
      </c>
      <c r="AK26" s="33">
        <v>0</v>
      </c>
      <c r="AL26" s="33">
        <v>0</v>
      </c>
      <c r="AM26" s="33">
        <v>0</v>
      </c>
      <c r="AN26" s="33"/>
      <c r="AO26" s="33"/>
      <c r="AS26" s="31"/>
    </row>
    <row r="27" spans="1:45">
      <c r="A27" s="31">
        <v>26</v>
      </c>
      <c r="B27" s="31" t="s">
        <v>68</v>
      </c>
      <c r="C27" s="31" t="s">
        <v>139</v>
      </c>
      <c r="D27" s="31"/>
      <c r="E27" s="31"/>
      <c r="F27" s="31" t="s">
        <v>544</v>
      </c>
      <c r="G27" s="31">
        <v>2008</v>
      </c>
      <c r="H27" s="31"/>
      <c r="I27" s="33" t="s">
        <v>58</v>
      </c>
      <c r="J27" s="34">
        <v>0</v>
      </c>
      <c r="K27" s="34">
        <v>0</v>
      </c>
      <c r="L27" s="34">
        <v>0</v>
      </c>
      <c r="M27" s="34">
        <v>0</v>
      </c>
      <c r="N27" s="34">
        <v>0</v>
      </c>
      <c r="O27" s="33">
        <v>0</v>
      </c>
      <c r="P27" s="33">
        <v>0</v>
      </c>
      <c r="Q27" s="33">
        <v>0</v>
      </c>
      <c r="R27" s="33">
        <v>0</v>
      </c>
      <c r="S27" s="33">
        <v>0</v>
      </c>
      <c r="T27" s="33">
        <v>0</v>
      </c>
      <c r="U27" s="33">
        <v>0</v>
      </c>
      <c r="V27" s="33">
        <v>0</v>
      </c>
      <c r="W27" s="33">
        <v>0</v>
      </c>
      <c r="X27" s="33">
        <v>0</v>
      </c>
      <c r="Y27" s="33">
        <v>0</v>
      </c>
      <c r="Z27" s="33">
        <v>0</v>
      </c>
      <c r="AA27" s="33">
        <v>0</v>
      </c>
      <c r="AB27" s="33">
        <v>0</v>
      </c>
      <c r="AC27" s="33">
        <v>0</v>
      </c>
      <c r="AD27" s="33">
        <v>0</v>
      </c>
      <c r="AE27" s="33">
        <v>0</v>
      </c>
      <c r="AF27" s="33">
        <v>0</v>
      </c>
      <c r="AG27" s="33">
        <v>0</v>
      </c>
      <c r="AH27" s="33">
        <v>0</v>
      </c>
      <c r="AI27" s="33">
        <v>0</v>
      </c>
      <c r="AJ27" s="33">
        <v>0</v>
      </c>
      <c r="AK27" s="33">
        <v>0</v>
      </c>
      <c r="AL27" s="33">
        <v>0</v>
      </c>
      <c r="AM27" s="33">
        <v>0</v>
      </c>
      <c r="AN27" s="33"/>
      <c r="AO27" s="33"/>
      <c r="AS27" s="31"/>
    </row>
    <row r="28" spans="1:45">
      <c r="A28" s="31">
        <v>27</v>
      </c>
      <c r="B28" s="31" t="s">
        <v>1</v>
      </c>
      <c r="C28" s="31" t="s">
        <v>42</v>
      </c>
      <c r="D28" s="31"/>
      <c r="E28" s="31"/>
      <c r="F28" s="31" t="s">
        <v>544</v>
      </c>
      <c r="G28" s="31">
        <v>2008</v>
      </c>
      <c r="H28" s="31"/>
      <c r="I28" s="33" t="s">
        <v>71</v>
      </c>
      <c r="J28" s="34">
        <v>0</v>
      </c>
      <c r="K28" s="34">
        <v>0</v>
      </c>
      <c r="L28" s="34">
        <v>1.898213735600969</v>
      </c>
      <c r="M28" s="34">
        <v>1.898213735600969</v>
      </c>
      <c r="N28" s="34">
        <v>1.898213735600969</v>
      </c>
      <c r="O28" s="33">
        <v>1.898213735600969</v>
      </c>
      <c r="P28" s="33">
        <v>1.898213735600969</v>
      </c>
      <c r="Q28" s="33">
        <v>1.898213735600969</v>
      </c>
      <c r="R28" s="33">
        <v>1.898213735600969</v>
      </c>
      <c r="S28" s="33">
        <v>1.898213735600969</v>
      </c>
      <c r="T28" s="33">
        <v>1.898213735600969</v>
      </c>
      <c r="U28" s="33">
        <v>1.898213735600969</v>
      </c>
      <c r="V28" s="33">
        <v>1.898213735600969</v>
      </c>
      <c r="W28" s="33">
        <v>1.898213735600969</v>
      </c>
      <c r="X28" s="33">
        <v>1.898213735600969</v>
      </c>
      <c r="Y28" s="33">
        <v>1.898213735600969</v>
      </c>
      <c r="Z28" s="33">
        <v>0</v>
      </c>
      <c r="AA28" s="33">
        <v>0</v>
      </c>
      <c r="AB28" s="33">
        <v>0</v>
      </c>
      <c r="AC28" s="33">
        <v>0</v>
      </c>
      <c r="AD28" s="33">
        <v>0</v>
      </c>
      <c r="AE28" s="33">
        <v>0</v>
      </c>
      <c r="AF28" s="33">
        <v>0</v>
      </c>
      <c r="AG28" s="33">
        <v>0</v>
      </c>
      <c r="AH28" s="33">
        <v>0</v>
      </c>
      <c r="AI28" s="33">
        <v>0</v>
      </c>
      <c r="AJ28" s="33">
        <v>0</v>
      </c>
      <c r="AK28" s="33">
        <v>0</v>
      </c>
      <c r="AL28" s="33">
        <v>0</v>
      </c>
      <c r="AM28" s="33">
        <v>0</v>
      </c>
      <c r="AN28" s="33"/>
      <c r="AO28" s="33"/>
      <c r="AS28" s="31"/>
    </row>
    <row r="29" spans="1:45">
      <c r="A29" s="31">
        <v>28</v>
      </c>
      <c r="B29" s="31" t="s">
        <v>1</v>
      </c>
      <c r="C29" s="31" t="s">
        <v>536</v>
      </c>
      <c r="D29" s="31"/>
      <c r="E29" s="31"/>
      <c r="F29" s="31" t="s">
        <v>544</v>
      </c>
      <c r="G29" s="31">
        <v>2008</v>
      </c>
      <c r="H29" s="31"/>
      <c r="I29" s="33" t="s">
        <v>70</v>
      </c>
      <c r="J29" s="34">
        <v>0</v>
      </c>
      <c r="K29" s="34">
        <v>0</v>
      </c>
      <c r="L29" s="34">
        <v>0</v>
      </c>
      <c r="M29" s="34">
        <v>0</v>
      </c>
      <c r="N29" s="34">
        <v>0</v>
      </c>
      <c r="O29" s="33">
        <v>0</v>
      </c>
      <c r="P29" s="33">
        <v>0</v>
      </c>
      <c r="Q29" s="33">
        <v>0</v>
      </c>
      <c r="R29" s="33">
        <v>0</v>
      </c>
      <c r="S29" s="33">
        <v>0</v>
      </c>
      <c r="T29" s="33">
        <v>0</v>
      </c>
      <c r="U29" s="33">
        <v>0</v>
      </c>
      <c r="V29" s="33">
        <v>0</v>
      </c>
      <c r="W29" s="33">
        <v>0</v>
      </c>
      <c r="X29" s="33">
        <v>0</v>
      </c>
      <c r="Y29" s="33">
        <v>0</v>
      </c>
      <c r="Z29" s="33">
        <v>0</v>
      </c>
      <c r="AA29" s="33">
        <v>0</v>
      </c>
      <c r="AB29" s="33">
        <v>0</v>
      </c>
      <c r="AC29" s="33">
        <v>0</v>
      </c>
      <c r="AD29" s="33">
        <v>0</v>
      </c>
      <c r="AE29" s="33">
        <v>0</v>
      </c>
      <c r="AF29" s="33">
        <v>0</v>
      </c>
      <c r="AG29" s="33">
        <v>0</v>
      </c>
      <c r="AH29" s="33">
        <v>0</v>
      </c>
      <c r="AI29" s="33">
        <v>0</v>
      </c>
      <c r="AJ29" s="33">
        <v>0</v>
      </c>
      <c r="AK29" s="33">
        <v>0</v>
      </c>
      <c r="AL29" s="33">
        <v>0</v>
      </c>
      <c r="AM29" s="33">
        <v>0</v>
      </c>
      <c r="AN29" s="33"/>
      <c r="AO29" s="33"/>
      <c r="AS29" s="31"/>
    </row>
    <row r="30" spans="1:45">
      <c r="A30" s="31">
        <v>29</v>
      </c>
      <c r="B30" s="31" t="s">
        <v>62</v>
      </c>
      <c r="C30" s="31" t="s">
        <v>523</v>
      </c>
      <c r="D30" s="31"/>
      <c r="E30" s="31"/>
      <c r="F30" s="31" t="s">
        <v>544</v>
      </c>
      <c r="G30" s="31">
        <v>2008</v>
      </c>
      <c r="H30" s="31"/>
      <c r="I30" s="33" t="s">
        <v>71</v>
      </c>
      <c r="J30" s="34">
        <v>0</v>
      </c>
      <c r="K30" s="34">
        <v>0</v>
      </c>
      <c r="L30" s="34">
        <v>0</v>
      </c>
      <c r="M30" s="34">
        <v>0</v>
      </c>
      <c r="N30" s="34">
        <v>0</v>
      </c>
      <c r="O30" s="33">
        <v>0</v>
      </c>
      <c r="P30" s="33">
        <v>0</v>
      </c>
      <c r="Q30" s="33">
        <v>0</v>
      </c>
      <c r="R30" s="33">
        <v>0</v>
      </c>
      <c r="S30" s="33">
        <v>0</v>
      </c>
      <c r="T30" s="33">
        <v>0</v>
      </c>
      <c r="U30" s="33">
        <v>0</v>
      </c>
      <c r="V30" s="33">
        <v>0</v>
      </c>
      <c r="W30" s="33">
        <v>0</v>
      </c>
      <c r="X30" s="33">
        <v>0</v>
      </c>
      <c r="Y30" s="33">
        <v>0</v>
      </c>
      <c r="Z30" s="33">
        <v>0</v>
      </c>
      <c r="AA30" s="33">
        <v>0</v>
      </c>
      <c r="AB30" s="33">
        <v>0</v>
      </c>
      <c r="AC30" s="33">
        <v>0</v>
      </c>
      <c r="AD30" s="33">
        <v>0</v>
      </c>
      <c r="AE30" s="33">
        <v>0</v>
      </c>
      <c r="AF30" s="33">
        <v>0</v>
      </c>
      <c r="AG30" s="33">
        <v>0</v>
      </c>
      <c r="AH30" s="33">
        <v>0</v>
      </c>
      <c r="AI30" s="33">
        <v>0</v>
      </c>
      <c r="AJ30" s="33">
        <v>0</v>
      </c>
      <c r="AK30" s="33">
        <v>0</v>
      </c>
      <c r="AL30" s="33">
        <v>0</v>
      </c>
      <c r="AM30" s="33">
        <v>0</v>
      </c>
      <c r="AN30" s="33"/>
      <c r="AO30" s="33"/>
      <c r="AS30" s="31"/>
    </row>
    <row r="31" spans="1:45">
      <c r="A31" s="31">
        <v>30</v>
      </c>
      <c r="B31" s="31" t="s">
        <v>62</v>
      </c>
      <c r="C31" s="31" t="s">
        <v>49</v>
      </c>
      <c r="D31" s="31"/>
      <c r="E31" s="31"/>
      <c r="F31" s="31" t="s">
        <v>544</v>
      </c>
      <c r="G31" s="31">
        <v>2008</v>
      </c>
      <c r="H31" s="31"/>
      <c r="I31" s="33" t="s">
        <v>71</v>
      </c>
      <c r="J31" s="34">
        <v>0</v>
      </c>
      <c r="K31" s="34">
        <v>0</v>
      </c>
      <c r="L31" s="34">
        <v>0</v>
      </c>
      <c r="M31" s="34">
        <v>0</v>
      </c>
      <c r="N31" s="34">
        <v>0</v>
      </c>
      <c r="O31" s="33">
        <v>0</v>
      </c>
      <c r="P31" s="33">
        <v>0</v>
      </c>
      <c r="Q31" s="33">
        <v>0</v>
      </c>
      <c r="R31" s="33">
        <v>0</v>
      </c>
      <c r="S31" s="33">
        <v>0</v>
      </c>
      <c r="T31" s="33">
        <v>0</v>
      </c>
      <c r="U31" s="33">
        <v>0</v>
      </c>
      <c r="V31" s="33">
        <v>0</v>
      </c>
      <c r="W31" s="33">
        <v>0</v>
      </c>
      <c r="X31" s="33">
        <v>0</v>
      </c>
      <c r="Y31" s="33">
        <v>0</v>
      </c>
      <c r="Z31" s="33">
        <v>0</v>
      </c>
      <c r="AA31" s="33">
        <v>0</v>
      </c>
      <c r="AB31" s="33">
        <v>0</v>
      </c>
      <c r="AC31" s="33">
        <v>0</v>
      </c>
      <c r="AD31" s="33">
        <v>0</v>
      </c>
      <c r="AE31" s="33">
        <v>0</v>
      </c>
      <c r="AF31" s="33">
        <v>0</v>
      </c>
      <c r="AG31" s="33">
        <v>0</v>
      </c>
      <c r="AH31" s="33">
        <v>0</v>
      </c>
      <c r="AI31" s="33">
        <v>0</v>
      </c>
      <c r="AJ31" s="33">
        <v>0</v>
      </c>
      <c r="AK31" s="33">
        <v>0</v>
      </c>
      <c r="AL31" s="33">
        <v>0</v>
      </c>
      <c r="AM31" s="33">
        <v>0</v>
      </c>
      <c r="AN31" s="33"/>
      <c r="AO31" s="33"/>
      <c r="AS31" s="31"/>
    </row>
    <row r="32" spans="1:45">
      <c r="A32" s="31">
        <v>31</v>
      </c>
      <c r="B32" s="31" t="s">
        <v>62</v>
      </c>
      <c r="C32" s="31" t="s">
        <v>63</v>
      </c>
      <c r="D32" s="31"/>
      <c r="E32" s="31"/>
      <c r="F32" s="31" t="s">
        <v>544</v>
      </c>
      <c r="G32" s="31">
        <v>2008</v>
      </c>
      <c r="H32" s="31"/>
      <c r="I32" s="33" t="s">
        <v>71</v>
      </c>
      <c r="J32" s="34">
        <v>0</v>
      </c>
      <c r="K32" s="34">
        <v>0</v>
      </c>
      <c r="L32" s="34">
        <v>0</v>
      </c>
      <c r="M32" s="34">
        <v>0</v>
      </c>
      <c r="N32" s="34">
        <v>0</v>
      </c>
      <c r="O32" s="33">
        <v>0</v>
      </c>
      <c r="P32" s="33">
        <v>0</v>
      </c>
      <c r="Q32" s="33">
        <v>0</v>
      </c>
      <c r="R32" s="33">
        <v>0</v>
      </c>
      <c r="S32" s="33">
        <v>0</v>
      </c>
      <c r="T32" s="33">
        <v>0</v>
      </c>
      <c r="U32" s="33">
        <v>0</v>
      </c>
      <c r="V32" s="33">
        <v>0</v>
      </c>
      <c r="W32" s="33">
        <v>0</v>
      </c>
      <c r="X32" s="33">
        <v>0</v>
      </c>
      <c r="Y32" s="33">
        <v>0</v>
      </c>
      <c r="Z32" s="33">
        <v>0</v>
      </c>
      <c r="AA32" s="33">
        <v>0</v>
      </c>
      <c r="AB32" s="33">
        <v>0</v>
      </c>
      <c r="AC32" s="33">
        <v>0</v>
      </c>
      <c r="AD32" s="33">
        <v>0</v>
      </c>
      <c r="AE32" s="33">
        <v>0</v>
      </c>
      <c r="AF32" s="33">
        <v>0</v>
      </c>
      <c r="AG32" s="33">
        <v>0</v>
      </c>
      <c r="AH32" s="33">
        <v>0</v>
      </c>
      <c r="AI32" s="33">
        <v>0</v>
      </c>
      <c r="AJ32" s="33">
        <v>0</v>
      </c>
      <c r="AK32" s="33">
        <v>0</v>
      </c>
      <c r="AL32" s="33">
        <v>0</v>
      </c>
      <c r="AM32" s="33">
        <v>0</v>
      </c>
      <c r="AN32" s="33"/>
      <c r="AO32" s="33"/>
      <c r="AS32" s="31"/>
    </row>
    <row r="33" spans="1:45">
      <c r="A33" s="31">
        <v>32</v>
      </c>
      <c r="B33" s="31" t="s">
        <v>65</v>
      </c>
      <c r="C33" s="31" t="s">
        <v>532</v>
      </c>
      <c r="D33" s="31"/>
      <c r="E33" s="31"/>
      <c r="F33" s="31" t="s">
        <v>544</v>
      </c>
      <c r="G33" s="31">
        <v>2008</v>
      </c>
      <c r="H33" s="31"/>
      <c r="I33" s="33" t="s">
        <v>17</v>
      </c>
      <c r="J33" s="34">
        <v>0</v>
      </c>
      <c r="K33" s="34">
        <v>0</v>
      </c>
      <c r="L33" s="34">
        <v>13.927524000000002</v>
      </c>
      <c r="M33" s="34">
        <v>13.927524000000002</v>
      </c>
      <c r="N33" s="34">
        <v>13.927524000000002</v>
      </c>
      <c r="O33" s="33">
        <v>13.927524000000002</v>
      </c>
      <c r="P33" s="33">
        <v>13.927524000000002</v>
      </c>
      <c r="Q33" s="33">
        <v>13.927524000000002</v>
      </c>
      <c r="R33" s="33">
        <v>13.927524000000002</v>
      </c>
      <c r="S33" s="33">
        <v>13.927524000000002</v>
      </c>
      <c r="T33" s="33">
        <v>13.927524000000002</v>
      </c>
      <c r="U33" s="33">
        <v>13.927524000000002</v>
      </c>
      <c r="V33" s="33">
        <v>13.927524000000002</v>
      </c>
      <c r="W33" s="33">
        <v>13.927524000000002</v>
      </c>
      <c r="X33" s="33">
        <v>13.927524000000002</v>
      </c>
      <c r="Y33" s="33">
        <v>13.927524000000002</v>
      </c>
      <c r="Z33" s="33">
        <v>13.927524000000002</v>
      </c>
      <c r="AA33" s="33">
        <v>13.927524000000002</v>
      </c>
      <c r="AB33" s="33">
        <v>13.927524000000002</v>
      </c>
      <c r="AC33" s="33">
        <v>13.927524000000002</v>
      </c>
      <c r="AD33" s="33">
        <v>13.927524000000002</v>
      </c>
      <c r="AE33" s="33">
        <v>13.927524000000002</v>
      </c>
      <c r="AF33" s="33">
        <v>0</v>
      </c>
      <c r="AG33" s="33">
        <v>0</v>
      </c>
      <c r="AH33" s="33">
        <v>0</v>
      </c>
      <c r="AI33" s="33">
        <v>0</v>
      </c>
      <c r="AJ33" s="33">
        <v>0</v>
      </c>
      <c r="AK33" s="33">
        <v>0</v>
      </c>
      <c r="AL33" s="33">
        <v>0</v>
      </c>
      <c r="AM33" s="33">
        <v>0</v>
      </c>
      <c r="AN33" s="33"/>
      <c r="AO33" s="33"/>
      <c r="AS33" s="31"/>
    </row>
    <row r="34" spans="1:45">
      <c r="A34" s="31">
        <v>33</v>
      </c>
      <c r="B34" s="31" t="s">
        <v>1</v>
      </c>
      <c r="C34" s="31" t="s">
        <v>537</v>
      </c>
      <c r="D34" s="31"/>
      <c r="E34" s="31"/>
      <c r="F34" s="31" t="s">
        <v>544</v>
      </c>
      <c r="G34" s="31">
        <v>2008</v>
      </c>
      <c r="H34" s="31"/>
      <c r="I34" s="33" t="s">
        <v>17</v>
      </c>
      <c r="J34" s="34">
        <v>0</v>
      </c>
      <c r="K34" s="34">
        <v>0</v>
      </c>
      <c r="L34" s="34">
        <v>0</v>
      </c>
      <c r="M34" s="34">
        <v>0</v>
      </c>
      <c r="N34" s="34">
        <v>0</v>
      </c>
      <c r="O34" s="33">
        <v>0</v>
      </c>
      <c r="P34" s="33">
        <v>0</v>
      </c>
      <c r="Q34" s="33">
        <v>0</v>
      </c>
      <c r="R34" s="33">
        <v>0</v>
      </c>
      <c r="S34" s="33">
        <v>0</v>
      </c>
      <c r="T34" s="33">
        <v>0</v>
      </c>
      <c r="U34" s="33">
        <v>0</v>
      </c>
      <c r="V34" s="33">
        <v>0</v>
      </c>
      <c r="W34" s="33">
        <v>0</v>
      </c>
      <c r="X34" s="33">
        <v>0</v>
      </c>
      <c r="Y34" s="33">
        <v>0</v>
      </c>
      <c r="Z34" s="33">
        <v>0</v>
      </c>
      <c r="AA34" s="33">
        <v>0</v>
      </c>
      <c r="AB34" s="33">
        <v>0</v>
      </c>
      <c r="AC34" s="33">
        <v>0</v>
      </c>
      <c r="AD34" s="33">
        <v>0</v>
      </c>
      <c r="AE34" s="33">
        <v>0</v>
      </c>
      <c r="AF34" s="33">
        <v>0</v>
      </c>
      <c r="AG34" s="33">
        <v>0</v>
      </c>
      <c r="AH34" s="33">
        <v>0</v>
      </c>
      <c r="AI34" s="33">
        <v>0</v>
      </c>
      <c r="AJ34" s="33">
        <v>0</v>
      </c>
      <c r="AK34" s="33">
        <v>0</v>
      </c>
      <c r="AL34" s="33">
        <v>0</v>
      </c>
      <c r="AM34" s="33">
        <v>0</v>
      </c>
      <c r="AN34" s="33"/>
      <c r="AO34" s="33"/>
      <c r="AS34" s="31"/>
    </row>
    <row r="35" spans="1:45">
      <c r="A35" s="31">
        <v>34</v>
      </c>
      <c r="B35" s="31" t="s">
        <v>62</v>
      </c>
      <c r="C35" s="31" t="s">
        <v>538</v>
      </c>
      <c r="D35" s="31"/>
      <c r="E35" s="31"/>
      <c r="F35" s="31" t="s">
        <v>544</v>
      </c>
      <c r="G35" s="31">
        <v>2008</v>
      </c>
      <c r="H35" s="31"/>
      <c r="I35" s="33" t="s">
        <v>58</v>
      </c>
      <c r="J35" s="34">
        <v>0</v>
      </c>
      <c r="K35" s="34">
        <v>0</v>
      </c>
      <c r="L35" s="34">
        <v>0</v>
      </c>
      <c r="M35" s="34">
        <v>0</v>
      </c>
      <c r="N35" s="34">
        <v>0</v>
      </c>
      <c r="O35" s="33">
        <v>0</v>
      </c>
      <c r="P35" s="33">
        <v>0</v>
      </c>
      <c r="Q35" s="33">
        <v>0</v>
      </c>
      <c r="R35" s="33">
        <v>0</v>
      </c>
      <c r="S35" s="33">
        <v>0</v>
      </c>
      <c r="T35" s="33">
        <v>0</v>
      </c>
      <c r="U35" s="33">
        <v>0</v>
      </c>
      <c r="V35" s="33">
        <v>0</v>
      </c>
      <c r="W35" s="33">
        <v>0</v>
      </c>
      <c r="X35" s="33">
        <v>0</v>
      </c>
      <c r="Y35" s="33">
        <v>0</v>
      </c>
      <c r="Z35" s="33">
        <v>0</v>
      </c>
      <c r="AA35" s="33">
        <v>0</v>
      </c>
      <c r="AB35" s="33">
        <v>0</v>
      </c>
      <c r="AC35" s="33">
        <v>0</v>
      </c>
      <c r="AD35" s="33">
        <v>0</v>
      </c>
      <c r="AE35" s="33">
        <v>0</v>
      </c>
      <c r="AF35" s="33">
        <v>0</v>
      </c>
      <c r="AG35" s="33">
        <v>0</v>
      </c>
      <c r="AH35" s="33">
        <v>0</v>
      </c>
      <c r="AI35" s="33">
        <v>0</v>
      </c>
      <c r="AJ35" s="33">
        <v>0</v>
      </c>
      <c r="AK35" s="33">
        <v>0</v>
      </c>
      <c r="AL35" s="33">
        <v>0</v>
      </c>
      <c r="AM35" s="33">
        <v>0</v>
      </c>
      <c r="AN35" s="33"/>
      <c r="AO35" s="33"/>
      <c r="AS35" s="31"/>
    </row>
    <row r="36" spans="1:45">
      <c r="A36" s="31">
        <v>35</v>
      </c>
      <c r="B36" s="31" t="s">
        <v>15</v>
      </c>
      <c r="C36" s="31" t="s">
        <v>524</v>
      </c>
      <c r="D36" s="31"/>
      <c r="E36" s="31"/>
      <c r="F36" s="31" t="s">
        <v>544</v>
      </c>
      <c r="G36" s="31">
        <v>2009</v>
      </c>
      <c r="H36" s="31"/>
      <c r="I36" s="33" t="s">
        <v>17</v>
      </c>
      <c r="J36" s="34">
        <v>0</v>
      </c>
      <c r="K36" s="34">
        <v>0</v>
      </c>
      <c r="L36" s="34">
        <v>0</v>
      </c>
      <c r="M36" s="34">
        <v>115.53187274032652</v>
      </c>
      <c r="N36" s="34">
        <v>115.53187274032652</v>
      </c>
      <c r="O36" s="33">
        <v>115.53187274032652</v>
      </c>
      <c r="P36" s="33">
        <v>114.92346649327011</v>
      </c>
      <c r="Q36" s="33">
        <v>86.561788416999903</v>
      </c>
      <c r="R36" s="33">
        <v>0</v>
      </c>
      <c r="S36" s="33">
        <v>0</v>
      </c>
      <c r="T36" s="33">
        <v>0</v>
      </c>
      <c r="U36" s="33">
        <v>0</v>
      </c>
      <c r="V36" s="33">
        <v>0</v>
      </c>
      <c r="W36" s="33">
        <v>0</v>
      </c>
      <c r="X36" s="33">
        <v>0</v>
      </c>
      <c r="Y36" s="33">
        <v>0</v>
      </c>
      <c r="Z36" s="33">
        <v>0</v>
      </c>
      <c r="AA36" s="33">
        <v>0</v>
      </c>
      <c r="AB36" s="33">
        <v>0</v>
      </c>
      <c r="AC36" s="33">
        <v>0</v>
      </c>
      <c r="AD36" s="33">
        <v>0</v>
      </c>
      <c r="AE36" s="33">
        <v>0</v>
      </c>
      <c r="AF36" s="33">
        <v>0</v>
      </c>
      <c r="AG36" s="33">
        <v>0</v>
      </c>
      <c r="AH36" s="33">
        <v>0</v>
      </c>
      <c r="AI36" s="33">
        <v>0</v>
      </c>
      <c r="AJ36" s="33">
        <v>0</v>
      </c>
      <c r="AK36" s="33">
        <v>0</v>
      </c>
      <c r="AL36" s="33">
        <v>0</v>
      </c>
      <c r="AM36" s="33">
        <v>0</v>
      </c>
      <c r="AN36" s="33"/>
      <c r="AO36" s="33"/>
      <c r="AS36" s="31"/>
    </row>
    <row r="37" spans="1:45">
      <c r="A37" s="31">
        <v>36</v>
      </c>
      <c r="B37" s="31" t="s">
        <v>15</v>
      </c>
      <c r="C37" s="31" t="s">
        <v>533</v>
      </c>
      <c r="D37" s="31"/>
      <c r="E37" s="31"/>
      <c r="F37" s="31" t="s">
        <v>544</v>
      </c>
      <c r="G37" s="31">
        <v>2009</v>
      </c>
      <c r="H37" s="31"/>
      <c r="I37" s="33" t="s">
        <v>17</v>
      </c>
      <c r="J37" s="34">
        <v>0</v>
      </c>
      <c r="K37" s="34">
        <v>0</v>
      </c>
      <c r="L37" s="34">
        <v>0</v>
      </c>
      <c r="M37" s="34">
        <v>146.27561780700796</v>
      </c>
      <c r="N37" s="34">
        <v>146.27561780700796</v>
      </c>
      <c r="O37" s="33">
        <v>146.27561780700796</v>
      </c>
      <c r="P37" s="33">
        <v>145.7554166277709</v>
      </c>
      <c r="Q37" s="33">
        <v>145.00734750560989</v>
      </c>
      <c r="R37" s="33">
        <v>144.12717321009495</v>
      </c>
      <c r="S37" s="33">
        <v>144.12717321009495</v>
      </c>
      <c r="T37" s="33">
        <v>144.12717321009495</v>
      </c>
      <c r="U37" s="33">
        <v>144.12717321009495</v>
      </c>
      <c r="V37" s="33">
        <v>144.12717321009495</v>
      </c>
      <c r="W37" s="33">
        <v>140.90734238703621</v>
      </c>
      <c r="X37" s="33">
        <v>140.90734238703621</v>
      </c>
      <c r="Y37" s="33">
        <v>140.90734238703621</v>
      </c>
      <c r="Z37" s="33">
        <v>140.90734238703621</v>
      </c>
      <c r="AA37" s="33">
        <v>140.90734238703621</v>
      </c>
      <c r="AB37" s="33">
        <v>137.90318261341815</v>
      </c>
      <c r="AC37" s="33">
        <v>137.90318261341815</v>
      </c>
      <c r="AD37" s="33">
        <v>137.90318261341815</v>
      </c>
      <c r="AE37" s="33">
        <v>115.61685465596388</v>
      </c>
      <c r="AF37" s="33">
        <v>0</v>
      </c>
      <c r="AG37" s="33">
        <v>0</v>
      </c>
      <c r="AH37" s="33">
        <v>0</v>
      </c>
      <c r="AI37" s="33">
        <v>0</v>
      </c>
      <c r="AJ37" s="33">
        <v>0</v>
      </c>
      <c r="AK37" s="33">
        <v>0</v>
      </c>
      <c r="AL37" s="33">
        <v>0</v>
      </c>
      <c r="AM37" s="33">
        <v>0</v>
      </c>
      <c r="AN37" s="33"/>
      <c r="AO37" s="33"/>
      <c r="AS37" s="31"/>
    </row>
    <row r="38" spans="1:45">
      <c r="A38" s="31">
        <v>37</v>
      </c>
      <c r="B38" s="31" t="s">
        <v>15</v>
      </c>
      <c r="C38" s="31" t="s">
        <v>534</v>
      </c>
      <c r="D38" s="31"/>
      <c r="E38" s="31"/>
      <c r="F38" s="31" t="s">
        <v>544</v>
      </c>
      <c r="G38" s="31">
        <v>2009</v>
      </c>
      <c r="H38" s="31"/>
      <c r="I38" s="33" t="s">
        <v>17</v>
      </c>
      <c r="J38" s="34">
        <v>0</v>
      </c>
      <c r="K38" s="34">
        <v>0</v>
      </c>
      <c r="L38" s="34">
        <v>0</v>
      </c>
      <c r="M38" s="34">
        <v>254.35094570686604</v>
      </c>
      <c r="N38" s="34">
        <v>243.79656096353168</v>
      </c>
      <c r="O38" s="33">
        <v>243.79656096353168</v>
      </c>
      <c r="P38" s="33">
        <v>243.78165986686457</v>
      </c>
      <c r="Q38" s="33">
        <v>242.15973280654072</v>
      </c>
      <c r="R38" s="33">
        <v>232.60722200927268</v>
      </c>
      <c r="S38" s="33">
        <v>185.19224877707308</v>
      </c>
      <c r="T38" s="33">
        <v>184.15768808863157</v>
      </c>
      <c r="U38" s="33">
        <v>117.78468384098097</v>
      </c>
      <c r="V38" s="33">
        <v>117.78468384098097</v>
      </c>
      <c r="W38" s="33">
        <v>85.320398492060008</v>
      </c>
      <c r="X38" s="33">
        <v>85.256618646107654</v>
      </c>
      <c r="Y38" s="33">
        <v>59.751179372802049</v>
      </c>
      <c r="Z38" s="33">
        <v>59.751179372802049</v>
      </c>
      <c r="AA38" s="33">
        <v>56.116607131619212</v>
      </c>
      <c r="AB38" s="33">
        <v>28.989888578139634</v>
      </c>
      <c r="AC38" s="33">
        <v>10.292550046651648</v>
      </c>
      <c r="AD38" s="33">
        <v>6.5772055770340474</v>
      </c>
      <c r="AE38" s="33">
        <v>6.3874237982064335</v>
      </c>
      <c r="AF38" s="33">
        <v>6.3874237982064335</v>
      </c>
      <c r="AG38" s="33">
        <v>0</v>
      </c>
      <c r="AH38" s="33">
        <v>0</v>
      </c>
      <c r="AI38" s="33">
        <v>0</v>
      </c>
      <c r="AJ38" s="33">
        <v>0</v>
      </c>
      <c r="AK38" s="33">
        <v>0</v>
      </c>
      <c r="AL38" s="33">
        <v>0</v>
      </c>
      <c r="AM38" s="33">
        <v>0</v>
      </c>
      <c r="AN38" s="33"/>
      <c r="AO38" s="33"/>
      <c r="AS38" s="31"/>
    </row>
    <row r="39" spans="1:45">
      <c r="A39" s="31">
        <v>38</v>
      </c>
      <c r="B39" s="31" t="s">
        <v>65</v>
      </c>
      <c r="C39" s="31" t="s">
        <v>525</v>
      </c>
      <c r="D39" s="31"/>
      <c r="E39" s="31"/>
      <c r="F39" s="31" t="s">
        <v>544</v>
      </c>
      <c r="G39" s="31">
        <v>2009</v>
      </c>
      <c r="H39" s="31"/>
      <c r="I39" s="33" t="s">
        <v>58</v>
      </c>
      <c r="J39" s="34">
        <v>0</v>
      </c>
      <c r="K39" s="34">
        <v>0</v>
      </c>
      <c r="L39" s="34">
        <v>0</v>
      </c>
      <c r="M39" s="34">
        <v>0</v>
      </c>
      <c r="N39" s="34">
        <v>0</v>
      </c>
      <c r="O39" s="33">
        <v>0</v>
      </c>
      <c r="P39" s="33">
        <v>0</v>
      </c>
      <c r="Q39" s="33">
        <v>0</v>
      </c>
      <c r="R39" s="33">
        <v>0</v>
      </c>
      <c r="S39" s="33">
        <v>0</v>
      </c>
      <c r="T39" s="33">
        <v>0</v>
      </c>
      <c r="U39" s="33">
        <v>0</v>
      </c>
      <c r="V39" s="33">
        <v>0</v>
      </c>
      <c r="W39" s="33">
        <v>0</v>
      </c>
      <c r="X39" s="33">
        <v>0</v>
      </c>
      <c r="Y39" s="33">
        <v>0</v>
      </c>
      <c r="Z39" s="33">
        <v>0</v>
      </c>
      <c r="AA39" s="33">
        <v>0</v>
      </c>
      <c r="AB39" s="33">
        <v>0</v>
      </c>
      <c r="AC39" s="33">
        <v>0</v>
      </c>
      <c r="AD39" s="33">
        <v>0</v>
      </c>
      <c r="AE39" s="33">
        <v>0</v>
      </c>
      <c r="AF39" s="33">
        <v>0</v>
      </c>
      <c r="AG39" s="33">
        <v>0</v>
      </c>
      <c r="AH39" s="33">
        <v>0</v>
      </c>
      <c r="AI39" s="33">
        <v>0</v>
      </c>
      <c r="AJ39" s="33">
        <v>0</v>
      </c>
      <c r="AK39" s="33">
        <v>0</v>
      </c>
      <c r="AL39" s="33">
        <v>0</v>
      </c>
      <c r="AM39" s="33">
        <v>0</v>
      </c>
      <c r="AN39" s="33"/>
      <c r="AO39" s="33"/>
      <c r="AS39" s="31"/>
    </row>
    <row r="40" spans="1:45">
      <c r="A40" s="31">
        <v>39</v>
      </c>
      <c r="B40" s="31" t="s">
        <v>65</v>
      </c>
      <c r="C40" s="31" t="s">
        <v>531</v>
      </c>
      <c r="D40" s="31"/>
      <c r="E40" s="31"/>
      <c r="F40" s="31" t="s">
        <v>544</v>
      </c>
      <c r="G40" s="31">
        <v>2009</v>
      </c>
      <c r="H40" s="31"/>
      <c r="I40" s="33" t="s">
        <v>71</v>
      </c>
      <c r="J40" s="34">
        <v>0</v>
      </c>
      <c r="K40" s="34">
        <v>0</v>
      </c>
      <c r="L40" s="34">
        <v>0</v>
      </c>
      <c r="M40" s="34">
        <v>658.28349282296642</v>
      </c>
      <c r="N40" s="34">
        <v>658.28349282296642</v>
      </c>
      <c r="O40" s="33">
        <v>658.28349282296642</v>
      </c>
      <c r="P40" s="33">
        <v>658.28349282296642</v>
      </c>
      <c r="Q40" s="33">
        <v>658.28349282296642</v>
      </c>
      <c r="R40" s="33">
        <v>658.28349282296642</v>
      </c>
      <c r="S40" s="33">
        <v>509.85191387561861</v>
      </c>
      <c r="T40" s="33">
        <v>406.70454545454544</v>
      </c>
      <c r="U40" s="33">
        <v>406.70454545454544</v>
      </c>
      <c r="V40" s="33">
        <v>406.70454545454544</v>
      </c>
      <c r="W40" s="33">
        <v>329.4306818181596</v>
      </c>
      <c r="X40" s="33">
        <v>0</v>
      </c>
      <c r="Y40" s="33">
        <v>0</v>
      </c>
      <c r="Z40" s="33">
        <v>0</v>
      </c>
      <c r="AA40" s="33">
        <v>0</v>
      </c>
      <c r="AB40" s="33">
        <v>0</v>
      </c>
      <c r="AC40" s="33">
        <v>0</v>
      </c>
      <c r="AD40" s="33">
        <v>0</v>
      </c>
      <c r="AE40" s="33">
        <v>0</v>
      </c>
      <c r="AF40" s="33">
        <v>0</v>
      </c>
      <c r="AG40" s="33">
        <v>0</v>
      </c>
      <c r="AH40" s="33">
        <v>0</v>
      </c>
      <c r="AI40" s="33">
        <v>0</v>
      </c>
      <c r="AJ40" s="33">
        <v>0</v>
      </c>
      <c r="AK40" s="33">
        <v>0</v>
      </c>
      <c r="AL40" s="33">
        <v>0</v>
      </c>
      <c r="AM40" s="33">
        <v>0</v>
      </c>
      <c r="AN40" s="33"/>
      <c r="AO40" s="33"/>
      <c r="AS40" s="31"/>
    </row>
    <row r="41" spans="1:45">
      <c r="A41" s="31">
        <v>40</v>
      </c>
      <c r="B41" s="31" t="s">
        <v>69</v>
      </c>
      <c r="C41" s="31" t="s">
        <v>139</v>
      </c>
      <c r="D41" s="31"/>
      <c r="E41" s="31"/>
      <c r="F41" s="31" t="s">
        <v>544</v>
      </c>
      <c r="G41" s="31">
        <v>2009</v>
      </c>
      <c r="H41" s="31"/>
      <c r="I41" s="33" t="s">
        <v>58</v>
      </c>
      <c r="J41" s="34">
        <v>0</v>
      </c>
      <c r="K41" s="34">
        <v>0</v>
      </c>
      <c r="L41" s="34">
        <v>0</v>
      </c>
      <c r="M41" s="34">
        <v>0</v>
      </c>
      <c r="N41" s="34">
        <v>0</v>
      </c>
      <c r="O41" s="33">
        <v>0</v>
      </c>
      <c r="P41" s="33">
        <v>0</v>
      </c>
      <c r="Q41" s="33">
        <v>0</v>
      </c>
      <c r="R41" s="33">
        <v>0</v>
      </c>
      <c r="S41" s="33">
        <v>0</v>
      </c>
      <c r="T41" s="33">
        <v>0</v>
      </c>
      <c r="U41" s="33">
        <v>0</v>
      </c>
      <c r="V41" s="33">
        <v>0</v>
      </c>
      <c r="W41" s="33">
        <v>0</v>
      </c>
      <c r="X41" s="33">
        <v>0</v>
      </c>
      <c r="Y41" s="33">
        <v>0</v>
      </c>
      <c r="Z41" s="33">
        <v>0</v>
      </c>
      <c r="AA41" s="33">
        <v>0</v>
      </c>
      <c r="AB41" s="33">
        <v>0</v>
      </c>
      <c r="AC41" s="33">
        <v>0</v>
      </c>
      <c r="AD41" s="33">
        <v>0</v>
      </c>
      <c r="AE41" s="33">
        <v>0</v>
      </c>
      <c r="AF41" s="33">
        <v>0</v>
      </c>
      <c r="AG41" s="33">
        <v>0</v>
      </c>
      <c r="AH41" s="33">
        <v>0</v>
      </c>
      <c r="AI41" s="33">
        <v>0</v>
      </c>
      <c r="AJ41" s="33">
        <v>0</v>
      </c>
      <c r="AK41" s="33">
        <v>0</v>
      </c>
      <c r="AL41" s="33">
        <v>0</v>
      </c>
      <c r="AM41" s="33">
        <v>0</v>
      </c>
      <c r="AN41" s="33"/>
      <c r="AO41" s="33"/>
      <c r="AS41" s="31"/>
    </row>
    <row r="42" spans="1:45">
      <c r="A42" s="31">
        <v>41</v>
      </c>
      <c r="B42" s="31" t="s">
        <v>1</v>
      </c>
      <c r="C42" s="31" t="s">
        <v>42</v>
      </c>
      <c r="D42" s="31"/>
      <c r="E42" s="31"/>
      <c r="F42" s="31" t="s">
        <v>544</v>
      </c>
      <c r="G42" s="31">
        <v>2009</v>
      </c>
      <c r="H42" s="31"/>
      <c r="I42" s="33" t="s">
        <v>71</v>
      </c>
      <c r="J42" s="34">
        <v>0</v>
      </c>
      <c r="K42" s="34">
        <v>0</v>
      </c>
      <c r="L42" s="34">
        <v>0</v>
      </c>
      <c r="M42" s="34">
        <v>60.381379884896717</v>
      </c>
      <c r="N42" s="34">
        <v>60.381379884896717</v>
      </c>
      <c r="O42" s="33">
        <v>60.381379884896717</v>
      </c>
      <c r="P42" s="33">
        <v>60.381379884896717</v>
      </c>
      <c r="Q42" s="33">
        <v>60.381379884896717</v>
      </c>
      <c r="R42" s="33">
        <v>60.381379884896717</v>
      </c>
      <c r="S42" s="33">
        <v>60.381379884896717</v>
      </c>
      <c r="T42" s="33">
        <v>60.381379884896717</v>
      </c>
      <c r="U42" s="33">
        <v>60.381379884896717</v>
      </c>
      <c r="V42" s="33">
        <v>60.381379884896717</v>
      </c>
      <c r="W42" s="33">
        <v>60.381379884896717</v>
      </c>
      <c r="X42" s="33">
        <v>60.381379884896717</v>
      </c>
      <c r="Y42" s="33">
        <v>60.381379884896717</v>
      </c>
      <c r="Z42" s="33">
        <v>60.381379884896717</v>
      </c>
      <c r="AA42" s="33">
        <v>60.381379884896717</v>
      </c>
      <c r="AB42" s="33">
        <v>60.381379884896717</v>
      </c>
      <c r="AC42" s="33">
        <v>60.381379884896717</v>
      </c>
      <c r="AD42" s="33">
        <v>60.381379884896717</v>
      </c>
      <c r="AE42" s="33">
        <v>60.381379884896717</v>
      </c>
      <c r="AF42" s="33">
        <v>60.381379884896717</v>
      </c>
      <c r="AG42" s="33">
        <v>0</v>
      </c>
      <c r="AH42" s="33">
        <v>0</v>
      </c>
      <c r="AI42" s="33">
        <v>0</v>
      </c>
      <c r="AJ42" s="33">
        <v>0</v>
      </c>
      <c r="AK42" s="33">
        <v>0</v>
      </c>
      <c r="AL42" s="33">
        <v>0</v>
      </c>
      <c r="AM42" s="33">
        <v>0</v>
      </c>
      <c r="AN42" s="33"/>
      <c r="AO42" s="33"/>
      <c r="AS42" s="31"/>
    </row>
    <row r="43" spans="1:45">
      <c r="A43" s="31">
        <v>42</v>
      </c>
      <c r="B43" s="31" t="s">
        <v>1</v>
      </c>
      <c r="C43" s="31" t="s">
        <v>536</v>
      </c>
      <c r="D43" s="31"/>
      <c r="E43" s="31"/>
      <c r="F43" s="31" t="s">
        <v>544</v>
      </c>
      <c r="G43" s="31">
        <v>2009</v>
      </c>
      <c r="H43" s="31"/>
      <c r="I43" s="33" t="s">
        <v>70</v>
      </c>
      <c r="J43" s="34">
        <v>0</v>
      </c>
      <c r="K43" s="34">
        <v>0</v>
      </c>
      <c r="L43" s="34">
        <v>0</v>
      </c>
      <c r="M43" s="34">
        <v>683.04351826294976</v>
      </c>
      <c r="N43" s="34">
        <v>683.04351826294976</v>
      </c>
      <c r="O43" s="33">
        <v>683.04351826294976</v>
      </c>
      <c r="P43" s="33">
        <v>683.04351826294976</v>
      </c>
      <c r="Q43" s="33">
        <v>683.04351826294976</v>
      </c>
      <c r="R43" s="33">
        <v>683.04351826294976</v>
      </c>
      <c r="S43" s="33">
        <v>683.04351826294976</v>
      </c>
      <c r="T43" s="33">
        <v>683.04351826294976</v>
      </c>
      <c r="U43" s="33">
        <v>384.7026712056051</v>
      </c>
      <c r="V43" s="33">
        <v>0</v>
      </c>
      <c r="W43" s="33">
        <v>0</v>
      </c>
      <c r="X43" s="33">
        <v>0</v>
      </c>
      <c r="Y43" s="33">
        <v>0</v>
      </c>
      <c r="Z43" s="33">
        <v>0</v>
      </c>
      <c r="AA43" s="33">
        <v>0</v>
      </c>
      <c r="AB43" s="33">
        <v>0</v>
      </c>
      <c r="AC43" s="33">
        <v>0</v>
      </c>
      <c r="AD43" s="33">
        <v>0</v>
      </c>
      <c r="AE43" s="33">
        <v>0</v>
      </c>
      <c r="AF43" s="33">
        <v>0</v>
      </c>
      <c r="AG43" s="33">
        <v>0</v>
      </c>
      <c r="AH43" s="33">
        <v>0</v>
      </c>
      <c r="AI43" s="33">
        <v>0</v>
      </c>
      <c r="AJ43" s="33">
        <v>0</v>
      </c>
      <c r="AK43" s="33">
        <v>0</v>
      </c>
      <c r="AL43" s="33">
        <v>0</v>
      </c>
      <c r="AM43" s="33">
        <v>0</v>
      </c>
      <c r="AN43" s="33"/>
      <c r="AO43" s="33"/>
      <c r="AS43" s="31"/>
    </row>
    <row r="44" spans="1:45">
      <c r="A44" s="31">
        <v>43</v>
      </c>
      <c r="B44" s="31" t="s">
        <v>60</v>
      </c>
      <c r="C44" s="31" t="s">
        <v>59</v>
      </c>
      <c r="D44" s="31"/>
      <c r="E44" s="31"/>
      <c r="F44" s="31" t="s">
        <v>544</v>
      </c>
      <c r="G44" s="31">
        <v>2009</v>
      </c>
      <c r="H44" s="31"/>
      <c r="I44" s="33" t="s">
        <v>58</v>
      </c>
      <c r="J44" s="34">
        <v>0</v>
      </c>
      <c r="K44" s="34">
        <v>0</v>
      </c>
      <c r="L44" s="34">
        <v>0</v>
      </c>
      <c r="M44" s="34">
        <v>0</v>
      </c>
      <c r="N44" s="34">
        <v>0</v>
      </c>
      <c r="O44" s="33">
        <v>0</v>
      </c>
      <c r="P44" s="33">
        <v>0</v>
      </c>
      <c r="Q44" s="33">
        <v>0</v>
      </c>
      <c r="R44" s="33">
        <v>0</v>
      </c>
      <c r="S44" s="33">
        <v>0</v>
      </c>
      <c r="T44" s="33">
        <v>0</v>
      </c>
      <c r="U44" s="33">
        <v>0</v>
      </c>
      <c r="V44" s="33">
        <v>0</v>
      </c>
      <c r="W44" s="33">
        <v>0</v>
      </c>
      <c r="X44" s="33">
        <v>0</v>
      </c>
      <c r="Y44" s="33">
        <v>0</v>
      </c>
      <c r="Z44" s="33">
        <v>0</v>
      </c>
      <c r="AA44" s="33">
        <v>0</v>
      </c>
      <c r="AB44" s="33">
        <v>0</v>
      </c>
      <c r="AC44" s="33">
        <v>0</v>
      </c>
      <c r="AD44" s="33">
        <v>0</v>
      </c>
      <c r="AE44" s="33">
        <v>0</v>
      </c>
      <c r="AF44" s="33">
        <v>0</v>
      </c>
      <c r="AG44" s="33">
        <v>0</v>
      </c>
      <c r="AH44" s="33">
        <v>0</v>
      </c>
      <c r="AI44" s="33">
        <v>0</v>
      </c>
      <c r="AJ44" s="33">
        <v>0</v>
      </c>
      <c r="AK44" s="33">
        <v>0</v>
      </c>
      <c r="AL44" s="33">
        <v>0</v>
      </c>
      <c r="AM44" s="33">
        <v>0</v>
      </c>
      <c r="AN44" s="33"/>
      <c r="AO44" s="33"/>
      <c r="AS44" s="31"/>
    </row>
    <row r="45" spans="1:45">
      <c r="A45" s="31">
        <v>44</v>
      </c>
      <c r="B45" s="31" t="s">
        <v>62</v>
      </c>
      <c r="C45" s="31" t="s">
        <v>523</v>
      </c>
      <c r="D45" s="31"/>
      <c r="E45" s="31"/>
      <c r="F45" s="31" t="s">
        <v>544</v>
      </c>
      <c r="G45" s="31">
        <v>2009</v>
      </c>
      <c r="H45" s="31"/>
      <c r="I45" s="33" t="s">
        <v>71</v>
      </c>
      <c r="J45" s="34">
        <v>0</v>
      </c>
      <c r="K45" s="34">
        <v>0</v>
      </c>
      <c r="L45" s="34">
        <v>0</v>
      </c>
      <c r="M45" s="34">
        <v>52.538773828022777</v>
      </c>
      <c r="N45" s="34">
        <v>0</v>
      </c>
      <c r="O45" s="33">
        <v>0</v>
      </c>
      <c r="P45" s="33">
        <v>0</v>
      </c>
      <c r="Q45" s="33">
        <v>0</v>
      </c>
      <c r="R45" s="33">
        <v>0</v>
      </c>
      <c r="S45" s="33">
        <v>0</v>
      </c>
      <c r="T45" s="33">
        <v>0</v>
      </c>
      <c r="U45" s="33">
        <v>0</v>
      </c>
      <c r="V45" s="33">
        <v>0</v>
      </c>
      <c r="W45" s="33">
        <v>0</v>
      </c>
      <c r="X45" s="33">
        <v>0</v>
      </c>
      <c r="Y45" s="33">
        <v>0</v>
      </c>
      <c r="Z45" s="33">
        <v>0</v>
      </c>
      <c r="AA45" s="33">
        <v>0</v>
      </c>
      <c r="AB45" s="33">
        <v>0</v>
      </c>
      <c r="AC45" s="33">
        <v>0</v>
      </c>
      <c r="AD45" s="33">
        <v>0</v>
      </c>
      <c r="AE45" s="33">
        <v>0</v>
      </c>
      <c r="AF45" s="33">
        <v>0</v>
      </c>
      <c r="AG45" s="33">
        <v>0</v>
      </c>
      <c r="AH45" s="33">
        <v>0</v>
      </c>
      <c r="AI45" s="33">
        <v>0</v>
      </c>
      <c r="AJ45" s="33">
        <v>0</v>
      </c>
      <c r="AK45" s="33">
        <v>0</v>
      </c>
      <c r="AL45" s="33">
        <v>0</v>
      </c>
      <c r="AM45" s="33">
        <v>0</v>
      </c>
      <c r="AN45" s="33"/>
      <c r="AO45" s="33"/>
      <c r="AS45" s="31"/>
    </row>
    <row r="46" spans="1:45">
      <c r="A46" s="31">
        <v>45</v>
      </c>
      <c r="B46" s="31" t="s">
        <v>62</v>
      </c>
      <c r="C46" s="31" t="s">
        <v>61</v>
      </c>
      <c r="D46" s="31"/>
      <c r="E46" s="31"/>
      <c r="F46" s="31" t="s">
        <v>544</v>
      </c>
      <c r="G46" s="31">
        <v>2009</v>
      </c>
      <c r="H46" s="31"/>
      <c r="I46" s="33" t="s">
        <v>71</v>
      </c>
      <c r="J46" s="34">
        <v>0</v>
      </c>
      <c r="K46" s="34">
        <v>0</v>
      </c>
      <c r="L46" s="34">
        <v>0</v>
      </c>
      <c r="M46" s="34">
        <v>500.14183397325576</v>
      </c>
      <c r="N46" s="34">
        <v>0</v>
      </c>
      <c r="O46" s="33">
        <v>0</v>
      </c>
      <c r="P46" s="33">
        <v>0</v>
      </c>
      <c r="Q46" s="33">
        <v>0</v>
      </c>
      <c r="R46" s="33">
        <v>0</v>
      </c>
      <c r="S46" s="33">
        <v>0</v>
      </c>
      <c r="T46" s="33">
        <v>0</v>
      </c>
      <c r="U46" s="33">
        <v>0</v>
      </c>
      <c r="V46" s="33">
        <v>0</v>
      </c>
      <c r="W46" s="33">
        <v>0</v>
      </c>
      <c r="X46" s="33">
        <v>0</v>
      </c>
      <c r="Y46" s="33">
        <v>0</v>
      </c>
      <c r="Z46" s="33">
        <v>0</v>
      </c>
      <c r="AA46" s="33">
        <v>0</v>
      </c>
      <c r="AB46" s="33">
        <v>0</v>
      </c>
      <c r="AC46" s="33">
        <v>0</v>
      </c>
      <c r="AD46" s="33">
        <v>0</v>
      </c>
      <c r="AE46" s="33">
        <v>0</v>
      </c>
      <c r="AF46" s="33">
        <v>0</v>
      </c>
      <c r="AG46" s="33">
        <v>0</v>
      </c>
      <c r="AH46" s="33">
        <v>0</v>
      </c>
      <c r="AI46" s="33">
        <v>0</v>
      </c>
      <c r="AJ46" s="33">
        <v>0</v>
      </c>
      <c r="AK46" s="33">
        <v>0</v>
      </c>
      <c r="AL46" s="33">
        <v>0</v>
      </c>
      <c r="AM46" s="33">
        <v>0</v>
      </c>
      <c r="AN46" s="33"/>
      <c r="AO46" s="33"/>
      <c r="AS46" s="31"/>
    </row>
    <row r="47" spans="1:45">
      <c r="A47" s="31">
        <v>46</v>
      </c>
      <c r="B47" s="31" t="s">
        <v>62</v>
      </c>
      <c r="C47" s="31" t="s">
        <v>49</v>
      </c>
      <c r="D47" s="31"/>
      <c r="E47" s="31"/>
      <c r="F47" s="31" t="s">
        <v>544</v>
      </c>
      <c r="G47" s="31">
        <v>2009</v>
      </c>
      <c r="H47" s="31"/>
      <c r="I47" s="33" t="s">
        <v>71</v>
      </c>
      <c r="J47" s="34">
        <v>0</v>
      </c>
      <c r="K47" s="34">
        <v>0</v>
      </c>
      <c r="L47" s="34">
        <v>0</v>
      </c>
      <c r="M47" s="34">
        <v>9.5525043323677785</v>
      </c>
      <c r="N47" s="34">
        <v>0</v>
      </c>
      <c r="O47" s="33">
        <v>0</v>
      </c>
      <c r="P47" s="33">
        <v>0</v>
      </c>
      <c r="Q47" s="33">
        <v>0</v>
      </c>
      <c r="R47" s="33">
        <v>0</v>
      </c>
      <c r="S47" s="33">
        <v>0</v>
      </c>
      <c r="T47" s="33">
        <v>0</v>
      </c>
      <c r="U47" s="33">
        <v>0</v>
      </c>
      <c r="V47" s="33">
        <v>0</v>
      </c>
      <c r="W47" s="33">
        <v>0</v>
      </c>
      <c r="X47" s="33">
        <v>0</v>
      </c>
      <c r="Y47" s="33">
        <v>0</v>
      </c>
      <c r="Z47" s="33">
        <v>0</v>
      </c>
      <c r="AA47" s="33">
        <v>0</v>
      </c>
      <c r="AB47" s="33">
        <v>0</v>
      </c>
      <c r="AC47" s="33">
        <v>0</v>
      </c>
      <c r="AD47" s="33">
        <v>0</v>
      </c>
      <c r="AE47" s="33">
        <v>0</v>
      </c>
      <c r="AF47" s="33">
        <v>0</v>
      </c>
      <c r="AG47" s="33">
        <v>0</v>
      </c>
      <c r="AH47" s="33">
        <v>0</v>
      </c>
      <c r="AI47" s="33">
        <v>0</v>
      </c>
      <c r="AJ47" s="33">
        <v>0</v>
      </c>
      <c r="AK47" s="33">
        <v>0</v>
      </c>
      <c r="AL47" s="33">
        <v>0</v>
      </c>
      <c r="AM47" s="33">
        <v>0</v>
      </c>
      <c r="AN47" s="33"/>
      <c r="AO47" s="33"/>
      <c r="AS47" s="31"/>
    </row>
    <row r="48" spans="1:45">
      <c r="A48" s="31">
        <v>47</v>
      </c>
      <c r="B48" s="31" t="s">
        <v>62</v>
      </c>
      <c r="C48" s="31" t="s">
        <v>63</v>
      </c>
      <c r="D48" s="31"/>
      <c r="E48" s="31"/>
      <c r="F48" s="31" t="s">
        <v>544</v>
      </c>
      <c r="G48" s="31">
        <v>2009</v>
      </c>
      <c r="H48" s="31"/>
      <c r="I48" s="33" t="s">
        <v>71</v>
      </c>
      <c r="J48" s="34">
        <v>0</v>
      </c>
      <c r="K48" s="34">
        <v>0</v>
      </c>
      <c r="L48" s="34">
        <v>0</v>
      </c>
      <c r="M48" s="34">
        <v>0</v>
      </c>
      <c r="N48" s="34">
        <v>0</v>
      </c>
      <c r="O48" s="33">
        <v>0</v>
      </c>
      <c r="P48" s="33">
        <v>0</v>
      </c>
      <c r="Q48" s="33">
        <v>0</v>
      </c>
      <c r="R48" s="33">
        <v>0</v>
      </c>
      <c r="S48" s="33">
        <v>0</v>
      </c>
      <c r="T48" s="33">
        <v>0</v>
      </c>
      <c r="U48" s="33">
        <v>0</v>
      </c>
      <c r="V48" s="33">
        <v>0</v>
      </c>
      <c r="W48" s="33">
        <v>0</v>
      </c>
      <c r="X48" s="33">
        <v>0</v>
      </c>
      <c r="Y48" s="33">
        <v>0</v>
      </c>
      <c r="Z48" s="33">
        <v>0</v>
      </c>
      <c r="AA48" s="33">
        <v>0</v>
      </c>
      <c r="AB48" s="33">
        <v>0</v>
      </c>
      <c r="AC48" s="33">
        <v>0</v>
      </c>
      <c r="AD48" s="33">
        <v>0</v>
      </c>
      <c r="AE48" s="33">
        <v>0</v>
      </c>
      <c r="AF48" s="33">
        <v>0</v>
      </c>
      <c r="AG48" s="33">
        <v>0</v>
      </c>
      <c r="AH48" s="33">
        <v>0</v>
      </c>
      <c r="AI48" s="33">
        <v>0</v>
      </c>
      <c r="AJ48" s="33">
        <v>0</v>
      </c>
      <c r="AK48" s="33">
        <v>0</v>
      </c>
      <c r="AL48" s="33">
        <v>0</v>
      </c>
      <c r="AM48" s="33">
        <v>0</v>
      </c>
      <c r="AN48" s="33"/>
      <c r="AO48" s="33"/>
      <c r="AS48" s="31"/>
    </row>
    <row r="49" spans="1:45">
      <c r="A49" s="31">
        <v>48</v>
      </c>
      <c r="B49" s="31" t="s">
        <v>15</v>
      </c>
      <c r="C49" s="31" t="s">
        <v>539</v>
      </c>
      <c r="D49" s="31"/>
      <c r="E49" s="31"/>
      <c r="F49" s="31" t="s">
        <v>544</v>
      </c>
      <c r="G49" s="31">
        <v>2009</v>
      </c>
      <c r="H49" s="31"/>
      <c r="I49" s="33" t="s">
        <v>58</v>
      </c>
      <c r="J49" s="34">
        <v>0</v>
      </c>
      <c r="K49" s="34">
        <v>0</v>
      </c>
      <c r="L49" s="34">
        <v>0</v>
      </c>
      <c r="M49" s="34">
        <v>0</v>
      </c>
      <c r="N49" s="34">
        <v>0</v>
      </c>
      <c r="O49" s="33">
        <v>0</v>
      </c>
      <c r="P49" s="33">
        <v>0</v>
      </c>
      <c r="Q49" s="33">
        <v>0</v>
      </c>
      <c r="R49" s="33">
        <v>0</v>
      </c>
      <c r="S49" s="33">
        <v>0</v>
      </c>
      <c r="T49" s="33">
        <v>0</v>
      </c>
      <c r="U49" s="33">
        <v>0</v>
      </c>
      <c r="V49" s="33">
        <v>0</v>
      </c>
      <c r="W49" s="33">
        <v>0</v>
      </c>
      <c r="X49" s="33">
        <v>0</v>
      </c>
      <c r="Y49" s="33">
        <v>0</v>
      </c>
      <c r="Z49" s="33">
        <v>0</v>
      </c>
      <c r="AA49" s="33">
        <v>0</v>
      </c>
      <c r="AB49" s="33">
        <v>0</v>
      </c>
      <c r="AC49" s="33">
        <v>0</v>
      </c>
      <c r="AD49" s="33">
        <v>0</v>
      </c>
      <c r="AE49" s="33">
        <v>0</v>
      </c>
      <c r="AF49" s="33">
        <v>0</v>
      </c>
      <c r="AG49" s="33">
        <v>0</v>
      </c>
      <c r="AH49" s="33">
        <v>0</v>
      </c>
      <c r="AI49" s="33">
        <v>0</v>
      </c>
      <c r="AJ49" s="33">
        <v>0</v>
      </c>
      <c r="AK49" s="33">
        <v>0</v>
      </c>
      <c r="AL49" s="33">
        <v>0</v>
      </c>
      <c r="AM49" s="33">
        <v>0</v>
      </c>
      <c r="AN49" s="33"/>
      <c r="AO49" s="33"/>
      <c r="AS49" s="31"/>
    </row>
    <row r="50" spans="1:45">
      <c r="A50" s="31">
        <v>49</v>
      </c>
      <c r="B50" s="31" t="s">
        <v>15</v>
      </c>
      <c r="C50" s="31" t="s">
        <v>540</v>
      </c>
      <c r="D50" s="31"/>
      <c r="E50" s="31"/>
      <c r="F50" s="31" t="s">
        <v>544</v>
      </c>
      <c r="G50" s="31">
        <v>2009</v>
      </c>
      <c r="H50" s="31"/>
      <c r="I50" s="33" t="s">
        <v>58</v>
      </c>
      <c r="J50" s="34">
        <v>0</v>
      </c>
      <c r="K50" s="34">
        <v>0</v>
      </c>
      <c r="L50" s="34">
        <v>0</v>
      </c>
      <c r="M50" s="34">
        <v>0</v>
      </c>
      <c r="N50" s="34">
        <v>0</v>
      </c>
      <c r="O50" s="33">
        <v>0</v>
      </c>
      <c r="P50" s="33">
        <v>0</v>
      </c>
      <c r="Q50" s="33">
        <v>0</v>
      </c>
      <c r="R50" s="33">
        <v>0</v>
      </c>
      <c r="S50" s="33">
        <v>0</v>
      </c>
      <c r="T50" s="33">
        <v>0</v>
      </c>
      <c r="U50" s="33">
        <v>0</v>
      </c>
      <c r="V50" s="33">
        <v>0</v>
      </c>
      <c r="W50" s="33">
        <v>0</v>
      </c>
      <c r="X50" s="33">
        <v>0</v>
      </c>
      <c r="Y50" s="33">
        <v>0</v>
      </c>
      <c r="Z50" s="33">
        <v>0</v>
      </c>
      <c r="AA50" s="33">
        <v>0</v>
      </c>
      <c r="AB50" s="33">
        <v>0</v>
      </c>
      <c r="AC50" s="33">
        <v>0</v>
      </c>
      <c r="AD50" s="33">
        <v>0</v>
      </c>
      <c r="AE50" s="33">
        <v>0</v>
      </c>
      <c r="AF50" s="33">
        <v>0</v>
      </c>
      <c r="AG50" s="33">
        <v>0</v>
      </c>
      <c r="AH50" s="33">
        <v>0</v>
      </c>
      <c r="AI50" s="33">
        <v>0</v>
      </c>
      <c r="AJ50" s="33">
        <v>0</v>
      </c>
      <c r="AK50" s="33">
        <v>0</v>
      </c>
      <c r="AL50" s="33">
        <v>0</v>
      </c>
      <c r="AM50" s="33">
        <v>0</v>
      </c>
      <c r="AN50" s="33"/>
      <c r="AO50" s="33"/>
      <c r="AS50" s="31"/>
    </row>
    <row r="51" spans="1:45">
      <c r="A51" s="31">
        <v>50</v>
      </c>
      <c r="B51" s="31" t="s">
        <v>1</v>
      </c>
      <c r="C51" s="31" t="s">
        <v>541</v>
      </c>
      <c r="D51" s="31"/>
      <c r="E51" s="31"/>
      <c r="F51" s="31" t="s">
        <v>544</v>
      </c>
      <c r="G51" s="31">
        <v>2009</v>
      </c>
      <c r="H51" s="31"/>
      <c r="I51" s="33" t="s">
        <v>58</v>
      </c>
      <c r="J51" s="34">
        <v>0</v>
      </c>
      <c r="K51" s="34">
        <v>0</v>
      </c>
      <c r="L51" s="34">
        <v>0</v>
      </c>
      <c r="M51" s="34">
        <v>0</v>
      </c>
      <c r="N51" s="34">
        <v>0</v>
      </c>
      <c r="O51" s="33">
        <v>0</v>
      </c>
      <c r="P51" s="33">
        <v>0</v>
      </c>
      <c r="Q51" s="33">
        <v>0</v>
      </c>
      <c r="R51" s="33">
        <v>0</v>
      </c>
      <c r="S51" s="33">
        <v>0</v>
      </c>
      <c r="T51" s="33">
        <v>0</v>
      </c>
      <c r="U51" s="33">
        <v>0</v>
      </c>
      <c r="V51" s="33">
        <v>0</v>
      </c>
      <c r="W51" s="33">
        <v>0</v>
      </c>
      <c r="X51" s="33">
        <v>0</v>
      </c>
      <c r="Y51" s="33">
        <v>0</v>
      </c>
      <c r="Z51" s="33">
        <v>0</v>
      </c>
      <c r="AA51" s="33">
        <v>0</v>
      </c>
      <c r="AB51" s="33">
        <v>0</v>
      </c>
      <c r="AC51" s="33">
        <v>0</v>
      </c>
      <c r="AD51" s="33">
        <v>0</v>
      </c>
      <c r="AE51" s="33">
        <v>0</v>
      </c>
      <c r="AF51" s="33">
        <v>0</v>
      </c>
      <c r="AG51" s="33">
        <v>0</v>
      </c>
      <c r="AH51" s="33">
        <v>0</v>
      </c>
      <c r="AI51" s="33">
        <v>0</v>
      </c>
      <c r="AJ51" s="33">
        <v>0</v>
      </c>
      <c r="AK51" s="33">
        <v>0</v>
      </c>
      <c r="AL51" s="33">
        <v>0</v>
      </c>
      <c r="AM51" s="33">
        <v>0</v>
      </c>
      <c r="AN51" s="33"/>
      <c r="AO51" s="33"/>
      <c r="AS51" s="31"/>
    </row>
    <row r="52" spans="1:45">
      <c r="A52" s="31">
        <v>51</v>
      </c>
      <c r="B52" s="31" t="s">
        <v>65</v>
      </c>
      <c r="C52" s="31" t="s">
        <v>542</v>
      </c>
      <c r="D52" s="31"/>
      <c r="E52" s="31"/>
      <c r="F52" s="31" t="s">
        <v>544</v>
      </c>
      <c r="G52" s="31">
        <v>2008</v>
      </c>
      <c r="H52" s="31"/>
      <c r="I52" s="33" t="s">
        <v>58</v>
      </c>
      <c r="J52" s="34">
        <v>0</v>
      </c>
      <c r="K52" s="34">
        <v>0</v>
      </c>
      <c r="L52" s="34">
        <v>0</v>
      </c>
      <c r="M52" s="34">
        <v>0</v>
      </c>
      <c r="N52" s="34">
        <v>0</v>
      </c>
      <c r="O52" s="33">
        <v>0</v>
      </c>
      <c r="P52" s="33">
        <v>0</v>
      </c>
      <c r="Q52" s="33">
        <v>0</v>
      </c>
      <c r="R52" s="33">
        <v>0</v>
      </c>
      <c r="S52" s="33">
        <v>0</v>
      </c>
      <c r="T52" s="33">
        <v>0</v>
      </c>
      <c r="U52" s="33">
        <v>0</v>
      </c>
      <c r="V52" s="33">
        <v>0</v>
      </c>
      <c r="W52" s="33">
        <v>0</v>
      </c>
      <c r="X52" s="33">
        <v>0</v>
      </c>
      <c r="Y52" s="33">
        <v>0</v>
      </c>
      <c r="Z52" s="33">
        <v>0</v>
      </c>
      <c r="AA52" s="33">
        <v>0</v>
      </c>
      <c r="AB52" s="33">
        <v>0</v>
      </c>
      <c r="AC52" s="33">
        <v>0</v>
      </c>
      <c r="AD52" s="33">
        <v>0</v>
      </c>
      <c r="AE52" s="33">
        <v>0</v>
      </c>
      <c r="AF52" s="33">
        <v>0</v>
      </c>
      <c r="AG52" s="33">
        <v>0</v>
      </c>
      <c r="AH52" s="33">
        <v>0</v>
      </c>
      <c r="AI52" s="33">
        <v>0</v>
      </c>
      <c r="AJ52" s="33">
        <v>0</v>
      </c>
      <c r="AK52" s="33">
        <v>0</v>
      </c>
      <c r="AL52" s="33">
        <v>0</v>
      </c>
      <c r="AM52" s="33">
        <v>0</v>
      </c>
      <c r="AN52" s="33"/>
      <c r="AO52" s="33"/>
      <c r="AS52" s="31"/>
    </row>
    <row r="53" spans="1:45">
      <c r="A53" s="31">
        <v>52</v>
      </c>
      <c r="B53" s="31" t="s">
        <v>62</v>
      </c>
      <c r="C53" s="31" t="s">
        <v>543</v>
      </c>
      <c r="D53" s="31"/>
      <c r="E53" s="31"/>
      <c r="F53" s="31" t="s">
        <v>544</v>
      </c>
      <c r="G53" s="31">
        <v>2008</v>
      </c>
      <c r="H53" s="31"/>
      <c r="I53" s="33" t="s">
        <v>58</v>
      </c>
      <c r="J53" s="34">
        <v>0</v>
      </c>
      <c r="K53" s="34">
        <v>0</v>
      </c>
      <c r="L53" s="34">
        <v>0</v>
      </c>
      <c r="M53" s="34">
        <v>0</v>
      </c>
      <c r="N53" s="34">
        <v>0</v>
      </c>
      <c r="O53" s="33">
        <v>0</v>
      </c>
      <c r="P53" s="33">
        <v>0</v>
      </c>
      <c r="Q53" s="33">
        <v>0</v>
      </c>
      <c r="R53" s="33">
        <v>0</v>
      </c>
      <c r="S53" s="33">
        <v>0</v>
      </c>
      <c r="T53" s="33">
        <v>0</v>
      </c>
      <c r="U53" s="33">
        <v>0</v>
      </c>
      <c r="V53" s="33">
        <v>0</v>
      </c>
      <c r="W53" s="33">
        <v>0</v>
      </c>
      <c r="X53" s="33">
        <v>0</v>
      </c>
      <c r="Y53" s="33">
        <v>0</v>
      </c>
      <c r="Z53" s="33">
        <v>0</v>
      </c>
      <c r="AA53" s="33">
        <v>0</v>
      </c>
      <c r="AB53" s="33">
        <v>0</v>
      </c>
      <c r="AC53" s="33">
        <v>0</v>
      </c>
      <c r="AD53" s="33">
        <v>0</v>
      </c>
      <c r="AE53" s="33">
        <v>0</v>
      </c>
      <c r="AF53" s="33">
        <v>0</v>
      </c>
      <c r="AG53" s="33">
        <v>0</v>
      </c>
      <c r="AH53" s="33">
        <v>0</v>
      </c>
      <c r="AI53" s="33">
        <v>0</v>
      </c>
      <c r="AJ53" s="33">
        <v>0</v>
      </c>
      <c r="AK53" s="33">
        <v>0</v>
      </c>
      <c r="AL53" s="33">
        <v>0</v>
      </c>
      <c r="AM53" s="33">
        <v>0</v>
      </c>
      <c r="AN53" s="33"/>
      <c r="AO53" s="33"/>
      <c r="AS53" s="31"/>
    </row>
    <row r="54" spans="1:45">
      <c r="A54" s="31">
        <v>53</v>
      </c>
      <c r="B54" s="31" t="s">
        <v>15</v>
      </c>
      <c r="C54" s="31" t="s">
        <v>524</v>
      </c>
      <c r="D54" s="31"/>
      <c r="E54" s="31"/>
      <c r="F54" s="31" t="s">
        <v>544</v>
      </c>
      <c r="G54" s="31">
        <v>2010</v>
      </c>
      <c r="H54" s="31"/>
      <c r="I54" s="33" t="s">
        <v>17</v>
      </c>
      <c r="J54" s="34">
        <v>0</v>
      </c>
      <c r="K54" s="34">
        <v>0</v>
      </c>
      <c r="L54" s="34">
        <v>0</v>
      </c>
      <c r="M54" s="34">
        <v>0</v>
      </c>
      <c r="N54" s="34">
        <v>90.761836237952139</v>
      </c>
      <c r="O54" s="33">
        <v>90.761836237952139</v>
      </c>
      <c r="P54" s="33">
        <v>90.761836237952139</v>
      </c>
      <c r="Q54" s="33">
        <v>89.819440608149833</v>
      </c>
      <c r="R54" s="33">
        <v>64.78083902315845</v>
      </c>
      <c r="S54" s="33">
        <v>0</v>
      </c>
      <c r="T54" s="33">
        <v>0</v>
      </c>
      <c r="U54" s="33">
        <v>0</v>
      </c>
      <c r="V54" s="33">
        <v>0</v>
      </c>
      <c r="W54" s="33">
        <v>0</v>
      </c>
      <c r="X54" s="33">
        <v>0</v>
      </c>
      <c r="Y54" s="33">
        <v>0</v>
      </c>
      <c r="Z54" s="33">
        <v>0</v>
      </c>
      <c r="AA54" s="33">
        <v>0</v>
      </c>
      <c r="AB54" s="33">
        <v>0</v>
      </c>
      <c r="AC54" s="33">
        <v>0</v>
      </c>
      <c r="AD54" s="33">
        <v>0</v>
      </c>
      <c r="AE54" s="33">
        <v>0</v>
      </c>
      <c r="AF54" s="33">
        <v>0</v>
      </c>
      <c r="AG54" s="33">
        <v>0</v>
      </c>
      <c r="AH54" s="33">
        <v>0</v>
      </c>
      <c r="AI54" s="33">
        <v>0</v>
      </c>
      <c r="AJ54" s="33">
        <v>0</v>
      </c>
      <c r="AK54" s="33">
        <v>0</v>
      </c>
      <c r="AL54" s="33">
        <v>0</v>
      </c>
      <c r="AM54" s="33">
        <v>0</v>
      </c>
      <c r="AN54" s="33"/>
      <c r="AO54" s="33"/>
      <c r="AS54" s="31"/>
    </row>
    <row r="55" spans="1:45">
      <c r="A55" s="31">
        <v>54</v>
      </c>
      <c r="B55" s="31" t="s">
        <v>15</v>
      </c>
      <c r="C55" s="31" t="s">
        <v>533</v>
      </c>
      <c r="D55" s="31"/>
      <c r="E55" s="31"/>
      <c r="F55" s="31" t="s">
        <v>544</v>
      </c>
      <c r="G55" s="31">
        <v>2010</v>
      </c>
      <c r="H55" s="31"/>
      <c r="I55" s="33" t="s">
        <v>17</v>
      </c>
      <c r="J55" s="34">
        <v>0</v>
      </c>
      <c r="K55" s="34">
        <v>0</v>
      </c>
      <c r="L55" s="34">
        <v>0</v>
      </c>
      <c r="M55" s="34">
        <v>0</v>
      </c>
      <c r="N55" s="34">
        <v>73.788540411879836</v>
      </c>
      <c r="O55" s="33">
        <v>73.788540411879836</v>
      </c>
      <c r="P55" s="33">
        <v>73.788540411879836</v>
      </c>
      <c r="Q55" s="33">
        <v>73.788540411879836</v>
      </c>
      <c r="R55" s="33">
        <v>73.788540411879836</v>
      </c>
      <c r="S55" s="33">
        <v>73.788540411879836</v>
      </c>
      <c r="T55" s="33">
        <v>73.788540411879836</v>
      </c>
      <c r="U55" s="33">
        <v>73.788540411879836</v>
      </c>
      <c r="V55" s="33">
        <v>73.788540411879836</v>
      </c>
      <c r="W55" s="33">
        <v>73.788540411879836</v>
      </c>
      <c r="X55" s="33">
        <v>73.788540411879836</v>
      </c>
      <c r="Y55" s="33">
        <v>73.788540411879836</v>
      </c>
      <c r="Z55" s="33">
        <v>73.788540411879836</v>
      </c>
      <c r="AA55" s="33">
        <v>73.788540411879836</v>
      </c>
      <c r="AB55" s="33">
        <v>73.788540411879836</v>
      </c>
      <c r="AC55" s="33">
        <v>72.650584633795674</v>
      </c>
      <c r="AD55" s="33">
        <v>72.650584633795674</v>
      </c>
      <c r="AE55" s="33">
        <v>72.650584633795674</v>
      </c>
      <c r="AF55" s="33">
        <v>68.492976820811506</v>
      </c>
      <c r="AG55" s="33">
        <v>0</v>
      </c>
      <c r="AH55" s="33">
        <v>0</v>
      </c>
      <c r="AI55" s="33">
        <v>0</v>
      </c>
      <c r="AJ55" s="33">
        <v>0</v>
      </c>
      <c r="AK55" s="33">
        <v>0</v>
      </c>
      <c r="AL55" s="33">
        <v>0</v>
      </c>
      <c r="AM55" s="33">
        <v>0</v>
      </c>
      <c r="AN55" s="33"/>
      <c r="AO55" s="33"/>
      <c r="AS55" s="31"/>
    </row>
    <row r="56" spans="1:45">
      <c r="A56" s="31">
        <v>55</v>
      </c>
      <c r="B56" s="31" t="s">
        <v>15</v>
      </c>
      <c r="C56" s="31" t="s">
        <v>534</v>
      </c>
      <c r="D56" s="31"/>
      <c r="E56" s="31"/>
      <c r="F56" s="31" t="s">
        <v>544</v>
      </c>
      <c r="G56" s="31">
        <v>2010</v>
      </c>
      <c r="H56" s="31"/>
      <c r="I56" s="33" t="s">
        <v>17</v>
      </c>
      <c r="J56" s="34">
        <v>0</v>
      </c>
      <c r="K56" s="34">
        <v>0</v>
      </c>
      <c r="L56" s="34">
        <v>0</v>
      </c>
      <c r="M56" s="34">
        <v>0</v>
      </c>
      <c r="N56" s="34">
        <v>89.169325477264849</v>
      </c>
      <c r="O56" s="33">
        <v>78.373205665959077</v>
      </c>
      <c r="P56" s="33">
        <v>75.878908270781039</v>
      </c>
      <c r="Q56" s="33">
        <v>75.878908270781039</v>
      </c>
      <c r="R56" s="33">
        <v>75.878908270781039</v>
      </c>
      <c r="S56" s="33">
        <v>39.056265787903357</v>
      </c>
      <c r="T56" s="33">
        <v>29.820787209951266</v>
      </c>
      <c r="U56" s="33">
        <v>29.820787209951266</v>
      </c>
      <c r="V56" s="33">
        <v>29.060493047651505</v>
      </c>
      <c r="W56" s="33">
        <v>27.342906458006642</v>
      </c>
      <c r="X56" s="33">
        <v>21.033030181417733</v>
      </c>
      <c r="Y56" s="33">
        <v>21.033030181417733</v>
      </c>
      <c r="Z56" s="33">
        <v>18.579670473626194</v>
      </c>
      <c r="AA56" s="33">
        <v>18.579670473626194</v>
      </c>
      <c r="AB56" s="33">
        <v>18.579670473626194</v>
      </c>
      <c r="AC56" s="33">
        <v>10.576196620479793</v>
      </c>
      <c r="AD56" s="33">
        <v>0.25818335244921631</v>
      </c>
      <c r="AE56" s="33">
        <v>0.25818335244921631</v>
      </c>
      <c r="AF56" s="33">
        <v>0.25818335244921631</v>
      </c>
      <c r="AG56" s="33">
        <v>0.25818335244921631</v>
      </c>
      <c r="AH56" s="33">
        <v>0</v>
      </c>
      <c r="AI56" s="33">
        <v>0</v>
      </c>
      <c r="AJ56" s="33">
        <v>0</v>
      </c>
      <c r="AK56" s="33">
        <v>0</v>
      </c>
      <c r="AL56" s="33">
        <v>0</v>
      </c>
      <c r="AM56" s="33">
        <v>0</v>
      </c>
      <c r="AN56" s="33"/>
      <c r="AO56" s="33"/>
      <c r="AS56" s="31"/>
    </row>
    <row r="57" spans="1:45">
      <c r="A57" s="31">
        <v>56</v>
      </c>
      <c r="B57" s="31" t="s">
        <v>65</v>
      </c>
      <c r="C57" s="31" t="s">
        <v>525</v>
      </c>
      <c r="D57" s="31"/>
      <c r="E57" s="31"/>
      <c r="F57" s="31" t="s">
        <v>544</v>
      </c>
      <c r="G57" s="31">
        <v>2010</v>
      </c>
      <c r="H57" s="31"/>
      <c r="I57" s="33" t="s">
        <v>58</v>
      </c>
      <c r="J57" s="34">
        <v>0</v>
      </c>
      <c r="K57" s="34">
        <v>0</v>
      </c>
      <c r="L57" s="34">
        <v>0</v>
      </c>
      <c r="M57" s="34">
        <v>0</v>
      </c>
      <c r="N57" s="34">
        <v>0</v>
      </c>
      <c r="O57" s="33">
        <v>0</v>
      </c>
      <c r="P57" s="33">
        <v>0</v>
      </c>
      <c r="Q57" s="33">
        <v>0</v>
      </c>
      <c r="R57" s="33">
        <v>0</v>
      </c>
      <c r="S57" s="33">
        <v>0</v>
      </c>
      <c r="T57" s="33">
        <v>0</v>
      </c>
      <c r="U57" s="33">
        <v>0</v>
      </c>
      <c r="V57" s="33">
        <v>0</v>
      </c>
      <c r="W57" s="33">
        <v>0</v>
      </c>
      <c r="X57" s="33">
        <v>0</v>
      </c>
      <c r="Y57" s="33">
        <v>0</v>
      </c>
      <c r="Z57" s="33">
        <v>0</v>
      </c>
      <c r="AA57" s="33">
        <v>0</v>
      </c>
      <c r="AB57" s="33">
        <v>0</v>
      </c>
      <c r="AC57" s="33">
        <v>0</v>
      </c>
      <c r="AD57" s="33">
        <v>0</v>
      </c>
      <c r="AE57" s="33">
        <v>0</v>
      </c>
      <c r="AF57" s="33">
        <v>0</v>
      </c>
      <c r="AG57" s="33">
        <v>0</v>
      </c>
      <c r="AH57" s="33">
        <v>0</v>
      </c>
      <c r="AI57" s="33">
        <v>0</v>
      </c>
      <c r="AJ57" s="33">
        <v>0</v>
      </c>
      <c r="AK57" s="33">
        <v>0</v>
      </c>
      <c r="AL57" s="33">
        <v>0</v>
      </c>
      <c r="AM57" s="33">
        <v>0</v>
      </c>
      <c r="AN57" s="33"/>
      <c r="AO57" s="33"/>
      <c r="AS57" s="31"/>
    </row>
    <row r="58" spans="1:45">
      <c r="A58" s="31">
        <v>57</v>
      </c>
      <c r="B58" s="31" t="s">
        <v>65</v>
      </c>
      <c r="C58" s="31" t="s">
        <v>531</v>
      </c>
      <c r="D58" s="31"/>
      <c r="E58" s="31"/>
      <c r="F58" s="31" t="s">
        <v>544</v>
      </c>
      <c r="G58" s="31">
        <v>2010</v>
      </c>
      <c r="H58" s="31"/>
      <c r="I58" s="33" t="s">
        <v>71</v>
      </c>
      <c r="J58" s="34">
        <v>0</v>
      </c>
      <c r="K58" s="34">
        <v>0</v>
      </c>
      <c r="L58" s="34">
        <v>0</v>
      </c>
      <c r="M58" s="34">
        <v>0</v>
      </c>
      <c r="N58" s="34">
        <v>240.79429308437139</v>
      </c>
      <c r="O58" s="33">
        <v>240.79429308437139</v>
      </c>
      <c r="P58" s="33">
        <v>240.79429308437139</v>
      </c>
      <c r="Q58" s="33">
        <v>240.79429308437139</v>
      </c>
      <c r="R58" s="33">
        <v>240.79429308437139</v>
      </c>
      <c r="S58" s="33">
        <v>240.79429308437139</v>
      </c>
      <c r="T58" s="33">
        <v>240.79429308437139</v>
      </c>
      <c r="U58" s="33">
        <v>240.79429308437139</v>
      </c>
      <c r="V58" s="33">
        <v>238.20742511927511</v>
      </c>
      <c r="W58" s="33">
        <v>53.893082606184144</v>
      </c>
      <c r="X58" s="33">
        <v>0</v>
      </c>
      <c r="Y58" s="33">
        <v>0</v>
      </c>
      <c r="Z58" s="33">
        <v>0</v>
      </c>
      <c r="AA58" s="33">
        <v>0</v>
      </c>
      <c r="AB58" s="33">
        <v>0</v>
      </c>
      <c r="AC58" s="33">
        <v>0</v>
      </c>
      <c r="AD58" s="33">
        <v>0</v>
      </c>
      <c r="AE58" s="33">
        <v>0</v>
      </c>
      <c r="AF58" s="33">
        <v>0</v>
      </c>
      <c r="AG58" s="33">
        <v>0</v>
      </c>
      <c r="AH58" s="33">
        <v>0</v>
      </c>
      <c r="AI58" s="33">
        <v>0</v>
      </c>
      <c r="AJ58" s="33">
        <v>0</v>
      </c>
      <c r="AK58" s="33">
        <v>0</v>
      </c>
      <c r="AL58" s="33">
        <v>0</v>
      </c>
      <c r="AM58" s="33">
        <v>0</v>
      </c>
      <c r="AN58" s="33"/>
      <c r="AO58" s="33"/>
      <c r="AS58" s="31"/>
    </row>
    <row r="59" spans="1:45">
      <c r="A59" s="31">
        <v>58</v>
      </c>
      <c r="B59" s="31" t="s">
        <v>69</v>
      </c>
      <c r="C59" s="31" t="s">
        <v>139</v>
      </c>
      <c r="D59" s="31"/>
      <c r="E59" s="31"/>
      <c r="F59" s="31" t="s">
        <v>544</v>
      </c>
      <c r="G59" s="31">
        <v>2010</v>
      </c>
      <c r="H59" s="31"/>
      <c r="I59" s="33" t="s">
        <v>58</v>
      </c>
      <c r="J59" s="34">
        <v>0</v>
      </c>
      <c r="K59" s="34">
        <v>0</v>
      </c>
      <c r="L59" s="34">
        <v>0</v>
      </c>
      <c r="M59" s="34">
        <v>0</v>
      </c>
      <c r="N59" s="34">
        <v>0</v>
      </c>
      <c r="O59" s="33">
        <v>0</v>
      </c>
      <c r="P59" s="33">
        <v>0</v>
      </c>
      <c r="Q59" s="33">
        <v>0</v>
      </c>
      <c r="R59" s="33">
        <v>0</v>
      </c>
      <c r="S59" s="33">
        <v>0</v>
      </c>
      <c r="T59" s="33">
        <v>0</v>
      </c>
      <c r="U59" s="33">
        <v>0</v>
      </c>
      <c r="V59" s="33">
        <v>0</v>
      </c>
      <c r="W59" s="33">
        <v>0</v>
      </c>
      <c r="X59" s="33">
        <v>0</v>
      </c>
      <c r="Y59" s="33">
        <v>0</v>
      </c>
      <c r="Z59" s="33">
        <v>0</v>
      </c>
      <c r="AA59" s="33">
        <v>0</v>
      </c>
      <c r="AB59" s="33">
        <v>0</v>
      </c>
      <c r="AC59" s="33">
        <v>0</v>
      </c>
      <c r="AD59" s="33">
        <v>0</v>
      </c>
      <c r="AE59" s="33">
        <v>0</v>
      </c>
      <c r="AF59" s="33">
        <v>0</v>
      </c>
      <c r="AG59" s="33">
        <v>0</v>
      </c>
      <c r="AH59" s="33">
        <v>0</v>
      </c>
      <c r="AI59" s="33">
        <v>0</v>
      </c>
      <c r="AJ59" s="33">
        <v>0</v>
      </c>
      <c r="AK59" s="33">
        <v>0</v>
      </c>
      <c r="AL59" s="33">
        <v>0</v>
      </c>
      <c r="AM59" s="33">
        <v>0</v>
      </c>
      <c r="AN59" s="33"/>
      <c r="AO59" s="33"/>
      <c r="AS59" s="31"/>
    </row>
    <row r="60" spans="1:45">
      <c r="A60" s="31">
        <v>59</v>
      </c>
      <c r="B60" s="31" t="s">
        <v>1</v>
      </c>
      <c r="C60" s="31" t="s">
        <v>42</v>
      </c>
      <c r="D60" s="31"/>
      <c r="E60" s="31"/>
      <c r="F60" s="31" t="s">
        <v>544</v>
      </c>
      <c r="G60" s="31">
        <v>2010</v>
      </c>
      <c r="H60" s="31"/>
      <c r="I60" s="33" t="s">
        <v>71</v>
      </c>
      <c r="J60" s="34">
        <v>0</v>
      </c>
      <c r="K60" s="34">
        <v>0</v>
      </c>
      <c r="L60" s="34">
        <v>0</v>
      </c>
      <c r="M60" s="34">
        <v>0</v>
      </c>
      <c r="N60" s="34">
        <v>196.16017213547786</v>
      </c>
      <c r="O60" s="33">
        <v>196.16017213547786</v>
      </c>
      <c r="P60" s="33">
        <v>196.16017213547786</v>
      </c>
      <c r="Q60" s="33">
        <v>196.16017213547786</v>
      </c>
      <c r="R60" s="33">
        <v>196.16017213547786</v>
      </c>
      <c r="S60" s="33">
        <v>196.16017213547786</v>
      </c>
      <c r="T60" s="33">
        <v>196.16017213547786</v>
      </c>
      <c r="U60" s="33">
        <v>196.16017213547786</v>
      </c>
      <c r="V60" s="33">
        <v>196.16017213547786</v>
      </c>
      <c r="W60" s="33">
        <v>196.16017213547786</v>
      </c>
      <c r="X60" s="33">
        <v>196.16017213547786</v>
      </c>
      <c r="Y60" s="33">
        <v>196.16017213547786</v>
      </c>
      <c r="Z60" s="33">
        <v>196.16017213547786</v>
      </c>
      <c r="AA60" s="33">
        <v>196.16017213547786</v>
      </c>
      <c r="AB60" s="33">
        <v>196.16017213547786</v>
      </c>
      <c r="AC60" s="33">
        <v>196.16017213547786</v>
      </c>
      <c r="AD60" s="33">
        <v>196.16017213547786</v>
      </c>
      <c r="AE60" s="33">
        <v>196.16017213547786</v>
      </c>
      <c r="AF60" s="33">
        <v>196.16017213547786</v>
      </c>
      <c r="AG60" s="33">
        <v>196.16017213547786</v>
      </c>
      <c r="AH60" s="33">
        <v>0</v>
      </c>
      <c r="AI60" s="33">
        <v>0</v>
      </c>
      <c r="AJ60" s="33">
        <v>0</v>
      </c>
      <c r="AK60" s="33">
        <v>0</v>
      </c>
      <c r="AL60" s="33">
        <v>0</v>
      </c>
      <c r="AM60" s="33">
        <v>0</v>
      </c>
      <c r="AN60" s="33"/>
      <c r="AO60" s="33"/>
      <c r="AS60" s="31"/>
    </row>
    <row r="61" spans="1:45">
      <c r="A61" s="31">
        <v>60</v>
      </c>
      <c r="B61" s="31" t="s">
        <v>1</v>
      </c>
      <c r="C61" s="31" t="s">
        <v>536</v>
      </c>
      <c r="D61" s="31"/>
      <c r="E61" s="31"/>
      <c r="F61" s="31" t="s">
        <v>544</v>
      </c>
      <c r="G61" s="31">
        <v>2010</v>
      </c>
      <c r="H61" s="31"/>
      <c r="I61" s="33" t="s">
        <v>70</v>
      </c>
      <c r="J61" s="34">
        <v>0</v>
      </c>
      <c r="K61" s="34">
        <v>0</v>
      </c>
      <c r="L61" s="34">
        <v>0</v>
      </c>
      <c r="M61" s="34">
        <v>0</v>
      </c>
      <c r="N61" s="34">
        <v>539.41236895018005</v>
      </c>
      <c r="O61" s="33">
        <v>539.41236895018005</v>
      </c>
      <c r="P61" s="33">
        <v>539.41236895018005</v>
      </c>
      <c r="Q61" s="33">
        <v>539.41236895018005</v>
      </c>
      <c r="R61" s="33">
        <v>539.41236895018005</v>
      </c>
      <c r="S61" s="33">
        <v>539.41236895018005</v>
      </c>
      <c r="T61" s="33">
        <v>539.41236895018005</v>
      </c>
      <c r="U61" s="33">
        <v>364.05128221036796</v>
      </c>
      <c r="V61" s="33">
        <v>0</v>
      </c>
      <c r="W61" s="33">
        <v>0</v>
      </c>
      <c r="X61" s="33">
        <v>0</v>
      </c>
      <c r="Y61" s="33">
        <v>0</v>
      </c>
      <c r="Z61" s="33">
        <v>0</v>
      </c>
      <c r="AA61" s="33">
        <v>0</v>
      </c>
      <c r="AB61" s="33">
        <v>0</v>
      </c>
      <c r="AC61" s="33">
        <v>0</v>
      </c>
      <c r="AD61" s="33">
        <v>0</v>
      </c>
      <c r="AE61" s="33">
        <v>0</v>
      </c>
      <c r="AF61" s="33">
        <v>0</v>
      </c>
      <c r="AG61" s="33">
        <v>0</v>
      </c>
      <c r="AH61" s="33">
        <v>0</v>
      </c>
      <c r="AI61" s="33">
        <v>0</v>
      </c>
      <c r="AJ61" s="33">
        <v>0</v>
      </c>
      <c r="AK61" s="33">
        <v>0</v>
      </c>
      <c r="AL61" s="33">
        <v>0</v>
      </c>
      <c r="AM61" s="33">
        <v>0</v>
      </c>
      <c r="AN61" s="33"/>
      <c r="AO61" s="33"/>
      <c r="AS61" s="31"/>
    </row>
    <row r="62" spans="1:45">
      <c r="A62" s="31">
        <v>61</v>
      </c>
      <c r="B62" s="31" t="s">
        <v>60</v>
      </c>
      <c r="C62" s="31" t="s">
        <v>59</v>
      </c>
      <c r="D62" s="31"/>
      <c r="E62" s="31"/>
      <c r="F62" s="31" t="s">
        <v>544</v>
      </c>
      <c r="G62" s="31">
        <v>2010</v>
      </c>
      <c r="H62" s="31"/>
      <c r="I62" s="33" t="s">
        <v>17</v>
      </c>
      <c r="J62" s="34">
        <v>0</v>
      </c>
      <c r="K62" s="34">
        <v>0</v>
      </c>
      <c r="L62" s="34">
        <v>0</v>
      </c>
      <c r="M62" s="34">
        <v>0</v>
      </c>
      <c r="N62" s="34">
        <v>99.460353780097165</v>
      </c>
      <c r="O62" s="33">
        <v>99.460353780097165</v>
      </c>
      <c r="P62" s="33">
        <v>99.460353780097165</v>
      </c>
      <c r="Q62" s="33">
        <v>99.460353780097165</v>
      </c>
      <c r="R62" s="33">
        <v>99.460353780097165</v>
      </c>
      <c r="S62" s="33">
        <v>99.460353780097165</v>
      </c>
      <c r="T62" s="33">
        <v>99.460353780097165</v>
      </c>
      <c r="U62" s="33">
        <v>99.460353780097165</v>
      </c>
      <c r="V62" s="33">
        <v>99.460353780097165</v>
      </c>
      <c r="W62" s="33">
        <v>8.8903109524138273</v>
      </c>
      <c r="X62" s="33">
        <v>0</v>
      </c>
      <c r="Y62" s="33">
        <v>0</v>
      </c>
      <c r="Z62" s="33">
        <v>0</v>
      </c>
      <c r="AA62" s="33">
        <v>0</v>
      </c>
      <c r="AB62" s="33">
        <v>0</v>
      </c>
      <c r="AC62" s="33">
        <v>0</v>
      </c>
      <c r="AD62" s="33">
        <v>0</v>
      </c>
      <c r="AE62" s="33">
        <v>0</v>
      </c>
      <c r="AF62" s="33">
        <v>0</v>
      </c>
      <c r="AG62" s="33">
        <v>0</v>
      </c>
      <c r="AH62" s="33">
        <v>0</v>
      </c>
      <c r="AI62" s="33">
        <v>0</v>
      </c>
      <c r="AJ62" s="33">
        <v>0</v>
      </c>
      <c r="AK62" s="33">
        <v>0</v>
      </c>
      <c r="AL62" s="33">
        <v>0</v>
      </c>
      <c r="AM62" s="33">
        <v>0</v>
      </c>
      <c r="AN62" s="33"/>
      <c r="AO62" s="33"/>
      <c r="AS62" s="31"/>
    </row>
    <row r="63" spans="1:45">
      <c r="A63" s="31">
        <v>62</v>
      </c>
      <c r="B63" s="31" t="s">
        <v>62</v>
      </c>
      <c r="C63" s="31" t="s">
        <v>61</v>
      </c>
      <c r="D63" s="31"/>
      <c r="E63" s="31"/>
      <c r="F63" s="31" t="s">
        <v>544</v>
      </c>
      <c r="G63" s="31">
        <v>2010</v>
      </c>
      <c r="H63" s="31"/>
      <c r="I63" s="33" t="s">
        <v>71</v>
      </c>
      <c r="J63" s="34">
        <v>0</v>
      </c>
      <c r="K63" s="34">
        <v>0</v>
      </c>
      <c r="L63" s="34">
        <v>0</v>
      </c>
      <c r="M63" s="34">
        <v>0</v>
      </c>
      <c r="N63" s="34">
        <v>927.03949446998331</v>
      </c>
      <c r="O63" s="33">
        <v>0</v>
      </c>
      <c r="P63" s="33">
        <v>0</v>
      </c>
      <c r="Q63" s="33">
        <v>0</v>
      </c>
      <c r="R63" s="33">
        <v>0</v>
      </c>
      <c r="S63" s="33">
        <v>0</v>
      </c>
      <c r="T63" s="33">
        <v>0</v>
      </c>
      <c r="U63" s="33">
        <v>0</v>
      </c>
      <c r="V63" s="33">
        <v>0</v>
      </c>
      <c r="W63" s="33">
        <v>0</v>
      </c>
      <c r="X63" s="33">
        <v>0</v>
      </c>
      <c r="Y63" s="33">
        <v>0</v>
      </c>
      <c r="Z63" s="33">
        <v>0</v>
      </c>
      <c r="AA63" s="33">
        <v>0</v>
      </c>
      <c r="AB63" s="33">
        <v>0</v>
      </c>
      <c r="AC63" s="33">
        <v>0</v>
      </c>
      <c r="AD63" s="33">
        <v>0</v>
      </c>
      <c r="AE63" s="33">
        <v>0</v>
      </c>
      <c r="AF63" s="33">
        <v>0</v>
      </c>
      <c r="AG63" s="33">
        <v>0</v>
      </c>
      <c r="AH63" s="33">
        <v>0</v>
      </c>
      <c r="AI63" s="33">
        <v>0</v>
      </c>
      <c r="AJ63" s="33">
        <v>0</v>
      </c>
      <c r="AK63" s="33">
        <v>0</v>
      </c>
      <c r="AL63" s="33">
        <v>0</v>
      </c>
      <c r="AM63" s="33">
        <v>0</v>
      </c>
      <c r="AN63" s="33"/>
      <c r="AO63" s="33"/>
      <c r="AS63" s="31"/>
    </row>
    <row r="64" spans="1:45">
      <c r="A64" s="31">
        <v>63</v>
      </c>
      <c r="B64" s="31" t="s">
        <v>62</v>
      </c>
      <c r="C64" s="31" t="s">
        <v>49</v>
      </c>
      <c r="D64" s="31"/>
      <c r="E64" s="31"/>
      <c r="F64" s="31" t="s">
        <v>544</v>
      </c>
      <c r="G64" s="31">
        <v>2010</v>
      </c>
      <c r="H64" s="31"/>
      <c r="I64" s="33" t="s">
        <v>71</v>
      </c>
      <c r="J64" s="34">
        <v>0</v>
      </c>
      <c r="K64" s="34">
        <v>0</v>
      </c>
      <c r="L64" s="34">
        <v>0</v>
      </c>
      <c r="M64" s="34">
        <v>0</v>
      </c>
      <c r="N64" s="34">
        <v>32.85625239207058</v>
      </c>
      <c r="O64" s="33">
        <v>0</v>
      </c>
      <c r="P64" s="33">
        <v>0</v>
      </c>
      <c r="Q64" s="33">
        <v>0</v>
      </c>
      <c r="R64" s="33">
        <v>0</v>
      </c>
      <c r="S64" s="33">
        <v>0</v>
      </c>
      <c r="T64" s="33">
        <v>0</v>
      </c>
      <c r="U64" s="33">
        <v>0</v>
      </c>
      <c r="V64" s="33">
        <v>0</v>
      </c>
      <c r="W64" s="33">
        <v>0</v>
      </c>
      <c r="X64" s="33">
        <v>0</v>
      </c>
      <c r="Y64" s="33">
        <v>0</v>
      </c>
      <c r="Z64" s="33">
        <v>0</v>
      </c>
      <c r="AA64" s="33">
        <v>0</v>
      </c>
      <c r="AB64" s="33">
        <v>0</v>
      </c>
      <c r="AC64" s="33">
        <v>0</v>
      </c>
      <c r="AD64" s="33">
        <v>0</v>
      </c>
      <c r="AE64" s="33">
        <v>0</v>
      </c>
      <c r="AF64" s="33">
        <v>0</v>
      </c>
      <c r="AG64" s="33">
        <v>0</v>
      </c>
      <c r="AH64" s="33">
        <v>0</v>
      </c>
      <c r="AI64" s="33">
        <v>0</v>
      </c>
      <c r="AJ64" s="33">
        <v>0</v>
      </c>
      <c r="AK64" s="33">
        <v>0</v>
      </c>
      <c r="AL64" s="33">
        <v>0</v>
      </c>
      <c r="AM64" s="33">
        <v>0</v>
      </c>
      <c r="AN64" s="33"/>
      <c r="AO64" s="33"/>
      <c r="AS64" s="31"/>
    </row>
    <row r="65" spans="1:45">
      <c r="A65" s="31">
        <v>64</v>
      </c>
      <c r="B65" s="31" t="s">
        <v>62</v>
      </c>
      <c r="C65" s="31" t="s">
        <v>63</v>
      </c>
      <c r="D65" s="31"/>
      <c r="E65" s="31"/>
      <c r="F65" s="31" t="s">
        <v>544</v>
      </c>
      <c r="G65" s="31">
        <v>2010</v>
      </c>
      <c r="H65" s="31"/>
      <c r="I65" s="33" t="s">
        <v>71</v>
      </c>
      <c r="J65" s="34">
        <v>0</v>
      </c>
      <c r="K65" s="34">
        <v>0</v>
      </c>
      <c r="L65" s="34">
        <v>0</v>
      </c>
      <c r="M65" s="34">
        <v>0</v>
      </c>
      <c r="N65" s="34">
        <v>0</v>
      </c>
      <c r="O65" s="33">
        <v>0</v>
      </c>
      <c r="P65" s="33">
        <v>0</v>
      </c>
      <c r="Q65" s="33">
        <v>0</v>
      </c>
      <c r="R65" s="33">
        <v>0</v>
      </c>
      <c r="S65" s="33">
        <v>0</v>
      </c>
      <c r="T65" s="33">
        <v>0</v>
      </c>
      <c r="U65" s="33">
        <v>0</v>
      </c>
      <c r="V65" s="33">
        <v>0</v>
      </c>
      <c r="W65" s="33">
        <v>0</v>
      </c>
      <c r="X65" s="33">
        <v>0</v>
      </c>
      <c r="Y65" s="33">
        <v>0</v>
      </c>
      <c r="Z65" s="33">
        <v>0</v>
      </c>
      <c r="AA65" s="33">
        <v>0</v>
      </c>
      <c r="AB65" s="33">
        <v>0</v>
      </c>
      <c r="AC65" s="33">
        <v>0</v>
      </c>
      <c r="AD65" s="33">
        <v>0</v>
      </c>
      <c r="AE65" s="33">
        <v>0</v>
      </c>
      <c r="AF65" s="33">
        <v>0</v>
      </c>
      <c r="AG65" s="33">
        <v>0</v>
      </c>
      <c r="AH65" s="33">
        <v>0</v>
      </c>
      <c r="AI65" s="33">
        <v>0</v>
      </c>
      <c r="AJ65" s="33">
        <v>0</v>
      </c>
      <c r="AK65" s="33">
        <v>0</v>
      </c>
      <c r="AL65" s="33">
        <v>0</v>
      </c>
      <c r="AM65" s="33">
        <v>0</v>
      </c>
      <c r="AN65" s="33"/>
      <c r="AO65" s="33"/>
      <c r="AS65" s="31"/>
    </row>
    <row r="66" spans="1:45">
      <c r="A66" s="31">
        <v>65</v>
      </c>
      <c r="B66" s="31" t="s">
        <v>15</v>
      </c>
      <c r="C66" s="31" t="s">
        <v>64</v>
      </c>
      <c r="D66" s="31"/>
      <c r="E66" s="31"/>
      <c r="F66" s="31" t="s">
        <v>544</v>
      </c>
      <c r="G66" s="31">
        <v>2010</v>
      </c>
      <c r="H66" s="31"/>
      <c r="I66" s="33" t="s">
        <v>58</v>
      </c>
      <c r="J66" s="34">
        <v>0</v>
      </c>
      <c r="K66" s="34">
        <v>0</v>
      </c>
      <c r="L66" s="34">
        <v>0</v>
      </c>
      <c r="M66" s="34">
        <v>0</v>
      </c>
      <c r="N66" s="34">
        <v>0</v>
      </c>
      <c r="O66" s="33">
        <v>0</v>
      </c>
      <c r="P66" s="33">
        <v>0</v>
      </c>
      <c r="Q66" s="33">
        <v>0</v>
      </c>
      <c r="R66" s="33">
        <v>0</v>
      </c>
      <c r="S66" s="33">
        <v>0</v>
      </c>
      <c r="T66" s="33">
        <v>0</v>
      </c>
      <c r="U66" s="33">
        <v>0</v>
      </c>
      <c r="V66" s="33">
        <v>0</v>
      </c>
      <c r="W66" s="33">
        <v>0</v>
      </c>
      <c r="X66" s="33">
        <v>0</v>
      </c>
      <c r="Y66" s="33">
        <v>0</v>
      </c>
      <c r="Z66" s="33">
        <v>0</v>
      </c>
      <c r="AA66" s="33">
        <v>0</v>
      </c>
      <c r="AB66" s="33">
        <v>0</v>
      </c>
      <c r="AC66" s="33">
        <v>0</v>
      </c>
      <c r="AD66" s="33">
        <v>0</v>
      </c>
      <c r="AE66" s="33">
        <v>0</v>
      </c>
      <c r="AF66" s="33">
        <v>0</v>
      </c>
      <c r="AG66" s="33">
        <v>0</v>
      </c>
      <c r="AH66" s="33">
        <v>0</v>
      </c>
      <c r="AI66" s="33">
        <v>0</v>
      </c>
      <c r="AJ66" s="33">
        <v>0</v>
      </c>
      <c r="AK66" s="33">
        <v>0</v>
      </c>
      <c r="AL66" s="33">
        <v>0</v>
      </c>
      <c r="AM66" s="33">
        <v>0</v>
      </c>
      <c r="AN66" s="33"/>
      <c r="AO66" s="33"/>
      <c r="AS66" s="31"/>
    </row>
    <row r="67" spans="1:45">
      <c r="A67" s="31" t="s">
        <v>37</v>
      </c>
      <c r="B67" s="31" t="s">
        <v>15</v>
      </c>
      <c r="C67" s="31" t="s">
        <v>19</v>
      </c>
      <c r="D67" s="31" t="s">
        <v>3</v>
      </c>
      <c r="E67" s="31" t="s">
        <v>17</v>
      </c>
      <c r="F67" s="31" t="s">
        <v>5</v>
      </c>
      <c r="G67" s="31">
        <v>2011</v>
      </c>
      <c r="H67" s="31" t="s">
        <v>20</v>
      </c>
      <c r="I67" s="33" t="s">
        <v>17</v>
      </c>
      <c r="J67" s="34"/>
      <c r="K67" s="34"/>
      <c r="L67" s="34"/>
      <c r="M67" s="34"/>
      <c r="N67" s="34"/>
      <c r="O67" s="33">
        <v>2.6455572143763835</v>
      </c>
      <c r="P67" s="33">
        <v>2.6455572143763835</v>
      </c>
      <c r="Q67" s="33">
        <v>2.6455572143763835</v>
      </c>
      <c r="R67" s="33">
        <v>1.3449039579844146</v>
      </c>
      <c r="S67" s="33">
        <v>0</v>
      </c>
      <c r="T67" s="33">
        <v>0</v>
      </c>
      <c r="U67" s="33">
        <v>0</v>
      </c>
      <c r="V67" s="33">
        <v>0</v>
      </c>
      <c r="W67" s="33">
        <v>0</v>
      </c>
      <c r="X67" s="33">
        <v>0</v>
      </c>
      <c r="Y67" s="33">
        <v>0</v>
      </c>
      <c r="Z67" s="33">
        <v>0</v>
      </c>
      <c r="AA67" s="33">
        <v>0</v>
      </c>
      <c r="AB67" s="33">
        <v>0</v>
      </c>
      <c r="AC67" s="33">
        <v>0</v>
      </c>
      <c r="AD67" s="33">
        <v>0</v>
      </c>
      <c r="AE67" s="33">
        <v>0</v>
      </c>
      <c r="AF67" s="33">
        <v>0</v>
      </c>
      <c r="AG67" s="33">
        <v>0</v>
      </c>
      <c r="AH67" s="33">
        <v>0</v>
      </c>
      <c r="AI67" s="33">
        <v>0</v>
      </c>
      <c r="AJ67" s="33">
        <v>0</v>
      </c>
      <c r="AK67" s="33">
        <v>0</v>
      </c>
      <c r="AL67" s="33">
        <v>0</v>
      </c>
      <c r="AM67" s="33">
        <v>0</v>
      </c>
      <c r="AN67" s="33">
        <v>0</v>
      </c>
      <c r="AO67" s="33">
        <v>0</v>
      </c>
      <c r="AS67" s="31"/>
    </row>
    <row r="68" spans="1:45">
      <c r="A68" s="31" t="s">
        <v>37</v>
      </c>
      <c r="B68" s="31" t="s">
        <v>15</v>
      </c>
      <c r="C68" s="31" t="s">
        <v>21</v>
      </c>
      <c r="D68" s="31" t="s">
        <v>3</v>
      </c>
      <c r="E68" s="31" t="s">
        <v>17</v>
      </c>
      <c r="F68" s="31" t="s">
        <v>5</v>
      </c>
      <c r="G68" s="31">
        <v>2011</v>
      </c>
      <c r="H68" s="31" t="s">
        <v>20</v>
      </c>
      <c r="I68" s="33" t="s">
        <v>17</v>
      </c>
      <c r="J68" s="34"/>
      <c r="K68" s="34"/>
      <c r="L68" s="34"/>
      <c r="M68" s="34"/>
      <c r="N68" s="34"/>
      <c r="O68" s="33">
        <v>69.601599460639406</v>
      </c>
      <c r="P68" s="33">
        <v>69.601599460639406</v>
      </c>
      <c r="Q68" s="33">
        <v>69.601599460639406</v>
      </c>
      <c r="R68" s="33">
        <v>69.39882879829203</v>
      </c>
      <c r="S68" s="33">
        <v>53.021472672112083</v>
      </c>
      <c r="T68" s="33">
        <v>0</v>
      </c>
      <c r="U68" s="33">
        <v>0</v>
      </c>
      <c r="V68" s="33">
        <v>0</v>
      </c>
      <c r="W68" s="33">
        <v>0</v>
      </c>
      <c r="X68" s="33">
        <v>0</v>
      </c>
      <c r="Y68" s="33">
        <v>0</v>
      </c>
      <c r="Z68" s="33">
        <v>0</v>
      </c>
      <c r="AA68" s="33">
        <v>0</v>
      </c>
      <c r="AB68" s="33">
        <v>0</v>
      </c>
      <c r="AC68" s="33">
        <v>0</v>
      </c>
      <c r="AD68" s="33">
        <v>0</v>
      </c>
      <c r="AE68" s="33">
        <v>0</v>
      </c>
      <c r="AF68" s="33">
        <v>0</v>
      </c>
      <c r="AG68" s="33">
        <v>0</v>
      </c>
      <c r="AH68" s="33">
        <v>0</v>
      </c>
      <c r="AI68" s="33">
        <v>0</v>
      </c>
      <c r="AJ68" s="33">
        <v>0</v>
      </c>
      <c r="AK68" s="33">
        <v>0</v>
      </c>
      <c r="AL68" s="33">
        <v>0</v>
      </c>
      <c r="AM68" s="33">
        <v>0</v>
      </c>
      <c r="AN68" s="33">
        <v>0</v>
      </c>
      <c r="AO68" s="33">
        <v>0</v>
      </c>
      <c r="AS68" s="31"/>
    </row>
    <row r="69" spans="1:45">
      <c r="A69" s="31" t="s">
        <v>37</v>
      </c>
      <c r="B69" s="31" t="s">
        <v>15</v>
      </c>
      <c r="C69" s="31" t="s">
        <v>43</v>
      </c>
      <c r="D69" s="31" t="s">
        <v>3</v>
      </c>
      <c r="E69" s="31" t="s">
        <v>17</v>
      </c>
      <c r="F69" s="31" t="s">
        <v>5</v>
      </c>
      <c r="G69" s="31">
        <v>2011</v>
      </c>
      <c r="H69" s="31" t="s">
        <v>44</v>
      </c>
      <c r="I69" s="33" t="s">
        <v>17</v>
      </c>
      <c r="J69" s="34"/>
      <c r="K69" s="34"/>
      <c r="L69" s="34"/>
      <c r="M69" s="34"/>
      <c r="N69" s="34"/>
      <c r="O69" s="33">
        <v>147.34181483343073</v>
      </c>
      <c r="P69" s="33">
        <v>147.34181483343073</v>
      </c>
      <c r="Q69" s="33">
        <v>147.34181483343073</v>
      </c>
      <c r="R69" s="33">
        <v>147.34181483343073</v>
      </c>
      <c r="S69" s="33">
        <v>134.6595677972341</v>
      </c>
      <c r="T69" s="33">
        <v>120.80474712380592</v>
      </c>
      <c r="U69" s="33">
        <v>91.079078220949626</v>
      </c>
      <c r="V69" s="33">
        <v>90.746825395207281</v>
      </c>
      <c r="W69" s="33">
        <v>117.2838931048321</v>
      </c>
      <c r="X69" s="33">
        <v>37.635379146352172</v>
      </c>
      <c r="Y69" s="33">
        <v>13.551282440501565</v>
      </c>
      <c r="Z69" s="33">
        <v>11.928815044419586</v>
      </c>
      <c r="AA69" s="33">
        <v>11.928815044419586</v>
      </c>
      <c r="AB69" s="33">
        <v>8.8099309406581483</v>
      </c>
      <c r="AC69" s="33">
        <v>8.8099309406581483</v>
      </c>
      <c r="AD69" s="33">
        <v>8.004767440986658</v>
      </c>
      <c r="AE69" s="33">
        <v>0</v>
      </c>
      <c r="AF69" s="33">
        <v>0</v>
      </c>
      <c r="AG69" s="33">
        <v>0</v>
      </c>
      <c r="AH69" s="33">
        <v>0</v>
      </c>
      <c r="AI69" s="33">
        <v>0</v>
      </c>
      <c r="AJ69" s="33">
        <v>0</v>
      </c>
      <c r="AK69" s="33">
        <v>0</v>
      </c>
      <c r="AL69" s="33">
        <v>0</v>
      </c>
      <c r="AM69" s="33">
        <v>0</v>
      </c>
      <c r="AN69" s="33">
        <v>0</v>
      </c>
      <c r="AO69" s="33">
        <v>0</v>
      </c>
      <c r="AP69" s="29">
        <v>0</v>
      </c>
      <c r="AQ69" s="29">
        <v>0</v>
      </c>
      <c r="AR69" s="29">
        <v>0</v>
      </c>
      <c r="AS69" s="31"/>
    </row>
    <row r="70" spans="1:45">
      <c r="A70" s="31" t="s">
        <v>37</v>
      </c>
      <c r="B70" s="31" t="s">
        <v>15</v>
      </c>
      <c r="C70" s="31" t="s">
        <v>45</v>
      </c>
      <c r="D70" s="31" t="s">
        <v>3</v>
      </c>
      <c r="E70" s="31" t="s">
        <v>17</v>
      </c>
      <c r="F70" s="31" t="s">
        <v>5</v>
      </c>
      <c r="G70" s="31">
        <v>2011</v>
      </c>
      <c r="H70" s="31" t="s">
        <v>44</v>
      </c>
      <c r="I70" s="33" t="s">
        <v>17</v>
      </c>
      <c r="J70" s="34"/>
      <c r="K70" s="34"/>
      <c r="L70" s="34"/>
      <c r="M70" s="34"/>
      <c r="N70" s="34"/>
      <c r="O70" s="33">
        <v>98.588392128109732</v>
      </c>
      <c r="P70" s="33">
        <v>98.588392128109732</v>
      </c>
      <c r="Q70" s="33">
        <v>98.588392128109732</v>
      </c>
      <c r="R70" s="33">
        <v>98.588392128109732</v>
      </c>
      <c r="S70" s="33">
        <v>90.691192149495038</v>
      </c>
      <c r="T70" s="33">
        <v>82.063833826192706</v>
      </c>
      <c r="U70" s="33">
        <v>63.466740211501737</v>
      </c>
      <c r="V70" s="33">
        <v>63.073310674987773</v>
      </c>
      <c r="W70" s="33">
        <v>79.59786897690482</v>
      </c>
      <c r="X70" s="33">
        <v>30.00096072126539</v>
      </c>
      <c r="Y70" s="33">
        <v>9.5688028688967588</v>
      </c>
      <c r="Z70" s="33">
        <v>7.6793459358531697</v>
      </c>
      <c r="AA70" s="33">
        <v>7.6793459358531697</v>
      </c>
      <c r="AB70" s="33">
        <v>7.0977623575864515</v>
      </c>
      <c r="AC70" s="33">
        <v>7.0977623575864515</v>
      </c>
      <c r="AD70" s="33">
        <v>6.8728127425727399</v>
      </c>
      <c r="AE70" s="33">
        <v>0</v>
      </c>
      <c r="AF70" s="33">
        <v>0</v>
      </c>
      <c r="AG70" s="33">
        <v>0</v>
      </c>
      <c r="AH70" s="33">
        <v>0</v>
      </c>
      <c r="AI70" s="33">
        <v>0</v>
      </c>
      <c r="AJ70" s="33">
        <v>0</v>
      </c>
      <c r="AK70" s="33">
        <v>0</v>
      </c>
      <c r="AL70" s="33">
        <v>0</v>
      </c>
      <c r="AM70" s="33">
        <v>0</v>
      </c>
      <c r="AN70" s="33">
        <v>0</v>
      </c>
      <c r="AO70" s="33">
        <v>0</v>
      </c>
      <c r="AP70" s="29">
        <v>0</v>
      </c>
      <c r="AQ70" s="29">
        <v>0</v>
      </c>
      <c r="AR70" s="29">
        <v>0</v>
      </c>
      <c r="AS70" s="31"/>
    </row>
    <row r="71" spans="1:45">
      <c r="A71" s="31" t="s">
        <v>37</v>
      </c>
      <c r="B71" s="31" t="s">
        <v>15</v>
      </c>
      <c r="C71" s="31" t="s">
        <v>46</v>
      </c>
      <c r="D71" s="31" t="s">
        <v>3</v>
      </c>
      <c r="E71" s="31" t="s">
        <v>17</v>
      </c>
      <c r="F71" s="31" t="s">
        <v>5</v>
      </c>
      <c r="G71" s="31">
        <v>2011</v>
      </c>
      <c r="H71" s="31" t="s">
        <v>47</v>
      </c>
      <c r="I71" s="33" t="s">
        <v>17</v>
      </c>
      <c r="J71" s="34"/>
      <c r="K71" s="34"/>
      <c r="L71" s="34"/>
      <c r="M71" s="34"/>
      <c r="N71" s="34"/>
      <c r="O71" s="33">
        <v>230.81965448490041</v>
      </c>
      <c r="P71" s="33">
        <v>230.81965448490041</v>
      </c>
      <c r="Q71" s="33">
        <v>230.81965448490041</v>
      </c>
      <c r="R71" s="33">
        <v>230.81965448490041</v>
      </c>
      <c r="S71" s="33">
        <v>230.81965448490041</v>
      </c>
      <c r="T71" s="33">
        <v>230.81965448490041</v>
      </c>
      <c r="U71" s="33">
        <v>230.81965448490041</v>
      </c>
      <c r="V71" s="33">
        <v>230.81965448490041</v>
      </c>
      <c r="W71" s="33">
        <v>230.81965448490041</v>
      </c>
      <c r="X71" s="33">
        <v>230.81965448490041</v>
      </c>
      <c r="Y71" s="33">
        <v>230.81965448490041</v>
      </c>
      <c r="Z71" s="33">
        <v>230.81965448490041</v>
      </c>
      <c r="AA71" s="33">
        <v>230.81965448490041</v>
      </c>
      <c r="AB71" s="33">
        <v>230.81965448490041</v>
      </c>
      <c r="AC71" s="33">
        <v>230.81965448490041</v>
      </c>
      <c r="AD71" s="33">
        <v>230.81965448490041</v>
      </c>
      <c r="AE71" s="33">
        <v>230.81965448490041</v>
      </c>
      <c r="AF71" s="33">
        <v>230.81965448490041</v>
      </c>
      <c r="AG71" s="33">
        <v>221.61809416401363</v>
      </c>
      <c r="AH71" s="33">
        <v>0</v>
      </c>
      <c r="AI71" s="33">
        <v>0</v>
      </c>
      <c r="AJ71" s="33">
        <v>0</v>
      </c>
      <c r="AK71" s="33">
        <v>0</v>
      </c>
      <c r="AL71" s="33">
        <v>0</v>
      </c>
      <c r="AM71" s="33">
        <v>0</v>
      </c>
      <c r="AN71" s="33">
        <v>0</v>
      </c>
      <c r="AO71" s="33">
        <v>0</v>
      </c>
      <c r="AP71" s="29">
        <v>0</v>
      </c>
      <c r="AQ71" s="29">
        <v>0</v>
      </c>
      <c r="AR71" s="29">
        <v>0</v>
      </c>
      <c r="AS71" s="31"/>
    </row>
    <row r="72" spans="1:45">
      <c r="A72" s="31" t="s">
        <v>37</v>
      </c>
      <c r="B72" s="31" t="s">
        <v>15</v>
      </c>
      <c r="C72" s="31" t="s">
        <v>54</v>
      </c>
      <c r="D72" s="31" t="s">
        <v>3</v>
      </c>
      <c r="E72" s="31" t="s">
        <v>17</v>
      </c>
      <c r="F72" s="31" t="s">
        <v>5</v>
      </c>
      <c r="G72" s="31">
        <v>2011</v>
      </c>
      <c r="H72" s="31" t="s">
        <v>44</v>
      </c>
      <c r="I72" s="33" t="s">
        <v>17</v>
      </c>
      <c r="J72" s="34"/>
      <c r="K72" s="34"/>
      <c r="L72" s="34"/>
      <c r="M72" s="34"/>
      <c r="N72" s="34"/>
      <c r="O72" s="33">
        <v>0</v>
      </c>
      <c r="P72" s="33">
        <v>0</v>
      </c>
      <c r="Q72" s="33">
        <v>0</v>
      </c>
      <c r="R72" s="33">
        <v>0</v>
      </c>
      <c r="S72" s="33">
        <v>0</v>
      </c>
      <c r="T72" s="33">
        <v>0</v>
      </c>
      <c r="U72" s="33">
        <v>0</v>
      </c>
      <c r="V72" s="33">
        <v>0</v>
      </c>
      <c r="W72" s="33">
        <v>0</v>
      </c>
      <c r="X72" s="33">
        <v>0</v>
      </c>
      <c r="Y72" s="33">
        <v>0</v>
      </c>
      <c r="Z72" s="33">
        <v>0</v>
      </c>
      <c r="AA72" s="33">
        <v>0</v>
      </c>
      <c r="AB72" s="33">
        <v>0</v>
      </c>
      <c r="AC72" s="33">
        <v>0</v>
      </c>
      <c r="AD72" s="33">
        <v>0</v>
      </c>
      <c r="AE72" s="33">
        <v>0</v>
      </c>
      <c r="AF72" s="33">
        <v>0</v>
      </c>
      <c r="AG72" s="33">
        <v>0</v>
      </c>
      <c r="AH72" s="33">
        <v>0</v>
      </c>
      <c r="AI72" s="33">
        <v>0</v>
      </c>
      <c r="AJ72" s="33">
        <v>0</v>
      </c>
      <c r="AK72" s="33">
        <v>0</v>
      </c>
      <c r="AL72" s="33">
        <v>0</v>
      </c>
      <c r="AM72" s="33">
        <v>0</v>
      </c>
      <c r="AN72" s="33">
        <v>0</v>
      </c>
      <c r="AO72" s="33">
        <v>0</v>
      </c>
      <c r="AP72" s="29">
        <v>0</v>
      </c>
      <c r="AQ72" s="29">
        <v>0</v>
      </c>
      <c r="AR72" s="29">
        <v>0</v>
      </c>
      <c r="AS72" s="31"/>
    </row>
    <row r="73" spans="1:45">
      <c r="A73" s="31" t="s">
        <v>37</v>
      </c>
      <c r="B73" s="31" t="s">
        <v>1</v>
      </c>
      <c r="C73" s="31" t="s">
        <v>51</v>
      </c>
      <c r="D73" s="31" t="s">
        <v>3</v>
      </c>
      <c r="E73" s="31" t="s">
        <v>4</v>
      </c>
      <c r="F73" s="31" t="s">
        <v>9</v>
      </c>
      <c r="G73" s="31">
        <v>2011</v>
      </c>
      <c r="H73" s="31" t="s">
        <v>10</v>
      </c>
      <c r="I73" s="33" t="s">
        <v>128</v>
      </c>
      <c r="J73" s="34"/>
      <c r="K73" s="34"/>
      <c r="L73" s="34"/>
      <c r="M73" s="34"/>
      <c r="N73" s="34"/>
      <c r="O73" s="33">
        <v>156.88929999999999</v>
      </c>
      <c r="P73" s="33">
        <v>0</v>
      </c>
      <c r="Q73" s="33">
        <v>0</v>
      </c>
      <c r="R73" s="33">
        <v>0</v>
      </c>
      <c r="S73" s="33">
        <v>0</v>
      </c>
      <c r="T73" s="33">
        <v>0</v>
      </c>
      <c r="U73" s="33">
        <v>0</v>
      </c>
      <c r="V73" s="33">
        <v>0</v>
      </c>
      <c r="W73" s="33">
        <v>0</v>
      </c>
      <c r="X73" s="33">
        <v>0</v>
      </c>
      <c r="Y73" s="33">
        <v>0</v>
      </c>
      <c r="Z73" s="33">
        <v>0</v>
      </c>
      <c r="AA73" s="33">
        <v>0</v>
      </c>
      <c r="AB73" s="33">
        <v>0</v>
      </c>
      <c r="AC73" s="33">
        <v>0</v>
      </c>
      <c r="AD73" s="33">
        <v>0</v>
      </c>
      <c r="AE73" s="33">
        <v>0</v>
      </c>
      <c r="AF73" s="33">
        <v>0</v>
      </c>
      <c r="AG73" s="33">
        <v>0</v>
      </c>
      <c r="AH73" s="33">
        <v>0</v>
      </c>
      <c r="AI73" s="33">
        <v>0</v>
      </c>
      <c r="AJ73" s="33">
        <v>0</v>
      </c>
      <c r="AK73" s="33">
        <v>0</v>
      </c>
      <c r="AL73" s="33">
        <v>0</v>
      </c>
      <c r="AM73" s="33">
        <v>0</v>
      </c>
      <c r="AN73" s="33">
        <v>0</v>
      </c>
      <c r="AO73" s="33">
        <v>0</v>
      </c>
      <c r="AP73" s="29">
        <v>0</v>
      </c>
      <c r="AQ73" s="29">
        <v>0</v>
      </c>
      <c r="AR73" s="29">
        <v>0</v>
      </c>
      <c r="AS73" s="31"/>
    </row>
    <row r="74" spans="1:45">
      <c r="A74" s="31" t="s">
        <v>37</v>
      </c>
      <c r="B74" s="31" t="s">
        <v>1</v>
      </c>
      <c r="C74" s="31" t="s">
        <v>38</v>
      </c>
      <c r="D74" s="31" t="s">
        <v>3</v>
      </c>
      <c r="E74" s="31" t="s">
        <v>4</v>
      </c>
      <c r="F74" s="31" t="s">
        <v>5</v>
      </c>
      <c r="G74" s="31">
        <v>2011</v>
      </c>
      <c r="H74" s="31" t="s">
        <v>13</v>
      </c>
      <c r="I74" s="33" t="s">
        <v>92</v>
      </c>
      <c r="J74" s="34"/>
      <c r="K74" s="34"/>
      <c r="L74" s="34"/>
      <c r="M74" s="34"/>
      <c r="N74" s="34"/>
      <c r="O74" s="33">
        <v>264.37571118334665</v>
      </c>
      <c r="P74" s="33">
        <v>264.37571118334665</v>
      </c>
      <c r="Q74" s="33">
        <v>263.79150502727242</v>
      </c>
      <c r="R74" s="33">
        <v>207.20964262103513</v>
      </c>
      <c r="S74" s="33">
        <v>207.20964262103513</v>
      </c>
      <c r="T74" s="33">
        <v>207.20964262103513</v>
      </c>
      <c r="U74" s="33">
        <v>66.328488080987924</v>
      </c>
      <c r="V74" s="33">
        <v>64.585815387443134</v>
      </c>
      <c r="W74" s="33">
        <v>64.585815387443134</v>
      </c>
      <c r="X74" s="33">
        <v>64.585815387443134</v>
      </c>
      <c r="Y74" s="33">
        <v>41.266623434886171</v>
      </c>
      <c r="Z74" s="33">
        <v>41.266623434886171</v>
      </c>
      <c r="AA74" s="33">
        <v>6.2269197982741717</v>
      </c>
      <c r="AB74" s="33">
        <v>6.2269197982741717</v>
      </c>
      <c r="AC74" s="33">
        <v>6.2269197982741717</v>
      </c>
      <c r="AD74" s="33">
        <v>0</v>
      </c>
      <c r="AE74" s="33">
        <v>0</v>
      </c>
      <c r="AF74" s="33">
        <v>0</v>
      </c>
      <c r="AG74" s="33">
        <v>0</v>
      </c>
      <c r="AH74" s="33">
        <v>0</v>
      </c>
      <c r="AI74" s="33">
        <v>0</v>
      </c>
      <c r="AJ74" s="33">
        <v>0</v>
      </c>
      <c r="AK74" s="33">
        <v>0</v>
      </c>
      <c r="AL74" s="33">
        <v>0</v>
      </c>
      <c r="AM74" s="33">
        <v>0</v>
      </c>
      <c r="AN74" s="33">
        <v>0</v>
      </c>
      <c r="AO74" s="33">
        <v>0</v>
      </c>
      <c r="AP74" s="29">
        <v>0</v>
      </c>
      <c r="AQ74" s="29">
        <v>0</v>
      </c>
      <c r="AR74" s="29">
        <v>0</v>
      </c>
      <c r="AS74" s="31"/>
    </row>
    <row r="75" spans="1:45">
      <c r="A75" s="31" t="s">
        <v>37</v>
      </c>
      <c r="B75" s="31" t="s">
        <v>1</v>
      </c>
      <c r="C75" s="31" t="s">
        <v>12</v>
      </c>
      <c r="D75" s="31" t="s">
        <v>3</v>
      </c>
      <c r="E75" s="31" t="s">
        <v>4</v>
      </c>
      <c r="F75" s="31" t="s">
        <v>5</v>
      </c>
      <c r="G75" s="31">
        <v>2011</v>
      </c>
      <c r="H75" s="31" t="s">
        <v>13</v>
      </c>
      <c r="I75" s="33" t="s">
        <v>93</v>
      </c>
      <c r="J75" s="34"/>
      <c r="K75" s="34"/>
      <c r="L75" s="34"/>
      <c r="M75" s="34"/>
      <c r="N75" s="34"/>
      <c r="O75" s="33">
        <v>1921.8350055572723</v>
      </c>
      <c r="P75" s="33">
        <v>1921.8350055572723</v>
      </c>
      <c r="Q75" s="33">
        <v>1921.8350055572723</v>
      </c>
      <c r="R75" s="33">
        <v>1921.8350055572723</v>
      </c>
      <c r="S75" s="33">
        <v>1921.8350055572723</v>
      </c>
      <c r="T75" s="33">
        <v>1921.8350055572723</v>
      </c>
      <c r="U75" s="33">
        <v>1921.8350055572723</v>
      </c>
      <c r="V75" s="33">
        <v>1921.8350055572723</v>
      </c>
      <c r="W75" s="33">
        <v>1921.8350055572723</v>
      </c>
      <c r="X75" s="33">
        <v>1404.474747747041</v>
      </c>
      <c r="Y75" s="33">
        <v>1404.474747747041</v>
      </c>
      <c r="Z75" s="33">
        <v>1404.474747747041</v>
      </c>
      <c r="AA75" s="33">
        <v>1404.474747747041</v>
      </c>
      <c r="AB75" s="33">
        <v>1404.474747747041</v>
      </c>
      <c r="AC75" s="33">
        <v>32.013294315175727</v>
      </c>
      <c r="AD75" s="33">
        <v>0</v>
      </c>
      <c r="AE75" s="33">
        <v>0</v>
      </c>
      <c r="AF75" s="33">
        <v>0</v>
      </c>
      <c r="AG75" s="33">
        <v>0</v>
      </c>
      <c r="AH75" s="33">
        <v>0</v>
      </c>
      <c r="AI75" s="33">
        <v>0</v>
      </c>
      <c r="AJ75" s="33">
        <v>0</v>
      </c>
      <c r="AK75" s="33">
        <v>0</v>
      </c>
      <c r="AL75" s="33">
        <v>0</v>
      </c>
      <c r="AM75" s="33">
        <v>0</v>
      </c>
      <c r="AN75" s="33">
        <v>0</v>
      </c>
      <c r="AO75" s="33">
        <v>0</v>
      </c>
      <c r="AP75" s="29">
        <v>0</v>
      </c>
      <c r="AQ75" s="29">
        <v>0</v>
      </c>
      <c r="AR75" s="29">
        <v>0</v>
      </c>
      <c r="AS75" s="31"/>
    </row>
    <row r="76" spans="1:45">
      <c r="A76" s="31" t="s">
        <v>37</v>
      </c>
      <c r="B76" s="31" t="s">
        <v>1</v>
      </c>
      <c r="C76" s="31" t="s">
        <v>40</v>
      </c>
      <c r="D76" s="31" t="s">
        <v>3</v>
      </c>
      <c r="E76" s="31" t="s">
        <v>4</v>
      </c>
      <c r="F76" s="31" t="s">
        <v>5</v>
      </c>
      <c r="G76" s="31">
        <v>2011</v>
      </c>
      <c r="H76" s="31" t="s">
        <v>41</v>
      </c>
      <c r="I76" s="33" t="s">
        <v>94</v>
      </c>
      <c r="J76" s="34"/>
      <c r="K76" s="34"/>
      <c r="L76" s="34"/>
      <c r="M76" s="34"/>
      <c r="N76" s="34"/>
      <c r="O76" s="33">
        <v>0</v>
      </c>
      <c r="P76" s="33">
        <v>0</v>
      </c>
      <c r="Q76" s="33">
        <v>0</v>
      </c>
      <c r="R76" s="33">
        <v>0</v>
      </c>
      <c r="S76" s="33">
        <v>0</v>
      </c>
      <c r="T76" s="33">
        <v>0</v>
      </c>
      <c r="U76" s="33">
        <v>0</v>
      </c>
      <c r="V76" s="33">
        <v>0</v>
      </c>
      <c r="W76" s="33">
        <v>0</v>
      </c>
      <c r="X76" s="33">
        <v>0</v>
      </c>
      <c r="Y76" s="33">
        <v>0</v>
      </c>
      <c r="Z76" s="33">
        <v>0</v>
      </c>
      <c r="AA76" s="33">
        <v>0</v>
      </c>
      <c r="AB76" s="33">
        <v>0</v>
      </c>
      <c r="AC76" s="33">
        <v>0</v>
      </c>
      <c r="AD76" s="33">
        <v>0</v>
      </c>
      <c r="AE76" s="33">
        <v>0</v>
      </c>
      <c r="AF76" s="33">
        <v>0</v>
      </c>
      <c r="AG76" s="33">
        <v>0</v>
      </c>
      <c r="AH76" s="33">
        <v>0</v>
      </c>
      <c r="AI76" s="33">
        <v>0</v>
      </c>
      <c r="AJ76" s="33">
        <v>0</v>
      </c>
      <c r="AK76" s="33">
        <v>0</v>
      </c>
      <c r="AL76" s="33">
        <v>0</v>
      </c>
      <c r="AM76" s="33">
        <v>0</v>
      </c>
      <c r="AN76" s="33">
        <v>0</v>
      </c>
      <c r="AO76" s="33">
        <v>0</v>
      </c>
      <c r="AP76" s="29">
        <v>0</v>
      </c>
      <c r="AQ76" s="29">
        <v>0</v>
      </c>
      <c r="AR76" s="29">
        <v>0</v>
      </c>
      <c r="AS76" s="31"/>
    </row>
    <row r="77" spans="1:45">
      <c r="A77" s="31" t="s">
        <v>37</v>
      </c>
      <c r="B77" s="31" t="s">
        <v>27</v>
      </c>
      <c r="C77" s="31" t="s">
        <v>49</v>
      </c>
      <c r="D77" s="31" t="s">
        <v>3</v>
      </c>
      <c r="E77" s="31" t="s">
        <v>27</v>
      </c>
      <c r="F77" s="31" t="s">
        <v>9</v>
      </c>
      <c r="G77" s="31">
        <v>2011</v>
      </c>
      <c r="H77" s="31" t="s">
        <v>10</v>
      </c>
      <c r="I77" s="33" t="s">
        <v>58</v>
      </c>
      <c r="J77" s="34"/>
      <c r="K77" s="34"/>
      <c r="L77" s="34"/>
      <c r="M77" s="34"/>
      <c r="N77" s="34"/>
      <c r="O77" s="33">
        <v>0</v>
      </c>
      <c r="P77" s="33">
        <v>0</v>
      </c>
      <c r="Q77" s="33">
        <v>0</v>
      </c>
      <c r="R77" s="33">
        <v>0</v>
      </c>
      <c r="S77" s="33">
        <v>0</v>
      </c>
      <c r="T77" s="33">
        <v>0</v>
      </c>
      <c r="U77" s="33">
        <v>0</v>
      </c>
      <c r="V77" s="33">
        <v>0</v>
      </c>
      <c r="W77" s="33">
        <v>0</v>
      </c>
      <c r="X77" s="33">
        <v>0</v>
      </c>
      <c r="Y77" s="33">
        <v>0</v>
      </c>
      <c r="Z77" s="33">
        <v>0</v>
      </c>
      <c r="AA77" s="33">
        <v>0</v>
      </c>
      <c r="AB77" s="33">
        <v>0</v>
      </c>
      <c r="AC77" s="33">
        <v>0</v>
      </c>
      <c r="AD77" s="33">
        <v>0</v>
      </c>
      <c r="AE77" s="33">
        <v>0</v>
      </c>
      <c r="AF77" s="33">
        <v>0</v>
      </c>
      <c r="AG77" s="33">
        <v>0</v>
      </c>
      <c r="AH77" s="33">
        <v>0</v>
      </c>
      <c r="AI77" s="33">
        <v>0</v>
      </c>
      <c r="AJ77" s="33">
        <v>0</v>
      </c>
      <c r="AK77" s="33">
        <v>0</v>
      </c>
      <c r="AL77" s="33">
        <v>0</v>
      </c>
      <c r="AM77" s="33">
        <v>0</v>
      </c>
      <c r="AN77" s="33">
        <v>0</v>
      </c>
      <c r="AO77" s="33">
        <v>0</v>
      </c>
      <c r="AP77" s="29">
        <v>0</v>
      </c>
      <c r="AQ77" s="29">
        <v>0</v>
      </c>
      <c r="AR77" s="29">
        <v>0</v>
      </c>
      <c r="AS77" s="31"/>
    </row>
    <row r="78" spans="1:45">
      <c r="A78" s="31" t="s">
        <v>37</v>
      </c>
      <c r="B78" s="31" t="s">
        <v>50</v>
      </c>
      <c r="C78" s="31" t="s">
        <v>55</v>
      </c>
      <c r="D78" s="31" t="s">
        <v>3</v>
      </c>
      <c r="E78" s="31" t="s">
        <v>4</v>
      </c>
      <c r="F78" s="31" t="s">
        <v>5</v>
      </c>
      <c r="G78" s="31">
        <v>2011</v>
      </c>
      <c r="H78" s="31" t="s">
        <v>13</v>
      </c>
      <c r="I78" s="33" t="s">
        <v>71</v>
      </c>
      <c r="J78" s="34"/>
      <c r="K78" s="34"/>
      <c r="L78" s="34"/>
      <c r="M78" s="34"/>
      <c r="N78" s="34"/>
      <c r="O78" s="33">
        <v>79.337020424640002</v>
      </c>
      <c r="P78" s="33">
        <v>79.337020424640002</v>
      </c>
      <c r="Q78" s="33">
        <v>79.337020424640002</v>
      </c>
      <c r="R78" s="33">
        <v>79.337020424640002</v>
      </c>
      <c r="S78" s="33">
        <v>79.337020424640002</v>
      </c>
      <c r="T78" s="33">
        <v>79.337020424640002</v>
      </c>
      <c r="U78" s="33">
        <v>79.337020424640002</v>
      </c>
      <c r="V78" s="33">
        <v>79.337020424640002</v>
      </c>
      <c r="W78" s="33">
        <v>79.337020424640002</v>
      </c>
      <c r="X78" s="33">
        <v>79.337020424640002</v>
      </c>
      <c r="Y78" s="33">
        <v>79.337020424640002</v>
      </c>
      <c r="Z78" s="33">
        <v>79.337020424640002</v>
      </c>
      <c r="AA78" s="33">
        <v>79.337020424640002</v>
      </c>
      <c r="AB78" s="33">
        <v>0</v>
      </c>
      <c r="AC78" s="33">
        <v>0</v>
      </c>
      <c r="AD78" s="33">
        <v>0</v>
      </c>
      <c r="AE78" s="33">
        <v>0</v>
      </c>
      <c r="AF78" s="33">
        <v>0</v>
      </c>
      <c r="AG78" s="33">
        <v>0</v>
      </c>
      <c r="AH78" s="33">
        <v>0</v>
      </c>
      <c r="AI78" s="33">
        <v>0</v>
      </c>
      <c r="AJ78" s="33">
        <v>0</v>
      </c>
      <c r="AK78" s="33">
        <v>0</v>
      </c>
      <c r="AL78" s="33">
        <v>0</v>
      </c>
      <c r="AM78" s="33">
        <v>0</v>
      </c>
      <c r="AN78" s="33">
        <v>0</v>
      </c>
      <c r="AO78" s="33"/>
      <c r="AP78" s="29">
        <v>0</v>
      </c>
      <c r="AQ78" s="29">
        <v>0</v>
      </c>
      <c r="AR78" s="29">
        <v>0</v>
      </c>
      <c r="AS78" s="31"/>
    </row>
    <row r="79" spans="1:45">
      <c r="A79" s="31" t="s">
        <v>37</v>
      </c>
      <c r="B79" s="31" t="s">
        <v>50</v>
      </c>
      <c r="C79" s="31" t="s">
        <v>42</v>
      </c>
      <c r="D79" s="31" t="s">
        <v>3</v>
      </c>
      <c r="E79" s="31" t="s">
        <v>4</v>
      </c>
      <c r="F79" s="31" t="s">
        <v>5</v>
      </c>
      <c r="G79" s="31">
        <v>2011</v>
      </c>
      <c r="H79" s="31" t="s">
        <v>13</v>
      </c>
      <c r="I79" s="33" t="s">
        <v>57</v>
      </c>
      <c r="J79" s="34"/>
      <c r="K79" s="34"/>
      <c r="L79" s="34"/>
      <c r="M79" s="34"/>
      <c r="N79" s="34"/>
      <c r="O79" s="33">
        <v>331.04319661223701</v>
      </c>
      <c r="P79" s="33">
        <v>331.04319661223701</v>
      </c>
      <c r="Q79" s="33">
        <v>331.04319661223701</v>
      </c>
      <c r="R79" s="33">
        <v>331.04319661223701</v>
      </c>
      <c r="S79" s="33">
        <v>331.04319661223701</v>
      </c>
      <c r="T79" s="33">
        <v>331.04319661223701</v>
      </c>
      <c r="U79" s="33">
        <v>331.04319661223701</v>
      </c>
      <c r="V79" s="33">
        <v>331.04319661223701</v>
      </c>
      <c r="W79" s="33">
        <v>331.04319661223701</v>
      </c>
      <c r="X79" s="33">
        <v>331.04319661223701</v>
      </c>
      <c r="Y79" s="33">
        <v>331.04319661223701</v>
      </c>
      <c r="Z79" s="33">
        <v>331.04319661223701</v>
      </c>
      <c r="AA79" s="33">
        <v>331.04319661223701</v>
      </c>
      <c r="AB79" s="33">
        <v>331.04319661223701</v>
      </c>
      <c r="AC79" s="33">
        <v>331.04319661223701</v>
      </c>
      <c r="AD79" s="33">
        <v>2.2929726122369978</v>
      </c>
      <c r="AE79" s="33">
        <v>2.2929726122369978</v>
      </c>
      <c r="AF79" s="33">
        <v>2.2929726122369978</v>
      </c>
      <c r="AG79" s="33">
        <v>2.2929726122369978</v>
      </c>
      <c r="AH79" s="33">
        <v>2.2929726122369978</v>
      </c>
      <c r="AI79" s="33">
        <v>2.2929726122369978</v>
      </c>
      <c r="AJ79" s="33">
        <v>2.2929726122369978</v>
      </c>
      <c r="AK79" s="33">
        <v>2.2929726122369978</v>
      </c>
      <c r="AL79" s="33">
        <v>2.2929726122369978</v>
      </c>
      <c r="AM79" s="33">
        <v>2.2929726122369978</v>
      </c>
      <c r="AN79" s="33">
        <v>2.2929726122369978</v>
      </c>
      <c r="AO79" s="33">
        <v>0</v>
      </c>
      <c r="AP79" s="29">
        <v>0</v>
      </c>
      <c r="AQ79" s="29">
        <v>0</v>
      </c>
      <c r="AR79" s="29">
        <v>0</v>
      </c>
      <c r="AS79" s="31"/>
    </row>
    <row r="80" spans="1:45">
      <c r="A80" s="31" t="s">
        <v>37</v>
      </c>
      <c r="B80" s="31" t="s">
        <v>1</v>
      </c>
      <c r="C80" s="31" t="s">
        <v>38</v>
      </c>
      <c r="D80" s="31" t="s">
        <v>3</v>
      </c>
      <c r="E80" s="31" t="s">
        <v>39</v>
      </c>
      <c r="F80" s="31" t="s">
        <v>5</v>
      </c>
      <c r="G80" s="31">
        <v>2012</v>
      </c>
      <c r="H80" s="31" t="s">
        <v>13</v>
      </c>
      <c r="I80" s="33" t="s">
        <v>95</v>
      </c>
      <c r="J80" s="34"/>
      <c r="K80" s="34"/>
      <c r="L80" s="34"/>
      <c r="M80" s="34"/>
      <c r="N80" s="34"/>
      <c r="O80" s="33">
        <v>0</v>
      </c>
      <c r="P80" s="33">
        <v>942.75488539143726</v>
      </c>
      <c r="Q80" s="33">
        <v>942.75488539143919</v>
      </c>
      <c r="R80" s="33">
        <v>932.58993517580222</v>
      </c>
      <c r="S80" s="33">
        <v>680.42820020590477</v>
      </c>
      <c r="T80" s="33">
        <v>680.42820020590477</v>
      </c>
      <c r="U80" s="33">
        <v>202.28361735145376</v>
      </c>
      <c r="V80" s="33">
        <v>202.28361735145376</v>
      </c>
      <c r="W80" s="33">
        <v>202.14136948749851</v>
      </c>
      <c r="X80" s="33">
        <v>202.14136948749851</v>
      </c>
      <c r="Y80" s="33">
        <v>202.14136948749851</v>
      </c>
      <c r="Z80" s="33">
        <v>129.91659578001384</v>
      </c>
      <c r="AA80" s="33">
        <v>129.91659578001384</v>
      </c>
      <c r="AB80" s="33">
        <v>0</v>
      </c>
      <c r="AC80" s="33">
        <v>0</v>
      </c>
      <c r="AD80" s="33">
        <v>0</v>
      </c>
      <c r="AE80" s="33">
        <v>0</v>
      </c>
      <c r="AF80" s="33">
        <v>0</v>
      </c>
      <c r="AG80" s="33">
        <v>0</v>
      </c>
      <c r="AH80" s="33">
        <v>0</v>
      </c>
      <c r="AI80" s="33">
        <v>0</v>
      </c>
      <c r="AJ80" s="33">
        <v>0</v>
      </c>
      <c r="AK80" s="33">
        <v>0</v>
      </c>
      <c r="AL80" s="33">
        <v>0</v>
      </c>
      <c r="AM80" s="33">
        <v>0</v>
      </c>
      <c r="AN80" s="33">
        <v>0</v>
      </c>
      <c r="AO80" s="33">
        <v>0</v>
      </c>
      <c r="AP80" s="29">
        <v>0</v>
      </c>
      <c r="AQ80" s="29">
        <v>0</v>
      </c>
      <c r="AR80" s="29">
        <v>0</v>
      </c>
      <c r="AS80" s="31"/>
    </row>
    <row r="81" spans="1:45">
      <c r="A81" s="31" t="s">
        <v>37</v>
      </c>
      <c r="B81" s="31" t="s">
        <v>1</v>
      </c>
      <c r="C81" s="31" t="s">
        <v>12</v>
      </c>
      <c r="D81" s="31" t="s">
        <v>3</v>
      </c>
      <c r="E81" s="31" t="s">
        <v>39</v>
      </c>
      <c r="F81" s="31" t="s">
        <v>5</v>
      </c>
      <c r="G81" s="31">
        <v>2012</v>
      </c>
      <c r="H81" s="31" t="s">
        <v>13</v>
      </c>
      <c r="I81" s="33" t="s">
        <v>96</v>
      </c>
      <c r="J81" s="34"/>
      <c r="K81" s="34"/>
      <c r="L81" s="34"/>
      <c r="M81" s="34"/>
      <c r="N81" s="34"/>
      <c r="O81" s="33">
        <v>0</v>
      </c>
      <c r="P81" s="33">
        <v>3121.717308429817</v>
      </c>
      <c r="Q81" s="33">
        <v>3121.717308429817</v>
      </c>
      <c r="R81" s="33">
        <v>3030.0343761923968</v>
      </c>
      <c r="S81" s="33">
        <v>2902.8460085189131</v>
      </c>
      <c r="T81" s="33">
        <v>2902.8460085189131</v>
      </c>
      <c r="U81" s="33">
        <v>2560.2117156916943</v>
      </c>
      <c r="V81" s="33">
        <v>2552.0690301517311</v>
      </c>
      <c r="W81" s="33">
        <v>2552.0690301517311</v>
      </c>
      <c r="X81" s="33">
        <v>2487.0579018221497</v>
      </c>
      <c r="Y81" s="33">
        <v>2377.25478282932</v>
      </c>
      <c r="Z81" s="33">
        <v>2077.3692122737866</v>
      </c>
      <c r="AA81" s="33">
        <v>2077.3692122737866</v>
      </c>
      <c r="AB81" s="33">
        <v>1377.5835359257972</v>
      </c>
      <c r="AC81" s="33">
        <v>1166.8492696740534</v>
      </c>
      <c r="AD81" s="33">
        <v>1166.8492696740534</v>
      </c>
      <c r="AE81" s="33">
        <v>22.108148722950784</v>
      </c>
      <c r="AF81" s="33">
        <v>14.372345387948656</v>
      </c>
      <c r="AG81" s="33">
        <v>14.372345387948656</v>
      </c>
      <c r="AH81" s="33">
        <v>14.372345387948656</v>
      </c>
      <c r="AI81" s="33">
        <v>14.372345387948656</v>
      </c>
      <c r="AJ81" s="33">
        <v>0</v>
      </c>
      <c r="AK81" s="33">
        <v>0</v>
      </c>
      <c r="AL81" s="33">
        <v>0</v>
      </c>
      <c r="AM81" s="33">
        <v>0</v>
      </c>
      <c r="AN81" s="33">
        <v>0</v>
      </c>
      <c r="AO81" s="33">
        <v>0</v>
      </c>
      <c r="AS81" s="31"/>
    </row>
    <row r="82" spans="1:45">
      <c r="A82" s="31" t="s">
        <v>37</v>
      </c>
      <c r="B82" s="31" t="s">
        <v>1</v>
      </c>
      <c r="C82" s="31" t="s">
        <v>40</v>
      </c>
      <c r="D82" s="31" t="s">
        <v>3</v>
      </c>
      <c r="E82" s="31" t="s">
        <v>39</v>
      </c>
      <c r="F82" s="31" t="s">
        <v>5</v>
      </c>
      <c r="G82" s="31">
        <v>2012</v>
      </c>
      <c r="H82" s="31" t="s">
        <v>41</v>
      </c>
      <c r="I82" s="33" t="s">
        <v>97</v>
      </c>
      <c r="J82" s="34"/>
      <c r="K82" s="34"/>
      <c r="L82" s="34"/>
      <c r="M82" s="34"/>
      <c r="N82" s="34"/>
      <c r="O82" s="33">
        <v>0</v>
      </c>
      <c r="P82" s="33">
        <v>125.88127231281538</v>
      </c>
      <c r="Q82" s="33">
        <v>125.88127231281538</v>
      </c>
      <c r="R82" s="33">
        <v>125.88127231281538</v>
      </c>
      <c r="S82" s="33">
        <v>125.88127231281538</v>
      </c>
      <c r="T82" s="33">
        <v>0</v>
      </c>
      <c r="U82" s="33">
        <v>0</v>
      </c>
      <c r="V82" s="33">
        <v>0</v>
      </c>
      <c r="W82" s="33">
        <v>0</v>
      </c>
      <c r="X82" s="33">
        <v>0</v>
      </c>
      <c r="Y82" s="33">
        <v>0</v>
      </c>
      <c r="Z82" s="33">
        <v>0</v>
      </c>
      <c r="AA82" s="33">
        <v>0</v>
      </c>
      <c r="AB82" s="33">
        <v>0</v>
      </c>
      <c r="AC82" s="33">
        <v>0</v>
      </c>
      <c r="AD82" s="33">
        <v>0</v>
      </c>
      <c r="AE82" s="33">
        <v>0</v>
      </c>
      <c r="AF82" s="33">
        <v>0</v>
      </c>
      <c r="AG82" s="33">
        <v>0</v>
      </c>
      <c r="AH82" s="33">
        <v>0</v>
      </c>
      <c r="AI82" s="33">
        <v>0</v>
      </c>
      <c r="AJ82" s="33">
        <v>0</v>
      </c>
      <c r="AK82" s="33">
        <v>0</v>
      </c>
      <c r="AL82" s="33">
        <v>0</v>
      </c>
      <c r="AM82" s="33">
        <v>0</v>
      </c>
      <c r="AN82" s="33">
        <v>0</v>
      </c>
      <c r="AO82" s="33">
        <v>0</v>
      </c>
      <c r="AP82" s="29">
        <v>0</v>
      </c>
      <c r="AQ82" s="29">
        <v>0</v>
      </c>
      <c r="AR82" s="29">
        <v>0</v>
      </c>
      <c r="AS82" s="31"/>
    </row>
    <row r="83" spans="1:45">
      <c r="A83" s="31" t="s">
        <v>37</v>
      </c>
      <c r="B83" s="31" t="s">
        <v>1</v>
      </c>
      <c r="C83" s="31" t="s">
        <v>42</v>
      </c>
      <c r="D83" s="31" t="s">
        <v>3</v>
      </c>
      <c r="E83" s="31" t="s">
        <v>39</v>
      </c>
      <c r="F83" s="31" t="s">
        <v>5</v>
      </c>
      <c r="G83" s="31">
        <v>2012</v>
      </c>
      <c r="H83" s="31" t="s">
        <v>13</v>
      </c>
      <c r="I83" s="33" t="s">
        <v>98</v>
      </c>
      <c r="J83" s="34"/>
      <c r="K83" s="34"/>
      <c r="L83" s="34"/>
      <c r="M83" s="34"/>
      <c r="N83" s="34"/>
      <c r="O83" s="33">
        <v>0</v>
      </c>
      <c r="P83" s="33">
        <v>1.5969099999999998</v>
      </c>
      <c r="Q83" s="33">
        <v>1.5969099999999998</v>
      </c>
      <c r="R83" s="33">
        <v>1.5969099999999998</v>
      </c>
      <c r="S83" s="33">
        <v>1.5969099999999998</v>
      </c>
      <c r="T83" s="33">
        <v>1.5969099999999998</v>
      </c>
      <c r="U83" s="33">
        <v>1.5969099999999998</v>
      </c>
      <c r="V83" s="33">
        <v>1.5969099999999998</v>
      </c>
      <c r="W83" s="33">
        <v>1.5969099999999998</v>
      </c>
      <c r="X83" s="33">
        <v>1.5969099999999998</v>
      </c>
      <c r="Y83" s="33">
        <v>1.5969099999999998</v>
      </c>
      <c r="Z83" s="33">
        <v>1.5969099999999998</v>
      </c>
      <c r="AA83" s="33">
        <v>1.5969099999999998</v>
      </c>
      <c r="AB83" s="33">
        <v>1.5969099999999998</v>
      </c>
      <c r="AC83" s="33">
        <v>1.50773</v>
      </c>
      <c r="AD83" s="33">
        <v>0.70511000000000001</v>
      </c>
      <c r="AE83" s="33">
        <v>0</v>
      </c>
      <c r="AF83" s="33">
        <v>0</v>
      </c>
      <c r="AG83" s="33">
        <v>0</v>
      </c>
      <c r="AH83" s="33">
        <v>0</v>
      </c>
      <c r="AI83" s="33">
        <v>0</v>
      </c>
      <c r="AJ83" s="33">
        <v>0</v>
      </c>
      <c r="AK83" s="33">
        <v>0</v>
      </c>
      <c r="AL83" s="33">
        <v>0</v>
      </c>
      <c r="AM83" s="33">
        <v>0</v>
      </c>
      <c r="AN83" s="33">
        <v>0</v>
      </c>
      <c r="AO83" s="33">
        <v>0</v>
      </c>
      <c r="AP83" s="29">
        <v>0</v>
      </c>
      <c r="AQ83" s="29">
        <v>0</v>
      </c>
      <c r="AR83" s="29">
        <v>0</v>
      </c>
      <c r="AS83" s="31"/>
    </row>
    <row r="84" spans="1:45">
      <c r="A84" s="31" t="s">
        <v>37</v>
      </c>
      <c r="B84" s="31" t="s">
        <v>15</v>
      </c>
      <c r="C84" s="31" t="s">
        <v>19</v>
      </c>
      <c r="D84" s="31" t="s">
        <v>3</v>
      </c>
      <c r="E84" s="31" t="s">
        <v>17</v>
      </c>
      <c r="F84" s="31" t="s">
        <v>5</v>
      </c>
      <c r="G84" s="31">
        <v>2012</v>
      </c>
      <c r="H84" s="31" t="s">
        <v>20</v>
      </c>
      <c r="I84" s="33" t="s">
        <v>17</v>
      </c>
      <c r="J84" s="34"/>
      <c r="K84" s="34"/>
      <c r="L84" s="34"/>
      <c r="M84" s="34"/>
      <c r="N84" s="34"/>
      <c r="O84" s="33">
        <v>0</v>
      </c>
      <c r="P84" s="33">
        <v>16.002313596872199</v>
      </c>
      <c r="Q84" s="33">
        <v>16.002313596872199</v>
      </c>
      <c r="R84" s="33">
        <v>16.002313596872199</v>
      </c>
      <c r="S84" s="33">
        <v>15.308388155597605</v>
      </c>
      <c r="T84" s="33">
        <v>0</v>
      </c>
      <c r="U84" s="33">
        <v>0</v>
      </c>
      <c r="V84" s="33">
        <v>0</v>
      </c>
      <c r="W84" s="33">
        <v>0</v>
      </c>
      <c r="X84" s="33">
        <v>0</v>
      </c>
      <c r="Y84" s="33">
        <v>0</v>
      </c>
      <c r="Z84" s="33">
        <v>0</v>
      </c>
      <c r="AA84" s="33">
        <v>0</v>
      </c>
      <c r="AB84" s="33">
        <v>0</v>
      </c>
      <c r="AC84" s="33">
        <v>0</v>
      </c>
      <c r="AD84" s="33">
        <v>0</v>
      </c>
      <c r="AE84" s="33">
        <v>0</v>
      </c>
      <c r="AF84" s="33">
        <v>0</v>
      </c>
      <c r="AG84" s="33">
        <v>0</v>
      </c>
      <c r="AH84" s="33">
        <v>0</v>
      </c>
      <c r="AI84" s="33">
        <v>0</v>
      </c>
      <c r="AJ84" s="33">
        <v>0</v>
      </c>
      <c r="AK84" s="33">
        <v>0</v>
      </c>
      <c r="AL84" s="33">
        <v>0</v>
      </c>
      <c r="AM84" s="33">
        <v>0</v>
      </c>
      <c r="AN84" s="33">
        <v>0</v>
      </c>
      <c r="AO84" s="33">
        <v>0</v>
      </c>
      <c r="AP84" s="29">
        <v>0</v>
      </c>
      <c r="AQ84" s="29">
        <v>0</v>
      </c>
      <c r="AR84" s="29">
        <v>0</v>
      </c>
      <c r="AS84" s="31"/>
    </row>
    <row r="85" spans="1:45">
      <c r="A85" s="31" t="s">
        <v>37</v>
      </c>
      <c r="B85" s="31" t="s">
        <v>15</v>
      </c>
      <c r="C85" s="31" t="s">
        <v>21</v>
      </c>
      <c r="D85" s="31" t="s">
        <v>3</v>
      </c>
      <c r="E85" s="31" t="s">
        <v>17</v>
      </c>
      <c r="F85" s="31" t="s">
        <v>5</v>
      </c>
      <c r="G85" s="31">
        <v>2012</v>
      </c>
      <c r="H85" s="31" t="s">
        <v>20</v>
      </c>
      <c r="I85" s="33" t="s">
        <v>17</v>
      </c>
      <c r="J85" s="34"/>
      <c r="K85" s="34"/>
      <c r="L85" s="34"/>
      <c r="M85" s="34"/>
      <c r="N85" s="34"/>
      <c r="O85" s="33">
        <v>0</v>
      </c>
      <c r="P85" s="33">
        <v>36.436022200215092</v>
      </c>
      <c r="Q85" s="33">
        <v>36.436022200215092</v>
      </c>
      <c r="R85" s="33">
        <v>36.436022200215092</v>
      </c>
      <c r="S85" s="33">
        <v>36.436022200215092</v>
      </c>
      <c r="T85" s="33">
        <v>21.883402461394159</v>
      </c>
      <c r="U85" s="33">
        <v>0</v>
      </c>
      <c r="V85" s="33">
        <v>0</v>
      </c>
      <c r="W85" s="33">
        <v>0</v>
      </c>
      <c r="X85" s="33">
        <v>0</v>
      </c>
      <c r="Y85" s="33">
        <v>0</v>
      </c>
      <c r="Z85" s="33">
        <v>0</v>
      </c>
      <c r="AA85" s="33">
        <v>0</v>
      </c>
      <c r="AB85" s="33">
        <v>0</v>
      </c>
      <c r="AC85" s="33">
        <v>0</v>
      </c>
      <c r="AD85" s="33">
        <v>0</v>
      </c>
      <c r="AE85" s="33">
        <v>0</v>
      </c>
      <c r="AF85" s="33">
        <v>0</v>
      </c>
      <c r="AG85" s="33">
        <v>0</v>
      </c>
      <c r="AH85" s="33">
        <v>0</v>
      </c>
      <c r="AI85" s="33">
        <v>0</v>
      </c>
      <c r="AJ85" s="33">
        <v>0</v>
      </c>
      <c r="AK85" s="33">
        <v>0</v>
      </c>
      <c r="AL85" s="33">
        <v>0</v>
      </c>
      <c r="AM85" s="33">
        <v>0</v>
      </c>
      <c r="AN85" s="33">
        <v>0</v>
      </c>
      <c r="AO85" s="33">
        <v>0</v>
      </c>
      <c r="AP85" s="29">
        <v>0</v>
      </c>
      <c r="AQ85" s="29">
        <v>0</v>
      </c>
      <c r="AR85" s="29">
        <v>0</v>
      </c>
      <c r="AS85" s="31"/>
    </row>
    <row r="86" spans="1:45">
      <c r="A86" s="31" t="s">
        <v>37</v>
      </c>
      <c r="B86" s="31" t="s">
        <v>15</v>
      </c>
      <c r="C86" s="31" t="s">
        <v>43</v>
      </c>
      <c r="D86" s="31" t="s">
        <v>3</v>
      </c>
      <c r="E86" s="31" t="s">
        <v>17</v>
      </c>
      <c r="F86" s="31" t="s">
        <v>5</v>
      </c>
      <c r="G86" s="31">
        <v>2012</v>
      </c>
      <c r="H86" s="31" t="s">
        <v>44</v>
      </c>
      <c r="I86" s="33" t="s">
        <v>17</v>
      </c>
      <c r="J86" s="34"/>
      <c r="K86" s="34"/>
      <c r="L86" s="34"/>
      <c r="M86" s="34"/>
      <c r="N86" s="34"/>
      <c r="O86" s="33">
        <v>0</v>
      </c>
      <c r="P86" s="33">
        <v>134.27697918912932</v>
      </c>
      <c r="Q86" s="33">
        <v>134.27697918912932</v>
      </c>
      <c r="R86" s="33">
        <v>134.27697918912932</v>
      </c>
      <c r="S86" s="33">
        <v>134.27697918912932</v>
      </c>
      <c r="T86" s="33">
        <v>120.70646218667096</v>
      </c>
      <c r="U86" s="33">
        <v>98.151594763898402</v>
      </c>
      <c r="V86" s="33">
        <v>66.949454398985381</v>
      </c>
      <c r="W86" s="33">
        <v>66.810287664292744</v>
      </c>
      <c r="X86" s="33">
        <v>66.810287664292744</v>
      </c>
      <c r="Y86" s="33">
        <v>33.934542075814811</v>
      </c>
      <c r="Z86" s="33">
        <v>25.183856466825137</v>
      </c>
      <c r="AA86" s="33">
        <v>24.401183520574612</v>
      </c>
      <c r="AB86" s="33">
        <v>24.401183520574612</v>
      </c>
      <c r="AC86" s="33">
        <v>22.697617638863399</v>
      </c>
      <c r="AD86" s="33">
        <v>22.697617638863399</v>
      </c>
      <c r="AE86" s="33">
        <v>22.387125408245581</v>
      </c>
      <c r="AF86" s="33">
        <v>6.2813955705434577</v>
      </c>
      <c r="AG86" s="33">
        <v>6.2813955705434577</v>
      </c>
      <c r="AH86" s="33">
        <v>6.2813955705434577</v>
      </c>
      <c r="AI86" s="33">
        <v>6.2813955705434577</v>
      </c>
      <c r="AJ86" s="33">
        <v>0</v>
      </c>
      <c r="AK86" s="33">
        <v>0</v>
      </c>
      <c r="AL86" s="33">
        <v>0</v>
      </c>
      <c r="AM86" s="33">
        <v>0</v>
      </c>
      <c r="AN86" s="33">
        <v>0</v>
      </c>
      <c r="AO86" s="33">
        <v>0</v>
      </c>
      <c r="AP86" s="29">
        <v>0</v>
      </c>
      <c r="AQ86" s="29">
        <v>0</v>
      </c>
      <c r="AR86" s="29">
        <v>0</v>
      </c>
      <c r="AS86" s="31"/>
    </row>
    <row r="87" spans="1:45">
      <c r="A87" s="31" t="s">
        <v>37</v>
      </c>
      <c r="B87" s="31" t="s">
        <v>15</v>
      </c>
      <c r="C87" s="31" t="s">
        <v>45</v>
      </c>
      <c r="D87" s="31" t="s">
        <v>3</v>
      </c>
      <c r="E87" s="31" t="s">
        <v>17</v>
      </c>
      <c r="F87" s="31" t="s">
        <v>5</v>
      </c>
      <c r="G87" s="31">
        <v>2012</v>
      </c>
      <c r="H87" s="31" t="s">
        <v>44</v>
      </c>
      <c r="I87" s="33" t="s">
        <v>17</v>
      </c>
      <c r="J87" s="34"/>
      <c r="K87" s="34"/>
      <c r="L87" s="34"/>
      <c r="M87" s="34"/>
      <c r="N87" s="34"/>
      <c r="O87" s="33">
        <v>0</v>
      </c>
      <c r="P87" s="33">
        <v>7.0102533294220546</v>
      </c>
      <c r="Q87" s="33">
        <v>7.0102533294220546</v>
      </c>
      <c r="R87" s="33">
        <v>7.0102533294220546</v>
      </c>
      <c r="S87" s="33">
        <v>7.0102533294220546</v>
      </c>
      <c r="T87" s="33">
        <v>6.9049348626225528</v>
      </c>
      <c r="U87" s="33">
        <v>6.9049348626225528</v>
      </c>
      <c r="V87" s="33">
        <v>3.2515103540463097</v>
      </c>
      <c r="W87" s="33">
        <v>3.2335651698359436</v>
      </c>
      <c r="X87" s="33">
        <v>3.2335651698359436</v>
      </c>
      <c r="Y87" s="33">
        <v>3.2335651698359436</v>
      </c>
      <c r="Z87" s="33">
        <v>0.52518054927926128</v>
      </c>
      <c r="AA87" s="33">
        <v>0.42295620971060455</v>
      </c>
      <c r="AB87" s="33">
        <v>0.42295620971060455</v>
      </c>
      <c r="AC87" s="33">
        <v>0.36346799534915469</v>
      </c>
      <c r="AD87" s="33">
        <v>0.36346799534915469</v>
      </c>
      <c r="AE87" s="33">
        <v>0.35002148142476119</v>
      </c>
      <c r="AF87" s="33">
        <v>0</v>
      </c>
      <c r="AG87" s="33">
        <v>0</v>
      </c>
      <c r="AH87" s="33">
        <v>0</v>
      </c>
      <c r="AI87" s="33">
        <v>0</v>
      </c>
      <c r="AJ87" s="33">
        <v>0</v>
      </c>
      <c r="AK87" s="33">
        <v>0</v>
      </c>
      <c r="AL87" s="33">
        <v>0</v>
      </c>
      <c r="AM87" s="33">
        <v>0</v>
      </c>
      <c r="AN87" s="33">
        <v>0</v>
      </c>
      <c r="AO87" s="33">
        <v>0</v>
      </c>
      <c r="AP87" s="29">
        <v>0</v>
      </c>
      <c r="AQ87" s="29">
        <v>0</v>
      </c>
      <c r="AR87" s="29">
        <v>0</v>
      </c>
      <c r="AS87" s="31"/>
    </row>
    <row r="88" spans="1:45">
      <c r="A88" s="31" t="s">
        <v>37</v>
      </c>
      <c r="B88" s="31" t="s">
        <v>15</v>
      </c>
      <c r="C88" s="31" t="s">
        <v>46</v>
      </c>
      <c r="D88" s="31" t="s">
        <v>3</v>
      </c>
      <c r="E88" s="31" t="s">
        <v>17</v>
      </c>
      <c r="F88" s="31" t="s">
        <v>5</v>
      </c>
      <c r="G88" s="31">
        <v>2012</v>
      </c>
      <c r="H88" s="31" t="s">
        <v>47</v>
      </c>
      <c r="I88" s="33" t="s">
        <v>17</v>
      </c>
      <c r="J88" s="34"/>
      <c r="K88" s="34"/>
      <c r="L88" s="34"/>
      <c r="M88" s="34"/>
      <c r="N88" s="34"/>
      <c r="O88" s="33">
        <v>0</v>
      </c>
      <c r="P88" s="33">
        <v>95.798091245599494</v>
      </c>
      <c r="Q88" s="33">
        <v>95.798091245599494</v>
      </c>
      <c r="R88" s="33">
        <v>95.798091245599494</v>
      </c>
      <c r="S88" s="33">
        <v>95.798091245599494</v>
      </c>
      <c r="T88" s="33">
        <v>95.798091245599494</v>
      </c>
      <c r="U88" s="33">
        <v>95.798091245599494</v>
      </c>
      <c r="V88" s="33">
        <v>95.798091245599494</v>
      </c>
      <c r="W88" s="33">
        <v>95.798091245599494</v>
      </c>
      <c r="X88" s="33">
        <v>95.798091245599494</v>
      </c>
      <c r="Y88" s="33">
        <v>95.798091245599494</v>
      </c>
      <c r="Z88" s="33">
        <v>95.798091245599494</v>
      </c>
      <c r="AA88" s="33">
        <v>95.798091245599494</v>
      </c>
      <c r="AB88" s="33">
        <v>95.798091245599494</v>
      </c>
      <c r="AC88" s="33">
        <v>95.798091245599494</v>
      </c>
      <c r="AD88" s="33">
        <v>95.798091245599494</v>
      </c>
      <c r="AE88" s="33">
        <v>95.798091245599494</v>
      </c>
      <c r="AF88" s="33">
        <v>95.798091245599494</v>
      </c>
      <c r="AG88" s="33">
        <v>95.798091245599494</v>
      </c>
      <c r="AH88" s="33">
        <v>90.336016769415181</v>
      </c>
      <c r="AI88" s="33">
        <v>0</v>
      </c>
      <c r="AJ88" s="33">
        <v>0</v>
      </c>
      <c r="AK88" s="33">
        <v>0</v>
      </c>
      <c r="AL88" s="33">
        <v>0</v>
      </c>
      <c r="AM88" s="33">
        <v>0</v>
      </c>
      <c r="AN88" s="33">
        <v>0</v>
      </c>
      <c r="AO88" s="33">
        <v>0</v>
      </c>
      <c r="AP88" s="29">
        <v>0</v>
      </c>
      <c r="AQ88" s="29">
        <v>0</v>
      </c>
      <c r="AR88" s="29">
        <v>0</v>
      </c>
      <c r="AS88" s="31"/>
    </row>
    <row r="89" spans="1:45">
      <c r="A89" s="31" t="s">
        <v>37</v>
      </c>
      <c r="B89" s="31" t="s">
        <v>48</v>
      </c>
      <c r="C89" s="31" t="s">
        <v>23</v>
      </c>
      <c r="D89" s="31" t="s">
        <v>3</v>
      </c>
      <c r="E89" s="31" t="s">
        <v>17</v>
      </c>
      <c r="F89" s="31" t="s">
        <v>5</v>
      </c>
      <c r="G89" s="31">
        <v>2012</v>
      </c>
      <c r="H89" s="31" t="s">
        <v>13</v>
      </c>
      <c r="I89" s="33" t="s">
        <v>17</v>
      </c>
      <c r="J89" s="34"/>
      <c r="K89" s="34"/>
      <c r="L89" s="34"/>
      <c r="M89" s="34"/>
      <c r="N89" s="34"/>
      <c r="O89" s="33">
        <v>0</v>
      </c>
      <c r="P89" s="33">
        <v>48.513360427856455</v>
      </c>
      <c r="Q89" s="33">
        <v>48.513360794067381</v>
      </c>
      <c r="R89" s="33">
        <v>48.513360794067381</v>
      </c>
      <c r="S89" s="33">
        <v>46.049360427856442</v>
      </c>
      <c r="T89" s="33">
        <v>45.738360427856442</v>
      </c>
      <c r="U89" s="33">
        <v>45.738360427856442</v>
      </c>
      <c r="V89" s="33">
        <v>43.094242019653322</v>
      </c>
      <c r="W89" s="33">
        <v>43.020220016479492</v>
      </c>
      <c r="X89" s="33">
        <v>25.952220016479494</v>
      </c>
      <c r="Y89" s="33">
        <v>25.708220016479491</v>
      </c>
      <c r="Z89" s="33">
        <v>20.795999999999996</v>
      </c>
      <c r="AA89" s="33">
        <v>20.795999999999996</v>
      </c>
      <c r="AB89" s="33">
        <v>19.826000000000001</v>
      </c>
      <c r="AC89" s="33">
        <v>19.826000000000001</v>
      </c>
      <c r="AD89" s="33">
        <v>11.726000000000001</v>
      </c>
      <c r="AE89" s="33">
        <v>5.266</v>
      </c>
      <c r="AF89" s="33">
        <v>5.266</v>
      </c>
      <c r="AG89" s="33">
        <v>5.266</v>
      </c>
      <c r="AH89" s="33">
        <v>5.266</v>
      </c>
      <c r="AI89" s="33">
        <v>5.266</v>
      </c>
      <c r="AJ89" s="33">
        <v>1.266</v>
      </c>
      <c r="AK89" s="33">
        <v>0</v>
      </c>
      <c r="AL89" s="33">
        <v>0</v>
      </c>
      <c r="AM89" s="33">
        <v>0</v>
      </c>
      <c r="AN89" s="33">
        <v>0</v>
      </c>
      <c r="AO89" s="33">
        <v>0</v>
      </c>
      <c r="AP89" s="29">
        <v>0</v>
      </c>
      <c r="AQ89" s="29">
        <v>0</v>
      </c>
      <c r="AR89" s="29">
        <v>0</v>
      </c>
      <c r="AS89" s="31"/>
    </row>
    <row r="90" spans="1:45">
      <c r="A90" s="31" t="s">
        <v>37</v>
      </c>
      <c r="B90" s="31" t="s">
        <v>27</v>
      </c>
      <c r="C90" s="31" t="s">
        <v>49</v>
      </c>
      <c r="D90" s="31" t="s">
        <v>3</v>
      </c>
      <c r="E90" s="31" t="s">
        <v>27</v>
      </c>
      <c r="F90" s="31" t="s">
        <v>9</v>
      </c>
      <c r="G90" s="31">
        <v>2012</v>
      </c>
      <c r="H90" s="31" t="s">
        <v>10</v>
      </c>
      <c r="I90" s="33" t="s">
        <v>57</v>
      </c>
      <c r="J90" s="34"/>
      <c r="K90" s="34"/>
      <c r="L90" s="34"/>
      <c r="M90" s="34"/>
      <c r="N90" s="34"/>
      <c r="O90" s="33">
        <v>0</v>
      </c>
      <c r="P90" s="33">
        <v>8.415673</v>
      </c>
      <c r="Q90" s="33">
        <v>0</v>
      </c>
      <c r="R90" s="33">
        <v>0</v>
      </c>
      <c r="S90" s="33">
        <v>0</v>
      </c>
      <c r="T90" s="33">
        <v>0</v>
      </c>
      <c r="U90" s="33">
        <v>0</v>
      </c>
      <c r="V90" s="33">
        <v>0</v>
      </c>
      <c r="W90" s="33">
        <v>0</v>
      </c>
      <c r="X90" s="33">
        <v>0</v>
      </c>
      <c r="Y90" s="33">
        <v>0</v>
      </c>
      <c r="Z90" s="33">
        <v>0</v>
      </c>
      <c r="AA90" s="33">
        <v>0</v>
      </c>
      <c r="AB90" s="33">
        <v>0</v>
      </c>
      <c r="AC90" s="33">
        <v>0</v>
      </c>
      <c r="AD90" s="33">
        <v>0</v>
      </c>
      <c r="AE90" s="33">
        <v>0</v>
      </c>
      <c r="AF90" s="33">
        <v>0</v>
      </c>
      <c r="AG90" s="33">
        <v>0</v>
      </c>
      <c r="AH90" s="33">
        <v>0</v>
      </c>
      <c r="AI90" s="33">
        <v>0</v>
      </c>
      <c r="AJ90" s="33">
        <v>0</v>
      </c>
      <c r="AK90" s="33">
        <v>0</v>
      </c>
      <c r="AL90" s="33">
        <v>0</v>
      </c>
      <c r="AM90" s="33">
        <v>0</v>
      </c>
      <c r="AN90" s="33">
        <v>0</v>
      </c>
      <c r="AO90" s="33">
        <v>0</v>
      </c>
      <c r="AP90" s="29">
        <v>0</v>
      </c>
      <c r="AQ90" s="29">
        <v>0</v>
      </c>
      <c r="AR90" s="29">
        <v>0</v>
      </c>
      <c r="AS90" s="31"/>
    </row>
    <row r="91" spans="1:45">
      <c r="A91" s="31" t="s">
        <v>37</v>
      </c>
      <c r="B91" s="31" t="s">
        <v>50</v>
      </c>
      <c r="C91" s="31" t="s">
        <v>42</v>
      </c>
      <c r="D91" s="31" t="s">
        <v>3</v>
      </c>
      <c r="E91" s="31" t="s">
        <v>39</v>
      </c>
      <c r="F91" s="31" t="s">
        <v>5</v>
      </c>
      <c r="G91" s="31">
        <v>2012</v>
      </c>
      <c r="H91" s="31" t="s">
        <v>13</v>
      </c>
      <c r="I91" s="33" t="s">
        <v>57</v>
      </c>
      <c r="J91" s="34"/>
      <c r="K91" s="34"/>
      <c r="L91" s="34"/>
      <c r="M91" s="34"/>
      <c r="N91" s="34"/>
      <c r="O91" s="33">
        <v>0</v>
      </c>
      <c r="P91" s="33">
        <v>327.22569929981955</v>
      </c>
      <c r="Q91" s="33">
        <v>327.22569929981955</v>
      </c>
      <c r="R91" s="33">
        <v>327.22569929981955</v>
      </c>
      <c r="S91" s="33">
        <v>327.22569929981955</v>
      </c>
      <c r="T91" s="33">
        <v>327.22569929981955</v>
      </c>
      <c r="U91" s="33">
        <v>327.22569929981955</v>
      </c>
      <c r="V91" s="33">
        <v>327.22569929981955</v>
      </c>
      <c r="W91" s="33">
        <v>327.22569929981955</v>
      </c>
      <c r="X91" s="33">
        <v>327.22569929981955</v>
      </c>
      <c r="Y91" s="33">
        <v>327.22569929981955</v>
      </c>
      <c r="Z91" s="33">
        <v>327.22569929981955</v>
      </c>
      <c r="AA91" s="33">
        <v>327.22569929981955</v>
      </c>
      <c r="AB91" s="33">
        <v>0</v>
      </c>
      <c r="AC91" s="33">
        <v>0</v>
      </c>
      <c r="AD91" s="33">
        <v>0</v>
      </c>
      <c r="AE91" s="33">
        <v>0</v>
      </c>
      <c r="AF91" s="33">
        <v>0</v>
      </c>
      <c r="AG91" s="33">
        <v>0</v>
      </c>
      <c r="AH91" s="33">
        <v>0</v>
      </c>
      <c r="AI91" s="33">
        <v>0</v>
      </c>
      <c r="AJ91" s="33">
        <v>0</v>
      </c>
      <c r="AK91" s="33">
        <v>0</v>
      </c>
      <c r="AL91" s="33">
        <v>0</v>
      </c>
      <c r="AM91" s="33">
        <v>0</v>
      </c>
      <c r="AN91" s="33">
        <v>0</v>
      </c>
      <c r="AO91" s="33">
        <v>0</v>
      </c>
      <c r="AP91" s="29">
        <v>0</v>
      </c>
      <c r="AQ91" s="29">
        <v>0</v>
      </c>
      <c r="AR91" s="29">
        <v>0</v>
      </c>
      <c r="AS91" s="31"/>
    </row>
    <row r="92" spans="1:45">
      <c r="A92" s="31" t="s">
        <v>37</v>
      </c>
      <c r="B92" s="31" t="s">
        <v>1</v>
      </c>
      <c r="C92" s="31" t="s">
        <v>51</v>
      </c>
      <c r="D92" s="31" t="s">
        <v>3</v>
      </c>
      <c r="E92" s="31" t="s">
        <v>39</v>
      </c>
      <c r="F92" s="31" t="s">
        <v>9</v>
      </c>
      <c r="G92" s="31">
        <v>2012</v>
      </c>
      <c r="H92" s="31" t="s">
        <v>10</v>
      </c>
      <c r="I92" s="33" t="s">
        <v>128</v>
      </c>
      <c r="J92" s="34"/>
      <c r="K92" s="34"/>
      <c r="L92" s="34"/>
      <c r="M92" s="34"/>
      <c r="N92" s="34"/>
      <c r="O92" s="33">
        <v>0</v>
      </c>
      <c r="P92" s="33">
        <v>58.580500000000001</v>
      </c>
      <c r="Q92" s="33">
        <v>0</v>
      </c>
      <c r="R92" s="33">
        <v>0</v>
      </c>
      <c r="S92" s="33">
        <v>0</v>
      </c>
      <c r="T92" s="33">
        <v>0</v>
      </c>
      <c r="U92" s="33">
        <v>0</v>
      </c>
      <c r="V92" s="33">
        <v>0</v>
      </c>
      <c r="W92" s="33">
        <v>0</v>
      </c>
      <c r="X92" s="33">
        <v>0</v>
      </c>
      <c r="Y92" s="33">
        <v>0</v>
      </c>
      <c r="Z92" s="33">
        <v>0</v>
      </c>
      <c r="AA92" s="33">
        <v>0</v>
      </c>
      <c r="AB92" s="33">
        <v>0</v>
      </c>
      <c r="AC92" s="33">
        <v>0</v>
      </c>
      <c r="AD92" s="33">
        <v>0</v>
      </c>
      <c r="AE92" s="33">
        <v>0</v>
      </c>
      <c r="AF92" s="33">
        <v>0</v>
      </c>
      <c r="AG92" s="33">
        <v>0</v>
      </c>
      <c r="AH92" s="33">
        <v>0</v>
      </c>
      <c r="AI92" s="33">
        <v>0</v>
      </c>
      <c r="AJ92" s="33">
        <v>0</v>
      </c>
      <c r="AK92" s="33">
        <v>0</v>
      </c>
      <c r="AL92" s="33">
        <v>0</v>
      </c>
      <c r="AM92" s="33">
        <v>0</v>
      </c>
      <c r="AN92" s="33">
        <v>0</v>
      </c>
      <c r="AO92" s="33">
        <v>0</v>
      </c>
      <c r="AP92" s="29">
        <v>0</v>
      </c>
      <c r="AQ92" s="29">
        <v>0</v>
      </c>
      <c r="AR92" s="29">
        <v>0</v>
      </c>
      <c r="AS92" s="31"/>
    </row>
    <row r="93" spans="1:45">
      <c r="A93" s="31" t="s">
        <v>52</v>
      </c>
      <c r="B93" s="31" t="s">
        <v>1</v>
      </c>
      <c r="C93" s="31" t="s">
        <v>12</v>
      </c>
      <c r="D93" s="31" t="s">
        <v>3</v>
      </c>
      <c r="E93" s="31" t="s">
        <v>39</v>
      </c>
      <c r="F93" s="31" t="s">
        <v>5</v>
      </c>
      <c r="G93" s="31">
        <v>2011</v>
      </c>
      <c r="H93" s="31" t="s">
        <v>13</v>
      </c>
      <c r="I93" s="33" t="s">
        <v>93</v>
      </c>
      <c r="J93" s="34"/>
      <c r="K93" s="34"/>
      <c r="L93" s="34"/>
      <c r="M93" s="34"/>
      <c r="N93" s="34"/>
      <c r="O93" s="33">
        <v>14.398130945537527</v>
      </c>
      <c r="P93" s="33">
        <v>14.398130945537527</v>
      </c>
      <c r="Q93" s="33">
        <v>14.398130945537527</v>
      </c>
      <c r="R93" s="33">
        <v>13.517882939259444</v>
      </c>
      <c r="S93" s="33">
        <v>13.517882939259444</v>
      </c>
      <c r="T93" s="33">
        <v>13.517882939259444</v>
      </c>
      <c r="U93" s="33">
        <v>4.4746055495332433</v>
      </c>
      <c r="V93" s="33">
        <v>4.4746055495332433</v>
      </c>
      <c r="W93" s="33">
        <v>4.4746055495332433</v>
      </c>
      <c r="X93" s="33">
        <v>4.4746055495332433</v>
      </c>
      <c r="Y93" s="33">
        <v>2.5952600793001244</v>
      </c>
      <c r="Z93" s="33">
        <v>2.5952600793001244</v>
      </c>
      <c r="AA93" s="33">
        <v>0</v>
      </c>
      <c r="AB93" s="33">
        <v>0</v>
      </c>
      <c r="AC93" s="33">
        <v>0</v>
      </c>
      <c r="AD93" s="33">
        <v>0</v>
      </c>
      <c r="AE93" s="33">
        <v>0</v>
      </c>
      <c r="AF93" s="33">
        <v>0</v>
      </c>
      <c r="AG93" s="33">
        <v>0</v>
      </c>
      <c r="AH93" s="33">
        <v>0</v>
      </c>
      <c r="AI93" s="33">
        <v>0</v>
      </c>
      <c r="AJ93" s="33">
        <v>0</v>
      </c>
      <c r="AK93" s="33">
        <v>0</v>
      </c>
      <c r="AL93" s="33">
        <v>0</v>
      </c>
      <c r="AM93" s="33">
        <v>0</v>
      </c>
      <c r="AN93" s="33">
        <v>0</v>
      </c>
      <c r="AO93" s="33">
        <v>0</v>
      </c>
      <c r="AP93" s="29">
        <v>0</v>
      </c>
      <c r="AQ93" s="29">
        <v>0</v>
      </c>
      <c r="AR93" s="29">
        <v>0</v>
      </c>
      <c r="AS93" s="31"/>
    </row>
    <row r="94" spans="1:45">
      <c r="A94" s="31" t="s">
        <v>52</v>
      </c>
      <c r="B94" s="31" t="s">
        <v>1</v>
      </c>
      <c r="C94" s="31" t="s">
        <v>38</v>
      </c>
      <c r="D94" s="31" t="s">
        <v>3</v>
      </c>
      <c r="E94" s="31" t="s">
        <v>39</v>
      </c>
      <c r="F94" s="31" t="s">
        <v>5</v>
      </c>
      <c r="G94" s="31">
        <v>2011</v>
      </c>
      <c r="H94" s="31" t="s">
        <v>13</v>
      </c>
      <c r="I94" s="33" t="s">
        <v>92</v>
      </c>
      <c r="J94" s="34"/>
      <c r="K94" s="34"/>
      <c r="L94" s="34"/>
      <c r="M94" s="34"/>
      <c r="N94" s="34"/>
      <c r="O94" s="33">
        <v>15.858094920564891</v>
      </c>
      <c r="P94" s="33">
        <v>15.858094920564891</v>
      </c>
      <c r="Q94" s="33">
        <v>15.858094920564891</v>
      </c>
      <c r="R94" s="33">
        <v>15.858094920564891</v>
      </c>
      <c r="S94" s="33">
        <v>15.858094920564891</v>
      </c>
      <c r="T94" s="33">
        <v>15.858094920564891</v>
      </c>
      <c r="U94" s="33">
        <v>4.9969907076186661</v>
      </c>
      <c r="V94" s="33">
        <v>4.9969907076186661</v>
      </c>
      <c r="W94" s="33">
        <v>4.9969907076186661</v>
      </c>
      <c r="X94" s="33">
        <v>4.9969907076186661</v>
      </c>
      <c r="Y94" s="33">
        <v>3.9742191307521328</v>
      </c>
      <c r="Z94" s="33">
        <v>3.9742191307521328</v>
      </c>
      <c r="AA94" s="33">
        <v>0</v>
      </c>
      <c r="AB94" s="33">
        <v>0</v>
      </c>
      <c r="AC94" s="33">
        <v>0</v>
      </c>
      <c r="AD94" s="33">
        <v>0</v>
      </c>
      <c r="AE94" s="33">
        <v>0</v>
      </c>
      <c r="AF94" s="33">
        <v>0</v>
      </c>
      <c r="AG94" s="33">
        <v>0</v>
      </c>
      <c r="AH94" s="33">
        <v>0</v>
      </c>
      <c r="AI94" s="33">
        <v>0</v>
      </c>
      <c r="AJ94" s="33">
        <v>0</v>
      </c>
      <c r="AK94" s="33">
        <v>0</v>
      </c>
      <c r="AL94" s="33">
        <v>0</v>
      </c>
      <c r="AM94" s="33">
        <v>0</v>
      </c>
      <c r="AN94" s="33">
        <v>0</v>
      </c>
      <c r="AO94" s="33">
        <v>0</v>
      </c>
      <c r="AP94" s="29">
        <v>0</v>
      </c>
      <c r="AQ94" s="29">
        <v>0</v>
      </c>
      <c r="AR94" s="29">
        <v>0</v>
      </c>
      <c r="AS94" s="31"/>
    </row>
    <row r="95" spans="1:45">
      <c r="A95" s="31" t="s">
        <v>52</v>
      </c>
      <c r="B95" s="31" t="s">
        <v>1</v>
      </c>
      <c r="C95" s="31" t="s">
        <v>40</v>
      </c>
      <c r="D95" s="31" t="s">
        <v>3</v>
      </c>
      <c r="E95" s="31" t="s">
        <v>39</v>
      </c>
      <c r="F95" s="31" t="s">
        <v>5</v>
      </c>
      <c r="G95" s="31">
        <v>2011</v>
      </c>
      <c r="H95" s="31" t="s">
        <v>13</v>
      </c>
      <c r="I95" s="33" t="s">
        <v>94</v>
      </c>
      <c r="J95" s="34"/>
      <c r="K95" s="34"/>
      <c r="L95" s="34"/>
      <c r="M95" s="34"/>
      <c r="N95" s="34"/>
      <c r="O95" s="33">
        <v>50.352508925126152</v>
      </c>
      <c r="P95" s="33">
        <v>50.352508925126152</v>
      </c>
      <c r="Q95" s="33">
        <v>50.352508925126152</v>
      </c>
      <c r="R95" s="33">
        <v>50.352508925126152</v>
      </c>
      <c r="S95" s="33">
        <v>50.352508925126152</v>
      </c>
      <c r="T95" s="33">
        <v>0</v>
      </c>
      <c r="U95" s="33">
        <v>0</v>
      </c>
      <c r="V95" s="33">
        <v>0</v>
      </c>
      <c r="W95" s="33">
        <v>0</v>
      </c>
      <c r="X95" s="33">
        <v>0</v>
      </c>
      <c r="Y95" s="33">
        <v>0</v>
      </c>
      <c r="Z95" s="33">
        <v>0</v>
      </c>
      <c r="AA95" s="33">
        <v>0</v>
      </c>
      <c r="AB95" s="33">
        <v>0</v>
      </c>
      <c r="AC95" s="33">
        <v>0</v>
      </c>
      <c r="AD95" s="33">
        <v>0</v>
      </c>
      <c r="AE95" s="33">
        <v>0</v>
      </c>
      <c r="AF95" s="33">
        <v>0</v>
      </c>
      <c r="AG95" s="33">
        <v>0</v>
      </c>
      <c r="AH95" s="33">
        <v>0</v>
      </c>
      <c r="AI95" s="33">
        <v>0</v>
      </c>
      <c r="AJ95" s="33">
        <v>0</v>
      </c>
      <c r="AK95" s="33">
        <v>0</v>
      </c>
      <c r="AL95" s="33">
        <v>0</v>
      </c>
      <c r="AM95" s="33">
        <v>0</v>
      </c>
      <c r="AN95" s="33">
        <v>0</v>
      </c>
      <c r="AO95" s="33">
        <v>0</v>
      </c>
      <c r="AP95" s="29">
        <v>0</v>
      </c>
      <c r="AQ95" s="29">
        <v>0</v>
      </c>
      <c r="AR95" s="29">
        <v>0</v>
      </c>
      <c r="AS95" s="31"/>
    </row>
    <row r="96" spans="1:45">
      <c r="A96" s="31" t="s">
        <v>52</v>
      </c>
      <c r="B96" s="31" t="s">
        <v>50</v>
      </c>
      <c r="C96" s="31" t="s">
        <v>42</v>
      </c>
      <c r="D96" s="31" t="s">
        <v>3</v>
      </c>
      <c r="E96" s="31" t="s">
        <v>39</v>
      </c>
      <c r="F96" s="31" t="s">
        <v>5</v>
      </c>
      <c r="G96" s="31">
        <v>2011</v>
      </c>
      <c r="H96" s="31" t="s">
        <v>53</v>
      </c>
      <c r="I96" s="33" t="s">
        <v>57</v>
      </c>
      <c r="J96" s="34"/>
      <c r="K96" s="34"/>
      <c r="L96" s="34"/>
      <c r="M96" s="34"/>
      <c r="N96" s="34"/>
      <c r="O96" s="33">
        <v>444.61606738776311</v>
      </c>
      <c r="P96" s="33">
        <v>444.61606738776311</v>
      </c>
      <c r="Q96" s="33">
        <v>444.61606738776311</v>
      </c>
      <c r="R96" s="33">
        <v>444.61606738776311</v>
      </c>
      <c r="S96" s="33">
        <v>444.616067387763</v>
      </c>
      <c r="T96" s="33">
        <v>444.616067387763</v>
      </c>
      <c r="U96" s="33">
        <v>444.616067387763</v>
      </c>
      <c r="V96" s="33">
        <v>444.616067387763</v>
      </c>
      <c r="W96" s="33">
        <v>444.616067387763</v>
      </c>
      <c r="X96" s="33">
        <v>444.616067387763</v>
      </c>
      <c r="Y96" s="33">
        <v>444.616067387763</v>
      </c>
      <c r="Z96" s="33">
        <v>444.616067387763</v>
      </c>
      <c r="AA96" s="33">
        <v>444.616067387763</v>
      </c>
      <c r="AB96" s="33">
        <v>444.616067387763</v>
      </c>
      <c r="AC96" s="33">
        <v>444.616067387763</v>
      </c>
      <c r="AD96" s="33">
        <v>0</v>
      </c>
      <c r="AE96" s="33">
        <v>0</v>
      </c>
      <c r="AF96" s="33">
        <v>0</v>
      </c>
      <c r="AG96" s="33">
        <v>0</v>
      </c>
      <c r="AH96" s="33">
        <v>0</v>
      </c>
      <c r="AI96" s="33">
        <v>0</v>
      </c>
      <c r="AJ96" s="33">
        <v>0</v>
      </c>
      <c r="AK96" s="33">
        <v>0</v>
      </c>
      <c r="AL96" s="33">
        <v>0</v>
      </c>
      <c r="AM96" s="33">
        <v>0</v>
      </c>
      <c r="AN96" s="33">
        <v>0</v>
      </c>
      <c r="AO96" s="33">
        <v>0</v>
      </c>
      <c r="AP96" s="29">
        <v>0</v>
      </c>
      <c r="AQ96" s="29">
        <v>0</v>
      </c>
      <c r="AR96" s="29">
        <v>0</v>
      </c>
      <c r="AS96" s="31"/>
    </row>
    <row r="97" spans="1:45">
      <c r="A97" s="31" t="s">
        <v>52</v>
      </c>
      <c r="B97" s="31" t="s">
        <v>15</v>
      </c>
      <c r="C97" s="31" t="s">
        <v>46</v>
      </c>
      <c r="D97" s="31" t="s">
        <v>3</v>
      </c>
      <c r="E97" s="31" t="s">
        <v>17</v>
      </c>
      <c r="F97" s="31" t="s">
        <v>5</v>
      </c>
      <c r="G97" s="31">
        <v>2011</v>
      </c>
      <c r="H97" s="31" t="s">
        <v>47</v>
      </c>
      <c r="I97" s="33" t="s">
        <v>17</v>
      </c>
      <c r="J97" s="34"/>
      <c r="K97" s="34"/>
      <c r="L97" s="34"/>
      <c r="M97" s="34"/>
      <c r="N97" s="34"/>
      <c r="O97" s="33">
        <v>-46.099303587569764</v>
      </c>
      <c r="P97" s="33">
        <v>-46.099303587569764</v>
      </c>
      <c r="Q97" s="33">
        <v>-46.099303587569764</v>
      </c>
      <c r="R97" s="33">
        <v>-46.099303587569764</v>
      </c>
      <c r="S97" s="33">
        <v>-46.099303587569764</v>
      </c>
      <c r="T97" s="33">
        <v>-46.099303587569764</v>
      </c>
      <c r="U97" s="33">
        <v>-46.099303587569764</v>
      </c>
      <c r="V97" s="33">
        <v>-46.099303587569764</v>
      </c>
      <c r="W97" s="33">
        <v>-46.099303587569764</v>
      </c>
      <c r="X97" s="33">
        <v>-46.099303587569764</v>
      </c>
      <c r="Y97" s="33">
        <v>-46.099303587569764</v>
      </c>
      <c r="Z97" s="33">
        <v>-46.099303587569764</v>
      </c>
      <c r="AA97" s="33">
        <v>-46.099303587569764</v>
      </c>
      <c r="AB97" s="33">
        <v>-46.099303587569764</v>
      </c>
      <c r="AC97" s="33">
        <v>-46.099303587569764</v>
      </c>
      <c r="AD97" s="33">
        <v>-46.099303587569764</v>
      </c>
      <c r="AE97" s="33">
        <v>-46.099303587569764</v>
      </c>
      <c r="AF97" s="33">
        <v>-46.099303587569764</v>
      </c>
      <c r="AG97" s="33">
        <v>-44.100481065259707</v>
      </c>
      <c r="AH97" s="33">
        <v>0</v>
      </c>
      <c r="AI97" s="33">
        <v>0</v>
      </c>
      <c r="AJ97" s="33">
        <v>0</v>
      </c>
      <c r="AK97" s="33">
        <v>0</v>
      </c>
      <c r="AL97" s="33">
        <v>0</v>
      </c>
      <c r="AM97" s="33">
        <v>0</v>
      </c>
      <c r="AN97" s="33">
        <v>0</v>
      </c>
      <c r="AO97" s="33">
        <v>0</v>
      </c>
      <c r="AP97" s="29">
        <v>0</v>
      </c>
      <c r="AQ97" s="29">
        <v>0</v>
      </c>
      <c r="AR97" s="29">
        <v>0</v>
      </c>
      <c r="AS97" s="31"/>
    </row>
    <row r="98" spans="1:45">
      <c r="A98" s="31" t="s">
        <v>52</v>
      </c>
      <c r="B98" s="31" t="s">
        <v>15</v>
      </c>
      <c r="C98" s="31" t="s">
        <v>43</v>
      </c>
      <c r="D98" s="31" t="s">
        <v>3</v>
      </c>
      <c r="E98" s="31" t="s">
        <v>17</v>
      </c>
      <c r="F98" s="31" t="s">
        <v>5</v>
      </c>
      <c r="G98" s="31">
        <v>2011</v>
      </c>
      <c r="H98" s="31" t="s">
        <v>44</v>
      </c>
      <c r="I98" s="33" t="s">
        <v>17</v>
      </c>
      <c r="J98" s="34"/>
      <c r="K98" s="34"/>
      <c r="L98" s="34"/>
      <c r="M98" s="34"/>
      <c r="N98" s="34"/>
      <c r="O98" s="33">
        <v>10.947004820254898</v>
      </c>
      <c r="P98" s="33">
        <v>10.947004820254898</v>
      </c>
      <c r="Q98" s="33">
        <v>10.947004820254898</v>
      </c>
      <c r="R98" s="33">
        <v>10.947004820254898</v>
      </c>
      <c r="S98" s="33">
        <v>10.947004820254898</v>
      </c>
      <c r="T98" s="33">
        <v>9.9476895758751613</v>
      </c>
      <c r="U98" s="33">
        <v>5.3706497234395885</v>
      </c>
      <c r="V98" s="33">
        <v>5.3695555893022915</v>
      </c>
      <c r="W98" s="33">
        <v>5.3695555893022915</v>
      </c>
      <c r="X98" s="33">
        <v>1.1845655212131565</v>
      </c>
      <c r="Y98" s="33">
        <v>0.99516696810053751</v>
      </c>
      <c r="Z98" s="33">
        <v>0.91386373835073487</v>
      </c>
      <c r="AA98" s="33">
        <v>0.91386373835073487</v>
      </c>
      <c r="AB98" s="33">
        <v>0.75837173680929437</v>
      </c>
      <c r="AC98" s="33">
        <v>0.75837173680929437</v>
      </c>
      <c r="AD98" s="33">
        <v>0.75745980702052318</v>
      </c>
      <c r="AE98" s="33">
        <v>0</v>
      </c>
      <c r="AF98" s="33">
        <v>0</v>
      </c>
      <c r="AG98" s="33">
        <v>0</v>
      </c>
      <c r="AH98" s="33">
        <v>0</v>
      </c>
      <c r="AI98" s="33">
        <v>0</v>
      </c>
      <c r="AJ98" s="33">
        <v>0</v>
      </c>
      <c r="AK98" s="33">
        <v>0</v>
      </c>
      <c r="AL98" s="33">
        <v>0</v>
      </c>
      <c r="AM98" s="33">
        <v>0</v>
      </c>
      <c r="AN98" s="33">
        <v>0</v>
      </c>
      <c r="AO98" s="33"/>
      <c r="AP98" s="29">
        <v>0</v>
      </c>
      <c r="AQ98" s="29">
        <v>0</v>
      </c>
      <c r="AR98" s="29">
        <v>0</v>
      </c>
      <c r="AS98" s="31"/>
    </row>
    <row r="99" spans="1:45">
      <c r="A99" s="31" t="s">
        <v>52</v>
      </c>
      <c r="B99" s="31" t="s">
        <v>15</v>
      </c>
      <c r="C99" s="31" t="s">
        <v>45</v>
      </c>
      <c r="D99" s="31" t="s">
        <v>3</v>
      </c>
      <c r="E99" s="31" t="s">
        <v>17</v>
      </c>
      <c r="F99" s="31" t="s">
        <v>5</v>
      </c>
      <c r="G99" s="31">
        <v>2011</v>
      </c>
      <c r="H99" s="31" t="s">
        <v>44</v>
      </c>
      <c r="I99" s="33" t="s">
        <v>17</v>
      </c>
      <c r="J99" s="34"/>
      <c r="K99" s="34"/>
      <c r="L99" s="34"/>
      <c r="M99" s="34"/>
      <c r="N99" s="34"/>
      <c r="O99" s="33">
        <v>1.3820696418156644</v>
      </c>
      <c r="P99" s="33">
        <v>1.3820696418156644</v>
      </c>
      <c r="Q99" s="33">
        <v>1.3820696418156644</v>
      </c>
      <c r="R99" s="33">
        <v>1.3820696418156644</v>
      </c>
      <c r="S99" s="33">
        <v>1.3820696418156644</v>
      </c>
      <c r="T99" s="33">
        <v>1.2627704668901096</v>
      </c>
      <c r="U99" s="33">
        <v>0.77469876509258329</v>
      </c>
      <c r="V99" s="33">
        <v>0.77364399421721075</v>
      </c>
      <c r="W99" s="33">
        <v>0.77364399421721075</v>
      </c>
      <c r="X99" s="33">
        <v>0.27403602265608018</v>
      </c>
      <c r="Y99" s="33">
        <v>0.12376596559791235</v>
      </c>
      <c r="Z99" s="33">
        <v>9.0052357367638641E-2</v>
      </c>
      <c r="AA99" s="33">
        <v>9.0052357367638641E-2</v>
      </c>
      <c r="AB99" s="33">
        <v>8.0819592588624048E-2</v>
      </c>
      <c r="AC99" s="33">
        <v>8.0819592588624048E-2</v>
      </c>
      <c r="AD99" s="33">
        <v>8.0008208477433423E-2</v>
      </c>
      <c r="AE99" s="33">
        <v>0</v>
      </c>
      <c r="AF99" s="33">
        <v>0</v>
      </c>
      <c r="AG99" s="33">
        <v>0</v>
      </c>
      <c r="AH99" s="33">
        <v>0</v>
      </c>
      <c r="AI99" s="33">
        <v>0</v>
      </c>
      <c r="AJ99" s="33">
        <v>0</v>
      </c>
      <c r="AK99" s="33">
        <v>0</v>
      </c>
      <c r="AL99" s="33">
        <v>0</v>
      </c>
      <c r="AM99" s="33">
        <v>0</v>
      </c>
      <c r="AN99" s="33">
        <v>0</v>
      </c>
      <c r="AO99" s="33" t="s">
        <v>7</v>
      </c>
      <c r="AP99" s="29">
        <v>0</v>
      </c>
      <c r="AQ99" s="29">
        <v>0</v>
      </c>
      <c r="AR99" s="29">
        <v>0</v>
      </c>
      <c r="AS99" s="31"/>
    </row>
    <row r="100" spans="1:45">
      <c r="A100" s="31" t="s">
        <v>0</v>
      </c>
      <c r="B100" s="31" t="s">
        <v>1</v>
      </c>
      <c r="C100" s="31" t="s">
        <v>2</v>
      </c>
      <c r="D100" s="31" t="s">
        <v>3</v>
      </c>
      <c r="E100" s="31" t="s">
        <v>4</v>
      </c>
      <c r="F100" s="31" t="s">
        <v>5</v>
      </c>
      <c r="G100" s="31">
        <v>2012</v>
      </c>
      <c r="H100" s="31" t="s">
        <v>6</v>
      </c>
      <c r="I100" s="33" t="s">
        <v>97</v>
      </c>
      <c r="J100" s="34"/>
      <c r="K100" s="34"/>
      <c r="L100" s="34"/>
      <c r="M100" s="34"/>
      <c r="N100" s="34"/>
      <c r="O100" s="33" t="s">
        <v>7</v>
      </c>
      <c r="P100" s="33">
        <v>50.352508925126003</v>
      </c>
      <c r="Q100" s="33">
        <v>50.352508925126003</v>
      </c>
      <c r="R100" s="33">
        <v>50.352508925126003</v>
      </c>
      <c r="S100" s="33">
        <v>50.352508925126003</v>
      </c>
      <c r="T100" s="33" t="s">
        <v>7</v>
      </c>
      <c r="U100" s="33" t="s">
        <v>7</v>
      </c>
      <c r="V100" s="33" t="s">
        <v>7</v>
      </c>
      <c r="W100" s="33" t="s">
        <v>7</v>
      </c>
      <c r="X100" s="33" t="s">
        <v>7</v>
      </c>
      <c r="Y100" s="33" t="s">
        <v>7</v>
      </c>
      <c r="Z100" s="33" t="s">
        <v>7</v>
      </c>
      <c r="AA100" s="33" t="s">
        <v>7</v>
      </c>
      <c r="AB100" s="33" t="s">
        <v>7</v>
      </c>
      <c r="AC100" s="33" t="s">
        <v>7</v>
      </c>
      <c r="AD100" s="33" t="s">
        <v>7</v>
      </c>
      <c r="AE100" s="33" t="s">
        <v>7</v>
      </c>
      <c r="AF100" s="33" t="s">
        <v>7</v>
      </c>
      <c r="AG100" s="33" t="s">
        <v>7</v>
      </c>
      <c r="AH100" s="33" t="s">
        <v>7</v>
      </c>
      <c r="AI100" s="33" t="s">
        <v>7</v>
      </c>
      <c r="AJ100" s="33" t="s">
        <v>7</v>
      </c>
      <c r="AK100" s="33" t="s">
        <v>7</v>
      </c>
      <c r="AL100" s="33" t="s">
        <v>7</v>
      </c>
      <c r="AM100" s="33" t="s">
        <v>7</v>
      </c>
      <c r="AN100" s="33" t="s">
        <v>7</v>
      </c>
      <c r="AO100" s="33" t="s">
        <v>7</v>
      </c>
      <c r="AS100" s="31"/>
    </row>
    <row r="101" spans="1:45">
      <c r="A101" s="31" t="s">
        <v>0</v>
      </c>
      <c r="B101" s="31" t="s">
        <v>1</v>
      </c>
      <c r="C101" s="31" t="s">
        <v>2</v>
      </c>
      <c r="D101" s="31" t="s">
        <v>3</v>
      </c>
      <c r="E101" s="31" t="s">
        <v>4</v>
      </c>
      <c r="F101" s="31" t="s">
        <v>5</v>
      </c>
      <c r="G101" s="31">
        <v>2013</v>
      </c>
      <c r="H101" s="31" t="s">
        <v>6</v>
      </c>
      <c r="I101" s="33" t="s">
        <v>99</v>
      </c>
      <c r="J101" s="34"/>
      <c r="K101" s="34"/>
      <c r="L101" s="34"/>
      <c r="M101" s="34"/>
      <c r="N101" s="34"/>
      <c r="O101" s="33" t="s">
        <v>7</v>
      </c>
      <c r="P101" s="33" t="s">
        <v>7</v>
      </c>
      <c r="Q101" s="33">
        <v>96.901535593948992</v>
      </c>
      <c r="R101" s="33">
        <v>96.901535593948992</v>
      </c>
      <c r="S101" s="33">
        <v>96.901535593948992</v>
      </c>
      <c r="T101" s="33">
        <v>96.901535593948992</v>
      </c>
      <c r="U101" s="33" t="s">
        <v>7</v>
      </c>
      <c r="V101" s="33" t="s">
        <v>7</v>
      </c>
      <c r="W101" s="33" t="s">
        <v>7</v>
      </c>
      <c r="X101" s="33" t="s">
        <v>7</v>
      </c>
      <c r="Y101" s="33" t="s">
        <v>7</v>
      </c>
      <c r="Z101" s="33" t="s">
        <v>7</v>
      </c>
      <c r="AA101" s="33" t="s">
        <v>7</v>
      </c>
      <c r="AB101" s="33" t="s">
        <v>7</v>
      </c>
      <c r="AC101" s="33" t="s">
        <v>7</v>
      </c>
      <c r="AD101" s="33" t="s">
        <v>7</v>
      </c>
      <c r="AE101" s="33" t="s">
        <v>7</v>
      </c>
      <c r="AF101" s="33" t="s">
        <v>7</v>
      </c>
      <c r="AG101" s="33" t="s">
        <v>7</v>
      </c>
      <c r="AH101" s="33" t="s">
        <v>7</v>
      </c>
      <c r="AI101" s="33" t="s">
        <v>7</v>
      </c>
      <c r="AJ101" s="33" t="s">
        <v>7</v>
      </c>
      <c r="AK101" s="33" t="s">
        <v>7</v>
      </c>
      <c r="AL101" s="33" t="s">
        <v>7</v>
      </c>
      <c r="AM101" s="33" t="s">
        <v>7</v>
      </c>
      <c r="AN101" s="33" t="s">
        <v>7</v>
      </c>
      <c r="AO101" s="33">
        <v>0</v>
      </c>
    </row>
    <row r="102" spans="1:45">
      <c r="A102" s="31" t="s">
        <v>0</v>
      </c>
      <c r="B102" s="31" t="s">
        <v>1</v>
      </c>
      <c r="C102" s="31" t="s">
        <v>8</v>
      </c>
      <c r="D102" s="31" t="s">
        <v>3</v>
      </c>
      <c r="E102" s="31" t="s">
        <v>4</v>
      </c>
      <c r="F102" s="31" t="s">
        <v>9</v>
      </c>
      <c r="G102" s="31">
        <v>2013</v>
      </c>
      <c r="H102" s="31" t="s">
        <v>10</v>
      </c>
      <c r="I102" s="33" t="s">
        <v>128</v>
      </c>
      <c r="J102" s="34"/>
      <c r="K102" s="34"/>
      <c r="L102" s="34"/>
      <c r="M102" s="34"/>
      <c r="N102" s="34"/>
      <c r="O102" s="33" t="s">
        <v>7</v>
      </c>
      <c r="P102" s="33" t="s">
        <v>7</v>
      </c>
      <c r="Q102" s="33">
        <v>52.001860000000001</v>
      </c>
      <c r="R102" s="33" t="s">
        <v>7</v>
      </c>
      <c r="S102" s="33" t="s">
        <v>7</v>
      </c>
      <c r="T102" s="33" t="s">
        <v>7</v>
      </c>
      <c r="U102" s="33" t="s">
        <v>7</v>
      </c>
      <c r="V102" s="33" t="s">
        <v>7</v>
      </c>
      <c r="W102" s="33" t="s">
        <v>7</v>
      </c>
      <c r="X102" s="33" t="s">
        <v>7</v>
      </c>
      <c r="Y102" s="33" t="s">
        <v>7</v>
      </c>
      <c r="Z102" s="33" t="s">
        <v>7</v>
      </c>
      <c r="AA102" s="33" t="s">
        <v>7</v>
      </c>
      <c r="AB102" s="33" t="s">
        <v>7</v>
      </c>
      <c r="AC102" s="33" t="s">
        <v>7</v>
      </c>
      <c r="AD102" s="33" t="s">
        <v>7</v>
      </c>
      <c r="AE102" s="33" t="s">
        <v>7</v>
      </c>
      <c r="AF102" s="33" t="s">
        <v>7</v>
      </c>
      <c r="AG102" s="33" t="s">
        <v>7</v>
      </c>
      <c r="AH102" s="33" t="s">
        <v>7</v>
      </c>
      <c r="AI102" s="33" t="s">
        <v>7</v>
      </c>
      <c r="AJ102" s="33" t="s">
        <v>7</v>
      </c>
      <c r="AK102" s="33" t="s">
        <v>7</v>
      </c>
      <c r="AL102" s="33" t="s">
        <v>7</v>
      </c>
      <c r="AM102" s="33" t="s">
        <v>7</v>
      </c>
      <c r="AN102" s="33" t="s">
        <v>7</v>
      </c>
      <c r="AO102" s="33">
        <v>0</v>
      </c>
      <c r="AP102" s="33" t="s">
        <v>7</v>
      </c>
      <c r="AQ102" s="33" t="s">
        <v>7</v>
      </c>
      <c r="AR102" s="33" t="s">
        <v>7</v>
      </c>
    </row>
    <row r="103" spans="1:45">
      <c r="A103" s="31" t="s">
        <v>0</v>
      </c>
      <c r="B103" s="31" t="s">
        <v>1</v>
      </c>
      <c r="C103" s="31" t="s">
        <v>11</v>
      </c>
      <c r="D103" s="31" t="s">
        <v>3</v>
      </c>
      <c r="E103" s="31" t="s">
        <v>4</v>
      </c>
      <c r="F103" s="31" t="s">
        <v>5</v>
      </c>
      <c r="G103" s="31">
        <v>2013</v>
      </c>
      <c r="H103" s="31" t="s">
        <v>7</v>
      </c>
      <c r="I103" s="33" t="s">
        <v>100</v>
      </c>
      <c r="J103" s="34"/>
      <c r="K103" s="34"/>
      <c r="L103" s="34"/>
      <c r="M103" s="34"/>
      <c r="N103" s="34"/>
      <c r="O103" s="33">
        <v>0</v>
      </c>
      <c r="P103" s="33">
        <v>0</v>
      </c>
      <c r="Q103" s="33">
        <v>58.802057999999995</v>
      </c>
      <c r="R103" s="33">
        <v>58.802057999999995</v>
      </c>
      <c r="S103" s="33">
        <v>58.802057999999995</v>
      </c>
      <c r="T103" s="33">
        <v>58.802057999999995</v>
      </c>
      <c r="U103" s="33">
        <v>58.802057999999995</v>
      </c>
      <c r="V103" s="33">
        <v>58.802057999999995</v>
      </c>
      <c r="W103" s="33">
        <v>58.802057999999995</v>
      </c>
      <c r="X103" s="33">
        <v>58.802057999999995</v>
      </c>
      <c r="Y103" s="33">
        <v>58.802057999999995</v>
      </c>
      <c r="Z103" s="33">
        <v>58.802057999999995</v>
      </c>
      <c r="AA103" s="33">
        <v>58.802057999999995</v>
      </c>
      <c r="AB103" s="33">
        <v>58.802057999999995</v>
      </c>
      <c r="AC103" s="33">
        <v>58.802057999999995</v>
      </c>
      <c r="AD103" s="33">
        <v>58.802057999999995</v>
      </c>
      <c r="AE103" s="33">
        <v>58.802057999999995</v>
      </c>
      <c r="AF103" s="33">
        <v>0</v>
      </c>
      <c r="AG103" s="33">
        <v>0</v>
      </c>
      <c r="AH103" s="33">
        <v>0</v>
      </c>
      <c r="AI103" s="33">
        <v>0</v>
      </c>
      <c r="AJ103" s="33">
        <v>0</v>
      </c>
      <c r="AK103" s="33">
        <v>0</v>
      </c>
      <c r="AL103" s="33">
        <v>0</v>
      </c>
      <c r="AM103" s="33">
        <v>0</v>
      </c>
      <c r="AN103" s="33">
        <v>0</v>
      </c>
      <c r="AO103" s="33">
        <v>0</v>
      </c>
      <c r="AP103" s="33" t="s">
        <v>7</v>
      </c>
      <c r="AQ103" s="33" t="s">
        <v>7</v>
      </c>
      <c r="AR103" s="33" t="s">
        <v>7</v>
      </c>
    </row>
    <row r="104" spans="1:45">
      <c r="A104" s="31" t="s">
        <v>0</v>
      </c>
      <c r="B104" s="31" t="s">
        <v>1</v>
      </c>
      <c r="C104" s="31" t="s">
        <v>12</v>
      </c>
      <c r="D104" s="31" t="s">
        <v>3</v>
      </c>
      <c r="E104" s="31" t="s">
        <v>4</v>
      </c>
      <c r="F104" s="31" t="s">
        <v>5</v>
      </c>
      <c r="G104" s="31">
        <v>2012</v>
      </c>
      <c r="H104" s="31" t="s">
        <v>13</v>
      </c>
      <c r="I104" s="33" t="s">
        <v>96</v>
      </c>
      <c r="J104" s="34"/>
      <c r="K104" s="34"/>
      <c r="L104" s="34"/>
      <c r="M104" s="34"/>
      <c r="N104" s="34"/>
      <c r="O104" s="33">
        <v>0</v>
      </c>
      <c r="P104" s="33">
        <v>23.308799162745999</v>
      </c>
      <c r="Q104" s="33">
        <v>23.308799162745999</v>
      </c>
      <c r="R104" s="33">
        <v>23.308799162745999</v>
      </c>
      <c r="S104" s="33">
        <v>23.308799162745999</v>
      </c>
      <c r="T104" s="33">
        <v>23.308799162745999</v>
      </c>
      <c r="U104" s="33">
        <v>23.308799162745999</v>
      </c>
      <c r="V104" s="33">
        <v>23.308799162745999</v>
      </c>
      <c r="W104" s="33">
        <v>23.308799162745999</v>
      </c>
      <c r="X104" s="33">
        <v>23.308799162745999</v>
      </c>
      <c r="Y104" s="33">
        <v>23.308799162745999</v>
      </c>
      <c r="Z104" s="33">
        <v>23.308799162745999</v>
      </c>
      <c r="AA104" s="33">
        <v>23.308799162745999</v>
      </c>
      <c r="AB104" s="33">
        <v>23.308799162745999</v>
      </c>
      <c r="AC104" s="33">
        <v>23.308799162745999</v>
      </c>
      <c r="AD104" s="33">
        <v>23.308799162745999</v>
      </c>
      <c r="AE104" s="33">
        <v>16.667086755421003</v>
      </c>
      <c r="AF104" s="33">
        <v>0</v>
      </c>
      <c r="AG104" s="33">
        <v>0</v>
      </c>
      <c r="AH104" s="33">
        <v>0</v>
      </c>
      <c r="AI104" s="33">
        <v>0</v>
      </c>
      <c r="AJ104" s="33">
        <v>0</v>
      </c>
      <c r="AK104" s="33">
        <v>0</v>
      </c>
      <c r="AL104" s="33">
        <v>0</v>
      </c>
      <c r="AM104" s="33">
        <v>0</v>
      </c>
      <c r="AN104" s="33">
        <v>0</v>
      </c>
      <c r="AO104" s="33">
        <v>0</v>
      </c>
      <c r="AP104" s="33" t="s">
        <v>7</v>
      </c>
      <c r="AQ104" s="33" t="s">
        <v>7</v>
      </c>
      <c r="AR104" s="33" t="s">
        <v>7</v>
      </c>
    </row>
    <row r="105" spans="1:45">
      <c r="A105" s="31" t="s">
        <v>0</v>
      </c>
      <c r="B105" s="31" t="s">
        <v>1</v>
      </c>
      <c r="C105" s="31" t="s">
        <v>12</v>
      </c>
      <c r="D105" s="31" t="s">
        <v>3</v>
      </c>
      <c r="E105" s="31" t="s">
        <v>4</v>
      </c>
      <c r="F105" s="31" t="s">
        <v>5</v>
      </c>
      <c r="G105" s="31">
        <v>2013</v>
      </c>
      <c r="H105" s="31" t="s">
        <v>13</v>
      </c>
      <c r="I105" s="33" t="s">
        <v>101</v>
      </c>
      <c r="J105" s="34"/>
      <c r="K105" s="34"/>
      <c r="L105" s="34"/>
      <c r="M105" s="34"/>
      <c r="N105" s="34"/>
      <c r="O105" s="33">
        <v>0</v>
      </c>
      <c r="P105" s="33">
        <v>0</v>
      </c>
      <c r="Q105" s="33">
        <v>5089.5962697838795</v>
      </c>
      <c r="R105" s="33">
        <v>5089.5962697838795</v>
      </c>
      <c r="S105" s="33">
        <v>5089.5962697838795</v>
      </c>
      <c r="T105" s="33">
        <v>4813.2624402286901</v>
      </c>
      <c r="U105" s="33">
        <v>4772.3693252412395</v>
      </c>
      <c r="V105" s="33">
        <v>4761.5441525611195</v>
      </c>
      <c r="W105" s="33">
        <v>4761.5441525611195</v>
      </c>
      <c r="X105" s="33">
        <v>4601.4212858973397</v>
      </c>
      <c r="Y105" s="33">
        <v>4511.6581197145997</v>
      </c>
      <c r="Z105" s="33">
        <v>4443.8364820332799</v>
      </c>
      <c r="AA105" s="33">
        <v>2844.4306194780702</v>
      </c>
      <c r="AB105" s="33">
        <v>1516.77778440969</v>
      </c>
      <c r="AC105" s="33">
        <v>1297.57617174352</v>
      </c>
      <c r="AD105" s="33">
        <v>1297.57617174352</v>
      </c>
      <c r="AE105" s="33">
        <v>1297.57617174352</v>
      </c>
      <c r="AF105" s="33">
        <v>1056.9783464164</v>
      </c>
      <c r="AG105" s="33">
        <v>66.769627944270994</v>
      </c>
      <c r="AH105" s="33">
        <v>66.306895921514993</v>
      </c>
      <c r="AI105" s="33">
        <v>66.306895921514993</v>
      </c>
      <c r="AJ105" s="33">
        <v>66.306895921514993</v>
      </c>
      <c r="AK105" s="33">
        <v>0</v>
      </c>
      <c r="AL105" s="33">
        <v>0</v>
      </c>
      <c r="AM105" s="33">
        <v>0</v>
      </c>
      <c r="AN105" s="33">
        <v>0</v>
      </c>
      <c r="AO105" s="33">
        <v>0</v>
      </c>
      <c r="AP105" s="33">
        <v>0</v>
      </c>
      <c r="AQ105" s="33">
        <v>0</v>
      </c>
      <c r="AR105" s="33">
        <v>0</v>
      </c>
    </row>
    <row r="106" spans="1:45">
      <c r="A106" s="31" t="s">
        <v>0</v>
      </c>
      <c r="B106" s="31" t="s">
        <v>1</v>
      </c>
      <c r="C106" s="31" t="s">
        <v>14</v>
      </c>
      <c r="D106" s="31" t="s">
        <v>3</v>
      </c>
      <c r="E106" s="31" t="s">
        <v>4</v>
      </c>
      <c r="F106" s="31" t="s">
        <v>5</v>
      </c>
      <c r="G106" s="31">
        <v>2012</v>
      </c>
      <c r="H106" s="31" t="s">
        <v>13</v>
      </c>
      <c r="I106" s="33" t="s">
        <v>95</v>
      </c>
      <c r="J106" s="34"/>
      <c r="K106" s="34"/>
      <c r="L106" s="34"/>
      <c r="M106" s="34"/>
      <c r="N106" s="34"/>
      <c r="O106" s="33" t="s">
        <v>7</v>
      </c>
      <c r="P106" s="33">
        <v>65.451467311612006</v>
      </c>
      <c r="Q106" s="33">
        <v>65.451467311612006</v>
      </c>
      <c r="R106" s="33">
        <v>65.451467311612006</v>
      </c>
      <c r="S106" s="33">
        <v>52.853312831827004</v>
      </c>
      <c r="T106" s="33">
        <v>52.853312831827004</v>
      </c>
      <c r="U106" s="33">
        <v>19.258700829643999</v>
      </c>
      <c r="V106" s="33">
        <v>19.258700829643999</v>
      </c>
      <c r="W106" s="33">
        <v>19.258700829643999</v>
      </c>
      <c r="X106" s="33">
        <v>19.258700829643999</v>
      </c>
      <c r="Y106" s="33">
        <v>19.258700829643999</v>
      </c>
      <c r="Z106" s="33">
        <v>12.567577379904</v>
      </c>
      <c r="AA106" s="33">
        <v>12.567577379904</v>
      </c>
      <c r="AB106" s="33">
        <v>0</v>
      </c>
      <c r="AC106" s="33">
        <v>0</v>
      </c>
      <c r="AD106" s="33">
        <v>0</v>
      </c>
      <c r="AE106" s="33">
        <v>0</v>
      </c>
      <c r="AF106" s="33">
        <v>0</v>
      </c>
      <c r="AG106" s="33">
        <v>0</v>
      </c>
      <c r="AH106" s="33">
        <v>0</v>
      </c>
      <c r="AI106" s="33">
        <v>0</v>
      </c>
      <c r="AJ106" s="33">
        <v>0</v>
      </c>
      <c r="AK106" s="33">
        <v>0</v>
      </c>
      <c r="AL106" s="33">
        <v>0</v>
      </c>
      <c r="AM106" s="33">
        <v>0</v>
      </c>
      <c r="AN106" s="33">
        <v>0</v>
      </c>
      <c r="AO106" s="33">
        <v>0</v>
      </c>
      <c r="AP106" s="33">
        <v>0</v>
      </c>
      <c r="AQ106" s="33">
        <v>0</v>
      </c>
      <c r="AR106" s="33">
        <v>0</v>
      </c>
    </row>
    <row r="107" spans="1:45">
      <c r="A107" s="31" t="s">
        <v>0</v>
      </c>
      <c r="B107" s="31" t="s">
        <v>1</v>
      </c>
      <c r="C107" s="31" t="s">
        <v>14</v>
      </c>
      <c r="D107" s="31" t="s">
        <v>3</v>
      </c>
      <c r="E107" s="31" t="s">
        <v>4</v>
      </c>
      <c r="F107" s="31" t="s">
        <v>5</v>
      </c>
      <c r="G107" s="31">
        <v>2013</v>
      </c>
      <c r="H107" s="31" t="s">
        <v>13</v>
      </c>
      <c r="I107" s="33" t="s">
        <v>102</v>
      </c>
      <c r="J107" s="34"/>
      <c r="K107" s="34"/>
      <c r="L107" s="34"/>
      <c r="M107" s="34"/>
      <c r="N107" s="34"/>
      <c r="O107" s="33" t="s">
        <v>7</v>
      </c>
      <c r="P107" s="33" t="s">
        <v>7</v>
      </c>
      <c r="Q107" s="33">
        <v>222.93187639852499</v>
      </c>
      <c r="R107" s="33">
        <v>222.93187639852499</v>
      </c>
      <c r="S107" s="33">
        <v>215.90294163568399</v>
      </c>
      <c r="T107" s="33">
        <v>171.45635630098403</v>
      </c>
      <c r="U107" s="33">
        <v>74.14139567185299</v>
      </c>
      <c r="V107" s="33">
        <v>74.14139567185299</v>
      </c>
      <c r="W107" s="33">
        <v>74.14139567185299</v>
      </c>
      <c r="X107" s="33">
        <v>74.14139567185299</v>
      </c>
      <c r="Y107" s="33">
        <v>74.14139567185299</v>
      </c>
      <c r="Z107" s="33">
        <v>74.14139567185299</v>
      </c>
      <c r="AA107" s="33">
        <v>60.017878307090001</v>
      </c>
      <c r="AB107" s="33">
        <v>53.241809320589006</v>
      </c>
      <c r="AC107" s="33">
        <v>0</v>
      </c>
      <c r="AD107" s="33">
        <v>0</v>
      </c>
      <c r="AE107" s="33">
        <v>0</v>
      </c>
      <c r="AF107" s="33">
        <v>0</v>
      </c>
      <c r="AG107" s="33">
        <v>0</v>
      </c>
      <c r="AH107" s="33">
        <v>0</v>
      </c>
      <c r="AI107" s="33">
        <v>0</v>
      </c>
      <c r="AJ107" s="33">
        <v>0</v>
      </c>
      <c r="AK107" s="33">
        <v>0</v>
      </c>
      <c r="AL107" s="33">
        <v>0</v>
      </c>
      <c r="AM107" s="33">
        <v>0</v>
      </c>
      <c r="AN107" s="33">
        <v>0</v>
      </c>
      <c r="AO107" s="33">
        <v>0</v>
      </c>
      <c r="AP107" s="33">
        <v>0</v>
      </c>
      <c r="AQ107" s="33">
        <v>0</v>
      </c>
      <c r="AR107" s="33">
        <v>0</v>
      </c>
    </row>
    <row r="108" spans="1:45">
      <c r="A108" s="31" t="s">
        <v>0</v>
      </c>
      <c r="B108" s="31" t="s">
        <v>15</v>
      </c>
      <c r="C108" s="31" t="s">
        <v>16</v>
      </c>
      <c r="D108" s="31" t="s">
        <v>3</v>
      </c>
      <c r="E108" s="31" t="s">
        <v>17</v>
      </c>
      <c r="F108" s="31" t="s">
        <v>5</v>
      </c>
      <c r="G108" s="31">
        <v>2013</v>
      </c>
      <c r="H108" s="31" t="s">
        <v>18</v>
      </c>
      <c r="I108" s="33" t="s">
        <v>17</v>
      </c>
      <c r="J108" s="34"/>
      <c r="K108" s="34"/>
      <c r="L108" s="34"/>
      <c r="M108" s="34"/>
      <c r="N108" s="34"/>
      <c r="O108" s="33">
        <v>0</v>
      </c>
      <c r="P108" s="33">
        <v>0</v>
      </c>
      <c r="Q108" s="33">
        <v>38.643947383874</v>
      </c>
      <c r="R108" s="33">
        <v>38.643947383874</v>
      </c>
      <c r="S108" s="33">
        <v>37.154768956587006</v>
      </c>
      <c r="T108" s="33">
        <v>31.477756601667</v>
      </c>
      <c r="U108" s="33">
        <v>31.477756601667</v>
      </c>
      <c r="V108" s="33">
        <v>31.477756601667</v>
      </c>
      <c r="W108" s="33">
        <v>31.477756601667</v>
      </c>
      <c r="X108" s="33">
        <v>31.451523195309001</v>
      </c>
      <c r="Y108" s="33">
        <v>22.870543798629001</v>
      </c>
      <c r="Z108" s="33">
        <v>22.870543798629001</v>
      </c>
      <c r="AA108" s="33">
        <v>20.794953332483001</v>
      </c>
      <c r="AB108" s="33">
        <v>20.498824050601002</v>
      </c>
      <c r="AC108" s="33">
        <v>20.498824050601002</v>
      </c>
      <c r="AD108" s="33">
        <v>20.414556491500001</v>
      </c>
      <c r="AE108" s="33">
        <v>20.414556491500001</v>
      </c>
      <c r="AF108" s="33">
        <v>20.397278755197998</v>
      </c>
      <c r="AG108" s="33">
        <v>19.766976581778</v>
      </c>
      <c r="AH108" s="33">
        <v>11.602776670879001</v>
      </c>
      <c r="AI108" s="33">
        <v>11.602776670879001</v>
      </c>
      <c r="AJ108" s="33">
        <v>11.602776670879001</v>
      </c>
      <c r="AK108" s="33">
        <v>0</v>
      </c>
      <c r="AL108" s="33">
        <v>0</v>
      </c>
      <c r="AM108" s="33">
        <v>0</v>
      </c>
      <c r="AN108" s="33">
        <v>0</v>
      </c>
      <c r="AO108" s="33">
        <v>0</v>
      </c>
      <c r="AP108" s="33">
        <v>0</v>
      </c>
      <c r="AQ108" s="33">
        <v>0</v>
      </c>
      <c r="AR108" s="33">
        <v>0</v>
      </c>
    </row>
    <row r="109" spans="1:45">
      <c r="A109" s="31" t="s">
        <v>0</v>
      </c>
      <c r="B109" s="31" t="s">
        <v>15</v>
      </c>
      <c r="C109" s="31" t="s">
        <v>19</v>
      </c>
      <c r="D109" s="31" t="s">
        <v>3</v>
      </c>
      <c r="E109" s="31" t="s">
        <v>17</v>
      </c>
      <c r="F109" s="31" t="s">
        <v>5</v>
      </c>
      <c r="G109" s="31">
        <v>2013</v>
      </c>
      <c r="H109" s="31" t="s">
        <v>20</v>
      </c>
      <c r="I109" s="33" t="s">
        <v>17</v>
      </c>
      <c r="J109" s="34"/>
      <c r="K109" s="34"/>
      <c r="L109" s="34"/>
      <c r="M109" s="34"/>
      <c r="N109" s="34"/>
      <c r="O109" s="33" t="s">
        <v>7</v>
      </c>
      <c r="P109" s="33" t="s">
        <v>7</v>
      </c>
      <c r="Q109" s="33">
        <v>2.5860791459999999</v>
      </c>
      <c r="R109" s="33">
        <v>2.5860791459999999</v>
      </c>
      <c r="S109" s="33">
        <v>2.5860791459999999</v>
      </c>
      <c r="T109" s="33">
        <v>2.5860791459999999</v>
      </c>
      <c r="U109" s="33">
        <v>0</v>
      </c>
      <c r="V109" s="33">
        <v>0</v>
      </c>
      <c r="W109" s="33">
        <v>0</v>
      </c>
      <c r="X109" s="33">
        <v>0</v>
      </c>
      <c r="Y109" s="33">
        <v>0</v>
      </c>
      <c r="Z109" s="33">
        <v>0</v>
      </c>
      <c r="AA109" s="33">
        <v>0</v>
      </c>
      <c r="AB109" s="33">
        <v>0</v>
      </c>
      <c r="AC109" s="33">
        <v>0</v>
      </c>
      <c r="AD109" s="33">
        <v>0</v>
      </c>
      <c r="AE109" s="33">
        <v>0</v>
      </c>
      <c r="AF109" s="33">
        <v>0</v>
      </c>
      <c r="AG109" s="33">
        <v>0</v>
      </c>
      <c r="AH109" s="33">
        <v>0</v>
      </c>
      <c r="AI109" s="33">
        <v>0</v>
      </c>
      <c r="AJ109" s="33">
        <v>0</v>
      </c>
      <c r="AK109" s="33">
        <v>0</v>
      </c>
      <c r="AL109" s="33">
        <v>0</v>
      </c>
      <c r="AM109" s="33">
        <v>0</v>
      </c>
      <c r="AN109" s="33">
        <v>0</v>
      </c>
      <c r="AO109" s="33">
        <v>0</v>
      </c>
      <c r="AP109" s="33">
        <v>0</v>
      </c>
      <c r="AQ109" s="33">
        <v>0</v>
      </c>
      <c r="AR109" s="33">
        <v>0</v>
      </c>
    </row>
    <row r="110" spans="1:45">
      <c r="A110" s="31" t="s">
        <v>0</v>
      </c>
      <c r="B110" s="31" t="s">
        <v>15</v>
      </c>
      <c r="C110" s="31" t="s">
        <v>21</v>
      </c>
      <c r="D110" s="31" t="s">
        <v>3</v>
      </c>
      <c r="E110" s="31" t="s">
        <v>17</v>
      </c>
      <c r="F110" s="31" t="s">
        <v>5</v>
      </c>
      <c r="G110" s="31">
        <v>2013</v>
      </c>
      <c r="H110" s="31" t="s">
        <v>20</v>
      </c>
      <c r="I110" s="33" t="s">
        <v>17</v>
      </c>
      <c r="J110" s="34"/>
      <c r="K110" s="34"/>
      <c r="L110" s="34"/>
      <c r="M110" s="34"/>
      <c r="N110" s="34"/>
      <c r="O110" s="33" t="s">
        <v>7</v>
      </c>
      <c r="P110" s="33" t="s">
        <v>7</v>
      </c>
      <c r="Q110" s="33">
        <v>19.102625289632005</v>
      </c>
      <c r="R110" s="33">
        <v>19.102625289632005</v>
      </c>
      <c r="S110" s="33">
        <v>19.102625289632005</v>
      </c>
      <c r="T110" s="33">
        <v>19.000080771299004</v>
      </c>
      <c r="U110" s="33">
        <v>13.213418502687</v>
      </c>
      <c r="V110" s="33">
        <v>0</v>
      </c>
      <c r="W110" s="33">
        <v>0</v>
      </c>
      <c r="X110" s="33">
        <v>0</v>
      </c>
      <c r="Y110" s="33">
        <v>0</v>
      </c>
      <c r="Z110" s="33">
        <v>0</v>
      </c>
      <c r="AA110" s="33">
        <v>0</v>
      </c>
      <c r="AB110" s="33">
        <v>0</v>
      </c>
      <c r="AC110" s="33">
        <v>0</v>
      </c>
      <c r="AD110" s="33">
        <v>0</v>
      </c>
      <c r="AE110" s="33">
        <v>0</v>
      </c>
      <c r="AF110" s="33">
        <v>0</v>
      </c>
      <c r="AG110" s="33">
        <v>0</v>
      </c>
      <c r="AH110" s="33">
        <v>0</v>
      </c>
      <c r="AI110" s="33">
        <v>0</v>
      </c>
      <c r="AJ110" s="33">
        <v>0</v>
      </c>
      <c r="AK110" s="33">
        <v>0</v>
      </c>
      <c r="AL110" s="33">
        <v>0</v>
      </c>
      <c r="AM110" s="33">
        <v>0</v>
      </c>
      <c r="AN110" s="33">
        <v>0</v>
      </c>
      <c r="AO110" s="33">
        <v>0</v>
      </c>
      <c r="AP110" s="33">
        <v>0</v>
      </c>
      <c r="AQ110" s="33">
        <v>0</v>
      </c>
      <c r="AR110" s="33">
        <v>0</v>
      </c>
    </row>
    <row r="111" spans="1:45">
      <c r="A111" s="31" t="s">
        <v>0</v>
      </c>
      <c r="B111" s="31" t="s">
        <v>15</v>
      </c>
      <c r="C111" s="31" t="s">
        <v>22</v>
      </c>
      <c r="D111" s="31" t="s">
        <v>3</v>
      </c>
      <c r="E111" s="31" t="s">
        <v>17</v>
      </c>
      <c r="F111" s="31" t="s">
        <v>5</v>
      </c>
      <c r="G111" s="31">
        <v>2013</v>
      </c>
      <c r="H111" s="31" t="s">
        <v>18</v>
      </c>
      <c r="I111" s="33" t="s">
        <v>17</v>
      </c>
      <c r="J111" s="34"/>
      <c r="K111" s="34"/>
      <c r="L111" s="34"/>
      <c r="M111" s="34"/>
      <c r="N111" s="34"/>
      <c r="O111" s="33">
        <v>0</v>
      </c>
      <c r="P111" s="33">
        <v>0</v>
      </c>
      <c r="Q111" s="33">
        <v>86.135658340274006</v>
      </c>
      <c r="R111" s="33">
        <v>86.135658340274006</v>
      </c>
      <c r="S111" s="33">
        <v>80.945777527922999</v>
      </c>
      <c r="T111" s="33">
        <v>63.234031666148006</v>
      </c>
      <c r="U111" s="33">
        <v>63.234031666148006</v>
      </c>
      <c r="V111" s="33">
        <v>63.234031666148006</v>
      </c>
      <c r="W111" s="33">
        <v>63.234031666148006</v>
      </c>
      <c r="X111" s="33">
        <v>63.159513584319996</v>
      </c>
      <c r="Y111" s="33">
        <v>53.113481410571005</v>
      </c>
      <c r="Z111" s="33">
        <v>53.113481410571005</v>
      </c>
      <c r="AA111" s="33">
        <v>46.217296963313999</v>
      </c>
      <c r="AB111" s="33">
        <v>29.71325522403</v>
      </c>
      <c r="AC111" s="33">
        <v>29.71325522403</v>
      </c>
      <c r="AD111" s="33">
        <v>28.145186154384998</v>
      </c>
      <c r="AE111" s="33">
        <v>28.145186154384998</v>
      </c>
      <c r="AF111" s="33">
        <v>27.943838416954002</v>
      </c>
      <c r="AG111" s="33">
        <v>24.120227751277998</v>
      </c>
      <c r="AH111" s="33">
        <v>14.158028969536002</v>
      </c>
      <c r="AI111" s="33">
        <v>14.158028969536002</v>
      </c>
      <c r="AJ111" s="33">
        <v>14.158028969536002</v>
      </c>
      <c r="AK111" s="33">
        <v>0</v>
      </c>
      <c r="AL111" s="33">
        <v>0</v>
      </c>
      <c r="AM111" s="33">
        <v>0</v>
      </c>
      <c r="AN111" s="33">
        <v>0</v>
      </c>
      <c r="AO111" s="33">
        <v>0</v>
      </c>
      <c r="AP111" s="33">
        <v>0</v>
      </c>
      <c r="AQ111" s="33">
        <v>0</v>
      </c>
      <c r="AR111" s="33">
        <v>0</v>
      </c>
    </row>
    <row r="112" spans="1:45">
      <c r="A112" s="31" t="s">
        <v>0</v>
      </c>
      <c r="B112" s="31" t="s">
        <v>15</v>
      </c>
      <c r="C112" s="31" t="s">
        <v>23</v>
      </c>
      <c r="D112" s="31" t="s">
        <v>3</v>
      </c>
      <c r="E112" s="31" t="s">
        <v>17</v>
      </c>
      <c r="F112" s="31" t="s">
        <v>5</v>
      </c>
      <c r="G112" s="31">
        <v>2013</v>
      </c>
      <c r="H112" s="31" t="s">
        <v>24</v>
      </c>
      <c r="I112" s="33" t="s">
        <v>17</v>
      </c>
      <c r="J112" s="34"/>
      <c r="K112" s="34"/>
      <c r="L112" s="34"/>
      <c r="M112" s="34"/>
      <c r="N112" s="34"/>
      <c r="O112" s="33">
        <v>0</v>
      </c>
      <c r="P112" s="33">
        <v>0</v>
      </c>
      <c r="Q112" s="33">
        <v>272.01625510406501</v>
      </c>
      <c r="R112" s="33">
        <v>266.48559613800001</v>
      </c>
      <c r="S112" s="33">
        <v>264.64041334152199</v>
      </c>
      <c r="T112" s="33">
        <v>242.70248827362101</v>
      </c>
      <c r="U112" s="33">
        <v>233.18164343261702</v>
      </c>
      <c r="V112" s="33">
        <v>224.39162893676797</v>
      </c>
      <c r="W112" s="33">
        <v>216.13360990905801</v>
      </c>
      <c r="X112" s="33">
        <v>214.81384707641598</v>
      </c>
      <c r="Y112" s="33">
        <v>122.841596008301</v>
      </c>
      <c r="Z112" s="33">
        <v>122.01765067291301</v>
      </c>
      <c r="AA112" s="33">
        <v>111.372562728882</v>
      </c>
      <c r="AB112" s="33">
        <v>110.6372212677</v>
      </c>
      <c r="AC112" s="33">
        <v>102.142280899048</v>
      </c>
      <c r="AD112" s="33">
        <v>102.142280899048</v>
      </c>
      <c r="AE112" s="33">
        <v>34.142126052856</v>
      </c>
      <c r="AF112" s="33">
        <v>23.529550903320001</v>
      </c>
      <c r="AG112" s="33">
        <v>23.529550903320001</v>
      </c>
      <c r="AH112" s="33">
        <v>23.529550903320001</v>
      </c>
      <c r="AI112" s="33">
        <v>23.529550903320001</v>
      </c>
      <c r="AJ112" s="33">
        <v>23.529550903320001</v>
      </c>
      <c r="AK112" s="33">
        <v>18.309921020508003</v>
      </c>
      <c r="AL112" s="33">
        <v>0</v>
      </c>
      <c r="AM112" s="33">
        <v>0</v>
      </c>
      <c r="AN112" s="33">
        <v>0</v>
      </c>
      <c r="AO112" s="33">
        <v>0</v>
      </c>
      <c r="AP112" s="33">
        <v>0</v>
      </c>
      <c r="AQ112" s="33">
        <v>0</v>
      </c>
      <c r="AR112" s="33">
        <v>0</v>
      </c>
    </row>
    <row r="113" spans="1:45">
      <c r="A113" s="31" t="s">
        <v>0</v>
      </c>
      <c r="B113" s="31" t="s">
        <v>15</v>
      </c>
      <c r="C113" s="31" t="s">
        <v>25</v>
      </c>
      <c r="D113" s="31" t="s">
        <v>3</v>
      </c>
      <c r="E113" s="31" t="s">
        <v>17</v>
      </c>
      <c r="F113" s="31" t="s">
        <v>5</v>
      </c>
      <c r="G113" s="31">
        <v>2012</v>
      </c>
      <c r="H113" s="31" t="s">
        <v>26</v>
      </c>
      <c r="I113" s="33" t="s">
        <v>17</v>
      </c>
      <c r="J113" s="34"/>
      <c r="K113" s="34"/>
      <c r="L113" s="34"/>
      <c r="M113" s="34"/>
      <c r="N113" s="34"/>
      <c r="O113" s="33" t="s">
        <v>7</v>
      </c>
      <c r="P113" s="33">
        <v>3.5737338950369999</v>
      </c>
      <c r="Q113" s="33">
        <v>3.5737338950369999</v>
      </c>
      <c r="R113" s="33">
        <v>3.5737338950369999</v>
      </c>
      <c r="S113" s="33">
        <v>3.5737338950369999</v>
      </c>
      <c r="T113" s="33">
        <v>3.5737338950369999</v>
      </c>
      <c r="U113" s="33">
        <v>3.5737338950369999</v>
      </c>
      <c r="V113" s="33">
        <v>3.5737338950369999</v>
      </c>
      <c r="W113" s="33">
        <v>3.5737338950369999</v>
      </c>
      <c r="X113" s="33">
        <v>3.5737338950369999</v>
      </c>
      <c r="Y113" s="33">
        <v>3.5737338950369999</v>
      </c>
      <c r="Z113" s="33">
        <v>3.5737338950369999</v>
      </c>
      <c r="AA113" s="33">
        <v>3.5737338950369999</v>
      </c>
      <c r="AB113" s="33">
        <v>3.5737338950369999</v>
      </c>
      <c r="AC113" s="33">
        <v>3.5737338950369999</v>
      </c>
      <c r="AD113" s="33">
        <v>3.5737338950369999</v>
      </c>
      <c r="AE113" s="33">
        <v>3.5737338950369999</v>
      </c>
      <c r="AF113" s="33">
        <v>3.5737338950369999</v>
      </c>
      <c r="AG113" s="33">
        <v>3.5737338950369999</v>
      </c>
      <c r="AH113" s="33">
        <v>3.3107602472719999</v>
      </c>
      <c r="AI113" s="33">
        <v>0</v>
      </c>
      <c r="AJ113" s="33">
        <v>0</v>
      </c>
      <c r="AK113" s="33">
        <v>0</v>
      </c>
      <c r="AL113" s="33">
        <v>0</v>
      </c>
      <c r="AM113" s="33">
        <v>0</v>
      </c>
      <c r="AN113" s="33">
        <v>0</v>
      </c>
      <c r="AO113" s="33" t="s">
        <v>7</v>
      </c>
      <c r="AP113" s="33">
        <v>0</v>
      </c>
      <c r="AQ113" s="33">
        <v>0</v>
      </c>
      <c r="AR113" s="33">
        <v>0</v>
      </c>
    </row>
    <row r="114" spans="1:45">
      <c r="A114" s="31" t="s">
        <v>0</v>
      </c>
      <c r="B114" s="31" t="s">
        <v>15</v>
      </c>
      <c r="C114" s="31" t="s">
        <v>25</v>
      </c>
      <c r="D114" s="31" t="s">
        <v>3</v>
      </c>
      <c r="E114" s="31" t="s">
        <v>17</v>
      </c>
      <c r="F114" s="31" t="s">
        <v>5</v>
      </c>
      <c r="G114" s="31">
        <v>2013</v>
      </c>
      <c r="H114" s="31" t="s">
        <v>26</v>
      </c>
      <c r="I114" s="33" t="s">
        <v>17</v>
      </c>
      <c r="J114" s="34"/>
      <c r="K114" s="34"/>
      <c r="L114" s="34"/>
      <c r="M114" s="34"/>
      <c r="N114" s="34"/>
      <c r="O114" s="33" t="s">
        <v>7</v>
      </c>
      <c r="P114" s="33" t="s">
        <v>7</v>
      </c>
      <c r="Q114" s="33">
        <v>69.935745293343999</v>
      </c>
      <c r="R114" s="33">
        <v>69.935745293343999</v>
      </c>
      <c r="S114" s="33">
        <v>69.935745293343999</v>
      </c>
      <c r="T114" s="33">
        <v>69.935745293343999</v>
      </c>
      <c r="U114" s="33">
        <v>69.935745293343999</v>
      </c>
      <c r="V114" s="33">
        <v>69.935745293343999</v>
      </c>
      <c r="W114" s="33">
        <v>69.935745293343999</v>
      </c>
      <c r="X114" s="33">
        <v>69.935745293343999</v>
      </c>
      <c r="Y114" s="33">
        <v>69.935745293343999</v>
      </c>
      <c r="Z114" s="33">
        <v>69.935745293343999</v>
      </c>
      <c r="AA114" s="33">
        <v>69.935745293343999</v>
      </c>
      <c r="AB114" s="33">
        <v>69.935745293343999</v>
      </c>
      <c r="AC114" s="33">
        <v>69.935745293343999</v>
      </c>
      <c r="AD114" s="33">
        <v>69.935745293343999</v>
      </c>
      <c r="AE114" s="33">
        <v>69.935745293343999</v>
      </c>
      <c r="AF114" s="33">
        <v>69.935745293343999</v>
      </c>
      <c r="AG114" s="33">
        <v>69.935745293343999</v>
      </c>
      <c r="AH114" s="33">
        <v>69.935745293343999</v>
      </c>
      <c r="AI114" s="33">
        <v>66.371801837909999</v>
      </c>
      <c r="AJ114" s="33">
        <v>0</v>
      </c>
      <c r="AK114" s="33">
        <v>0</v>
      </c>
      <c r="AL114" s="33">
        <v>0</v>
      </c>
      <c r="AM114" s="33">
        <v>0</v>
      </c>
      <c r="AN114" s="33">
        <v>0</v>
      </c>
      <c r="AO114" s="32">
        <v>0</v>
      </c>
      <c r="AP114" s="33">
        <v>0</v>
      </c>
      <c r="AQ114" s="33">
        <v>0</v>
      </c>
      <c r="AR114" s="33">
        <v>0</v>
      </c>
    </row>
    <row r="115" spans="1:45">
      <c r="A115" s="31" t="s">
        <v>0</v>
      </c>
      <c r="B115" s="31" t="s">
        <v>27</v>
      </c>
      <c r="C115" s="31" t="s">
        <v>8</v>
      </c>
      <c r="D115" s="31" t="s">
        <v>3</v>
      </c>
      <c r="E115" s="31" t="s">
        <v>27</v>
      </c>
      <c r="F115" s="31" t="s">
        <v>9</v>
      </c>
      <c r="G115" s="31">
        <v>2013</v>
      </c>
      <c r="H115" s="31" t="s">
        <v>10</v>
      </c>
      <c r="I115" s="33" t="s">
        <v>71</v>
      </c>
      <c r="J115" s="34"/>
      <c r="K115" s="34"/>
      <c r="L115" s="34"/>
      <c r="M115" s="34"/>
      <c r="N115" s="34"/>
      <c r="O115" s="33" t="s">
        <v>7</v>
      </c>
      <c r="P115" s="33" t="s">
        <v>7</v>
      </c>
      <c r="Q115" s="33">
        <v>7.4119459999999995</v>
      </c>
      <c r="R115" s="33" t="s">
        <v>7</v>
      </c>
      <c r="S115" s="33" t="s">
        <v>7</v>
      </c>
      <c r="T115" s="33" t="s">
        <v>7</v>
      </c>
      <c r="U115" s="33" t="s">
        <v>7</v>
      </c>
      <c r="V115" s="33" t="s">
        <v>7</v>
      </c>
      <c r="W115" s="33" t="s">
        <v>7</v>
      </c>
      <c r="X115" s="33" t="s">
        <v>7</v>
      </c>
      <c r="Y115" s="33" t="s">
        <v>7</v>
      </c>
      <c r="Z115" s="33" t="s">
        <v>7</v>
      </c>
      <c r="AA115" s="33" t="s">
        <v>7</v>
      </c>
      <c r="AB115" s="33" t="s">
        <v>7</v>
      </c>
      <c r="AC115" s="33" t="s">
        <v>7</v>
      </c>
      <c r="AD115" s="33" t="s">
        <v>7</v>
      </c>
      <c r="AE115" s="33" t="s">
        <v>7</v>
      </c>
      <c r="AF115" s="33" t="s">
        <v>7</v>
      </c>
      <c r="AG115" s="33" t="s">
        <v>7</v>
      </c>
      <c r="AH115" s="33" t="s">
        <v>7</v>
      </c>
      <c r="AI115" s="33" t="s">
        <v>7</v>
      </c>
      <c r="AJ115" s="33" t="s">
        <v>7</v>
      </c>
      <c r="AK115" s="33" t="s">
        <v>7</v>
      </c>
      <c r="AL115" s="33" t="s">
        <v>7</v>
      </c>
      <c r="AM115" s="33" t="s">
        <v>7</v>
      </c>
      <c r="AN115" s="33" t="s">
        <v>7</v>
      </c>
      <c r="AO115" s="32">
        <v>0</v>
      </c>
      <c r="AP115" s="33">
        <v>0</v>
      </c>
      <c r="AQ115" s="33">
        <v>0</v>
      </c>
      <c r="AR115" s="33">
        <v>0</v>
      </c>
    </row>
    <row r="116" spans="1:45">
      <c r="A116" s="29" t="s">
        <v>456</v>
      </c>
      <c r="B116" s="31" t="s">
        <v>1</v>
      </c>
      <c r="C116" s="31" t="s">
        <v>2</v>
      </c>
      <c r="D116" s="31" t="s">
        <v>3</v>
      </c>
      <c r="E116" s="29" t="s">
        <v>457</v>
      </c>
      <c r="G116" s="29">
        <v>2014</v>
      </c>
      <c r="I116" s="29" t="s">
        <v>104</v>
      </c>
      <c r="J116" s="30"/>
      <c r="K116" s="30"/>
      <c r="L116" s="30"/>
      <c r="M116" s="30"/>
      <c r="N116" s="30"/>
      <c r="R116" s="432">
        <v>326.36784999999998</v>
      </c>
      <c r="S116" s="432">
        <v>326.36784999999998</v>
      </c>
      <c r="T116" s="432">
        <v>326.36784999999998</v>
      </c>
      <c r="U116" s="432">
        <v>326.36784999999998</v>
      </c>
    </row>
    <row r="117" spans="1:45">
      <c r="A117" s="29" t="s">
        <v>456</v>
      </c>
      <c r="B117" s="31" t="s">
        <v>1</v>
      </c>
      <c r="C117" s="31" t="s">
        <v>11</v>
      </c>
      <c r="D117" s="31" t="s">
        <v>3</v>
      </c>
      <c r="E117" s="29" t="s">
        <v>457</v>
      </c>
      <c r="G117" s="29">
        <v>2014</v>
      </c>
      <c r="I117" s="29" t="s">
        <v>105</v>
      </c>
      <c r="J117" s="30"/>
      <c r="K117" s="30"/>
      <c r="L117" s="30"/>
      <c r="M117" s="30"/>
      <c r="N117" s="30"/>
      <c r="R117" s="432">
        <v>84.927365999999992</v>
      </c>
      <c r="S117" s="29">
        <v>84.927365999999992</v>
      </c>
      <c r="T117" s="29">
        <v>84.927365999999992</v>
      </c>
      <c r="U117" s="29">
        <v>84.927365999999992</v>
      </c>
      <c r="V117" s="29">
        <v>84.927365999999992</v>
      </c>
      <c r="W117" s="29">
        <v>84.927365999999992</v>
      </c>
      <c r="X117" s="29">
        <v>84.927365999999992</v>
      </c>
      <c r="Y117" s="29">
        <v>84.927365999999992</v>
      </c>
      <c r="Z117" s="29">
        <v>84.927365999999992</v>
      </c>
      <c r="AA117" s="29">
        <v>84.927365999999992</v>
      </c>
      <c r="AB117" s="29">
        <v>84.927365999999992</v>
      </c>
      <c r="AC117" s="29">
        <v>84.927365999999992</v>
      </c>
      <c r="AD117" s="29">
        <v>84.927365999999992</v>
      </c>
      <c r="AE117" s="29">
        <v>84.927365999999992</v>
      </c>
      <c r="AF117" s="29">
        <v>84.927365999999992</v>
      </c>
    </row>
    <row r="118" spans="1:45">
      <c r="A118" s="29" t="s">
        <v>456</v>
      </c>
      <c r="B118" s="31" t="s">
        <v>1</v>
      </c>
      <c r="C118" s="31" t="s">
        <v>12</v>
      </c>
      <c r="D118" s="31" t="s">
        <v>3</v>
      </c>
      <c r="E118" s="29" t="s">
        <v>457</v>
      </c>
      <c r="G118" s="29">
        <v>2014</v>
      </c>
      <c r="I118" s="29" t="s">
        <v>103</v>
      </c>
      <c r="J118" s="30"/>
      <c r="K118" s="30"/>
      <c r="L118" s="30"/>
      <c r="M118" s="30"/>
      <c r="N118" s="30"/>
      <c r="R118" s="432">
        <v>1834.237828</v>
      </c>
      <c r="S118" s="432">
        <v>1834.237828</v>
      </c>
      <c r="T118" s="432">
        <v>1834.237828</v>
      </c>
      <c r="U118" s="29">
        <v>1734.6499753572684</v>
      </c>
      <c r="V118" s="29">
        <v>1719.9125198816653</v>
      </c>
      <c r="W118" s="29">
        <v>1716.0112396676745</v>
      </c>
      <c r="X118" s="29">
        <v>1716.0112396676745</v>
      </c>
      <c r="Y118" s="29">
        <v>1658.3046154888227</v>
      </c>
      <c r="Z118" s="29">
        <v>1625.9548992744119</v>
      </c>
      <c r="AA118" s="29">
        <v>1601.5126828788727</v>
      </c>
      <c r="AB118" s="29">
        <v>1025.1033608191667</v>
      </c>
      <c r="AC118" s="29">
        <v>546.63101773933431</v>
      </c>
      <c r="AD118" s="29">
        <v>467.63302485374817</v>
      </c>
      <c r="AE118" s="29">
        <v>467.63302485374817</v>
      </c>
      <c r="AF118" s="29">
        <v>467.63302485374817</v>
      </c>
      <c r="AG118" s="29">
        <v>380.92405833521531</v>
      </c>
      <c r="AH118" s="29">
        <v>24.063082972604473</v>
      </c>
      <c r="AI118" s="29">
        <v>23.896319139998543</v>
      </c>
      <c r="AJ118" s="29">
        <v>23.896319139998543</v>
      </c>
      <c r="AK118" s="29">
        <v>23.896319139998543</v>
      </c>
    </row>
    <row r="119" spans="1:45">
      <c r="A119" s="29" t="s">
        <v>456</v>
      </c>
      <c r="B119" s="31" t="s">
        <v>1</v>
      </c>
      <c r="C119" s="31" t="s">
        <v>14</v>
      </c>
      <c r="D119" s="31" t="s">
        <v>3</v>
      </c>
      <c r="E119" s="29" t="s">
        <v>457</v>
      </c>
      <c r="G119" s="29">
        <v>2014</v>
      </c>
      <c r="I119" s="29" t="s">
        <v>106</v>
      </c>
      <c r="J119" s="30"/>
      <c r="K119" s="30"/>
      <c r="L119" s="30"/>
      <c r="M119" s="30"/>
      <c r="N119" s="30"/>
      <c r="R119" s="29">
        <v>338.65834599999999</v>
      </c>
      <c r="S119" s="29">
        <v>338.65834599999999</v>
      </c>
      <c r="T119" s="29">
        <v>327.9806113512758</v>
      </c>
      <c r="U119" s="29">
        <v>260.4612986447824</v>
      </c>
      <c r="V119" s="29">
        <v>112.62903643028514</v>
      </c>
      <c r="W119" s="29">
        <v>112.62903643028514</v>
      </c>
      <c r="X119" s="29">
        <v>112.62903643028514</v>
      </c>
      <c r="Y119" s="29">
        <v>112.62903643028514</v>
      </c>
      <c r="Z119" s="29">
        <v>112.62903643028514</v>
      </c>
      <c r="AA119" s="29">
        <v>112.62903643028514</v>
      </c>
      <c r="AB119" s="29">
        <v>91.173840754712572</v>
      </c>
      <c r="AC119" s="29">
        <v>80.8802373794462</v>
      </c>
      <c r="AD119" s="29">
        <v>0</v>
      </c>
    </row>
    <row r="120" spans="1:45">
      <c r="A120" s="29" t="s">
        <v>456</v>
      </c>
      <c r="B120" s="31" t="s">
        <v>15</v>
      </c>
      <c r="C120" s="31" t="s">
        <v>460</v>
      </c>
      <c r="D120" s="31" t="s">
        <v>3</v>
      </c>
      <c r="E120" s="29" t="s">
        <v>17</v>
      </c>
      <c r="G120" s="29">
        <v>2014</v>
      </c>
      <c r="I120" s="29" t="s">
        <v>17</v>
      </c>
      <c r="J120" s="30"/>
      <c r="K120" s="30"/>
      <c r="L120" s="30"/>
      <c r="M120" s="30"/>
      <c r="N120" s="30"/>
      <c r="R120" s="29">
        <v>184.68100799999999</v>
      </c>
      <c r="S120" s="29">
        <v>184.68100799999999</v>
      </c>
      <c r="T120" s="29">
        <v>177.56416327626499</v>
      </c>
      <c r="U120" s="29">
        <v>150.43348861406449</v>
      </c>
      <c r="V120" s="29">
        <v>150.43348861406449</v>
      </c>
      <c r="W120" s="29">
        <v>150.43348861406449</v>
      </c>
      <c r="X120" s="29">
        <v>150.43348861406449</v>
      </c>
      <c r="Y120" s="29">
        <v>150.30811809015444</v>
      </c>
      <c r="Z120" s="29">
        <v>109.29926594407675</v>
      </c>
      <c r="AA120" s="29">
        <v>109.29926594407675</v>
      </c>
      <c r="AB120" s="29">
        <v>99.379934058147512</v>
      </c>
      <c r="AC120" s="29">
        <v>97.964720086007972</v>
      </c>
      <c r="AD120" s="29">
        <v>97.964720086007972</v>
      </c>
      <c r="AE120" s="29">
        <v>97.562001968164594</v>
      </c>
      <c r="AF120" s="29">
        <v>97.562001968164594</v>
      </c>
      <c r="AG120" s="29">
        <v>97.479430958414611</v>
      </c>
      <c r="AH120" s="29">
        <v>94.46719104473614</v>
      </c>
      <c r="AI120" s="29">
        <v>55.450145138925635</v>
      </c>
      <c r="AJ120" s="29">
        <v>55.450145138925635</v>
      </c>
      <c r="AK120" s="29">
        <v>55.450145138925635</v>
      </c>
    </row>
    <row r="121" spans="1:45">
      <c r="A121" s="29" t="s">
        <v>456</v>
      </c>
      <c r="B121" s="31" t="s">
        <v>15</v>
      </c>
      <c r="C121" s="31" t="s">
        <v>19</v>
      </c>
      <c r="D121" s="31" t="s">
        <v>3</v>
      </c>
      <c r="E121" s="29" t="s">
        <v>17</v>
      </c>
      <c r="G121" s="29">
        <v>2014</v>
      </c>
      <c r="I121" s="29" t="s">
        <v>17</v>
      </c>
      <c r="J121" s="30"/>
      <c r="K121" s="30"/>
      <c r="L121" s="30"/>
      <c r="M121" s="30"/>
      <c r="N121" s="30"/>
      <c r="R121" s="29">
        <v>15.147035000000001</v>
      </c>
      <c r="S121" s="29">
        <v>15.147035000000001</v>
      </c>
      <c r="T121" s="29">
        <v>15.147035000000001</v>
      </c>
      <c r="U121" s="29">
        <v>15.147035000000001</v>
      </c>
    </row>
    <row r="122" spans="1:45">
      <c r="A122" s="29" t="s">
        <v>456</v>
      </c>
      <c r="B122" s="31" t="s">
        <v>15</v>
      </c>
      <c r="C122" s="31" t="s">
        <v>21</v>
      </c>
      <c r="D122" s="31" t="s">
        <v>3</v>
      </c>
      <c r="E122" s="29" t="s">
        <v>17</v>
      </c>
      <c r="G122" s="29">
        <v>2014</v>
      </c>
      <c r="I122" s="29" t="s">
        <v>17</v>
      </c>
      <c r="J122" s="30"/>
      <c r="K122" s="30"/>
      <c r="L122" s="30"/>
      <c r="M122" s="30"/>
      <c r="N122" s="30"/>
      <c r="R122" s="29">
        <v>23.016788000000002</v>
      </c>
      <c r="S122" s="29">
        <v>23.016788000000002</v>
      </c>
      <c r="T122" s="29">
        <v>23.016788000000002</v>
      </c>
      <c r="U122" s="29">
        <v>22.893231923112818</v>
      </c>
      <c r="V122" s="29">
        <v>15.920872017349973</v>
      </c>
    </row>
    <row r="123" spans="1:45">
      <c r="A123" s="29" t="s">
        <v>456</v>
      </c>
      <c r="B123" s="31" t="s">
        <v>15</v>
      </c>
      <c r="C123" s="31" t="s">
        <v>22</v>
      </c>
      <c r="D123" s="31" t="s">
        <v>3</v>
      </c>
      <c r="E123" s="29" t="s">
        <v>17</v>
      </c>
      <c r="G123" s="29">
        <v>2014</v>
      </c>
      <c r="I123" s="29" t="s">
        <v>17</v>
      </c>
      <c r="J123" s="30"/>
      <c r="K123" s="30"/>
      <c r="L123" s="30"/>
      <c r="M123" s="30"/>
      <c r="N123" s="30"/>
      <c r="R123" s="29">
        <v>616.20540900000003</v>
      </c>
      <c r="S123" s="29">
        <v>616.20540900000003</v>
      </c>
      <c r="T123" s="29">
        <v>579.07754940900043</v>
      </c>
      <c r="U123" s="29">
        <v>452.36958881335846</v>
      </c>
      <c r="V123" s="29">
        <v>452.36958881335846</v>
      </c>
      <c r="W123" s="29">
        <v>452.36958881335846</v>
      </c>
      <c r="X123" s="29">
        <v>452.36958881335846</v>
      </c>
      <c r="Y123" s="29">
        <v>451.83649432060696</v>
      </c>
      <c r="Z123" s="29">
        <v>379.96824040888487</v>
      </c>
      <c r="AA123" s="29">
        <v>379.96824040888487</v>
      </c>
      <c r="AB123" s="29">
        <v>330.63366469723047</v>
      </c>
      <c r="AC123" s="29">
        <v>212.56549193267068</v>
      </c>
      <c r="AD123" s="29">
        <v>212.56549193267068</v>
      </c>
      <c r="AE123" s="29">
        <v>201.3476913026027</v>
      </c>
      <c r="AF123" s="29">
        <v>201.3476913026027</v>
      </c>
      <c r="AG123" s="29">
        <v>199.90727083928246</v>
      </c>
      <c r="AH123" s="29">
        <v>172.55356368130279</v>
      </c>
      <c r="AI123" s="29">
        <v>101.28504500821383</v>
      </c>
      <c r="AJ123" s="29">
        <v>101.28504500821383</v>
      </c>
      <c r="AK123" s="29">
        <v>101.28504500821383</v>
      </c>
    </row>
    <row r="124" spans="1:45">
      <c r="A124" s="29" t="s">
        <v>456</v>
      </c>
      <c r="B124" s="31" t="s">
        <v>15</v>
      </c>
      <c r="C124" s="31" t="s">
        <v>23</v>
      </c>
      <c r="D124" s="31" t="s">
        <v>3</v>
      </c>
      <c r="E124" s="29" t="s">
        <v>17</v>
      </c>
      <c r="G124" s="29">
        <v>2014</v>
      </c>
      <c r="I124" s="29" t="s">
        <v>17</v>
      </c>
      <c r="J124" s="30"/>
      <c r="K124" s="30"/>
      <c r="L124" s="30"/>
      <c r="M124" s="30"/>
      <c r="N124" s="30"/>
      <c r="R124" s="432">
        <v>46.219709000000002</v>
      </c>
      <c r="S124" s="29">
        <v>45.27996571924654</v>
      </c>
      <c r="T124" s="29">
        <v>44.966441029803285</v>
      </c>
      <c r="U124" s="29">
        <v>41.238853087258171</v>
      </c>
      <c r="V124" s="29">
        <v>39.621116390541253</v>
      </c>
      <c r="W124" s="29">
        <v>38.12755891196889</v>
      </c>
      <c r="X124" s="29">
        <v>36.724395574427916</v>
      </c>
      <c r="Y124" s="29">
        <v>36.500147747582446</v>
      </c>
      <c r="Z124" s="29">
        <v>20.872660049036853</v>
      </c>
      <c r="AA124" s="29">
        <v>20.732659174387024</v>
      </c>
      <c r="AB124" s="29">
        <v>18.923896433850462</v>
      </c>
      <c r="AC124" s="29">
        <v>18.798950708314816</v>
      </c>
      <c r="AD124" s="29">
        <v>17.355530822759675</v>
      </c>
      <c r="AE124" s="29">
        <v>17.355530822759675</v>
      </c>
      <c r="AF124" s="29">
        <v>5.8012677595337632</v>
      </c>
      <c r="AG124" s="29">
        <v>3.998029438483679</v>
      </c>
      <c r="AH124" s="29">
        <v>3.998029438483679</v>
      </c>
      <c r="AI124" s="29">
        <v>3.998029438483679</v>
      </c>
      <c r="AJ124" s="29">
        <v>3.998029438483679</v>
      </c>
      <c r="AK124" s="29">
        <v>3.998029438483679</v>
      </c>
      <c r="AL124" s="29">
        <v>3.1111347410363517</v>
      </c>
    </row>
    <row r="125" spans="1:45">
      <c r="A125" s="29" t="s">
        <v>456</v>
      </c>
      <c r="B125" s="31" t="s">
        <v>15</v>
      </c>
      <c r="C125" s="31" t="s">
        <v>25</v>
      </c>
      <c r="D125" s="31" t="s">
        <v>3</v>
      </c>
      <c r="E125" s="29" t="s">
        <v>17</v>
      </c>
      <c r="G125" s="29">
        <v>2014</v>
      </c>
      <c r="I125" s="29" t="s">
        <v>17</v>
      </c>
      <c r="J125" s="30"/>
      <c r="K125" s="30"/>
      <c r="L125" s="30"/>
      <c r="M125" s="30"/>
      <c r="N125" s="30"/>
      <c r="R125" s="432">
        <v>123.22002000000001</v>
      </c>
      <c r="S125" s="29">
        <v>123.22002000000001</v>
      </c>
      <c r="T125" s="29">
        <v>123.22002000000001</v>
      </c>
      <c r="U125" s="29">
        <v>123.22002000000001</v>
      </c>
      <c r="V125" s="29">
        <v>123.22002000000001</v>
      </c>
      <c r="W125" s="29">
        <v>123.22002000000001</v>
      </c>
      <c r="X125" s="29">
        <v>123.22002000000001</v>
      </c>
      <c r="Y125" s="29">
        <v>123.22002000000001</v>
      </c>
      <c r="Z125" s="29">
        <v>123.22002000000001</v>
      </c>
      <c r="AA125" s="29">
        <v>123.22002000000001</v>
      </c>
      <c r="AB125" s="29">
        <v>123.22002000000001</v>
      </c>
      <c r="AC125" s="29">
        <v>123.22002000000001</v>
      </c>
      <c r="AD125" s="29">
        <v>123.22002000000001</v>
      </c>
      <c r="AE125" s="29">
        <v>123.22002000000001</v>
      </c>
      <c r="AF125" s="29">
        <v>123.22002000000001</v>
      </c>
      <c r="AG125" s="29">
        <v>123.22002000000001</v>
      </c>
      <c r="AH125" s="29">
        <v>123.22002000000001</v>
      </c>
      <c r="AI125" s="29">
        <v>123.22002000000001</v>
      </c>
      <c r="AJ125" s="29">
        <v>116.94069628627615</v>
      </c>
    </row>
    <row r="126" spans="1:45">
      <c r="A126" s="29" t="s">
        <v>456</v>
      </c>
      <c r="B126" s="31" t="s">
        <v>15</v>
      </c>
      <c r="C126" s="31" t="s">
        <v>25</v>
      </c>
      <c r="D126" s="31" t="s">
        <v>3</v>
      </c>
      <c r="G126" s="29">
        <v>2014</v>
      </c>
      <c r="J126" s="30"/>
      <c r="K126" s="30"/>
      <c r="L126" s="30"/>
      <c r="M126" s="30"/>
      <c r="N126" s="30"/>
    </row>
    <row r="127" spans="1:45">
      <c r="A127" s="29" t="s">
        <v>456</v>
      </c>
      <c r="B127" s="29" t="s">
        <v>15</v>
      </c>
      <c r="C127" s="29" t="s">
        <v>124</v>
      </c>
      <c r="D127" s="31" t="s">
        <v>3</v>
      </c>
      <c r="E127" s="29" t="s">
        <v>17</v>
      </c>
      <c r="G127" s="29">
        <v>2014</v>
      </c>
      <c r="I127" s="29" t="s">
        <v>17</v>
      </c>
      <c r="J127" s="30"/>
      <c r="K127" s="30"/>
      <c r="L127" s="30"/>
      <c r="M127" s="30"/>
      <c r="N127" s="30"/>
      <c r="R127" s="29">
        <v>4.7119999999999997</v>
      </c>
      <c r="S127" s="29">
        <v>4.7119999999999997</v>
      </c>
      <c r="T127" s="29">
        <v>4.7119999999999997</v>
      </c>
      <c r="U127" s="29">
        <v>4.7119999999999997</v>
      </c>
    </row>
    <row r="128" spans="1:45">
      <c r="A128" s="29" t="s">
        <v>468</v>
      </c>
      <c r="B128" s="29" t="s">
        <v>1</v>
      </c>
      <c r="C128" s="29" t="s">
        <v>12</v>
      </c>
      <c r="D128" s="31" t="s">
        <v>3</v>
      </c>
      <c r="G128" s="29" t="s">
        <v>481</v>
      </c>
      <c r="I128" s="29" t="s">
        <v>471</v>
      </c>
      <c r="S128" s="29">
        <v>2229.8638588624331</v>
      </c>
      <c r="T128" s="29">
        <v>5134.4901161313128</v>
      </c>
      <c r="U128" s="29">
        <v>8406.3463909489692</v>
      </c>
      <c r="V128" s="29">
        <v>12131.196677887034</v>
      </c>
      <c r="W128" s="29">
        <v>16309.040976945511</v>
      </c>
      <c r="X128" s="29">
        <v>20939.879288124397</v>
      </c>
      <c r="Y128" s="29">
        <v>20939.879288124397</v>
      </c>
      <c r="Z128" s="29">
        <v>20939.879288124397</v>
      </c>
      <c r="AA128" s="29">
        <v>20939.879288124397</v>
      </c>
      <c r="AB128" s="29">
        <v>20939.879288124397</v>
      </c>
      <c r="AC128" s="29">
        <v>20620.998192887884</v>
      </c>
      <c r="AD128" s="29">
        <v>17304.659444245222</v>
      </c>
      <c r="AE128" s="29">
        <v>15022.604730635823</v>
      </c>
      <c r="AF128" s="29">
        <v>12574.138128056848</v>
      </c>
      <c r="AG128" s="29">
        <v>9873.4956419366517</v>
      </c>
      <c r="AH128" s="29">
        <v>7771.026859572622</v>
      </c>
      <c r="AI128" s="29">
        <v>6484.566940998141</v>
      </c>
      <c r="AJ128" s="29">
        <v>5589.2898099568974</v>
      </c>
      <c r="AK128" s="29">
        <v>4493.1945503364605</v>
      </c>
      <c r="AL128" s="29">
        <v>3196.2811621368323</v>
      </c>
      <c r="AM128" s="29">
        <v>1698.5496453580122</v>
      </c>
      <c r="AN128" s="29">
        <v>0</v>
      </c>
      <c r="AO128" s="29">
        <v>0</v>
      </c>
      <c r="AP128" s="29">
        <v>0</v>
      </c>
      <c r="AQ128" s="29">
        <v>0</v>
      </c>
      <c r="AR128" s="29">
        <v>0</v>
      </c>
      <c r="AS128" s="29">
        <v>0</v>
      </c>
    </row>
    <row r="129" spans="1:45">
      <c r="A129" s="29" t="s">
        <v>468</v>
      </c>
      <c r="B129" s="29" t="s">
        <v>15</v>
      </c>
      <c r="C129" s="29" t="s">
        <v>241</v>
      </c>
      <c r="D129" s="31" t="s">
        <v>3</v>
      </c>
      <c r="G129" s="29" t="s">
        <v>481</v>
      </c>
      <c r="I129" s="29" t="s">
        <v>17</v>
      </c>
      <c r="S129" s="29">
        <v>100.86900763646848</v>
      </c>
      <c r="T129" s="29">
        <v>204.79430893309342</v>
      </c>
      <c r="U129" s="29">
        <v>216.40579558635216</v>
      </c>
      <c r="V129" s="29">
        <v>228.01728223961086</v>
      </c>
      <c r="W129" s="29">
        <v>239.62876889286957</v>
      </c>
      <c r="X129" s="29">
        <v>251.24025554612831</v>
      </c>
      <c r="Y129" s="29">
        <v>251.24025554612831</v>
      </c>
      <c r="Z129" s="29">
        <v>251.24025554612831</v>
      </c>
      <c r="AA129" s="29">
        <v>251.24025554612831</v>
      </c>
      <c r="AB129" s="29">
        <v>251.24025554612831</v>
      </c>
      <c r="AC129" s="29">
        <v>251.24025554612831</v>
      </c>
      <c r="AD129" s="29">
        <v>251.24025554612831</v>
      </c>
      <c r="AE129" s="29">
        <v>251.24025554612831</v>
      </c>
      <c r="AF129" s="29">
        <v>251.24025554612831</v>
      </c>
      <c r="AG129" s="29">
        <v>251.24025554612831</v>
      </c>
      <c r="AH129" s="29">
        <v>251.24025554612831</v>
      </c>
      <c r="AI129" s="29">
        <v>251.24025554612831</v>
      </c>
      <c r="AJ129" s="29">
        <v>251.24025554612831</v>
      </c>
      <c r="AK129" s="29">
        <v>242.68506255302603</v>
      </c>
      <c r="AL129" s="29">
        <v>149.01685177233068</v>
      </c>
      <c r="AM129" s="29">
        <v>45.091550475705759</v>
      </c>
      <c r="AN129" s="29">
        <v>33.480063822447036</v>
      </c>
      <c r="AO129" s="29">
        <v>21.868577169188306</v>
      </c>
      <c r="AP129" s="29">
        <v>10.25709051592958</v>
      </c>
      <c r="AQ129" s="29">
        <v>0</v>
      </c>
      <c r="AR129" s="29">
        <v>0</v>
      </c>
      <c r="AS129" s="29">
        <v>0</v>
      </c>
    </row>
    <row r="130" spans="1:45">
      <c r="A130" s="29" t="s">
        <v>468</v>
      </c>
      <c r="B130" s="29" t="s">
        <v>15</v>
      </c>
      <c r="C130" s="29" t="s">
        <v>412</v>
      </c>
      <c r="D130" s="31" t="s">
        <v>3</v>
      </c>
      <c r="G130" s="29" t="s">
        <v>481</v>
      </c>
      <c r="I130" s="29" t="s">
        <v>17</v>
      </c>
      <c r="J130" s="30"/>
      <c r="K130" s="30"/>
      <c r="L130" s="30"/>
      <c r="M130" s="30"/>
      <c r="N130" s="30"/>
      <c r="S130" s="29">
        <v>254.37317506450952</v>
      </c>
      <c r="T130" s="29">
        <v>262.85228089999322</v>
      </c>
      <c r="U130" s="29">
        <v>271.33138673547683</v>
      </c>
      <c r="V130" s="29">
        <v>279.81049257096049</v>
      </c>
      <c r="W130" s="29">
        <v>288.28959840644416</v>
      </c>
      <c r="X130" s="29">
        <v>296.76870424192771</v>
      </c>
      <c r="Y130" s="29">
        <v>296.76870424192771</v>
      </c>
      <c r="Z130" s="29">
        <v>296.76870424192771</v>
      </c>
      <c r="AA130" s="29">
        <v>296.76870424192771</v>
      </c>
      <c r="AB130" s="29">
        <v>296.76870424192771</v>
      </c>
      <c r="AC130" s="29">
        <v>42.395529177418254</v>
      </c>
      <c r="AD130" s="29">
        <v>33.916423341934603</v>
      </c>
      <c r="AE130" s="29">
        <v>25.437317506450952</v>
      </c>
      <c r="AF130" s="29">
        <v>16.958211670967302</v>
      </c>
      <c r="AG130" s="29">
        <v>8.4791058354836508</v>
      </c>
      <c r="AH130" s="29">
        <v>0</v>
      </c>
      <c r="AI130" s="29">
        <v>0</v>
      </c>
      <c r="AJ130" s="29">
        <v>0</v>
      </c>
      <c r="AK130" s="29">
        <v>0</v>
      </c>
      <c r="AL130" s="29">
        <v>0</v>
      </c>
      <c r="AM130" s="29">
        <v>0</v>
      </c>
      <c r="AN130" s="29">
        <v>0</v>
      </c>
      <c r="AO130" s="29">
        <v>0</v>
      </c>
      <c r="AP130" s="29">
        <v>0</v>
      </c>
      <c r="AQ130" s="29">
        <v>0</v>
      </c>
      <c r="AR130" s="29">
        <v>0</v>
      </c>
      <c r="AS130" s="29">
        <v>0</v>
      </c>
    </row>
    <row r="131" spans="1:45">
      <c r="A131" s="29" t="s">
        <v>468</v>
      </c>
      <c r="B131" s="29" t="s">
        <v>15</v>
      </c>
      <c r="C131" s="29" t="s">
        <v>23</v>
      </c>
      <c r="D131" s="31" t="s">
        <v>3</v>
      </c>
      <c r="G131" s="29" t="s">
        <v>481</v>
      </c>
      <c r="I131" s="29" t="s">
        <v>17</v>
      </c>
      <c r="J131" s="30"/>
      <c r="K131" s="30"/>
      <c r="L131" s="30"/>
      <c r="M131" s="30"/>
      <c r="N131" s="30"/>
      <c r="S131" s="29">
        <v>0</v>
      </c>
      <c r="T131" s="29">
        <v>31.517284423008814</v>
      </c>
      <c r="U131" s="29">
        <v>63.034568846017628</v>
      </c>
      <c r="V131" s="29">
        <v>94.551853269026438</v>
      </c>
      <c r="W131" s="29">
        <v>126.06913769203526</v>
      </c>
      <c r="X131" s="29">
        <v>157.58642211504406</v>
      </c>
      <c r="Y131" s="29">
        <v>157.58642211504406</v>
      </c>
      <c r="Z131" s="29">
        <v>157.58642211504406</v>
      </c>
      <c r="AA131" s="29">
        <v>157.58642211504406</v>
      </c>
      <c r="AB131" s="29">
        <v>157.58642211504406</v>
      </c>
      <c r="AC131" s="29">
        <v>126.06913769203526</v>
      </c>
      <c r="AD131" s="29">
        <v>94.551853269026438</v>
      </c>
      <c r="AE131" s="29">
        <v>63.034568846017628</v>
      </c>
      <c r="AF131" s="29">
        <v>31.517284423008814</v>
      </c>
      <c r="AG131" s="29">
        <v>0</v>
      </c>
      <c r="AH131" s="29">
        <v>0</v>
      </c>
      <c r="AI131" s="29">
        <v>0</v>
      </c>
      <c r="AJ131" s="29">
        <v>0</v>
      </c>
      <c r="AK131" s="29">
        <v>0</v>
      </c>
      <c r="AL131" s="29">
        <v>0</v>
      </c>
      <c r="AM131" s="29">
        <v>0</v>
      </c>
      <c r="AN131" s="29">
        <v>0</v>
      </c>
      <c r="AO131" s="29">
        <v>0</v>
      </c>
      <c r="AP131" s="29">
        <v>0</v>
      </c>
      <c r="AQ131" s="29">
        <v>0</v>
      </c>
      <c r="AR131" s="29">
        <v>0</v>
      </c>
      <c r="AS131" s="29">
        <v>0</v>
      </c>
    </row>
    <row r="132" spans="1:45">
      <c r="A132" s="29" t="s">
        <v>468</v>
      </c>
      <c r="B132" s="29" t="s">
        <v>1</v>
      </c>
      <c r="C132" s="29" t="s">
        <v>469</v>
      </c>
      <c r="D132" s="31" t="s">
        <v>3</v>
      </c>
      <c r="G132" s="29" t="s">
        <v>481</v>
      </c>
      <c r="I132" s="29" t="s">
        <v>472</v>
      </c>
      <c r="J132" s="30"/>
      <c r="K132" s="30"/>
      <c r="L132" s="30"/>
      <c r="M132" s="30"/>
      <c r="N132" s="30"/>
      <c r="S132" s="29">
        <v>0</v>
      </c>
      <c r="T132" s="29">
        <v>397.99679561551812</v>
      </c>
      <c r="U132" s="29">
        <v>832.17511810517431</v>
      </c>
      <c r="V132" s="29">
        <v>1302.5349674689683</v>
      </c>
      <c r="W132" s="29">
        <v>1809.0763437069004</v>
      </c>
      <c r="X132" s="29">
        <v>2351.7992468189709</v>
      </c>
      <c r="Y132" s="29">
        <v>2351.7992468189709</v>
      </c>
      <c r="Z132" s="29">
        <v>2351.7992468189709</v>
      </c>
      <c r="AA132" s="29">
        <v>2351.7992468189709</v>
      </c>
      <c r="AB132" s="29">
        <v>2351.7992468189709</v>
      </c>
      <c r="AC132" s="29">
        <v>1953.8024512034524</v>
      </c>
      <c r="AD132" s="29">
        <v>1519.6241287137964</v>
      </c>
      <c r="AE132" s="29">
        <v>1049.264279350002</v>
      </c>
      <c r="AF132" s="29">
        <v>542.72290311207018</v>
      </c>
      <c r="AG132" s="29">
        <v>0</v>
      </c>
      <c r="AH132" s="29">
        <v>0</v>
      </c>
      <c r="AI132" s="29">
        <v>0</v>
      </c>
      <c r="AJ132" s="29">
        <v>0</v>
      </c>
      <c r="AK132" s="29">
        <v>0</v>
      </c>
      <c r="AL132" s="29">
        <v>0</v>
      </c>
      <c r="AM132" s="29">
        <v>0</v>
      </c>
      <c r="AN132" s="29">
        <v>0</v>
      </c>
      <c r="AO132" s="29">
        <v>0</v>
      </c>
      <c r="AP132" s="29">
        <v>0</v>
      </c>
      <c r="AQ132" s="29">
        <v>0</v>
      </c>
      <c r="AR132" s="29">
        <v>0</v>
      </c>
      <c r="AS132" s="29">
        <v>0</v>
      </c>
    </row>
    <row r="133" spans="1:45">
      <c r="A133" s="29" t="s">
        <v>468</v>
      </c>
      <c r="B133" s="29" t="s">
        <v>1</v>
      </c>
      <c r="C133" s="29" t="s">
        <v>151</v>
      </c>
      <c r="D133" s="31" t="s">
        <v>3</v>
      </c>
      <c r="G133" s="29" t="s">
        <v>481</v>
      </c>
      <c r="I133" s="29" t="s">
        <v>473</v>
      </c>
      <c r="J133" s="30"/>
      <c r="K133" s="30"/>
      <c r="L133" s="30"/>
      <c r="M133" s="30"/>
      <c r="N133" s="30"/>
      <c r="S133" s="29">
        <v>60.119840795330255</v>
      </c>
      <c r="T133" s="29">
        <v>174.63382326262595</v>
      </c>
      <c r="U133" s="29">
        <v>289.14780572992163</v>
      </c>
      <c r="V133" s="29">
        <v>403.66178819721739</v>
      </c>
      <c r="W133" s="29">
        <v>518.17577066451315</v>
      </c>
      <c r="X133" s="29">
        <v>632.68975313180886</v>
      </c>
      <c r="Y133" s="29">
        <v>632.68975313180886</v>
      </c>
      <c r="Z133" s="29">
        <v>632.68975313180886</v>
      </c>
      <c r="AA133" s="29">
        <v>632.68975313180886</v>
      </c>
      <c r="AB133" s="29">
        <v>632.68975313180886</v>
      </c>
      <c r="AC133" s="29">
        <v>632.68975313180886</v>
      </c>
      <c r="AD133" s="29">
        <v>632.68975313180886</v>
      </c>
      <c r="AE133" s="29">
        <v>632.68975313180886</v>
      </c>
      <c r="AF133" s="29">
        <v>632.68975313180886</v>
      </c>
      <c r="AG133" s="29">
        <v>572.56991233647864</v>
      </c>
      <c r="AH133" s="29">
        <v>458.05592986918288</v>
      </c>
      <c r="AI133" s="29">
        <v>343.54194740188711</v>
      </c>
      <c r="AJ133" s="29">
        <v>229.02796493459144</v>
      </c>
      <c r="AK133" s="29">
        <v>114.51398246729572</v>
      </c>
      <c r="AL133" s="29">
        <v>0</v>
      </c>
      <c r="AM133" s="29">
        <v>0</v>
      </c>
      <c r="AN133" s="29">
        <v>0</v>
      </c>
      <c r="AO133" s="29">
        <v>0</v>
      </c>
      <c r="AP133" s="29">
        <v>0</v>
      </c>
      <c r="AQ133" s="29">
        <v>0</v>
      </c>
      <c r="AR133" s="29">
        <v>0</v>
      </c>
      <c r="AS133" s="29">
        <v>0</v>
      </c>
    </row>
    <row r="134" spans="1:45">
      <c r="A134" s="29" t="s">
        <v>468</v>
      </c>
      <c r="B134" s="29" t="s">
        <v>1</v>
      </c>
      <c r="C134" s="29" t="s">
        <v>6</v>
      </c>
      <c r="D134" s="31" t="s">
        <v>3</v>
      </c>
      <c r="G134" s="29" t="s">
        <v>481</v>
      </c>
      <c r="I134" s="29" t="s">
        <v>474</v>
      </c>
      <c r="J134" s="30"/>
      <c r="K134" s="30"/>
      <c r="L134" s="30"/>
      <c r="M134" s="30"/>
      <c r="N134" s="30"/>
      <c r="S134" s="29">
        <v>100.57815493751451</v>
      </c>
      <c r="T134" s="29">
        <v>252.96929878223347</v>
      </c>
      <c r="U134" s="29">
        <v>405.36044262695242</v>
      </c>
      <c r="V134" s="29">
        <v>557.75158647167143</v>
      </c>
      <c r="W134" s="29">
        <v>609.56457537887582</v>
      </c>
      <c r="X134" s="29">
        <v>609.56457537887582</v>
      </c>
      <c r="Y134" s="29">
        <v>457.17343153415686</v>
      </c>
      <c r="Z134" s="29">
        <v>304.78228768943791</v>
      </c>
      <c r="AA134" s="29">
        <v>152.39114384471895</v>
      </c>
      <c r="AB134" s="29">
        <v>0</v>
      </c>
      <c r="AC134" s="29">
        <v>0</v>
      </c>
      <c r="AD134" s="29">
        <v>0</v>
      </c>
      <c r="AE134" s="29">
        <v>0</v>
      </c>
      <c r="AF134" s="29">
        <v>0</v>
      </c>
      <c r="AG134" s="29">
        <v>0</v>
      </c>
      <c r="AH134" s="29">
        <v>0</v>
      </c>
      <c r="AI134" s="29">
        <v>0</v>
      </c>
      <c r="AJ134" s="29">
        <v>0</v>
      </c>
      <c r="AK134" s="29">
        <v>0</v>
      </c>
      <c r="AL134" s="29">
        <v>0</v>
      </c>
      <c r="AM134" s="29">
        <v>0</v>
      </c>
      <c r="AN134" s="29">
        <v>0</v>
      </c>
      <c r="AO134" s="29">
        <v>0</v>
      </c>
      <c r="AP134" s="29">
        <v>0</v>
      </c>
      <c r="AQ134" s="29">
        <v>0</v>
      </c>
      <c r="AR134" s="29">
        <v>0</v>
      </c>
      <c r="AS134" s="29">
        <v>0</v>
      </c>
    </row>
    <row r="135" spans="1:45">
      <c r="A135" s="29" t="s">
        <v>468</v>
      </c>
      <c r="B135" s="29" t="s">
        <v>1</v>
      </c>
      <c r="C135" s="29" t="s">
        <v>478</v>
      </c>
      <c r="D135" s="31" t="s">
        <v>3</v>
      </c>
      <c r="G135" s="29" t="s">
        <v>481</v>
      </c>
      <c r="I135" s="29" t="s">
        <v>57</v>
      </c>
      <c r="J135" s="30"/>
      <c r="K135" s="30"/>
      <c r="L135" s="30"/>
      <c r="M135" s="30"/>
      <c r="N135" s="30"/>
      <c r="S135" s="29">
        <v>100.4509241987281</v>
      </c>
      <c r="T135" s="29">
        <v>100.4509241987281</v>
      </c>
      <c r="U135" s="29">
        <v>100.4509241987281</v>
      </c>
      <c r="V135" s="29">
        <v>100.4509241987281</v>
      </c>
      <c r="W135" s="29">
        <v>100.4509241987281</v>
      </c>
      <c r="X135" s="29">
        <v>100.4509241987281</v>
      </c>
      <c r="Y135" s="29">
        <v>100.4509241987281</v>
      </c>
      <c r="Z135" s="29">
        <v>100.4509241987281</v>
      </c>
      <c r="AA135" s="29">
        <v>100.4509241987281</v>
      </c>
      <c r="AB135" s="29">
        <v>100.4509241987281</v>
      </c>
      <c r="AC135" s="29">
        <v>0</v>
      </c>
      <c r="AD135" s="29">
        <v>0</v>
      </c>
      <c r="AE135" s="29">
        <v>0</v>
      </c>
      <c r="AF135" s="29">
        <v>0</v>
      </c>
      <c r="AG135" s="29">
        <v>0</v>
      </c>
      <c r="AH135" s="29">
        <v>0</v>
      </c>
      <c r="AI135" s="29">
        <v>0</v>
      </c>
      <c r="AJ135" s="29">
        <v>0</v>
      </c>
      <c r="AK135" s="29">
        <v>0</v>
      </c>
      <c r="AL135" s="29">
        <v>0</v>
      </c>
      <c r="AM135" s="29">
        <v>0</v>
      </c>
      <c r="AN135" s="29">
        <v>0</v>
      </c>
      <c r="AO135" s="29">
        <v>0</v>
      </c>
      <c r="AP135" s="29">
        <v>0</v>
      </c>
      <c r="AQ135" s="29">
        <v>0</v>
      </c>
      <c r="AR135" s="29">
        <v>0</v>
      </c>
      <c r="AS135" s="29">
        <v>0</v>
      </c>
    </row>
    <row r="136" spans="1:45">
      <c r="A136" s="29" t="s">
        <v>468</v>
      </c>
      <c r="B136" s="29" t="s">
        <v>1</v>
      </c>
      <c r="C136" s="29" t="s">
        <v>470</v>
      </c>
      <c r="D136" s="31" t="s">
        <v>3</v>
      </c>
      <c r="G136" s="29" t="s">
        <v>481</v>
      </c>
      <c r="I136" s="29" t="s">
        <v>57</v>
      </c>
      <c r="J136" s="30"/>
      <c r="K136" s="30"/>
      <c r="L136" s="30"/>
      <c r="M136" s="30"/>
      <c r="N136" s="30"/>
      <c r="S136" s="29">
        <v>0</v>
      </c>
      <c r="T136" s="29">
        <v>401.80369679491241</v>
      </c>
      <c r="U136" s="29">
        <v>803.60739358982482</v>
      </c>
      <c r="V136" s="29">
        <v>1205.4110903847372</v>
      </c>
      <c r="W136" s="29">
        <v>1506.7638629809217</v>
      </c>
      <c r="X136" s="29">
        <v>1808.1166355771061</v>
      </c>
      <c r="Y136" s="29">
        <v>1808.1166355771061</v>
      </c>
      <c r="Z136" s="29">
        <v>1808.1166355771061</v>
      </c>
      <c r="AA136" s="29">
        <v>1808.1166355771061</v>
      </c>
      <c r="AB136" s="29">
        <v>1808.1166355771061</v>
      </c>
      <c r="AC136" s="29">
        <v>1808.1166355771061</v>
      </c>
      <c r="AD136" s="29">
        <v>1808.1166355771061</v>
      </c>
      <c r="AE136" s="29">
        <v>1808.1166355771061</v>
      </c>
      <c r="AF136" s="29">
        <v>1808.1166355771061</v>
      </c>
      <c r="AG136" s="29">
        <v>1808.1166355771061</v>
      </c>
      <c r="AH136" s="29">
        <v>1808.1166355771061</v>
      </c>
      <c r="AI136" s="29">
        <v>1808.1166355771061</v>
      </c>
      <c r="AJ136" s="29">
        <v>1808.1166355771061</v>
      </c>
      <c r="AK136" s="29">
        <v>1808.1166355771061</v>
      </c>
      <c r="AL136" s="29">
        <v>1808.1166355771061</v>
      </c>
      <c r="AM136" s="29">
        <v>1808.1166355771061</v>
      </c>
      <c r="AN136" s="29">
        <v>1406.3129387821937</v>
      </c>
      <c r="AO136" s="29">
        <v>1004.509241987281</v>
      </c>
      <c r="AP136" s="29">
        <v>602.70554519236862</v>
      </c>
      <c r="AQ136" s="29">
        <v>301.35277259618431</v>
      </c>
      <c r="AR136" s="29">
        <v>0</v>
      </c>
      <c r="AS136" s="29">
        <v>0</v>
      </c>
    </row>
    <row r="137" spans="1:45">
      <c r="A137" s="29" t="s">
        <v>468</v>
      </c>
      <c r="B137" s="29" t="s">
        <v>1</v>
      </c>
      <c r="C137" s="29" t="s">
        <v>470</v>
      </c>
      <c r="D137" s="31" t="s">
        <v>3</v>
      </c>
      <c r="G137" s="29" t="s">
        <v>481</v>
      </c>
      <c r="I137" s="29" t="s">
        <v>71</v>
      </c>
      <c r="J137" s="30"/>
      <c r="K137" s="30"/>
      <c r="L137" s="30"/>
      <c r="M137" s="30"/>
      <c r="N137" s="30"/>
      <c r="S137" s="29">
        <v>0</v>
      </c>
      <c r="T137" s="29">
        <v>401.80369679491241</v>
      </c>
      <c r="U137" s="29">
        <v>803.60739358982482</v>
      </c>
      <c r="V137" s="29">
        <v>1205.4110903847372</v>
      </c>
      <c r="W137" s="29">
        <v>1506.7638629809217</v>
      </c>
      <c r="X137" s="29">
        <v>1808.1166355771061</v>
      </c>
      <c r="Y137" s="29">
        <v>1808.1166355771061</v>
      </c>
      <c r="Z137" s="29">
        <v>1808.1166355771061</v>
      </c>
      <c r="AA137" s="29">
        <v>1808.1166355771061</v>
      </c>
      <c r="AB137" s="29">
        <v>1808.1166355771061</v>
      </c>
      <c r="AC137" s="29">
        <v>1808.1166355771061</v>
      </c>
      <c r="AD137" s="29">
        <v>1808.1166355771061</v>
      </c>
      <c r="AE137" s="29">
        <v>1808.1166355771061</v>
      </c>
      <c r="AF137" s="29">
        <v>1808.1166355771061</v>
      </c>
      <c r="AG137" s="29">
        <v>1808.1166355771061</v>
      </c>
      <c r="AH137" s="29">
        <v>1808.1166355771061</v>
      </c>
      <c r="AI137" s="29">
        <v>1808.1166355771061</v>
      </c>
      <c r="AJ137" s="29">
        <v>1808.1166355771061</v>
      </c>
      <c r="AK137" s="29">
        <v>1808.1166355771061</v>
      </c>
      <c r="AL137" s="29">
        <v>1808.1166355771061</v>
      </c>
      <c r="AM137" s="29">
        <v>1808.1166355771061</v>
      </c>
      <c r="AN137" s="29">
        <v>1406.3129387821937</v>
      </c>
      <c r="AO137" s="29">
        <v>1004.509241987281</v>
      </c>
      <c r="AP137" s="29">
        <v>602.70554519236862</v>
      </c>
      <c r="AQ137" s="29">
        <v>301.35277259618431</v>
      </c>
      <c r="AR137" s="29">
        <v>0</v>
      </c>
      <c r="AS137" s="29">
        <v>0</v>
      </c>
    </row>
    <row r="138" spans="1:45">
      <c r="A138" s="29" t="s">
        <v>468</v>
      </c>
      <c r="B138" s="29" t="s">
        <v>1</v>
      </c>
      <c r="C138" s="461" t="s">
        <v>635</v>
      </c>
      <c r="D138" s="31" t="s">
        <v>3</v>
      </c>
      <c r="G138" s="29" t="s">
        <v>481</v>
      </c>
      <c r="I138" s="29" t="s">
        <v>57</v>
      </c>
      <c r="J138" s="30"/>
      <c r="K138" s="30"/>
      <c r="L138" s="30"/>
      <c r="M138" s="30"/>
      <c r="N138" s="30"/>
      <c r="S138" s="29">
        <v>0</v>
      </c>
      <c r="T138" s="29">
        <v>7554.3715739956679</v>
      </c>
      <c r="U138" s="29">
        <v>10194.221861938242</v>
      </c>
      <c r="V138" s="29">
        <v>10194.221861938242</v>
      </c>
      <c r="W138" s="29">
        <v>10194.221861938242</v>
      </c>
      <c r="X138" s="29">
        <v>10194.221861938242</v>
      </c>
      <c r="Y138" s="29">
        <v>10194.221861938242</v>
      </c>
      <c r="Z138" s="29">
        <v>10194.221861938242</v>
      </c>
      <c r="AA138" s="29">
        <v>10194.221861938242</v>
      </c>
      <c r="AB138" s="29">
        <v>10194.221861938242</v>
      </c>
      <c r="AC138" s="29">
        <v>10194.221861938242</v>
      </c>
      <c r="AD138" s="29">
        <v>10194.221861938242</v>
      </c>
      <c r="AE138" s="29">
        <v>10194.221861938242</v>
      </c>
      <c r="AF138" s="29">
        <v>10194.221861938242</v>
      </c>
      <c r="AG138" s="29">
        <v>10194.221861938242</v>
      </c>
      <c r="AH138" s="29">
        <v>10194.221861938242</v>
      </c>
      <c r="AI138" s="29">
        <v>10194.221861938242</v>
      </c>
      <c r="AJ138" s="29">
        <v>7554.3715739956679</v>
      </c>
      <c r="AK138" s="29">
        <v>7554.3715739956679</v>
      </c>
      <c r="AL138" s="29">
        <v>7554.3715739956679</v>
      </c>
      <c r="AM138" s="29">
        <v>7554.3715739956679</v>
      </c>
      <c r="AN138" s="29">
        <v>0</v>
      </c>
      <c r="AO138" s="29">
        <v>0</v>
      </c>
      <c r="AP138" s="29">
        <v>0</v>
      </c>
      <c r="AQ138" s="29">
        <v>0</v>
      </c>
      <c r="AR138" s="29">
        <v>0</v>
      </c>
      <c r="AS138" s="29">
        <v>0</v>
      </c>
    </row>
    <row r="139" spans="1:45">
      <c r="D139" s="31"/>
      <c r="J139" s="30"/>
      <c r="K139" s="30"/>
      <c r="L139" s="30"/>
      <c r="M139" s="30"/>
      <c r="N139" s="30"/>
    </row>
    <row r="140" spans="1:45">
      <c r="D140" s="31"/>
    </row>
    <row r="141" spans="1:45">
      <c r="D141" s="31"/>
    </row>
    <row r="142" spans="1:45">
      <c r="D142" s="31"/>
    </row>
    <row r="143" spans="1:45">
      <c r="D143" s="31"/>
    </row>
  </sheetData>
  <autoFilter ref="A1:AS143"/>
  <pageMargins left="0.7" right="0.7" top="0.75" bottom="0.75" header="0.3" footer="0.3"/>
  <pageSetup scale="12"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1"/>
  <sheetViews>
    <sheetView topLeftCell="F1" zoomScale="75" zoomScaleNormal="75" workbookViewId="0">
      <selection activeCell="L9" sqref="L9"/>
    </sheetView>
  </sheetViews>
  <sheetFormatPr defaultColWidth="8.7109375" defaultRowHeight="15"/>
  <cols>
    <col min="1" max="1" width="20.85546875" style="45" bestFit="1" customWidth="1"/>
    <col min="2" max="2" width="30.5703125" style="45" bestFit="1" customWidth="1"/>
    <col min="3" max="3" width="42.5703125" style="45" bestFit="1" customWidth="1"/>
    <col min="4" max="4" width="33.85546875" style="45" bestFit="1" customWidth="1"/>
    <col min="5" max="5" width="35.28515625" style="45" bestFit="1" customWidth="1"/>
    <col min="6" max="6" width="49.28515625" style="45" bestFit="1" customWidth="1"/>
    <col min="7" max="7" width="47.85546875" style="45" bestFit="1" customWidth="1"/>
    <col min="8" max="8" width="28.85546875" style="45" bestFit="1" customWidth="1"/>
    <col min="9" max="10" width="29.5703125" style="45" bestFit="1" customWidth="1"/>
    <col min="11" max="11" width="31.85546875" style="45" bestFit="1" customWidth="1"/>
    <col min="12" max="12" width="29.5703125" style="45" bestFit="1" customWidth="1"/>
    <col min="13" max="13" width="32.5703125" style="45" bestFit="1" customWidth="1"/>
    <col min="14" max="14" width="23.140625" style="45" bestFit="1" customWidth="1"/>
    <col min="15" max="15" width="31.42578125" style="45" bestFit="1" customWidth="1"/>
    <col min="16" max="17" width="28.85546875" style="45" bestFit="1" customWidth="1"/>
    <col min="18" max="18" width="31.42578125" style="45" bestFit="1" customWidth="1"/>
    <col min="19" max="19" width="49.5703125" style="45" bestFit="1" customWidth="1"/>
    <col min="20" max="20" width="16.85546875" style="45" bestFit="1" customWidth="1"/>
    <col min="21" max="21" width="13.42578125" style="45" bestFit="1" customWidth="1"/>
    <col min="22" max="23" width="15.42578125" style="45" bestFit="1" customWidth="1"/>
    <col min="24" max="16384" width="8.7109375" style="45"/>
  </cols>
  <sheetData>
    <row r="1" spans="1:13">
      <c r="A1" s="52" t="s">
        <v>269</v>
      </c>
      <c r="B1" s="52" t="s">
        <v>463</v>
      </c>
    </row>
    <row r="2" spans="1:13">
      <c r="B2" s="463" t="s">
        <v>461</v>
      </c>
      <c r="C2" s="463" t="s">
        <v>270</v>
      </c>
      <c r="D2" s="463" t="s">
        <v>271</v>
      </c>
      <c r="E2" s="463" t="s">
        <v>272</v>
      </c>
      <c r="F2" s="463" t="s">
        <v>275</v>
      </c>
      <c r="G2" s="463" t="s">
        <v>274</v>
      </c>
      <c r="H2" s="463" t="s">
        <v>489</v>
      </c>
      <c r="I2" s="463" t="s">
        <v>273</v>
      </c>
      <c r="J2" s="463" t="s">
        <v>488</v>
      </c>
      <c r="K2" s="47"/>
      <c r="L2" s="47"/>
      <c r="M2" s="47"/>
    </row>
    <row r="3" spans="1:13">
      <c r="A3" s="45">
        <v>2011</v>
      </c>
      <c r="B3" s="51">
        <f>'Kingston Hydro - Results (Net)'!D20</f>
        <v>108</v>
      </c>
      <c r="C3" s="47">
        <v>107</v>
      </c>
      <c r="D3" s="47">
        <v>1</v>
      </c>
      <c r="E3" s="47">
        <v>87.7</v>
      </c>
      <c r="F3" s="435">
        <v>311143</v>
      </c>
      <c r="G3" s="434">
        <f>D3/B3*E3</f>
        <v>0.812037037037037</v>
      </c>
      <c r="H3" s="45">
        <f>F3*(D3/B3)</f>
        <v>2880.9537037037035</v>
      </c>
      <c r="I3" s="435">
        <f>E3*(C3/B3)</f>
        <v>86.887962962962959</v>
      </c>
      <c r="J3" s="434">
        <f>F3*(C3/B3)</f>
        <v>308262.04629629629</v>
      </c>
      <c r="K3" s="436"/>
      <c r="L3" s="436"/>
      <c r="M3" s="436"/>
    </row>
    <row r="4" spans="1:13">
      <c r="A4" s="45">
        <v>2012</v>
      </c>
      <c r="B4" s="51">
        <f>'Kingston Hydro - Results (Net)'!E20</f>
        <v>386</v>
      </c>
      <c r="C4" s="47">
        <v>366</v>
      </c>
      <c r="D4" s="435">
        <f>B4-C4</f>
        <v>20</v>
      </c>
      <c r="E4" s="47">
        <v>341.8</v>
      </c>
      <c r="F4" s="435">
        <v>1207507</v>
      </c>
      <c r="G4" s="434">
        <f>D4/B4*E4</f>
        <v>17.709844559585491</v>
      </c>
      <c r="H4" s="45">
        <f>F4*(D4/B4)</f>
        <v>62565.129533678752</v>
      </c>
      <c r="I4" s="435">
        <f>E4*(C4/B4)</f>
        <v>324.09015544041455</v>
      </c>
      <c r="J4" s="434">
        <f>F4*(C4/B4)</f>
        <v>1144941.8704663212</v>
      </c>
      <c r="K4" s="436"/>
      <c r="L4" s="436"/>
      <c r="M4" s="436"/>
    </row>
    <row r="5" spans="1:13">
      <c r="A5" s="45">
        <v>2013</v>
      </c>
      <c r="B5" s="51">
        <f>'Kingston Hydro - Results (Net)'!F20</f>
        <v>62</v>
      </c>
      <c r="C5" s="47">
        <v>46</v>
      </c>
      <c r="D5" s="47">
        <v>16</v>
      </c>
      <c r="E5" s="47">
        <v>74.900000000000006</v>
      </c>
      <c r="F5" s="435">
        <v>281720</v>
      </c>
      <c r="G5" s="434">
        <f>D5/B5*E5</f>
        <v>19.329032258064515</v>
      </c>
      <c r="H5" s="45">
        <f>F5*(D5/B5)</f>
        <v>72701.93548387097</v>
      </c>
      <c r="I5" s="435">
        <f>E5*(C5/B5)</f>
        <v>55.57096774193549</v>
      </c>
      <c r="J5" s="434">
        <f>F5*(C5/B5)</f>
        <v>209018.06451612903</v>
      </c>
      <c r="K5" s="436"/>
      <c r="L5" s="436"/>
      <c r="M5" s="436"/>
    </row>
    <row r="6" spans="1:13">
      <c r="A6" s="45">
        <v>2014</v>
      </c>
      <c r="B6" s="51">
        <f>'Kingston Hydro - Results (Net)'!G20</f>
        <v>110</v>
      </c>
      <c r="C6" s="47">
        <v>91</v>
      </c>
      <c r="D6" s="47">
        <v>19</v>
      </c>
      <c r="E6" s="47">
        <v>107.4</v>
      </c>
      <c r="F6" s="435">
        <v>425589</v>
      </c>
      <c r="G6" s="434">
        <f>D6/B6*E6</f>
        <v>18.550909090909091</v>
      </c>
      <c r="H6" s="45">
        <f>F6*(D6/B6)</f>
        <v>73510.827272727271</v>
      </c>
      <c r="I6" s="435">
        <f>E6*(C6/B6)</f>
        <v>88.849090909090918</v>
      </c>
      <c r="J6" s="434">
        <f>F6*(C6/B6)</f>
        <v>352078.17272727273</v>
      </c>
      <c r="K6" s="436"/>
      <c r="L6" s="436"/>
      <c r="M6" s="436"/>
    </row>
    <row r="7" spans="1:13">
      <c r="A7" s="50" t="s">
        <v>278</v>
      </c>
      <c r="B7" s="45">
        <f>SUM(B3:B6)</f>
        <v>666</v>
      </c>
      <c r="C7" s="45">
        <f>SUM(C3:C6)</f>
        <v>610</v>
      </c>
      <c r="D7" s="45">
        <f>SUM(D3:D6)</f>
        <v>56</v>
      </c>
      <c r="E7" s="45">
        <f t="shared" ref="E7:J7" si="0">SUM(E3:E6)</f>
        <v>611.79999999999995</v>
      </c>
      <c r="F7" s="51">
        <f t="shared" si="0"/>
        <v>2225959</v>
      </c>
      <c r="G7" s="465">
        <f t="shared" si="0"/>
        <v>56.401822945596138</v>
      </c>
      <c r="H7" s="45">
        <f t="shared" si="0"/>
        <v>211658.84599398071</v>
      </c>
      <c r="I7" s="51">
        <f t="shared" si="0"/>
        <v>555.39817705440385</v>
      </c>
      <c r="J7" s="465">
        <f t="shared" si="0"/>
        <v>2014300.1540060192</v>
      </c>
      <c r="K7" s="38"/>
      <c r="L7" s="38"/>
      <c r="M7" s="38"/>
    </row>
    <row r="9" spans="1:13">
      <c r="A9" s="649" t="s">
        <v>279</v>
      </c>
      <c r="B9" s="52" t="s">
        <v>464</v>
      </c>
    </row>
    <row r="10" spans="1:13">
      <c r="B10" s="463" t="s">
        <v>461</v>
      </c>
      <c r="C10" s="463" t="s">
        <v>270</v>
      </c>
      <c r="D10" s="463" t="s">
        <v>271</v>
      </c>
      <c r="E10" s="463" t="s">
        <v>462</v>
      </c>
      <c r="F10" s="463" t="s">
        <v>466</v>
      </c>
      <c r="G10" s="463" t="s">
        <v>276</v>
      </c>
      <c r="H10" s="463" t="s">
        <v>274</v>
      </c>
    </row>
    <row r="11" spans="1:13">
      <c r="A11" s="45">
        <v>2011</v>
      </c>
      <c r="B11" s="51">
        <f>'Kingston Hydro - Results (Net)'!D23</f>
        <v>3</v>
      </c>
      <c r="C11" s="47">
        <v>0</v>
      </c>
      <c r="D11" s="47">
        <v>3</v>
      </c>
      <c r="E11" s="435">
        <f>'Kingston Hydro - Results (Net)'!I23</f>
        <v>0</v>
      </c>
      <c r="F11" s="435">
        <f>'Kingston Hydro - Results (Net)'!N23</f>
        <v>0</v>
      </c>
      <c r="G11" s="47">
        <f>(C11/B11)*F11</f>
        <v>0</v>
      </c>
      <c r="H11" s="47">
        <f>(D11/B11)*E11</f>
        <v>0</v>
      </c>
    </row>
    <row r="12" spans="1:13">
      <c r="A12" s="45">
        <v>2012</v>
      </c>
      <c r="B12" s="51">
        <f>'Kingston Hydro - Results (Net)'!E23</f>
        <v>7</v>
      </c>
      <c r="C12" s="437">
        <v>1</v>
      </c>
      <c r="D12" s="437">
        <v>6</v>
      </c>
      <c r="E12" s="435">
        <f>'Kingston Hydro - Results (Net)'!J23</f>
        <v>25.885999999999999</v>
      </c>
      <c r="F12" s="435">
        <f>'Kingston Hydro - Results (Net)'!O23</f>
        <v>125881.272</v>
      </c>
      <c r="G12" s="47">
        <f>(C12/B12)*F12</f>
        <v>17983.038857142856</v>
      </c>
      <c r="H12" s="47">
        <f>(D12/B12)*E12</f>
        <v>22.187999999999999</v>
      </c>
    </row>
    <row r="13" spans="1:13">
      <c r="A13" s="45">
        <v>2013</v>
      </c>
      <c r="B13" s="51">
        <f>'Kingston Hydro - Results (Net)'!F23</f>
        <v>2</v>
      </c>
      <c r="C13" s="437">
        <v>0</v>
      </c>
      <c r="D13" s="437">
        <v>2</v>
      </c>
      <c r="E13" s="435">
        <f>'Kingston Hydro - Results (Net)'!K23</f>
        <v>17.625</v>
      </c>
      <c r="F13" s="435">
        <f>'Kingston Hydro - Results (Net)'!P23</f>
        <v>96901.535999999993</v>
      </c>
      <c r="G13" s="47">
        <f>(C13/B13)*F13</f>
        <v>0</v>
      </c>
      <c r="H13" s="47">
        <f>(D13/B13)*E13</f>
        <v>17.625</v>
      </c>
    </row>
    <row r="14" spans="1:13">
      <c r="A14" s="45">
        <v>2014</v>
      </c>
      <c r="B14" s="51">
        <f>'Kingston Hydro - Results (Net)'!G23</f>
        <v>5</v>
      </c>
      <c r="C14" s="47">
        <v>1</v>
      </c>
      <c r="D14" s="47">
        <v>4</v>
      </c>
      <c r="E14" s="435">
        <f>'Kingston Hydro - Results (Net)'!L23</f>
        <v>66.834999999999994</v>
      </c>
      <c r="F14" s="435">
        <f>'Kingston Hydro - Results (Net)'!Q23</f>
        <v>326367.84999999998</v>
      </c>
      <c r="G14" s="47">
        <f>(C14/B14)*F14</f>
        <v>65273.57</v>
      </c>
      <c r="H14" s="47">
        <f>(D14/B14)*E14</f>
        <v>53.467999999999996</v>
      </c>
    </row>
    <row r="15" spans="1:13">
      <c r="A15" s="50" t="s">
        <v>127</v>
      </c>
      <c r="C15" s="47"/>
      <c r="D15" s="47"/>
      <c r="E15" s="47"/>
      <c r="F15" s="47"/>
      <c r="G15" s="47"/>
      <c r="H15" s="47"/>
      <c r="I15" s="47"/>
      <c r="J15" s="47"/>
      <c r="K15" s="47"/>
    </row>
    <row r="16" spans="1:13">
      <c r="A16" s="50"/>
      <c r="C16" s="47"/>
      <c r="D16" s="47"/>
      <c r="E16" s="47"/>
      <c r="F16" s="47"/>
      <c r="G16" s="47"/>
      <c r="H16" s="47"/>
      <c r="I16" s="47"/>
      <c r="J16" s="47"/>
      <c r="K16" s="47"/>
      <c r="L16" s="47"/>
      <c r="M16" s="47"/>
    </row>
    <row r="17" spans="1:20">
      <c r="A17" s="52" t="s">
        <v>281</v>
      </c>
      <c r="B17" s="52" t="s">
        <v>465</v>
      </c>
    </row>
    <row r="18" spans="1:20">
      <c r="B18" s="463" t="s">
        <v>461</v>
      </c>
      <c r="C18" s="463" t="s">
        <v>17</v>
      </c>
      <c r="D18" s="463" t="s">
        <v>270</v>
      </c>
      <c r="E18" s="463" t="s">
        <v>271</v>
      </c>
      <c r="F18" s="463" t="s">
        <v>282</v>
      </c>
      <c r="G18" s="463" t="s">
        <v>283</v>
      </c>
      <c r="H18" s="463" t="s">
        <v>272</v>
      </c>
      <c r="I18" s="463" t="s">
        <v>494</v>
      </c>
      <c r="J18" s="463" t="s">
        <v>273</v>
      </c>
      <c r="K18" s="463" t="s">
        <v>274</v>
      </c>
      <c r="L18" s="463" t="s">
        <v>284</v>
      </c>
      <c r="M18" s="463" t="s">
        <v>467</v>
      </c>
      <c r="N18" s="463" t="s">
        <v>275</v>
      </c>
      <c r="O18" s="463" t="s">
        <v>285</v>
      </c>
      <c r="P18" s="463" t="s">
        <v>276</v>
      </c>
      <c r="Q18" s="463" t="s">
        <v>277</v>
      </c>
      <c r="R18" s="463" t="s">
        <v>286</v>
      </c>
      <c r="S18" s="463" t="s">
        <v>287</v>
      </c>
      <c r="T18" s="167"/>
    </row>
    <row r="19" spans="1:20">
      <c r="A19" s="45">
        <v>2011</v>
      </c>
      <c r="B19" s="51">
        <f>'Kingston Hydro - Results (Net)'!D19</f>
        <v>40</v>
      </c>
      <c r="C19" s="47">
        <v>1</v>
      </c>
      <c r="D19" s="47">
        <v>19</v>
      </c>
      <c r="E19" s="47">
        <v>18</v>
      </c>
      <c r="F19" s="47">
        <v>1</v>
      </c>
      <c r="G19" s="47">
        <v>0</v>
      </c>
      <c r="H19" s="47">
        <v>558.06799999999998</v>
      </c>
      <c r="I19" s="47">
        <v>1.258</v>
      </c>
      <c r="J19" s="47">
        <v>108.6</v>
      </c>
      <c r="K19" s="47">
        <v>248.04</v>
      </c>
      <c r="L19" s="47">
        <v>200.17</v>
      </c>
      <c r="M19" s="167">
        <v>0</v>
      </c>
      <c r="N19" s="47">
        <f>SUM(O19:R19)</f>
        <v>2817276</v>
      </c>
      <c r="O19" s="47">
        <v>4545</v>
      </c>
      <c r="P19" s="47">
        <v>563999</v>
      </c>
      <c r="Q19" s="47">
        <v>1580540</v>
      </c>
      <c r="R19" s="47">
        <v>668192</v>
      </c>
      <c r="S19" s="47">
        <v>0</v>
      </c>
    </row>
    <row r="20" spans="1:20">
      <c r="A20" s="45">
        <v>2012</v>
      </c>
      <c r="B20" s="51">
        <f>'Kingston Hydro - Results (Net)'!E19</f>
        <v>63</v>
      </c>
      <c r="C20" s="47">
        <v>0</v>
      </c>
      <c r="D20" s="47">
        <v>15</v>
      </c>
      <c r="E20" s="47">
        <v>41</v>
      </c>
      <c r="F20" s="47">
        <v>4</v>
      </c>
      <c r="G20" s="47">
        <v>1</v>
      </c>
      <c r="H20" s="47">
        <v>717.49</v>
      </c>
      <c r="I20" s="47">
        <v>0</v>
      </c>
      <c r="J20" s="47">
        <v>68.180000000000007</v>
      </c>
      <c r="K20" s="47">
        <v>528.9</v>
      </c>
      <c r="L20" s="47">
        <v>120.41</v>
      </c>
      <c r="M20" s="167">
        <f>34855/4380</f>
        <v>7.9577625570776256</v>
      </c>
      <c r="N20" s="47">
        <f>SUM(O20:S20)</f>
        <v>3763261</v>
      </c>
      <c r="O20" s="47">
        <v>0</v>
      </c>
      <c r="P20" s="47">
        <v>280399</v>
      </c>
      <c r="Q20" s="47">
        <v>3115559</v>
      </c>
      <c r="R20" s="47">
        <v>332448</v>
      </c>
      <c r="S20" s="47">
        <v>34855</v>
      </c>
    </row>
    <row r="21" spans="1:20">
      <c r="A21" s="45">
        <v>2013</v>
      </c>
      <c r="B21" s="51">
        <f>'Kingston Hydro - Results (Net)'!F19</f>
        <v>76</v>
      </c>
      <c r="C21" s="47">
        <v>1</v>
      </c>
      <c r="D21" s="47">
        <v>24</v>
      </c>
      <c r="E21" s="47">
        <v>38</v>
      </c>
      <c r="F21" s="47">
        <v>4</v>
      </c>
      <c r="G21" s="47">
        <v>1</v>
      </c>
      <c r="H21" s="47">
        <v>400.44200000000001</v>
      </c>
      <c r="I21" s="47">
        <v>9.5820000000000007</v>
      </c>
      <c r="J21" s="47">
        <v>77.87</v>
      </c>
      <c r="K21" s="47">
        <v>313.76</v>
      </c>
      <c r="L21" s="47">
        <v>1.53</v>
      </c>
      <c r="M21" s="167">
        <f>2482558/4380</f>
        <v>566.79406392694068</v>
      </c>
      <c r="N21" s="47">
        <v>5885853</v>
      </c>
      <c r="O21" s="47">
        <v>24855</v>
      </c>
      <c r="P21" s="47">
        <v>309952</v>
      </c>
      <c r="Q21" s="47">
        <v>1567236</v>
      </c>
      <c r="R21" s="47">
        <v>1499252</v>
      </c>
      <c r="S21" s="47">
        <v>2484558</v>
      </c>
    </row>
    <row r="22" spans="1:20">
      <c r="A22" s="45">
        <v>2014</v>
      </c>
      <c r="B22" s="51">
        <f>'Kingston Hydro - Results (Net)'!G19</f>
        <v>75</v>
      </c>
      <c r="C22" s="47">
        <v>1</v>
      </c>
      <c r="D22" s="47">
        <v>21</v>
      </c>
      <c r="E22" s="47">
        <v>33</v>
      </c>
      <c r="F22" s="47">
        <v>4</v>
      </c>
      <c r="G22" s="47">
        <v>0</v>
      </c>
      <c r="H22" s="47">
        <v>358.84199999999998</v>
      </c>
      <c r="I22" s="47">
        <v>1.2689999999999999</v>
      </c>
      <c r="J22" s="47">
        <v>65.923000000000002</v>
      </c>
      <c r="K22" s="47">
        <v>265.18</v>
      </c>
      <c r="L22" s="47">
        <v>26.47</v>
      </c>
      <c r="M22" s="167">
        <v>0</v>
      </c>
      <c r="N22" s="47">
        <v>1230649</v>
      </c>
      <c r="O22" s="47">
        <v>20780</v>
      </c>
      <c r="P22" s="47">
        <v>284816</v>
      </c>
      <c r="Q22" s="47">
        <v>857133</v>
      </c>
      <c r="R22" s="47">
        <v>67920</v>
      </c>
      <c r="S22" s="47">
        <v>0</v>
      </c>
    </row>
    <row r="23" spans="1:20">
      <c r="A23" s="50" t="s">
        <v>127</v>
      </c>
      <c r="B23" s="51">
        <f>SUM(B19:B22)</f>
        <v>254</v>
      </c>
      <c r="C23" s="47">
        <f t="shared" ref="C23:H23" si="1">SUM(C19:C22)</f>
        <v>3</v>
      </c>
      <c r="D23" s="47">
        <f t="shared" si="1"/>
        <v>79</v>
      </c>
      <c r="E23" s="47">
        <f t="shared" si="1"/>
        <v>130</v>
      </c>
      <c r="F23" s="47">
        <f t="shared" si="1"/>
        <v>13</v>
      </c>
      <c r="G23" s="47">
        <f t="shared" si="1"/>
        <v>2</v>
      </c>
      <c r="H23" s="47">
        <f t="shared" si="1"/>
        <v>2034.8420000000001</v>
      </c>
      <c r="I23" s="47"/>
      <c r="J23" s="47"/>
      <c r="K23" s="47">
        <f t="shared" ref="K23:S23" si="2">SUM(K19:K22)</f>
        <v>1355.8799999999999</v>
      </c>
      <c r="L23" s="47">
        <f t="shared" si="2"/>
        <v>348.57999999999993</v>
      </c>
      <c r="M23" s="47">
        <f t="shared" si="2"/>
        <v>574.75182648401835</v>
      </c>
      <c r="N23" s="47">
        <f t="shared" si="2"/>
        <v>13697039</v>
      </c>
      <c r="O23" s="47">
        <f t="shared" si="2"/>
        <v>50180</v>
      </c>
      <c r="P23" s="47">
        <f t="shared" si="2"/>
        <v>1439166</v>
      </c>
      <c r="Q23" s="47">
        <f t="shared" si="2"/>
        <v>7120468</v>
      </c>
      <c r="R23" s="47">
        <f t="shared" si="2"/>
        <v>2567812</v>
      </c>
      <c r="S23" s="47">
        <f t="shared" si="2"/>
        <v>2519413</v>
      </c>
    </row>
    <row r="24" spans="1:20">
      <c r="A24" s="50"/>
    </row>
    <row r="25" spans="1:20">
      <c r="A25" s="52" t="s">
        <v>288</v>
      </c>
      <c r="B25" s="52" t="s">
        <v>497</v>
      </c>
    </row>
    <row r="26" spans="1:20">
      <c r="B26" s="464" t="s">
        <v>461</v>
      </c>
      <c r="C26" s="464" t="s">
        <v>270</v>
      </c>
      <c r="D26" s="464" t="s">
        <v>271</v>
      </c>
      <c r="E26" s="464" t="s">
        <v>282</v>
      </c>
    </row>
    <row r="27" spans="1:20">
      <c r="A27" s="45">
        <v>2011</v>
      </c>
      <c r="B27" s="51">
        <f>'Kingston Hydro - Results (Net)'!D48</f>
        <v>3</v>
      </c>
      <c r="C27" s="47">
        <v>0</v>
      </c>
      <c r="D27" s="47">
        <v>0</v>
      </c>
      <c r="E27" s="47">
        <v>3</v>
      </c>
    </row>
    <row r="28" spans="1:20">
      <c r="A28" s="45">
        <v>2012</v>
      </c>
      <c r="B28" s="51">
        <v>3</v>
      </c>
      <c r="C28" s="47">
        <v>1</v>
      </c>
      <c r="D28" s="47">
        <v>0</v>
      </c>
      <c r="E28" s="47">
        <v>2</v>
      </c>
    </row>
    <row r="29" spans="1:20">
      <c r="A29" s="45">
        <v>2013</v>
      </c>
      <c r="B29" s="51">
        <f>'Kingston Hydro - Results (Net)'!F22</f>
        <v>2</v>
      </c>
      <c r="C29" s="47">
        <v>0</v>
      </c>
      <c r="D29" s="47">
        <v>2</v>
      </c>
      <c r="E29" s="47">
        <v>0</v>
      </c>
    </row>
    <row r="30" spans="1:20">
      <c r="A30" s="45">
        <v>2014</v>
      </c>
      <c r="B30" s="51">
        <f>'Kingston Hydro - Results (Net)'!G22</f>
        <v>2</v>
      </c>
      <c r="C30" s="47">
        <v>1</v>
      </c>
      <c r="D30" s="47">
        <v>1</v>
      </c>
      <c r="E30" s="47">
        <v>0</v>
      </c>
    </row>
    <row r="31" spans="1:20">
      <c r="A31" s="50" t="s">
        <v>127</v>
      </c>
      <c r="B31" s="51">
        <f>SUM(B27:B30)</f>
        <v>10</v>
      </c>
      <c r="C31" s="51">
        <f>SUM(C27:C30)</f>
        <v>2</v>
      </c>
      <c r="D31" s="51">
        <f>SUM(D27:D30)</f>
        <v>3</v>
      </c>
      <c r="E31" s="51">
        <f>SUM(E27:E30)</f>
        <v>5</v>
      </c>
    </row>
    <row r="32" spans="1:20">
      <c r="A32" s="50"/>
      <c r="C32" s="47"/>
      <c r="D32" s="47"/>
      <c r="E32" s="47"/>
      <c r="F32" s="47"/>
      <c r="G32" s="47"/>
      <c r="H32" s="47"/>
      <c r="I32" s="47"/>
      <c r="J32" s="47"/>
      <c r="K32" s="47"/>
      <c r="L32" s="47"/>
      <c r="M32" s="47"/>
    </row>
    <row r="33" spans="1:11">
      <c r="B33" s="36"/>
    </row>
    <row r="34" spans="1:11">
      <c r="B34" s="578" t="s">
        <v>289</v>
      </c>
      <c r="C34" s="578" t="s">
        <v>491</v>
      </c>
      <c r="D34" s="462" t="s">
        <v>492</v>
      </c>
      <c r="E34" s="462" t="s">
        <v>290</v>
      </c>
      <c r="F34" s="578" t="s">
        <v>493</v>
      </c>
      <c r="G34" s="578" t="s">
        <v>280</v>
      </c>
      <c r="H34" s="462" t="s">
        <v>291</v>
      </c>
      <c r="I34" s="462" t="s">
        <v>494</v>
      </c>
      <c r="J34" s="578" t="s">
        <v>292</v>
      </c>
      <c r="K34" s="578" t="s">
        <v>495</v>
      </c>
    </row>
    <row r="35" spans="1:11">
      <c r="A35" s="52" t="s">
        <v>269</v>
      </c>
      <c r="B35" s="578"/>
      <c r="C35" s="578"/>
      <c r="D35" s="462"/>
      <c r="E35" s="462"/>
      <c r="F35" s="578"/>
      <c r="G35" s="581"/>
      <c r="H35" s="46"/>
      <c r="J35" s="579"/>
      <c r="K35" s="579"/>
    </row>
    <row r="36" spans="1:11">
      <c r="A36" s="45">
        <v>2011</v>
      </c>
      <c r="B36" s="579">
        <f>J3/F3</f>
        <v>0.9907407407407407</v>
      </c>
      <c r="C36" s="579">
        <f>I3/E3</f>
        <v>0.9907407407407407</v>
      </c>
      <c r="D36" s="168">
        <f>H3/F3</f>
        <v>9.2592592592592587E-3</v>
      </c>
      <c r="E36" s="168">
        <f>G3/E3</f>
        <v>9.2592592592592587E-3</v>
      </c>
      <c r="F36" s="582"/>
      <c r="G36" s="579"/>
      <c r="J36" s="579"/>
      <c r="K36" s="579"/>
    </row>
    <row r="37" spans="1:11">
      <c r="A37" s="45">
        <v>2012</v>
      </c>
      <c r="B37" s="579">
        <f>J4/F4</f>
        <v>0.94818652849740936</v>
      </c>
      <c r="C37" s="579">
        <f>I4/E4</f>
        <v>0.94818652849740936</v>
      </c>
      <c r="D37" s="168">
        <f>H4/F4</f>
        <v>5.181347150259067E-2</v>
      </c>
      <c r="E37" s="168">
        <f>G4/E4</f>
        <v>5.181347150259067E-2</v>
      </c>
      <c r="F37" s="582"/>
      <c r="G37" s="579"/>
      <c r="J37" s="579"/>
      <c r="K37" s="579"/>
    </row>
    <row r="38" spans="1:11">
      <c r="A38" s="45">
        <v>2013</v>
      </c>
      <c r="B38" s="579">
        <f>J5/F5</f>
        <v>0.74193548387096775</v>
      </c>
      <c r="C38" s="579">
        <f>I5/E5</f>
        <v>0.74193548387096775</v>
      </c>
      <c r="D38" s="168">
        <f>H5/F5</f>
        <v>0.25806451612903225</v>
      </c>
      <c r="E38" s="168">
        <f>G5/E5</f>
        <v>0.25806451612903225</v>
      </c>
      <c r="F38" s="582"/>
      <c r="G38" s="579"/>
      <c r="J38" s="579"/>
      <c r="K38" s="579"/>
    </row>
    <row r="39" spans="1:11">
      <c r="A39" s="45">
        <v>2014</v>
      </c>
      <c r="B39" s="579">
        <f>J6/F6</f>
        <v>0.82727272727272727</v>
      </c>
      <c r="C39" s="579">
        <f>I6/E6</f>
        <v>0.82727272727272727</v>
      </c>
      <c r="D39" s="168">
        <f>H6/F6</f>
        <v>0.17272727272727273</v>
      </c>
      <c r="E39" s="168">
        <f>G6/E6</f>
        <v>0.17272727272727273</v>
      </c>
      <c r="F39" s="582"/>
      <c r="G39" s="579"/>
      <c r="J39" s="579"/>
      <c r="K39" s="579"/>
    </row>
    <row r="40" spans="1:11">
      <c r="A40" s="50" t="s">
        <v>490</v>
      </c>
      <c r="B40" s="579">
        <f>J7/F7</f>
        <v>0.90491341215450027</v>
      </c>
      <c r="C40" s="579">
        <f>I7/E7</f>
        <v>0.90781003114482495</v>
      </c>
      <c r="D40" s="168">
        <f>H7/F7</f>
        <v>9.5086587845499712E-2</v>
      </c>
      <c r="E40" s="168">
        <f>G7/E7</f>
        <v>9.2189968855175122E-2</v>
      </c>
      <c r="F40" s="582"/>
      <c r="G40" s="579"/>
      <c r="J40" s="579"/>
      <c r="K40" s="579"/>
    </row>
    <row r="41" spans="1:11">
      <c r="B41" s="579"/>
      <c r="C41" s="579"/>
      <c r="F41" s="579"/>
      <c r="G41" s="579"/>
      <c r="J41" s="579"/>
      <c r="K41" s="579"/>
    </row>
    <row r="42" spans="1:11">
      <c r="A42" s="52" t="s">
        <v>279</v>
      </c>
      <c r="B42" s="579"/>
      <c r="C42" s="579"/>
      <c r="F42" s="579"/>
      <c r="G42" s="579"/>
      <c r="J42" s="579"/>
      <c r="K42" s="579"/>
    </row>
    <row r="43" spans="1:11">
      <c r="A43" s="45">
        <v>2011</v>
      </c>
      <c r="B43" s="579">
        <v>0</v>
      </c>
      <c r="C43" s="579">
        <f>C11/B11</f>
        <v>0</v>
      </c>
      <c r="D43" s="45">
        <v>1</v>
      </c>
      <c r="E43" s="45">
        <v>1</v>
      </c>
      <c r="F43" s="579"/>
      <c r="G43" s="579"/>
      <c r="J43" s="579"/>
      <c r="K43" s="579"/>
    </row>
    <row r="44" spans="1:11">
      <c r="A44" s="45">
        <v>2012</v>
      </c>
      <c r="B44" s="579">
        <f>C12/B12</f>
        <v>0.14285714285714285</v>
      </c>
      <c r="C44" s="579">
        <f>C12/B12</f>
        <v>0.14285714285714285</v>
      </c>
      <c r="D44" s="45">
        <f>D12/B12</f>
        <v>0.8571428571428571</v>
      </c>
      <c r="E44" s="45">
        <f>D12/B12</f>
        <v>0.8571428571428571</v>
      </c>
      <c r="F44" s="579"/>
      <c r="G44" s="579"/>
      <c r="J44" s="579"/>
      <c r="K44" s="579"/>
    </row>
    <row r="45" spans="1:11">
      <c r="A45" s="45">
        <v>2013</v>
      </c>
      <c r="B45" s="579">
        <f>C13/B13</f>
        <v>0</v>
      </c>
      <c r="C45" s="579">
        <f>C13/B13</f>
        <v>0</v>
      </c>
      <c r="D45" s="45">
        <v>1</v>
      </c>
      <c r="E45" s="45">
        <v>0</v>
      </c>
      <c r="F45" s="579"/>
      <c r="G45" s="579"/>
      <c r="J45" s="579"/>
      <c r="K45" s="579"/>
    </row>
    <row r="46" spans="1:11">
      <c r="A46" s="45">
        <v>2014</v>
      </c>
      <c r="B46" s="579">
        <f>C14/B14</f>
        <v>0.2</v>
      </c>
      <c r="C46" s="579">
        <f>C14/B14</f>
        <v>0.2</v>
      </c>
      <c r="D46" s="45">
        <f>D14/B14</f>
        <v>0.8</v>
      </c>
      <c r="E46" s="45">
        <f>D14/B14</f>
        <v>0.8</v>
      </c>
      <c r="F46" s="579"/>
      <c r="G46" s="579"/>
      <c r="J46" s="579"/>
      <c r="K46" s="579"/>
    </row>
    <row r="47" spans="1:11">
      <c r="A47" s="50" t="s">
        <v>490</v>
      </c>
      <c r="B47" s="579">
        <v>0.25</v>
      </c>
      <c r="C47" s="579">
        <v>0.25</v>
      </c>
      <c r="D47" s="45">
        <v>0.25</v>
      </c>
      <c r="E47" s="45">
        <v>0.25</v>
      </c>
      <c r="F47" s="579">
        <v>0.5</v>
      </c>
      <c r="G47" s="579">
        <v>0.5</v>
      </c>
      <c r="J47" s="579"/>
      <c r="K47" s="579"/>
    </row>
    <row r="48" spans="1:11">
      <c r="B48" s="579"/>
      <c r="C48" s="579"/>
      <c r="F48" s="579"/>
      <c r="G48" s="579"/>
      <c r="J48" s="579"/>
      <c r="K48" s="579"/>
    </row>
    <row r="49" spans="1:11">
      <c r="A49" s="52" t="s">
        <v>281</v>
      </c>
      <c r="B49" s="580"/>
      <c r="C49" s="580"/>
      <c r="D49" s="49"/>
      <c r="E49" s="49"/>
      <c r="F49" s="579"/>
      <c r="G49" s="579"/>
      <c r="J49" s="579"/>
      <c r="K49" s="579"/>
    </row>
    <row r="50" spans="1:11">
      <c r="A50" s="45">
        <v>2011</v>
      </c>
      <c r="B50" s="579">
        <f>P19/N19</f>
        <v>0.20019302333175734</v>
      </c>
      <c r="C50" s="579">
        <f>J19/H19</f>
        <v>0.19459994122580043</v>
      </c>
      <c r="D50" s="45">
        <f>Q19/N19</f>
        <v>0.561017095946581</v>
      </c>
      <c r="E50" s="45">
        <f>K19/H19</f>
        <v>0.44446196520854092</v>
      </c>
      <c r="F50" s="579">
        <f>R19/N19</f>
        <v>0.23717662025303876</v>
      </c>
      <c r="G50" s="579">
        <f>L19/H19</f>
        <v>0.35868388798497675</v>
      </c>
      <c r="H50" s="45">
        <f>O19/N19</f>
        <v>1.6132604686228825E-3</v>
      </c>
      <c r="I50" s="45">
        <f>I19/H19</f>
        <v>2.254205580681924E-3</v>
      </c>
      <c r="J50" s="579">
        <f>S19/N19</f>
        <v>0</v>
      </c>
      <c r="K50" s="579"/>
    </row>
    <row r="51" spans="1:11">
      <c r="A51" s="45">
        <v>2012</v>
      </c>
      <c r="B51" s="579">
        <f>P20/N20</f>
        <v>7.4509580919314394E-2</v>
      </c>
      <c r="C51" s="579">
        <f>J20/H20</f>
        <v>9.5025714644106543E-2</v>
      </c>
      <c r="D51" s="45">
        <f>Q20/N20</f>
        <v>0.82788810024072212</v>
      </c>
      <c r="E51" s="45">
        <f>K20/H20</f>
        <v>0.7371531310540913</v>
      </c>
      <c r="F51" s="579">
        <f>R20/N20</f>
        <v>8.8340404771287462E-2</v>
      </c>
      <c r="G51" s="579">
        <f>L20/H20</f>
        <v>0.16782115430180211</v>
      </c>
      <c r="H51" s="45">
        <f>O20/N20</f>
        <v>0</v>
      </c>
      <c r="I51" s="45">
        <f>I20/H20</f>
        <v>0</v>
      </c>
      <c r="J51" s="579">
        <f>S20/N20</f>
        <v>9.2619140686760765E-3</v>
      </c>
      <c r="K51" s="579"/>
    </row>
    <row r="52" spans="1:11">
      <c r="A52" s="45">
        <v>2013</v>
      </c>
      <c r="B52" s="579">
        <f>P21/N21</f>
        <v>5.2660506472044066E-2</v>
      </c>
      <c r="C52" s="579">
        <f>J21/H21</f>
        <v>0.19446012156566994</v>
      </c>
      <c r="D52" s="45">
        <f>Q21/N21</f>
        <v>0.26627168568430098</v>
      </c>
      <c r="E52" s="45">
        <f>K21/H21</f>
        <v>0.78353419471484009</v>
      </c>
      <c r="F52" s="579">
        <f>R21/N21</f>
        <v>0.25472127829220337</v>
      </c>
      <c r="G52" s="579">
        <f>L21/H21</f>
        <v>3.8207780402655066E-3</v>
      </c>
      <c r="H52" s="45">
        <f>O21/N21</f>
        <v>4.222837369536752E-3</v>
      </c>
      <c r="I52" s="45">
        <f>I21/H21</f>
        <v>2.3928558942368686E-2</v>
      </c>
      <c r="J52" s="579">
        <f>S21/N21</f>
        <v>0.42212369218191481</v>
      </c>
      <c r="K52" s="579"/>
    </row>
    <row r="53" spans="1:11">
      <c r="A53" s="45">
        <v>2014</v>
      </c>
      <c r="B53" s="579">
        <f>P22/N22</f>
        <v>0.23143560836599225</v>
      </c>
      <c r="C53" s="579">
        <f>J22/H22</f>
        <v>0.18371037949849797</v>
      </c>
      <c r="D53" s="45">
        <f>Q22/N22</f>
        <v>0.69648860073018382</v>
      </c>
      <c r="E53" s="45">
        <f>K22/H22</f>
        <v>0.73898818978826342</v>
      </c>
      <c r="F53" s="579">
        <f>R22/N22</f>
        <v>5.5190391411360999E-2</v>
      </c>
      <c r="G53" s="579">
        <f>L22/H22</f>
        <v>7.3765055372559507E-2</v>
      </c>
      <c r="H53" s="45">
        <f>O22/N22</f>
        <v>1.688539949246292E-2</v>
      </c>
      <c r="I53" s="45">
        <f>I22/H22</f>
        <v>3.5363753406791845E-3</v>
      </c>
      <c r="J53" s="579">
        <f>S22/N22</f>
        <v>0</v>
      </c>
      <c r="K53" s="579"/>
    </row>
    <row r="54" spans="1:11">
      <c r="A54" s="50" t="s">
        <v>490</v>
      </c>
      <c r="B54" s="579">
        <f>P23/N23</f>
        <v>0.10507132234930484</v>
      </c>
      <c r="C54" s="579">
        <f>J23/H23</f>
        <v>0</v>
      </c>
      <c r="D54" s="45">
        <f>Q23/N23</f>
        <v>0.51985454666515885</v>
      </c>
      <c r="E54" s="45">
        <f>K23/H23</f>
        <v>0.66633183313495581</v>
      </c>
      <c r="F54" s="579">
        <f>R23/N23</f>
        <v>0.18747205144119106</v>
      </c>
      <c r="G54" s="579">
        <f>L23/H23</f>
        <v>0.17130568368453172</v>
      </c>
      <c r="H54" s="45">
        <f>O23/N23</f>
        <v>3.6635655341274854E-3</v>
      </c>
      <c r="I54" s="45">
        <f>I23/H23</f>
        <v>0</v>
      </c>
      <c r="J54" s="579">
        <f>S23/N23</f>
        <v>0.18393851401021782</v>
      </c>
      <c r="K54" s="579"/>
    </row>
    <row r="55" spans="1:11">
      <c r="B55" s="579"/>
      <c r="C55" s="579"/>
      <c r="F55" s="579"/>
      <c r="G55" s="579"/>
      <c r="J55" s="579"/>
      <c r="K55" s="579"/>
    </row>
    <row r="56" spans="1:11">
      <c r="A56" s="52" t="s">
        <v>288</v>
      </c>
      <c r="B56" s="579"/>
      <c r="C56" s="579"/>
      <c r="F56" s="579"/>
      <c r="G56" s="579"/>
      <c r="J56" s="579"/>
      <c r="K56" s="579"/>
    </row>
    <row r="57" spans="1:11">
      <c r="A57" s="45">
        <v>2011</v>
      </c>
      <c r="B57" s="579">
        <f>C27/B27</f>
        <v>0</v>
      </c>
      <c r="C57" s="579">
        <f>C27/B27</f>
        <v>0</v>
      </c>
      <c r="D57" s="45">
        <f>D27/B27</f>
        <v>0</v>
      </c>
      <c r="E57" s="45">
        <f>D27/B27</f>
        <v>0</v>
      </c>
      <c r="F57" s="579">
        <f>E27/B27</f>
        <v>1</v>
      </c>
      <c r="G57" s="579">
        <f>E27/B27</f>
        <v>1</v>
      </c>
      <c r="J57" s="579"/>
      <c r="K57" s="579"/>
    </row>
    <row r="58" spans="1:11">
      <c r="A58" s="45">
        <v>2012</v>
      </c>
      <c r="B58" s="579">
        <f>C28/B28</f>
        <v>0.33333333333333331</v>
      </c>
      <c r="C58" s="579">
        <f>C28/B28</f>
        <v>0.33333333333333331</v>
      </c>
      <c r="D58" s="45">
        <f>D28/B28</f>
        <v>0</v>
      </c>
      <c r="E58" s="45">
        <f>D28/B28</f>
        <v>0</v>
      </c>
      <c r="F58" s="579">
        <f>E28/B28</f>
        <v>0.66666666666666663</v>
      </c>
      <c r="G58" s="579">
        <f>E28/B28</f>
        <v>0.66666666666666663</v>
      </c>
      <c r="J58" s="579"/>
      <c r="K58" s="579"/>
    </row>
    <row r="59" spans="1:11">
      <c r="A59" s="45">
        <v>2013</v>
      </c>
      <c r="B59" s="579">
        <f>C29/B29</f>
        <v>0</v>
      </c>
      <c r="C59" s="579">
        <f>C29/B29</f>
        <v>0</v>
      </c>
      <c r="D59" s="45">
        <f>D29/B29</f>
        <v>1</v>
      </c>
      <c r="E59" s="45">
        <f>D29/B29</f>
        <v>1</v>
      </c>
      <c r="F59" s="579">
        <f>E29/B29</f>
        <v>0</v>
      </c>
      <c r="G59" s="579">
        <f>E29/B29</f>
        <v>0</v>
      </c>
      <c r="J59" s="579"/>
      <c r="K59" s="579"/>
    </row>
    <row r="60" spans="1:11">
      <c r="A60" s="45">
        <v>2014</v>
      </c>
      <c r="B60" s="579">
        <f>C30/B30</f>
        <v>0.5</v>
      </c>
      <c r="C60" s="579">
        <f>C30/B30</f>
        <v>0.5</v>
      </c>
      <c r="D60" s="45">
        <f>D30/B30</f>
        <v>0.5</v>
      </c>
      <c r="E60" s="45">
        <f>D30/B30</f>
        <v>0.5</v>
      </c>
      <c r="F60" s="579">
        <f>E30/B30</f>
        <v>0</v>
      </c>
      <c r="G60" s="579">
        <f>E30/B30</f>
        <v>0</v>
      </c>
      <c r="J60" s="579"/>
      <c r="K60" s="579"/>
    </row>
    <row r="61" spans="1:11">
      <c r="A61" s="50" t="s">
        <v>490</v>
      </c>
      <c r="B61" s="579">
        <f>C31/B31</f>
        <v>0.2</v>
      </c>
      <c r="C61" s="579">
        <f>C31/B31</f>
        <v>0.2</v>
      </c>
      <c r="D61" s="45">
        <f>D31/B31</f>
        <v>0.3</v>
      </c>
      <c r="E61" s="45">
        <f>D31/B31</f>
        <v>0.3</v>
      </c>
      <c r="F61" s="579">
        <f>E31/B31</f>
        <v>0.5</v>
      </c>
      <c r="G61" s="579">
        <f>E31/B31</f>
        <v>0.5</v>
      </c>
      <c r="J61" s="579"/>
      <c r="K61" s="579"/>
    </row>
  </sheetData>
  <pageMargins left="0.7" right="0.7" top="0.75" bottom="0.75" header="0.3" footer="0.3"/>
  <pageSetup scale="13"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27"/>
  <sheetViews>
    <sheetView topLeftCell="A65" zoomScale="85" zoomScaleNormal="85" workbookViewId="0">
      <selection activeCell="A123" sqref="A123:A126"/>
    </sheetView>
  </sheetViews>
  <sheetFormatPr defaultRowHeight="15"/>
  <cols>
    <col min="1" max="1" width="24.140625" customWidth="1"/>
    <col min="2" max="2" width="11.42578125" customWidth="1"/>
    <col min="3" max="4" width="11.42578125" bestFit="1" customWidth="1"/>
    <col min="5" max="8" width="12.140625" bestFit="1" customWidth="1"/>
    <col min="9" max="13" width="13.28515625" bestFit="1" customWidth="1"/>
  </cols>
  <sheetData>
    <row r="1" spans="1:13">
      <c r="A1" s="583" t="s">
        <v>33</v>
      </c>
      <c r="B1" s="53">
        <v>2009</v>
      </c>
    </row>
    <row r="2" spans="1:13">
      <c r="A2" s="731" t="s">
        <v>556</v>
      </c>
      <c r="B2" s="731"/>
      <c r="C2" s="731"/>
      <c r="D2" s="731"/>
      <c r="E2" s="731"/>
    </row>
    <row r="3" spans="1:13">
      <c r="A3" s="583" t="s">
        <v>517</v>
      </c>
      <c r="B3" s="45" t="s">
        <v>558</v>
      </c>
      <c r="C3" s="45" t="s">
        <v>557</v>
      </c>
      <c r="D3" s="45" t="s">
        <v>545</v>
      </c>
      <c r="E3" s="45" t="s">
        <v>546</v>
      </c>
      <c r="F3" s="45" t="s">
        <v>547</v>
      </c>
      <c r="G3" s="45" t="s">
        <v>548</v>
      </c>
      <c r="H3" s="45" t="s">
        <v>549</v>
      </c>
      <c r="I3" s="45" t="s">
        <v>559</v>
      </c>
      <c r="J3" s="45" t="s">
        <v>560</v>
      </c>
      <c r="K3" s="45" t="s">
        <v>561</v>
      </c>
      <c r="L3" s="45" t="s">
        <v>562</v>
      </c>
      <c r="M3" s="45" t="s">
        <v>563</v>
      </c>
    </row>
    <row r="4" spans="1:13">
      <c r="A4" s="53" t="s">
        <v>71</v>
      </c>
      <c r="B4" s="35">
        <v>1280.8979848415092</v>
      </c>
      <c r="C4" s="35">
        <v>718.6648727078632</v>
      </c>
      <c r="D4" s="35">
        <v>718.6648727078632</v>
      </c>
      <c r="E4" s="35">
        <v>718.6648727078632</v>
      </c>
      <c r="F4" s="35">
        <v>718.6648727078632</v>
      </c>
      <c r="G4" s="35">
        <v>718.6648727078632</v>
      </c>
      <c r="H4" s="35">
        <v>570.23329376051538</v>
      </c>
      <c r="I4" s="35">
        <v>467.08592533944216</v>
      </c>
      <c r="J4" s="35">
        <v>467.08592533944216</v>
      </c>
      <c r="K4" s="35">
        <v>467.08592533944216</v>
      </c>
      <c r="L4" s="35">
        <v>389.81206170305632</v>
      </c>
      <c r="M4" s="35">
        <v>60.381379884896717</v>
      </c>
    </row>
    <row r="5" spans="1:13">
      <c r="A5" s="53" t="s">
        <v>70</v>
      </c>
      <c r="B5" s="35">
        <v>683.04351826294976</v>
      </c>
      <c r="C5" s="35">
        <v>683.04351826294976</v>
      </c>
      <c r="D5" s="35">
        <v>683.04351826294976</v>
      </c>
      <c r="E5" s="35">
        <v>683.04351826294976</v>
      </c>
      <c r="F5" s="35">
        <v>683.04351826294976</v>
      </c>
      <c r="G5" s="35">
        <v>683.04351826294976</v>
      </c>
      <c r="H5" s="35">
        <v>683.04351826294976</v>
      </c>
      <c r="I5" s="35">
        <v>683.04351826294976</v>
      </c>
      <c r="J5" s="35">
        <v>384.7026712056051</v>
      </c>
      <c r="K5" s="35">
        <v>0</v>
      </c>
      <c r="L5" s="35">
        <v>0</v>
      </c>
      <c r="M5" s="35">
        <v>0</v>
      </c>
    </row>
    <row r="6" spans="1:13">
      <c r="A6" s="53" t="s">
        <v>58</v>
      </c>
      <c r="B6" s="35">
        <v>0</v>
      </c>
      <c r="C6" s="35">
        <v>0</v>
      </c>
      <c r="D6" s="35">
        <v>0</v>
      </c>
      <c r="E6" s="35">
        <v>0</v>
      </c>
      <c r="F6" s="35">
        <v>0</v>
      </c>
      <c r="G6" s="35">
        <v>0</v>
      </c>
      <c r="H6" s="35">
        <v>0</v>
      </c>
      <c r="I6" s="35">
        <v>0</v>
      </c>
      <c r="J6" s="35">
        <v>0</v>
      </c>
      <c r="K6" s="35">
        <v>0</v>
      </c>
      <c r="L6" s="35">
        <v>0</v>
      </c>
      <c r="M6" s="35">
        <v>0</v>
      </c>
    </row>
    <row r="7" spans="1:13">
      <c r="A7" s="53" t="s">
        <v>17</v>
      </c>
      <c r="B7" s="35">
        <v>516.15843625420052</v>
      </c>
      <c r="C7" s="35">
        <v>505.60405151086616</v>
      </c>
      <c r="D7" s="35">
        <v>505.60405151086616</v>
      </c>
      <c r="E7" s="35">
        <v>504.46054298790557</v>
      </c>
      <c r="F7" s="35">
        <v>473.72886872915046</v>
      </c>
      <c r="G7" s="35">
        <v>376.73439521936763</v>
      </c>
      <c r="H7" s="35">
        <v>329.31942198716803</v>
      </c>
      <c r="I7" s="35">
        <v>328.28486129872653</v>
      </c>
      <c r="J7" s="35">
        <v>261.91185705107591</v>
      </c>
      <c r="K7" s="35">
        <v>261.91185705107591</v>
      </c>
      <c r="L7" s="35">
        <v>226.22774087909622</v>
      </c>
      <c r="M7" s="35">
        <v>226.16396103314386</v>
      </c>
    </row>
    <row r="8" spans="1:13">
      <c r="A8" s="53" t="s">
        <v>519</v>
      </c>
      <c r="B8" s="35">
        <v>2480.0999393586599</v>
      </c>
      <c r="C8" s="35">
        <v>1907.3124424816792</v>
      </c>
      <c r="D8" s="35">
        <v>1907.3124424816792</v>
      </c>
      <c r="E8" s="35">
        <v>1906.1689339587188</v>
      </c>
      <c r="F8" s="35">
        <v>1875.4372596999635</v>
      </c>
      <c r="G8" s="35">
        <v>1778.4427861901806</v>
      </c>
      <c r="H8" s="35">
        <v>1582.596234010633</v>
      </c>
      <c r="I8" s="35">
        <v>1478.4143049011184</v>
      </c>
      <c r="J8" s="35">
        <v>1113.7004535961232</v>
      </c>
      <c r="K8" s="35">
        <v>728.99778239051807</v>
      </c>
      <c r="L8" s="35">
        <v>616.03980258215256</v>
      </c>
      <c r="M8" s="35">
        <v>286.54534091804055</v>
      </c>
    </row>
    <row r="9" spans="1:13" s="45" customFormat="1">
      <c r="A9"/>
      <c r="B9"/>
      <c r="C9"/>
      <c r="D9"/>
      <c r="E9"/>
      <c r="F9"/>
      <c r="G9"/>
      <c r="H9"/>
    </row>
    <row r="10" spans="1:13" s="45" customFormat="1">
      <c r="A10" s="731" t="s">
        <v>564</v>
      </c>
      <c r="B10" s="731"/>
      <c r="C10" s="731"/>
      <c r="D10" s="731"/>
      <c r="E10" s="731"/>
      <c r="F10" s="731"/>
      <c r="G10" s="731"/>
      <c r="H10" s="731"/>
      <c r="I10" s="731"/>
      <c r="J10" s="731"/>
      <c r="K10" s="731"/>
      <c r="L10" s="731"/>
      <c r="M10" s="731"/>
    </row>
    <row r="11" spans="1:13" s="45" customFormat="1">
      <c r="A11" s="584"/>
      <c r="B11" s="584">
        <v>2009</v>
      </c>
      <c r="C11" s="584">
        <v>2010</v>
      </c>
      <c r="D11" s="584">
        <v>2011</v>
      </c>
      <c r="E11" s="584">
        <v>2012</v>
      </c>
      <c r="F11" s="584">
        <v>2013</v>
      </c>
      <c r="G11" s="584">
        <v>2014</v>
      </c>
      <c r="H11" s="584">
        <v>2015</v>
      </c>
      <c r="I11" s="584">
        <v>2016</v>
      </c>
      <c r="J11" s="584">
        <v>2017</v>
      </c>
      <c r="K11" s="584">
        <v>2018</v>
      </c>
      <c r="L11" s="584">
        <v>2019</v>
      </c>
      <c r="M11" s="584">
        <v>2020</v>
      </c>
    </row>
    <row r="12" spans="1:13" s="45" customFormat="1">
      <c r="A12" s="585" t="s">
        <v>17</v>
      </c>
      <c r="B12" s="35">
        <f>(GETPIVOTDATA("Sum of 2009",$A$3,"Rate Class","Residential")*1000)/2</f>
        <v>258079.21812710026</v>
      </c>
      <c r="C12" s="35">
        <f>(GETPIVOTDATA("Sum of 2010",$A$3,"Rate Class","Residential")*1000)</f>
        <v>505604.05151086615</v>
      </c>
      <c r="D12" s="35">
        <f>(GETPIVOTDATA("Sum of 2011",$A$3,"Rate Class","Residential")*1000)</f>
        <v>505604.05151086615</v>
      </c>
      <c r="E12" s="35">
        <f>(GETPIVOTDATA("Sum of 2012",$A$3,"Rate Class","Residential")*1000)</f>
        <v>504460.54298790556</v>
      </c>
      <c r="F12" s="35">
        <f>(GETPIVOTDATA("Sum of 2013",$A$3,"Rate Class","Residential")*1000)</f>
        <v>473728.86872915045</v>
      </c>
      <c r="G12" s="35">
        <f>(GETPIVOTDATA("Sum of 2014",$A$3,"Rate Class","Residential")*1000)</f>
        <v>376734.39521936764</v>
      </c>
      <c r="H12" s="35">
        <f>(GETPIVOTDATA("Sum of 2015",$A$3,"Rate Class","Residential")*1000)</f>
        <v>329319.42198716803</v>
      </c>
      <c r="I12" s="35">
        <f>(GETPIVOTDATA("Sum of 2016",$A$3,"Rate Class","Residential")*1000)</f>
        <v>328284.86129872652</v>
      </c>
      <c r="J12" s="35">
        <f>(GETPIVOTDATA("Sum of 2017",$A$3,"Rate Class","Residential")*1000)</f>
        <v>261911.8570510759</v>
      </c>
      <c r="K12" s="35">
        <f>(GETPIVOTDATA("Sum of 2018",$A$3,"Rate Class","Residential")*1000)</f>
        <v>261911.8570510759</v>
      </c>
      <c r="L12" s="35">
        <f>(GETPIVOTDATA("Sum of 2019",$A$3,"Rate Class","Residential")*1000)</f>
        <v>226227.74087909621</v>
      </c>
      <c r="M12" s="35">
        <f>(GETPIVOTDATA("Sum of 2020",$A$3,"Rate Class","Residential")*1000)</f>
        <v>226163.96103314386</v>
      </c>
    </row>
    <row r="13" spans="1:13" s="45" customFormat="1">
      <c r="A13" s="585" t="s">
        <v>70</v>
      </c>
      <c r="B13" s="35">
        <f>(GETPIVOTDATA("Sum of 2009",$A$3,"Rate Class","GS Less Than 50kW")*1000)/2</f>
        <v>341521.75913147489</v>
      </c>
      <c r="C13" s="35">
        <f>(GETPIVOTDATA("Sum of 2010",$A$3,"Rate Class","GS Less Than 50kW")*1000)</f>
        <v>683043.51826294977</v>
      </c>
      <c r="D13" s="35">
        <f>(GETPIVOTDATA("Sum of 2011",$A$3,"Rate Class","GS Less Than 50kW")*1000)</f>
        <v>683043.51826294977</v>
      </c>
      <c r="E13" s="35">
        <f>(GETPIVOTDATA("Sum of 2012",$A$3,"Rate Class","GS Less Than 50kW")*1000)</f>
        <v>683043.51826294977</v>
      </c>
      <c r="F13" s="35">
        <f>(GETPIVOTDATA("Sum of 2013",$A$3,"Rate Class","GS Less Than 50kW")*1000)</f>
        <v>683043.51826294977</v>
      </c>
      <c r="G13" s="35">
        <f>(GETPIVOTDATA("Sum of 2014",$A$3,"Rate Class","GS Less Than 50kW")*1000)</f>
        <v>683043.51826294977</v>
      </c>
      <c r="H13" s="35">
        <f>(GETPIVOTDATA("Sum of 2015",$A$3,"Rate Class","GS Less Than 50kW")*1000)</f>
        <v>683043.51826294977</v>
      </c>
      <c r="I13" s="35">
        <f>(GETPIVOTDATA("Sum of 2016",$A$3,"Rate Class","GS Less Than 50kW")*1000)</f>
        <v>683043.51826294977</v>
      </c>
      <c r="J13" s="35">
        <f>(GETPIVOTDATA("Sum of 2017",$A$3,"Rate Class","GS Less Than 50kW")*1000)</f>
        <v>384702.67120560509</v>
      </c>
      <c r="K13" s="35">
        <f>(GETPIVOTDATA("Sum of 2018",$A$3,"Rate Class","GS Less Than 50kW")*1000)</f>
        <v>0</v>
      </c>
      <c r="L13" s="35">
        <f>(GETPIVOTDATA("Sum of 2019",$A$3,"Rate Class","GS Less Than 50kW")*1000)</f>
        <v>0</v>
      </c>
      <c r="M13" s="35">
        <f>(GETPIVOTDATA("Sum of 2020",$A$3,"Rate Class","GS Less Than 50kW")*1000)</f>
        <v>0</v>
      </c>
    </row>
    <row r="14" spans="1:13" s="45" customFormat="1">
      <c r="A14" s="585" t="s">
        <v>71</v>
      </c>
      <c r="B14" s="35">
        <f>(GETPIVOTDATA("Sum of 2009",$A$3,"Rate Class","GS Greater Than 50kW")*1000)/2</f>
        <v>640448.99242075463</v>
      </c>
      <c r="C14" s="35">
        <f>GETPIVOTDATA("Sum of 2010",$A$3,"Rate Class","GS Greater Than 50kW")*1000</f>
        <v>718664.87270786322</v>
      </c>
      <c r="D14" s="35">
        <f>GETPIVOTDATA("Sum of 2011",$A$3,"Rate Class","GS Greater Than 50kW")*1000</f>
        <v>718664.87270786322</v>
      </c>
      <c r="E14" s="35">
        <f>GETPIVOTDATA("Sum of 2012",$A$3,"Rate Class","GS Greater Than 50kW")*1000</f>
        <v>718664.87270786322</v>
      </c>
      <c r="F14" s="35">
        <f>GETPIVOTDATA("Sum of 2013",$A$3,"Rate Class","GS Greater Than 50kW")*1000</f>
        <v>718664.87270786322</v>
      </c>
      <c r="G14" s="35">
        <f>GETPIVOTDATA("Sum of 2014",$A$3,"Rate Class","GS Greater Than 50kW")*1000</f>
        <v>718664.87270786322</v>
      </c>
      <c r="H14" s="35">
        <f>GETPIVOTDATA("Sum of 2015",$A$3,"Rate Class","GS Greater Than 50kW")*1000</f>
        <v>570233.2937605154</v>
      </c>
      <c r="I14" s="35">
        <f>GETPIVOTDATA("Sum of 2016",$A$3,"Rate Class","GS Greater Than 50kW")*1000</f>
        <v>467085.92533944215</v>
      </c>
      <c r="J14" s="35">
        <f>GETPIVOTDATA("Sum of 2017",$A$3,"Rate Class","GS Greater Than 50kW")*1000</f>
        <v>467085.92533944215</v>
      </c>
      <c r="K14" s="35">
        <f>GETPIVOTDATA("Sum of 2018",$A$3,"Rate Class","GS Greater Than 50kW")*1000</f>
        <v>467085.92533944215</v>
      </c>
      <c r="L14" s="35">
        <f>GETPIVOTDATA("Sum of 2019",$A$3,"Rate Class","GS Greater Than 50kW")*1000</f>
        <v>389812.06170305633</v>
      </c>
      <c r="M14" s="35">
        <f>GETPIVOTDATA("Sum of 2020",$A$3,"Rate Class","GS Greater Than 50kW")*1000</f>
        <v>60381.37988489672</v>
      </c>
    </row>
    <row r="15" spans="1:13" s="45" customFormat="1">
      <c r="A15" s="585"/>
    </row>
    <row r="16" spans="1:13">
      <c r="A16" s="583" t="s">
        <v>33</v>
      </c>
      <c r="B16" s="53">
        <v>2010</v>
      </c>
      <c r="C16" s="45"/>
      <c r="D16" s="45"/>
      <c r="E16" s="45"/>
      <c r="F16" s="45"/>
      <c r="G16" s="45"/>
      <c r="H16" s="45"/>
      <c r="I16" s="45"/>
      <c r="J16" s="45"/>
      <c r="K16" s="45"/>
      <c r="L16" s="45"/>
      <c r="M16" s="45"/>
    </row>
    <row r="17" spans="1:13">
      <c r="A17" s="731" t="s">
        <v>556</v>
      </c>
      <c r="B17" s="731"/>
      <c r="C17" s="731"/>
      <c r="D17" s="731"/>
      <c r="E17" s="731"/>
      <c r="F17" s="45"/>
      <c r="G17" s="45"/>
      <c r="H17" s="45"/>
      <c r="I17" s="45"/>
      <c r="J17" s="45"/>
      <c r="K17" s="45"/>
      <c r="L17" s="45"/>
      <c r="M17" s="45"/>
    </row>
    <row r="18" spans="1:13" s="45" customFormat="1">
      <c r="A18" s="583" t="s">
        <v>517</v>
      </c>
      <c r="B18" s="45" t="s">
        <v>558</v>
      </c>
      <c r="C18" s="45" t="s">
        <v>557</v>
      </c>
      <c r="D18" s="45" t="s">
        <v>545</v>
      </c>
      <c r="E18" s="45" t="s">
        <v>546</v>
      </c>
      <c r="F18" s="45" t="s">
        <v>547</v>
      </c>
      <c r="G18" s="45" t="s">
        <v>548</v>
      </c>
      <c r="H18" s="45" t="s">
        <v>549</v>
      </c>
      <c r="I18" s="45" t="s">
        <v>559</v>
      </c>
      <c r="J18" s="45" t="s">
        <v>560</v>
      </c>
      <c r="K18" s="45" t="s">
        <v>561</v>
      </c>
      <c r="L18" s="45" t="s">
        <v>562</v>
      </c>
      <c r="M18" s="45" t="s">
        <v>563</v>
      </c>
    </row>
    <row r="19" spans="1:13" s="45" customFormat="1">
      <c r="A19" s="53" t="s">
        <v>71</v>
      </c>
      <c r="B19" s="35">
        <v>0</v>
      </c>
      <c r="C19" s="35">
        <v>1396.8502120819032</v>
      </c>
      <c r="D19" s="35">
        <v>436.95446521984923</v>
      </c>
      <c r="E19" s="35">
        <v>436.95446521984923</v>
      </c>
      <c r="F19" s="35">
        <v>436.95446521984923</v>
      </c>
      <c r="G19" s="35">
        <v>436.95446521984923</v>
      </c>
      <c r="H19" s="35">
        <v>436.95446521984923</v>
      </c>
      <c r="I19" s="35">
        <v>436.95446521984923</v>
      </c>
      <c r="J19" s="35">
        <v>436.95446521984923</v>
      </c>
      <c r="K19" s="35">
        <v>434.36759725475298</v>
      </c>
      <c r="L19" s="35">
        <v>250.05325474166202</v>
      </c>
      <c r="M19" s="35">
        <v>196.16017213547786</v>
      </c>
    </row>
    <row r="20" spans="1:13" s="45" customFormat="1">
      <c r="A20" s="53" t="s">
        <v>70</v>
      </c>
      <c r="B20" s="35">
        <v>0</v>
      </c>
      <c r="C20" s="35">
        <v>539.41236895018005</v>
      </c>
      <c r="D20" s="35">
        <v>539.41236895018005</v>
      </c>
      <c r="E20" s="35">
        <v>539.41236895018005</v>
      </c>
      <c r="F20" s="35">
        <v>539.41236895018005</v>
      </c>
      <c r="G20" s="35">
        <v>539.41236895018005</v>
      </c>
      <c r="H20" s="35">
        <v>539.41236895018005</v>
      </c>
      <c r="I20" s="35">
        <v>539.41236895018005</v>
      </c>
      <c r="J20" s="35">
        <v>364.05128221036796</v>
      </c>
      <c r="K20" s="35">
        <v>0</v>
      </c>
      <c r="L20" s="35">
        <v>0</v>
      </c>
      <c r="M20" s="35">
        <v>0</v>
      </c>
    </row>
    <row r="21" spans="1:13" s="45" customFormat="1">
      <c r="A21" s="53" t="s">
        <v>58</v>
      </c>
      <c r="B21" s="35">
        <v>0</v>
      </c>
      <c r="C21" s="35">
        <v>0</v>
      </c>
      <c r="D21" s="35">
        <v>0</v>
      </c>
      <c r="E21" s="35">
        <v>0</v>
      </c>
      <c r="F21" s="35">
        <v>0</v>
      </c>
      <c r="G21" s="35">
        <v>0</v>
      </c>
      <c r="H21" s="35">
        <v>0</v>
      </c>
      <c r="I21" s="35">
        <v>0</v>
      </c>
      <c r="J21" s="35">
        <v>0</v>
      </c>
      <c r="K21" s="35">
        <v>0</v>
      </c>
      <c r="L21" s="35">
        <v>0</v>
      </c>
      <c r="M21" s="35">
        <v>0</v>
      </c>
    </row>
    <row r="22" spans="1:13" s="45" customFormat="1">
      <c r="A22" s="53" t="s">
        <v>17</v>
      </c>
      <c r="B22" s="35">
        <v>0</v>
      </c>
      <c r="C22" s="35">
        <v>353.18005590719395</v>
      </c>
      <c r="D22" s="35">
        <v>342.3839360958882</v>
      </c>
      <c r="E22" s="35">
        <v>339.88963870071018</v>
      </c>
      <c r="F22" s="35">
        <v>338.94724307090786</v>
      </c>
      <c r="G22" s="35">
        <v>313.90864148591652</v>
      </c>
      <c r="H22" s="35">
        <v>212.30515997988036</v>
      </c>
      <c r="I22" s="35">
        <v>203.06968140192828</v>
      </c>
      <c r="J22" s="35">
        <v>203.06968140192828</v>
      </c>
      <c r="K22" s="35">
        <v>202.30938723962851</v>
      </c>
      <c r="L22" s="35">
        <v>110.0217578223003</v>
      </c>
      <c r="M22" s="35">
        <v>94.821570593297565</v>
      </c>
    </row>
    <row r="23" spans="1:13" s="45" customFormat="1">
      <c r="A23" s="53" t="s">
        <v>519</v>
      </c>
      <c r="B23" s="35">
        <v>0</v>
      </c>
      <c r="C23" s="35">
        <v>2289.4426369392772</v>
      </c>
      <c r="D23" s="35">
        <v>1318.7507702659175</v>
      </c>
      <c r="E23" s="35">
        <v>1316.2564728707393</v>
      </c>
      <c r="F23" s="35">
        <v>1315.3140772409372</v>
      </c>
      <c r="G23" s="35">
        <v>1290.2754756559457</v>
      </c>
      <c r="H23" s="35">
        <v>1188.6719941499096</v>
      </c>
      <c r="I23" s="35">
        <v>1179.4365155719574</v>
      </c>
      <c r="J23" s="35">
        <v>1004.0754288321455</v>
      </c>
      <c r="K23" s="35">
        <v>636.67698449438149</v>
      </c>
      <c r="L23" s="35">
        <v>360.07501256396233</v>
      </c>
      <c r="M23" s="35">
        <v>290.98174272877543</v>
      </c>
    </row>
    <row r="24" spans="1:13" s="45" customFormat="1">
      <c r="A24" s="53"/>
      <c r="B24" s="37"/>
      <c r="C24" s="37"/>
      <c r="D24" s="37"/>
      <c r="E24" s="37"/>
    </row>
    <row r="25" spans="1:13" s="45" customFormat="1">
      <c r="A25" s="731" t="s">
        <v>565</v>
      </c>
      <c r="B25" s="731"/>
      <c r="C25" s="731"/>
      <c r="D25" s="731"/>
      <c r="E25" s="731"/>
      <c r="F25" s="731"/>
      <c r="G25" s="731"/>
      <c r="H25" s="731"/>
      <c r="I25" s="731"/>
      <c r="J25" s="731"/>
      <c r="K25" s="731"/>
      <c r="L25" s="731"/>
      <c r="M25" s="731"/>
    </row>
    <row r="26" spans="1:13" s="45" customFormat="1">
      <c r="A26" s="584"/>
      <c r="B26" s="584">
        <v>2009</v>
      </c>
      <c r="C26" s="584">
        <v>2010</v>
      </c>
      <c r="D26" s="584">
        <v>2011</v>
      </c>
      <c r="E26" s="584">
        <v>2012</v>
      </c>
      <c r="F26" s="584">
        <v>2013</v>
      </c>
      <c r="G26" s="584">
        <v>2014</v>
      </c>
      <c r="H26" s="584">
        <v>2015</v>
      </c>
      <c r="I26" s="584">
        <v>2016</v>
      </c>
      <c r="J26" s="584">
        <v>2017</v>
      </c>
      <c r="K26" s="584">
        <v>2018</v>
      </c>
      <c r="L26" s="584">
        <v>2019</v>
      </c>
      <c r="M26" s="584">
        <v>2020</v>
      </c>
    </row>
    <row r="27" spans="1:13" s="45" customFormat="1">
      <c r="A27" s="585" t="s">
        <v>17</v>
      </c>
      <c r="B27" s="35">
        <f>(GETPIVOTDATA("Sum of 2009",$A$18,"Rate Class","Residential")*1000)/2</f>
        <v>0</v>
      </c>
      <c r="C27" s="35">
        <f>(GETPIVOTDATA("Sum of 2010",$A$18,"Rate Class","Residential")*1000)/2</f>
        <v>176590.02795359696</v>
      </c>
      <c r="D27" s="35">
        <f>(GETPIVOTDATA("Sum of 2011",$A$18,"Rate Class","Residential")*1000)</f>
        <v>342383.9360958882</v>
      </c>
      <c r="E27" s="35">
        <f>(GETPIVOTDATA("Sum of 2012",$A$18,"Rate Class","Residential")*1000)</f>
        <v>339889.6387007102</v>
      </c>
      <c r="F27" s="35">
        <f>(GETPIVOTDATA("Sum of 2013",$A$18,"Rate Class","Residential")*1000)</f>
        <v>338947.24307090783</v>
      </c>
      <c r="G27" s="35">
        <f>(GETPIVOTDATA("Sum of 2014",$A$18,"Rate Class","Residential")*1000)</f>
        <v>313908.64148591651</v>
      </c>
      <c r="H27" s="35">
        <f>(GETPIVOTDATA("Sum of 2015",$A$18,"Rate Class","Residential")*1000)</f>
        <v>212305.15997988035</v>
      </c>
      <c r="I27" s="35">
        <f>(GETPIVOTDATA("Sum of 2016",$A$18,"Rate Class","Residential")*1000)</f>
        <v>203069.68140192828</v>
      </c>
      <c r="J27" s="35">
        <f>(GETPIVOTDATA("Sum of 2017",$A$18,"Rate Class","Residential")*1000)</f>
        <v>203069.68140192828</v>
      </c>
      <c r="K27" s="35">
        <f>(GETPIVOTDATA("Sum of 2018",$A$18,"Rate Class","Residential")*1000)</f>
        <v>202309.3872396285</v>
      </c>
      <c r="L27" s="35">
        <f>(GETPIVOTDATA("Sum of 2019",$A$18,"Rate Class","Residential")*1000)</f>
        <v>110021.75782230031</v>
      </c>
      <c r="M27" s="35">
        <f>(GETPIVOTDATA("Sum of 2020",$A$18,"Rate Class","Residential")*1000)</f>
        <v>94821.570593297569</v>
      </c>
    </row>
    <row r="28" spans="1:13" s="45" customFormat="1">
      <c r="A28" s="585" t="s">
        <v>70</v>
      </c>
      <c r="B28" s="35">
        <f>(GETPIVOTDATA("Sum of 2009",$A$18,"Rate Class","GS Less Than 50kW")*1000)/2</f>
        <v>0</v>
      </c>
      <c r="C28" s="35">
        <f>(GETPIVOTDATA("Sum of 2010",$A$18,"Rate Class","GS Less Than 50kW")*1000)/2</f>
        <v>269706.18447509001</v>
      </c>
      <c r="D28" s="35">
        <f>(GETPIVOTDATA("Sum of 2011",$A$18,"Rate Class","GS Less Than 50kW")*1000)</f>
        <v>539412.36895018001</v>
      </c>
      <c r="E28" s="35">
        <f>(GETPIVOTDATA("Sum of 2012",$A$18,"Rate Class","GS Less Than 50kW")*1000)</f>
        <v>539412.36895018001</v>
      </c>
      <c r="F28" s="35">
        <f>(GETPIVOTDATA("Sum of 2013",$A$18,"Rate Class","GS Less Than 50kW")*1000)</f>
        <v>539412.36895018001</v>
      </c>
      <c r="G28" s="35">
        <f>(GETPIVOTDATA("Sum of 2014",$A$18,"Rate Class","GS Less Than 50kW")*1000)</f>
        <v>539412.36895018001</v>
      </c>
      <c r="H28" s="35">
        <f>(GETPIVOTDATA("Sum of 2015",$A$18,"Rate Class","GS Less Than 50kW")*1000)</f>
        <v>539412.36895018001</v>
      </c>
      <c r="I28" s="35">
        <f>(GETPIVOTDATA("Sum of 2016",$A$18,"Rate Class","GS Less Than 50kW")*1000)</f>
        <v>539412.36895018001</v>
      </c>
      <c r="J28" s="35">
        <f>(GETPIVOTDATA("Sum of 2017",$A$18,"Rate Class","GS Less Than 50kW")*1000)</f>
        <v>364051.28221036796</v>
      </c>
      <c r="K28" s="35">
        <f>(GETPIVOTDATA("Sum of 2018",$A$18,"Rate Class","GS Less Than 50kW")*1000)</f>
        <v>0</v>
      </c>
      <c r="L28" s="35">
        <f>(GETPIVOTDATA("Sum of 2019",$A$18,"Rate Class","GS Less Than 50kW")*1000)</f>
        <v>0</v>
      </c>
      <c r="M28" s="35">
        <f>(GETPIVOTDATA("Sum of 2020",$A$18,"Rate Class","GS Less Than 50kW")*1000)</f>
        <v>0</v>
      </c>
    </row>
    <row r="29" spans="1:13" s="45" customFormat="1">
      <c r="A29" s="585" t="s">
        <v>71</v>
      </c>
      <c r="B29" s="35">
        <f>(GETPIVOTDATA("Sum of 2009",$A$18,"Rate Class","GS Greater Than 50kW")*1000)/2</f>
        <v>0</v>
      </c>
      <c r="C29" s="35">
        <f>(GETPIVOTDATA("Sum of 2010",$A$18,"Rate Class","GS Greater Than 50kW")*1000)/2</f>
        <v>698425.10604095156</v>
      </c>
      <c r="D29" s="35">
        <f>GETPIVOTDATA("Sum of 2011",$A$18,"Rate Class","GS Greater Than 50kW")*1000</f>
        <v>436954.46521984925</v>
      </c>
      <c r="E29" s="35">
        <f>GETPIVOTDATA("Sum of 2012",$A$18,"Rate Class","GS Greater Than 50kW")*1000</f>
        <v>436954.46521984925</v>
      </c>
      <c r="F29" s="35">
        <f>GETPIVOTDATA("Sum of 2013",$A$18,"Rate Class","GS Greater Than 50kW")*1000</f>
        <v>436954.46521984925</v>
      </c>
      <c r="G29" s="35">
        <f>GETPIVOTDATA("Sum of 2014",$A$18,"Rate Class","GS Greater Than 50kW")*1000</f>
        <v>436954.46521984925</v>
      </c>
      <c r="H29" s="35">
        <f>GETPIVOTDATA("Sum of 2015",$A$18,"Rate Class","GS Greater Than 50kW")*1000</f>
        <v>436954.46521984925</v>
      </c>
      <c r="I29" s="35">
        <f>GETPIVOTDATA("Sum of 2016",$A$18,"Rate Class","GS Greater Than 50kW")*1000</f>
        <v>436954.46521984925</v>
      </c>
      <c r="J29" s="35">
        <f>GETPIVOTDATA("Sum of 2017",$A$18,"Rate Class","GS Greater Than 50kW")*1000</f>
        <v>436954.46521984925</v>
      </c>
      <c r="K29" s="35">
        <f>GETPIVOTDATA("Sum of 2018",$A$18,"Rate Class","GS Greater Than 50kW")*1000</f>
        <v>434367.597254753</v>
      </c>
      <c r="L29" s="35">
        <f>GETPIVOTDATA("Sum of 2019",$A$18,"Rate Class","GS Greater Than 50kW")*1000</f>
        <v>250053.25474166201</v>
      </c>
      <c r="M29" s="35">
        <f>GETPIVOTDATA("Sum of 2020",$A$18,"Rate Class","GS Greater Than 50kW")*1000</f>
        <v>196160.17213547786</v>
      </c>
    </row>
    <row r="30" spans="1:13" s="45" customFormat="1">
      <c r="A30" s="53"/>
      <c r="B30" s="37"/>
      <c r="C30" s="37"/>
      <c r="D30" s="37"/>
      <c r="E30" s="37"/>
    </row>
    <row r="31" spans="1:13" s="45" customFormat="1">
      <c r="A31" s="583" t="s">
        <v>33</v>
      </c>
      <c r="B31" s="53">
        <v>2011</v>
      </c>
    </row>
    <row r="32" spans="1:13" s="45" customFormat="1">
      <c r="A32" s="731" t="s">
        <v>556</v>
      </c>
      <c r="B32" s="731"/>
      <c r="C32" s="731"/>
      <c r="D32" s="731"/>
      <c r="E32" s="731"/>
    </row>
    <row r="33" spans="1:13" s="45" customFormat="1">
      <c r="A33" s="583" t="s">
        <v>517</v>
      </c>
      <c r="B33" s="45" t="s">
        <v>558</v>
      </c>
      <c r="C33" s="45" t="s">
        <v>557</v>
      </c>
      <c r="D33" s="45" t="s">
        <v>545</v>
      </c>
      <c r="E33" s="45" t="s">
        <v>546</v>
      </c>
      <c r="F33" s="45" t="s">
        <v>547</v>
      </c>
      <c r="G33" s="45" t="s">
        <v>548</v>
      </c>
      <c r="H33" s="45" t="s">
        <v>549</v>
      </c>
      <c r="I33" s="45" t="s">
        <v>559</v>
      </c>
      <c r="J33" s="45" t="s">
        <v>560</v>
      </c>
      <c r="K33" s="45" t="s">
        <v>561</v>
      </c>
      <c r="L33" s="45" t="s">
        <v>562</v>
      </c>
      <c r="M33" s="45" t="s">
        <v>563</v>
      </c>
    </row>
    <row r="34" spans="1:13" s="45" customFormat="1">
      <c r="A34" s="53" t="s">
        <v>94</v>
      </c>
      <c r="B34" s="35"/>
      <c r="C34" s="35"/>
      <c r="D34" s="35">
        <v>50.352508925126152</v>
      </c>
      <c r="E34" s="35">
        <v>50.352508925126152</v>
      </c>
      <c r="F34" s="35">
        <v>50.352508925126152</v>
      </c>
      <c r="G34" s="35">
        <v>50.352508925126152</v>
      </c>
      <c r="H34" s="35">
        <v>50.352508925126152</v>
      </c>
      <c r="I34" s="35">
        <v>0</v>
      </c>
      <c r="J34" s="35">
        <v>0</v>
      </c>
      <c r="K34" s="35">
        <v>0</v>
      </c>
      <c r="L34" s="35">
        <v>0</v>
      </c>
      <c r="M34" s="35">
        <v>0</v>
      </c>
    </row>
    <row r="35" spans="1:13" s="45" customFormat="1">
      <c r="A35" s="53" t="s">
        <v>92</v>
      </c>
      <c r="B35" s="35"/>
      <c r="C35" s="35"/>
      <c r="D35" s="35">
        <v>280.23380610391155</v>
      </c>
      <c r="E35" s="35">
        <v>280.23380610391155</v>
      </c>
      <c r="F35" s="35">
        <v>279.64959994783732</v>
      </c>
      <c r="G35" s="35">
        <v>223.06773754160002</v>
      </c>
      <c r="H35" s="35">
        <v>223.06773754160002</v>
      </c>
      <c r="I35" s="35">
        <v>223.06773754160002</v>
      </c>
      <c r="J35" s="35">
        <v>71.325478788606588</v>
      </c>
      <c r="K35" s="35">
        <v>69.582806095061798</v>
      </c>
      <c r="L35" s="35">
        <v>69.582806095061798</v>
      </c>
      <c r="M35" s="35">
        <v>69.582806095061798</v>
      </c>
    </row>
    <row r="36" spans="1:13" s="45" customFormat="1">
      <c r="A36" s="53" t="s">
        <v>71</v>
      </c>
      <c r="B36" s="35"/>
      <c r="C36" s="35"/>
      <c r="D36" s="35">
        <v>79.337020424640002</v>
      </c>
      <c r="E36" s="35">
        <v>79.337020424640002</v>
      </c>
      <c r="F36" s="35">
        <v>79.337020424640002</v>
      </c>
      <c r="G36" s="35">
        <v>79.337020424640002</v>
      </c>
      <c r="H36" s="35">
        <v>79.337020424640002</v>
      </c>
      <c r="I36" s="35">
        <v>79.337020424640002</v>
      </c>
      <c r="J36" s="35">
        <v>79.337020424640002</v>
      </c>
      <c r="K36" s="35">
        <v>79.337020424640002</v>
      </c>
      <c r="L36" s="35">
        <v>79.337020424640002</v>
      </c>
      <c r="M36" s="35">
        <v>79.337020424640002</v>
      </c>
    </row>
    <row r="37" spans="1:13" s="45" customFormat="1">
      <c r="A37" s="53" t="s">
        <v>57</v>
      </c>
      <c r="B37" s="35"/>
      <c r="C37" s="35"/>
      <c r="D37" s="35">
        <v>775.65926400000012</v>
      </c>
      <c r="E37" s="35">
        <v>775.65926400000012</v>
      </c>
      <c r="F37" s="35">
        <v>775.65926400000012</v>
      </c>
      <c r="G37" s="35">
        <v>775.65926400000012</v>
      </c>
      <c r="H37" s="35">
        <v>775.65926400000001</v>
      </c>
      <c r="I37" s="35">
        <v>775.65926400000001</v>
      </c>
      <c r="J37" s="35">
        <v>775.65926400000001</v>
      </c>
      <c r="K37" s="35">
        <v>775.65926400000001</v>
      </c>
      <c r="L37" s="35">
        <v>775.65926400000001</v>
      </c>
      <c r="M37" s="35">
        <v>775.65926400000001</v>
      </c>
    </row>
    <row r="38" spans="1:13">
      <c r="A38" s="53" t="s">
        <v>128</v>
      </c>
      <c r="B38" s="35"/>
      <c r="C38" s="35"/>
      <c r="D38" s="35">
        <v>156.88929999999999</v>
      </c>
      <c r="E38" s="35">
        <v>0</v>
      </c>
      <c r="F38" s="35">
        <v>0</v>
      </c>
      <c r="G38" s="35">
        <v>0</v>
      </c>
      <c r="H38" s="35">
        <v>0</v>
      </c>
      <c r="I38" s="35">
        <v>0</v>
      </c>
      <c r="J38" s="35">
        <v>0</v>
      </c>
      <c r="K38" s="35">
        <v>0</v>
      </c>
      <c r="L38" s="35">
        <v>0</v>
      </c>
      <c r="M38" s="35">
        <v>0</v>
      </c>
    </row>
    <row r="39" spans="1:13" s="45" customFormat="1">
      <c r="A39" s="53" t="s">
        <v>58</v>
      </c>
      <c r="B39" s="35"/>
      <c r="C39" s="35"/>
      <c r="D39" s="35">
        <v>0</v>
      </c>
      <c r="E39" s="35">
        <v>0</v>
      </c>
      <c r="F39" s="35">
        <v>0</v>
      </c>
      <c r="G39" s="35">
        <v>0</v>
      </c>
      <c r="H39" s="35">
        <v>0</v>
      </c>
      <c r="I39" s="35">
        <v>0</v>
      </c>
      <c r="J39" s="35">
        <v>0</v>
      </c>
      <c r="K39" s="35">
        <v>0</v>
      </c>
      <c r="L39" s="35">
        <v>0</v>
      </c>
      <c r="M39" s="35">
        <v>0</v>
      </c>
    </row>
    <row r="40" spans="1:13" s="45" customFormat="1">
      <c r="A40" s="53" t="s">
        <v>17</v>
      </c>
      <c r="B40" s="35"/>
      <c r="C40" s="35"/>
      <c r="D40" s="35">
        <v>515.22678899595735</v>
      </c>
      <c r="E40" s="35">
        <v>515.22678899595735</v>
      </c>
      <c r="F40" s="35">
        <v>515.22678899595735</v>
      </c>
      <c r="G40" s="35">
        <v>513.72336507721809</v>
      </c>
      <c r="H40" s="35">
        <v>475.42165797824237</v>
      </c>
      <c r="I40" s="35">
        <v>398.79939189009451</v>
      </c>
      <c r="J40" s="35">
        <v>345.41151781831417</v>
      </c>
      <c r="K40" s="35">
        <v>344.68368655104518</v>
      </c>
      <c r="L40" s="35">
        <v>387.74531256258706</v>
      </c>
      <c r="M40" s="35">
        <v>253.81529230881745</v>
      </c>
    </row>
    <row r="41" spans="1:13" s="45" customFormat="1">
      <c r="A41" s="53" t="s">
        <v>93</v>
      </c>
      <c r="B41" s="35"/>
      <c r="C41" s="35"/>
      <c r="D41" s="35">
        <v>1936.2331365028099</v>
      </c>
      <c r="E41" s="35">
        <v>1936.2331365028099</v>
      </c>
      <c r="F41" s="35">
        <v>1936.2331365028099</v>
      </c>
      <c r="G41" s="35">
        <v>1935.3528884965317</v>
      </c>
      <c r="H41" s="35">
        <v>1935.3528884965317</v>
      </c>
      <c r="I41" s="35">
        <v>1935.3528884965317</v>
      </c>
      <c r="J41" s="35">
        <v>1926.3096111068055</v>
      </c>
      <c r="K41" s="35">
        <v>1926.3096111068055</v>
      </c>
      <c r="L41" s="35">
        <v>1926.3096111068055</v>
      </c>
      <c r="M41" s="35">
        <v>1408.9493532965741</v>
      </c>
    </row>
    <row r="42" spans="1:13" s="45" customFormat="1">
      <c r="A42" s="53" t="s">
        <v>519</v>
      </c>
      <c r="B42" s="35"/>
      <c r="C42" s="35"/>
      <c r="D42" s="35">
        <v>3793.9318249524449</v>
      </c>
      <c r="E42" s="35">
        <v>3637.0425249524451</v>
      </c>
      <c r="F42" s="35">
        <v>3636.4583187963708</v>
      </c>
      <c r="G42" s="35">
        <v>3577.4927844651161</v>
      </c>
      <c r="H42" s="35">
        <v>3539.1910773661402</v>
      </c>
      <c r="I42" s="35">
        <v>3412.2163023528665</v>
      </c>
      <c r="J42" s="35">
        <v>3198.0428921383664</v>
      </c>
      <c r="K42" s="35">
        <v>3195.5723881775525</v>
      </c>
      <c r="L42" s="35">
        <v>3238.6340141890942</v>
      </c>
      <c r="M42" s="35">
        <v>2587.3437361250935</v>
      </c>
    </row>
    <row r="43" spans="1:13" s="45" customFormat="1">
      <c r="A43"/>
      <c r="B43"/>
      <c r="C43"/>
      <c r="D43"/>
      <c r="E43"/>
      <c r="F43"/>
      <c r="G43"/>
    </row>
    <row r="44" spans="1:13" s="45" customFormat="1">
      <c r="A44" s="731" t="s">
        <v>566</v>
      </c>
      <c r="B44" s="731"/>
      <c r="C44" s="731"/>
      <c r="D44" s="731"/>
      <c r="E44" s="731"/>
      <c r="F44" s="731"/>
      <c r="G44" s="731"/>
      <c r="H44" s="731"/>
      <c r="I44" s="731"/>
      <c r="J44" s="731"/>
      <c r="K44" s="731"/>
      <c r="L44" s="731"/>
      <c r="M44" s="731"/>
    </row>
    <row r="45" spans="1:13" s="45" customFormat="1">
      <c r="A45" s="584"/>
      <c r="B45" s="584">
        <v>2009</v>
      </c>
      <c r="C45" s="584">
        <v>2010</v>
      </c>
      <c r="D45" s="584">
        <v>2011</v>
      </c>
      <c r="E45" s="584">
        <v>2012</v>
      </c>
      <c r="F45" s="584">
        <v>2013</v>
      </c>
      <c r="G45" s="584">
        <v>2014</v>
      </c>
      <c r="H45" s="584">
        <v>2015</v>
      </c>
      <c r="I45" s="584">
        <v>2016</v>
      </c>
      <c r="J45" s="584">
        <v>2017</v>
      </c>
      <c r="K45" s="584">
        <v>2018</v>
      </c>
      <c r="L45" s="584">
        <v>2019</v>
      </c>
      <c r="M45" s="584">
        <v>2020</v>
      </c>
    </row>
    <row r="46" spans="1:13" s="45" customFormat="1">
      <c r="A46" s="586" t="s">
        <v>17</v>
      </c>
      <c r="B46" s="595"/>
      <c r="C46" s="595"/>
      <c r="D46" s="596">
        <f>((GETPIVOTDATA("Sum of 2011",$A$33,"Rate Class","Residential")+((GETPIVOTDATA("Sum of 2011",$A$33,"Rate Class","RF 2011")*'Allocation to Rate Classes'!$H$50)))*1000)/2</f>
        <v>259175.21868655752</v>
      </c>
      <c r="E46" s="596">
        <f>((GETPIVOTDATA("Sum of 2012",$A$33,"Rate Class","Residential")+((GETPIVOTDATA("Sum of 2012",$A$33,"Rate Class","RF 2011")*'Allocation to Rate Classes'!$H$50)))*1000)</f>
        <v>518350.43737311504</v>
      </c>
      <c r="F46" s="596">
        <f>((GETPIVOTDATA("Sum of 2013",$A$33,"Rate Class","Residential")+((GETPIVOTDATA("Sum of 2013",$A$33,"Rate Class","RF 2011")*'Allocation to Rate Classes'!$H$50)))*1000)</f>
        <v>518350.43737311504</v>
      </c>
      <c r="G46" s="596">
        <f>((GETPIVOTDATA("Sum of 2014",$A$33,"Rate Class","Residential")+((GETPIVOTDATA("Sum of 2014",$A$33,"Rate Class","RF 2011")*'Allocation to Rate Classes'!$H$50)))*1000)</f>
        <v>516845.59338506463</v>
      </c>
      <c r="H46" s="596">
        <f>((GETPIVOTDATA("Sum of 2015",$A$33,"Rate Class","Residential")+((GETPIVOTDATA("Sum of 2015",$A$33,"Rate Class","RF 2011")*'Allocation to Rate Classes'!$H$50)))*1000)</f>
        <v>478543.88628608891</v>
      </c>
      <c r="I46" s="596">
        <f>((GETPIVOTDATA("Sum of 2016",$A$33,"Rate Class","Residential")+((GETPIVOTDATA("Sum of 2016",$A$33,"Rate Class","RF 2011")*'Allocation to Rate Classes'!$H$50)))*1000)</f>
        <v>401921.62019794108</v>
      </c>
      <c r="J46" s="596">
        <f>((GETPIVOTDATA("Sum of 2017",$A$33,"Rate Class","Residential")+((GETPIVOTDATA("Sum of 2017",$A$33,"Rate Class","RF 2011")*'Allocation to Rate Classes'!$H$50)))*1000)</f>
        <v>348519.15696424112</v>
      </c>
      <c r="K46" s="596">
        <f>((GETPIVOTDATA("Sum of 2018",$A$33,"Rate Class","Residential")+((GETPIVOTDATA("Sum of 2018",$A$33,"Rate Class","RF 2011")*'Allocation to Rate Classes'!$H$50)))*1000)</f>
        <v>347791.32569697214</v>
      </c>
      <c r="L46" s="596">
        <f>((GETPIVOTDATA("Sum of 2019",$A$33,"Rate Class","Residential")+((GETPIVOTDATA("Sum of 2019",$A$33,"Rate Class","RF 2011")*'Allocation to Rate Classes'!$H$50)))*1000)</f>
        <v>390852.95170851401</v>
      </c>
      <c r="M46" s="596">
        <f>((GETPIVOTDATA("Sum of 2020",$A$33,"Rate Class","Residential")+((GETPIVOTDATA("Sum of 2020",$A$33,"Rate Class","RF 2011")*'Allocation to Rate Classes'!$H$50)))*1000)</f>
        <v>256088.29460278258</v>
      </c>
    </row>
    <row r="47" spans="1:13" s="45" customFormat="1">
      <c r="A47" s="586" t="s">
        <v>70</v>
      </c>
      <c r="B47" s="595"/>
      <c r="C47" s="595"/>
      <c r="D47" s="596">
        <f>(((GETPIVOTDATA("Sum of 2011",$A$33,"Rate Class","DI 2011")*'Allocation to Rate Classes'!$B$36)+(GETPIVOTDATA("Sum of 2011",'KH MWh Savings Pivot'!$A$33,"Rate Class","RF 2011")*'Allocation to Rate Classes'!$B$50))*1000)/2</f>
        <v>332629.70705580758</v>
      </c>
      <c r="E47" s="596">
        <f>(((GETPIVOTDATA("Sum of 2012",$A$33,"Rate Class","DI 2011")*'Allocation to Rate Classes'!$B$36)+(GETPIVOTDATA("Sum of 2012",'KH MWh Savings Pivot'!$A$33,"Rate Class","RF 2011")*'Allocation to Rate Classes'!$B$50))*1000)</f>
        <v>665259.41411161516</v>
      </c>
      <c r="F47" s="596">
        <f>(((GETPIVOTDATA("Sum of 2013",$A$33,"Rate Class","DI 2011")*'Allocation to Rate Classes'!$B$36)+(GETPIVOTDATA("Sum of 2013",'KH MWh Savings Pivot'!$A$33,"Rate Class","RF 2011")*'Allocation to Rate Classes'!$B$50))*1000)</f>
        <v>664680.61727180087</v>
      </c>
      <c r="G47" s="596">
        <f>(((GETPIVOTDATA("Sum of 2014",$A$33,"Rate Class","DI 2011")*'Allocation to Rate Classes'!$B$36)+(GETPIVOTDATA("Sum of 2014",'KH MWh Savings Pivot'!$A$33,"Rate Class","RF 2011")*'Allocation to Rate Classes'!$B$50))*1000)</f>
        <v>608446.44148929615</v>
      </c>
      <c r="H47" s="596">
        <f>(((GETPIVOTDATA("Sum of 2015",$A$33,"Rate Class","DI 2011")*'Allocation to Rate Classes'!$B$36)+(GETPIVOTDATA("Sum of 2015",'KH MWh Savings Pivot'!$A$33,"Rate Class","RF 2011")*'Allocation to Rate Classes'!$B$50))*1000)</f>
        <v>608446.44148929615</v>
      </c>
      <c r="I47" s="596">
        <f>(((GETPIVOTDATA("Sum of 2016",$A$33,"Rate Class","DI 2011")*'Allocation to Rate Classes'!$B$36)+(GETPIVOTDATA("Sum of 2016",'KH MWh Savings Pivot'!$A$33,"Rate Class","RF 2011")*'Allocation to Rate Classes'!$B$50))*1000)</f>
        <v>608446.44148929615</v>
      </c>
      <c r="J47" s="596">
        <f>(((GETPIVOTDATA("Sum of 2017",$A$33,"Rate Class","DI 2011")*'Allocation to Rate Classes'!$B$36)+(GETPIVOTDATA("Sum of 2017",'KH MWh Savings Pivot'!$A$33,"Rate Class","RF 2011")*'Allocation to Rate Classes'!$B$50))*1000)</f>
        <v>456298.80260920519</v>
      </c>
      <c r="K47" s="596">
        <f>(((GETPIVOTDATA("Sum of 2018",$A$33,"Rate Class","DI 2011")*'Allocation to Rate Classes'!$B$36)+(GETPIVOTDATA("Sum of 2018",'KH MWh Savings Pivot'!$A$33,"Rate Class","RF 2011")*'Allocation to Rate Classes'!$B$50))*1000)</f>
        <v>454572.26577393396</v>
      </c>
      <c r="L47" s="596">
        <f>(((GETPIVOTDATA("Sum of 2019",$A$33,"Rate Class","DI 2011")*'Allocation to Rate Classes'!$B$36)+(GETPIVOTDATA("Sum of 2019",'KH MWh Savings Pivot'!$A$33,"Rate Class","RF 2011")*'Allocation to Rate Classes'!$B$50))*1000)</f>
        <v>454572.26577393396</v>
      </c>
      <c r="M47" s="596">
        <f>(((GETPIVOTDATA("Sum of 2020",$A$33,"Rate Class","DI 2011")*'Allocation to Rate Classes'!$B$36)+(GETPIVOTDATA("Sum of 2020",'KH MWh Savings Pivot'!$A$33,"Rate Class","RF 2011")*'Allocation to Rate Classes'!$B$50))*1000)</f>
        <v>351000.35161120637</v>
      </c>
    </row>
    <row r="48" spans="1:13" s="45" customFormat="1">
      <c r="A48" s="586" t="s">
        <v>71</v>
      </c>
      <c r="B48" s="595"/>
      <c r="C48" s="595"/>
      <c r="D48" s="596">
        <f>((GETPIVOTDATA("Sum of 2011",$A$33,"Rate Class","GS Greater Than 50kW")+(GETPIVOTDATA("Sum of 2011",$A$33,"Rate Class","AU 2011")*'Allocation to Rate Classes'!$D$43)+(GETPIVOTDATA("Sum of 2011",'KH MWh Savings Pivot'!$A$33,"Rate Class","DI 2011")*'Allocation to Rate Classes'!$D$36)+(GETPIVOTDATA("Sum of 2011",'KH MWh Savings Pivot'!$A$33,"Rate Class","RF 2011")*'Allocation to Rate Classes'!$D$50))*1000)/2</f>
        <v>609272.08906501881</v>
      </c>
      <c r="E48" s="596">
        <f>((GETPIVOTDATA("Sum of 2012",$A$33,"Rate Class","GS Greater Than 50kW")+(GETPIVOTDATA("Sum of 2012",$A$33,"Rate Class","AU 2011")*'Allocation to Rate Classes'!$D$43)+(GETPIVOTDATA("Sum of 2012",'KH MWh Savings Pivot'!$A$33,"Rate Class","DI 2011")*'Allocation to Rate Classes'!$D$36)+(GETPIVOTDATA("Sum of 2012",'KH MWh Savings Pivot'!$A$33,"Rate Class","RF 2011")*'Allocation to Rate Classes'!$D$50))*1000)</f>
        <v>1218544.1781300376</v>
      </c>
      <c r="F48" s="596">
        <f>((GETPIVOTDATA("Sum of 2013",$A$33,"Rate Class","GS Greater Than 50kW")+(GETPIVOTDATA("Sum of 2013",$A$33,"Rate Class","AU 2011")*'Allocation to Rate Classes'!$D$43)+(GETPIVOTDATA("Sum of 2013",'KH MWh Savings Pivot'!$A$33,"Rate Class","DI 2011")*'Allocation to Rate Classes'!$D$36)+(GETPIVOTDATA("Sum of 2013",'KH MWh Savings Pivot'!$A$33,"Rate Class","RF 2011")*'Allocation to Rate Classes'!$D$50))*1000)</f>
        <v>1218538.7688137775</v>
      </c>
      <c r="G48" s="596">
        <f>((GETPIVOTDATA("Sum of 2014",$A$33,"Rate Class","GS Greater Than 50kW")+(GETPIVOTDATA("Sum of 2014",$A$33,"Rate Class","AU 2011")*'Allocation to Rate Classes'!$D$43)+(GETPIVOTDATA("Sum of 2014",'KH MWh Savings Pivot'!$A$33,"Rate Class","DI 2011")*'Allocation to Rate Classes'!$D$36)+(GETPIVOTDATA("Sum of 2014",'KH MWh Savings Pivot'!$A$33,"Rate Class","RF 2011")*'Allocation to Rate Classes'!$D$50))*1000)</f>
        <v>1217521.0285001916</v>
      </c>
      <c r="H48" s="596">
        <f>((GETPIVOTDATA("Sum of 2015",$A$33,"Rate Class","GS Greater Than 50kW")+(GETPIVOTDATA("Sum of 2015",$A$33,"Rate Class","AU 2011")*'Allocation to Rate Classes'!$D$43)+(GETPIVOTDATA("Sum of 2015",'KH MWh Savings Pivot'!$A$33,"Rate Class","DI 2011")*'Allocation to Rate Classes'!$D$36)+(GETPIVOTDATA("Sum of 2015",'KH MWh Savings Pivot'!$A$33,"Rate Class","RF 2011")*'Allocation to Rate Classes'!$D$50))*1000)</f>
        <v>1217521.0285001916</v>
      </c>
      <c r="I48" s="596">
        <f>((GETPIVOTDATA("Sum of 2016",$A$33,"Rate Class","GS Greater Than 50kW")+(GETPIVOTDATA("Sum of 2016",$A$33,"Rate Class","AU 2011")*'Allocation to Rate Classes'!$D$43)+(GETPIVOTDATA("Sum of 2016",'KH MWh Savings Pivot'!$A$33,"Rate Class","DI 2011")*'Allocation to Rate Classes'!$D$36)+(GETPIVOTDATA("Sum of 2016",'KH MWh Savings Pivot'!$A$33,"Rate Class","RF 2011")*'Allocation to Rate Classes'!$D$50))*1000)</f>
        <v>1167168.5195750655</v>
      </c>
      <c r="J48" s="596">
        <f>((GETPIVOTDATA("Sum of 2017",$A$33,"Rate Class","GS Greater Than 50kW")+(GETPIVOTDATA("Sum of 2017",$A$33,"Rate Class","AU 2011")*'Allocation to Rate Classes'!$D$43)+(GETPIVOTDATA("Sum of 2017",'KH MWh Savings Pivot'!$A$33,"Rate Class","DI 2011")*'Allocation to Rate Classes'!$D$36)+(GETPIVOTDATA("Sum of 2017",'KH MWh Savings Pivot'!$A$33,"Rate Class","RF 2011")*'Allocation to Rate Classes'!$D$50))*1000)</f>
        <v>1160690.0654416622</v>
      </c>
      <c r="K48" s="596">
        <f>((GETPIVOTDATA("Sum of 2018",$A$33,"Rate Class","GS Greater Than 50kW")+(GETPIVOTDATA("Sum of 2018",$A$33,"Rate Class","AU 2011")*'Allocation to Rate Classes'!$D$43)+(GETPIVOTDATA("Sum of 2018",'KH MWh Savings Pivot'!$A$33,"Rate Class","DI 2011")*'Allocation to Rate Classes'!$D$36)+(GETPIVOTDATA("Sum of 2018",'KH MWh Savings Pivot'!$A$33,"Rate Class","RF 2011")*'Allocation to Rate Classes'!$D$50))*1000)</f>
        <v>1160673.9295833888</v>
      </c>
      <c r="L48" s="596">
        <f>((GETPIVOTDATA("Sum of 2019",$A$33,"Rate Class","GS Greater Than 50kW")+(GETPIVOTDATA("Sum of 2019",$A$33,"Rate Class","AU 2011")*'Allocation to Rate Classes'!$D$43)+(GETPIVOTDATA("Sum of 2019",'KH MWh Savings Pivot'!$A$33,"Rate Class","DI 2011")*'Allocation to Rate Classes'!$D$36)+(GETPIVOTDATA("Sum of 2019",'KH MWh Savings Pivot'!$A$33,"Rate Class","RF 2011")*'Allocation to Rate Classes'!$D$50))*1000)</f>
        <v>1160673.9295833888</v>
      </c>
      <c r="M48" s="596">
        <f>((GETPIVOTDATA("Sum of 2020",$A$33,"Rate Class","GS Greater Than 50kW")+(GETPIVOTDATA("Sum of 2020",$A$33,"Rate Class","AU 2011")*'Allocation to Rate Classes'!$D$43)+(GETPIVOTDATA("Sum of 2020",'KH MWh Savings Pivot'!$A$33,"Rate Class","DI 2011")*'Allocation to Rate Classes'!$D$36)+(GETPIVOTDATA("Sum of 2020",'KH MWh Savings Pivot'!$A$33,"Rate Class","RF 2011")*'Allocation to Rate Classes'!$D$50))*1000)</f>
        <v>870425.9801885183</v>
      </c>
    </row>
    <row r="49" spans="1:13" s="45" customFormat="1">
      <c r="A49" s="586" t="s">
        <v>57</v>
      </c>
      <c r="B49" s="595"/>
      <c r="C49" s="595"/>
      <c r="D49" s="596">
        <f>((GETPIVOTDATA("Sum of 2011",$A$33,"Rate Class","Large User")+(GETPIVOTDATA("Sum of 2011",$A$33,"Rate Class","RF 2011")*'Allocation to Rate Classes'!$F$50))*1000)/2</f>
        <v>617444.24766883871</v>
      </c>
      <c r="E49" s="596">
        <f>((GETPIVOTDATA("Sum of 2012",$A$33,"Rate Class","Large User")+(GETPIVOTDATA("Sum of 2012",$A$33,"Rate Class","RF 2011")*'Allocation to Rate Classes'!$F$50))*1000)</f>
        <v>1234888.4953376774</v>
      </c>
      <c r="F49" s="596">
        <f>((GETPIVOTDATA("Sum of 2013",$A$33,"Rate Class","Large User")+(GETPIVOTDATA("Sum of 2013",$A$33,"Rate Class","RF 2011")*'Allocation to Rate Classes'!$F$50))*1000)</f>
        <v>1234888.4953376774</v>
      </c>
      <c r="G49" s="596">
        <f>((GETPIVOTDATA("Sum of 2014",$A$33,"Rate Class","Large User")+(GETPIVOTDATA("Sum of 2014",$A$33,"Rate Class","RF 2011")*'Allocation to Rate Classes'!$F$50))*1000)</f>
        <v>1234679.7210905638</v>
      </c>
      <c r="H49" s="596">
        <f>((GETPIVOTDATA("Sum of 2015",$A$33,"Rate Class","Large User")+(GETPIVOTDATA("Sum of 2015",$A$33,"Rate Class","RF 2011")*'Allocation to Rate Classes'!$F$50))*1000)</f>
        <v>1234679.7210905636</v>
      </c>
      <c r="I49" s="596">
        <f>((GETPIVOTDATA("Sum of 2016",$A$33,"Rate Class","Large User")+(GETPIVOTDATA("Sum of 2016",$A$33,"Rate Class","RF 2011")*'Allocation to Rate Classes'!$F$50))*1000)</f>
        <v>1234679.7210905636</v>
      </c>
      <c r="J49" s="596">
        <f>((GETPIVOTDATA("Sum of 2017",$A$33,"Rate Class","Large User")+(GETPIVOTDATA("Sum of 2017",$A$33,"Rate Class","RF 2011")*'Allocation to Rate Classes'!$F$50))*1000)</f>
        <v>1232534.8671232576</v>
      </c>
      <c r="K49" s="596">
        <f>((GETPIVOTDATA("Sum of 2018",$A$33,"Rate Class","Large User")+(GETPIVOTDATA("Sum of 2018",$A$33,"Rate Class","RF 2011")*'Allocation to Rate Classes'!$F$50))*1000)</f>
        <v>1232534.8671232576</v>
      </c>
      <c r="L49" s="596">
        <f>((GETPIVOTDATA("Sum of 2019",$A$33,"Rate Class","Large User")+(GETPIVOTDATA("Sum of 2019",$A$33,"Rate Class","RF 2011")*'Allocation to Rate Classes'!$F$50))*1000)</f>
        <v>1232534.8671232576</v>
      </c>
      <c r="M49" s="596">
        <f>((GETPIVOTDATA("Sum of 2020",$A$33,"Rate Class","Large User")+(GETPIVOTDATA("Sum of 2020",$A$33,"Rate Class","RF 2011")*'Allocation to Rate Classes'!$F$50))*1000)</f>
        <v>1109829.1097225861</v>
      </c>
    </row>
    <row r="50" spans="1:13" s="45" customFormat="1">
      <c r="A50" s="584"/>
      <c r="B50" s="584"/>
      <c r="C50" s="584"/>
      <c r="D50" s="584"/>
      <c r="E50" s="584"/>
      <c r="F50" s="584"/>
      <c r="G50" s="584"/>
    </row>
    <row r="51" spans="1:13">
      <c r="A51" s="583" t="s">
        <v>33</v>
      </c>
      <c r="B51" s="53">
        <v>2012</v>
      </c>
      <c r="C51" s="45"/>
      <c r="D51" s="45"/>
      <c r="E51" s="45"/>
      <c r="F51" s="45"/>
      <c r="G51" s="45"/>
      <c r="H51" s="45"/>
      <c r="I51" s="45"/>
      <c r="J51" s="45"/>
      <c r="K51" s="45"/>
      <c r="L51" s="45"/>
      <c r="M51" s="45"/>
    </row>
    <row r="52" spans="1:13">
      <c r="A52" s="731" t="s">
        <v>556</v>
      </c>
      <c r="B52" s="731"/>
      <c r="C52" s="731"/>
      <c r="D52" s="731"/>
      <c r="E52" s="731"/>
      <c r="F52" s="45"/>
      <c r="G52" s="45"/>
      <c r="H52" s="45"/>
      <c r="I52" s="45"/>
      <c r="J52" s="45"/>
      <c r="K52" s="45"/>
      <c r="L52" s="45"/>
      <c r="M52" s="45"/>
    </row>
    <row r="53" spans="1:13">
      <c r="A53" s="583" t="s">
        <v>517</v>
      </c>
      <c r="B53" s="45" t="s">
        <v>558</v>
      </c>
      <c r="C53" s="45" t="s">
        <v>557</v>
      </c>
      <c r="D53" s="45" t="s">
        <v>545</v>
      </c>
      <c r="E53" s="45" t="s">
        <v>546</v>
      </c>
      <c r="F53" s="45" t="s">
        <v>547</v>
      </c>
      <c r="G53" s="45" t="s">
        <v>548</v>
      </c>
      <c r="H53" s="45" t="s">
        <v>549</v>
      </c>
      <c r="I53" s="45" t="s">
        <v>559</v>
      </c>
      <c r="J53" s="45" t="s">
        <v>560</v>
      </c>
      <c r="K53" s="45" t="s">
        <v>561</v>
      </c>
      <c r="L53" s="45" t="s">
        <v>562</v>
      </c>
      <c r="M53" s="45" t="s">
        <v>563</v>
      </c>
    </row>
    <row r="54" spans="1:13">
      <c r="A54" s="53" t="s">
        <v>97</v>
      </c>
      <c r="B54" s="35"/>
      <c r="C54" s="35"/>
      <c r="D54" s="35">
        <v>0</v>
      </c>
      <c r="E54" s="35">
        <v>176.2337812379414</v>
      </c>
      <c r="F54" s="35">
        <v>176.2337812379414</v>
      </c>
      <c r="G54" s="35">
        <v>176.2337812379414</v>
      </c>
      <c r="H54" s="35">
        <v>176.2337812379414</v>
      </c>
      <c r="I54" s="35">
        <v>0</v>
      </c>
      <c r="J54" s="35">
        <v>0</v>
      </c>
      <c r="K54" s="35">
        <v>0</v>
      </c>
      <c r="L54" s="35">
        <v>0</v>
      </c>
      <c r="M54" s="35">
        <v>0</v>
      </c>
    </row>
    <row r="55" spans="1:13">
      <c r="A55" s="53" t="s">
        <v>95</v>
      </c>
      <c r="B55" s="35"/>
      <c r="C55" s="35"/>
      <c r="D55" s="35">
        <v>0</v>
      </c>
      <c r="E55" s="35">
        <v>1008.2063527030492</v>
      </c>
      <c r="F55" s="35">
        <v>1008.2063527030512</v>
      </c>
      <c r="G55" s="35">
        <v>998.04140248741419</v>
      </c>
      <c r="H55" s="35">
        <v>733.28151303773177</v>
      </c>
      <c r="I55" s="35">
        <v>733.28151303773177</v>
      </c>
      <c r="J55" s="35">
        <v>221.54231818109776</v>
      </c>
      <c r="K55" s="35">
        <v>221.54231818109776</v>
      </c>
      <c r="L55" s="35">
        <v>221.40007031714251</v>
      </c>
      <c r="M55" s="35">
        <v>221.40007031714251</v>
      </c>
    </row>
    <row r="56" spans="1:13">
      <c r="A56" s="53" t="s">
        <v>98</v>
      </c>
      <c r="B56" s="35"/>
      <c r="C56" s="35"/>
      <c r="D56" s="35">
        <v>0</v>
      </c>
      <c r="E56" s="35">
        <v>1.5969099999999998</v>
      </c>
      <c r="F56" s="35">
        <v>1.5969099999999998</v>
      </c>
      <c r="G56" s="35">
        <v>1.5969099999999998</v>
      </c>
      <c r="H56" s="35">
        <v>1.5969099999999998</v>
      </c>
      <c r="I56" s="35">
        <v>1.5969099999999998</v>
      </c>
      <c r="J56" s="35">
        <v>1.5969099999999998</v>
      </c>
      <c r="K56" s="35">
        <v>1.5969099999999998</v>
      </c>
      <c r="L56" s="35">
        <v>1.5969099999999998</v>
      </c>
      <c r="M56" s="35">
        <v>1.5969099999999998</v>
      </c>
    </row>
    <row r="57" spans="1:13">
      <c r="A57" s="53" t="s">
        <v>57</v>
      </c>
      <c r="B57" s="35"/>
      <c r="C57" s="35"/>
      <c r="D57" s="35">
        <v>0</v>
      </c>
      <c r="E57" s="35">
        <v>335.64137229981958</v>
      </c>
      <c r="F57" s="35">
        <v>327.22569929981955</v>
      </c>
      <c r="G57" s="35">
        <v>327.22569929981955</v>
      </c>
      <c r="H57" s="35">
        <v>327.22569929981955</v>
      </c>
      <c r="I57" s="35">
        <v>327.22569929981955</v>
      </c>
      <c r="J57" s="35">
        <v>327.22569929981955</v>
      </c>
      <c r="K57" s="35">
        <v>327.22569929981955</v>
      </c>
      <c r="L57" s="35">
        <v>327.22569929981955</v>
      </c>
      <c r="M57" s="35">
        <v>327.22569929981955</v>
      </c>
    </row>
    <row r="58" spans="1:13">
      <c r="A58" s="53" t="s">
        <v>128</v>
      </c>
      <c r="B58" s="35"/>
      <c r="C58" s="35"/>
      <c r="D58" s="35">
        <v>0</v>
      </c>
      <c r="E58" s="35">
        <v>58.580500000000001</v>
      </c>
      <c r="F58" s="35">
        <v>0</v>
      </c>
      <c r="G58" s="35">
        <v>0</v>
      </c>
      <c r="H58" s="35">
        <v>0</v>
      </c>
      <c r="I58" s="35">
        <v>0</v>
      </c>
      <c r="J58" s="35">
        <v>0</v>
      </c>
      <c r="K58" s="35">
        <v>0</v>
      </c>
      <c r="L58" s="35">
        <v>0</v>
      </c>
      <c r="M58" s="35">
        <v>0</v>
      </c>
    </row>
    <row r="59" spans="1:13">
      <c r="A59" s="53" t="s">
        <v>17</v>
      </c>
      <c r="B59" s="35"/>
      <c r="C59" s="35"/>
      <c r="D59" s="35">
        <v>0</v>
      </c>
      <c r="E59" s="35">
        <v>341.61075388413167</v>
      </c>
      <c r="F59" s="35">
        <v>341.61075425034255</v>
      </c>
      <c r="G59" s="35">
        <v>341.61075425034255</v>
      </c>
      <c r="H59" s="35">
        <v>338.45282844285697</v>
      </c>
      <c r="I59" s="35">
        <v>294.60498507918061</v>
      </c>
      <c r="J59" s="35">
        <v>250.16671519501389</v>
      </c>
      <c r="K59" s="35">
        <v>212.66703191332149</v>
      </c>
      <c r="L59" s="35">
        <v>212.4358979912447</v>
      </c>
      <c r="M59" s="35">
        <v>195.36789799124466</v>
      </c>
    </row>
    <row r="60" spans="1:13">
      <c r="A60" s="53" t="s">
        <v>96</v>
      </c>
      <c r="B60" s="35"/>
      <c r="C60" s="35"/>
      <c r="D60" s="35">
        <v>0</v>
      </c>
      <c r="E60" s="35">
        <v>3145.0261075925628</v>
      </c>
      <c r="F60" s="35">
        <v>3145.0261075925628</v>
      </c>
      <c r="G60" s="35">
        <v>3053.3431753551426</v>
      </c>
      <c r="H60" s="35">
        <v>2926.1548076816589</v>
      </c>
      <c r="I60" s="35">
        <v>2926.1548076816589</v>
      </c>
      <c r="J60" s="35">
        <v>2583.5205148544401</v>
      </c>
      <c r="K60" s="35">
        <v>2575.3778293144769</v>
      </c>
      <c r="L60" s="35">
        <v>2575.3778293144769</v>
      </c>
      <c r="M60" s="35">
        <v>2510.3667009848955</v>
      </c>
    </row>
    <row r="61" spans="1:13">
      <c r="A61" s="53" t="s">
        <v>519</v>
      </c>
      <c r="B61" s="35"/>
      <c r="C61" s="35"/>
      <c r="D61" s="35">
        <v>0</v>
      </c>
      <c r="E61" s="35">
        <v>5066.8957777175046</v>
      </c>
      <c r="F61" s="35">
        <v>4999.8996050837177</v>
      </c>
      <c r="G61" s="35">
        <v>4898.0517226306602</v>
      </c>
      <c r="H61" s="35">
        <v>4502.9455397000083</v>
      </c>
      <c r="I61" s="35">
        <v>4282.8639150983909</v>
      </c>
      <c r="J61" s="35">
        <v>3384.0521575303715</v>
      </c>
      <c r="K61" s="35">
        <v>3338.4097887087155</v>
      </c>
      <c r="L61" s="35">
        <v>3338.0364069226835</v>
      </c>
      <c r="M61" s="35">
        <v>3255.9572785931023</v>
      </c>
    </row>
    <row r="63" spans="1:13">
      <c r="A63" s="731" t="s">
        <v>567</v>
      </c>
      <c r="B63" s="731"/>
      <c r="C63" s="731"/>
      <c r="D63" s="731"/>
      <c r="E63" s="731"/>
      <c r="F63" s="731"/>
      <c r="G63" s="731"/>
      <c r="H63" s="731"/>
      <c r="I63" s="731"/>
      <c r="J63" s="731"/>
      <c r="K63" s="731"/>
      <c r="L63" s="731"/>
      <c r="M63" s="731"/>
    </row>
    <row r="64" spans="1:13" s="45" customFormat="1">
      <c r="A64" s="584"/>
      <c r="B64" s="584">
        <v>2009</v>
      </c>
      <c r="C64" s="584">
        <v>2010</v>
      </c>
      <c r="D64" s="584">
        <v>2011</v>
      </c>
      <c r="E64" s="584">
        <v>2012</v>
      </c>
      <c r="F64" s="584">
        <v>2013</v>
      </c>
      <c r="G64" s="584">
        <v>2014</v>
      </c>
      <c r="H64" s="584">
        <v>2015</v>
      </c>
      <c r="I64" s="584">
        <v>2016</v>
      </c>
      <c r="J64" s="584">
        <v>2017</v>
      </c>
      <c r="K64" s="584">
        <v>2018</v>
      </c>
      <c r="L64" s="584">
        <v>2019</v>
      </c>
      <c r="M64" s="584">
        <v>2020</v>
      </c>
    </row>
    <row r="65" spans="1:13" s="45" customFormat="1">
      <c r="A65" s="586" t="s">
        <v>17</v>
      </c>
      <c r="B65" s="595"/>
      <c r="C65" s="595"/>
      <c r="D65" s="595"/>
      <c r="E65" s="35">
        <f>(GETPIVOTDATA("Sum of 2012",$A$53,"Rate Class","Residential")*1000)/2</f>
        <v>170805.37694206584</v>
      </c>
      <c r="F65" s="35">
        <f>(GETPIVOTDATA("Sum of 2013",$A$53,"Rate Class","Residential")*1000)</f>
        <v>341610.75425034255</v>
      </c>
      <c r="G65" s="35">
        <f>(GETPIVOTDATA("Sum of 2014",$A$53,"Rate Class","Residential")*1000)</f>
        <v>341610.75425034255</v>
      </c>
      <c r="H65" s="35">
        <f>(GETPIVOTDATA("Sum of 2015",$A$53,"Rate Class","Residential")*1000)</f>
        <v>338452.82844285696</v>
      </c>
      <c r="I65" s="35">
        <f>(GETPIVOTDATA("Sum of 2016",$A$53,"Rate Class","Residential")*1000)</f>
        <v>294604.98507918062</v>
      </c>
      <c r="J65" s="35">
        <f>(GETPIVOTDATA("Sum of 2017",$A$53,"Rate Class","Residential")*1000)</f>
        <v>250166.71519501388</v>
      </c>
      <c r="K65" s="35">
        <f>(GETPIVOTDATA("Sum of 2018",$A$53,"Rate Class","Residential")*1000)</f>
        <v>212667.03191332149</v>
      </c>
      <c r="L65" s="35">
        <f>(GETPIVOTDATA("Sum of 2019",$A$53,"Rate Class","Residential")*1000)</f>
        <v>212435.89799124471</v>
      </c>
      <c r="M65" s="35">
        <f>(GETPIVOTDATA("Sum of 2020",$A$53,"Rate Class","Residential")*1000)</f>
        <v>195367.89799124465</v>
      </c>
    </row>
    <row r="66" spans="1:13" s="45" customFormat="1">
      <c r="A66" s="586" t="s">
        <v>70</v>
      </c>
      <c r="B66" s="595"/>
      <c r="C66" s="595"/>
      <c r="D66" s="595"/>
      <c r="E66" s="35">
        <f>(((GETPIVOTDATA("Sum of 2012",$A$53,"Rate Class","AU 2012")*'Allocation to Rate Classes'!$B$44)+(GETPIVOTDATA("Sum of 2012",'KH MWh Savings Pivot'!$A$53,"Rate Class","DI 2012")*'Allocation to Rate Classes'!$B$37)+(GETPIVOTDATA("Sum of 2012",'KH MWh Savings Pivot'!$A$53,"Rate Class","RF 2012")*'Allocation to Rate Classes'!$B$51))*1000)/2</f>
        <v>607739.2566490632</v>
      </c>
      <c r="F66" s="35">
        <f>(((GETPIVOTDATA("Sum of 2013",$A$53,"Rate Class","AU 2012")*'Allocation to Rate Classes'!$B$44)+(GETPIVOTDATA("Sum of 2013",'KH MWh Savings Pivot'!$A$53,"Rate Class","DI 2012")*'Allocation to Rate Classes'!$B$37)+(GETPIVOTDATA("Sum of 2013",'KH MWh Savings Pivot'!$A$53,"Rate Class","RF 2012")*'Allocation to Rate Classes'!$B$51))*1000)</f>
        <v>1215478.5132981283</v>
      </c>
      <c r="G66" s="35">
        <f>(((GETPIVOTDATA("Sum of 2014",$A$53,"Rate Class","AU 2012")*'Allocation to Rate Classes'!$B$44)+(GETPIVOTDATA("Sum of 2014",'KH MWh Savings Pivot'!$A$53,"Rate Class","DI 2012")*'Allocation to Rate Classes'!$B$37)+(GETPIVOTDATA("Sum of 2014",'KH MWh Savings Pivot'!$A$53,"Rate Class","RF 2012")*'Allocation to Rate Classes'!$B$51))*1000)</f>
        <v>1199008.9875823504</v>
      </c>
      <c r="H66" s="35">
        <f>(((GETPIVOTDATA("Sum of 2015",$A$53,"Rate Class","AU 2012")*'Allocation to Rate Classes'!$B$44)+(GETPIVOTDATA("Sum of 2015",'KH MWh Savings Pivot'!$A$53,"Rate Class","DI 2012")*'Allocation to Rate Classes'!$B$37)+(GETPIVOTDATA("Sum of 2015",'KH MWh Savings Pivot'!$A$53,"Rate Class","RF 2012")*'Allocation to Rate Classes'!$B$51))*1000)</f>
        <v>938490.47514653509</v>
      </c>
      <c r="I66" s="35">
        <f>(((GETPIVOTDATA("Sum of 2016",$A$53,"Rate Class","AU 2012")*'Allocation to Rate Classes'!$B$44)+(GETPIVOTDATA("Sum of 2016",'KH MWh Savings Pivot'!$A$53,"Rate Class","DI 2012")*'Allocation to Rate Classes'!$B$37)+(GETPIVOTDATA("Sum of 2016",'KH MWh Savings Pivot'!$A$53,"Rate Class","RF 2012")*'Allocation to Rate Classes'!$B$51))*1000)</f>
        <v>913314.220683972</v>
      </c>
      <c r="J66" s="35">
        <f>(((GETPIVOTDATA("Sum of 2017",$A$53,"Rate Class","AU 2012")*'Allocation to Rate Classes'!$B$44)+(GETPIVOTDATA("Sum of 2017",'KH MWh Savings Pivot'!$A$53,"Rate Class","DI 2012")*'Allocation to Rate Classes'!$B$37)+(GETPIVOTDATA("Sum of 2017",'KH MWh Savings Pivot'!$A$53,"Rate Class","RF 2012")*'Allocation to Rate Classes'!$B$51))*1000)</f>
        <v>402560.47244965931</v>
      </c>
      <c r="K66" s="35">
        <f>(((GETPIVOTDATA("Sum of 2018",$A$53,"Rate Class","AU 2012")*'Allocation to Rate Classes'!$B$44)+(GETPIVOTDATA("Sum of 2018",'KH MWh Savings Pivot'!$A$53,"Rate Class","DI 2012")*'Allocation to Rate Classes'!$B$37)+(GETPIVOTDATA("Sum of 2018",'KH MWh Savings Pivot'!$A$53,"Rate Class","RF 2012")*'Allocation to Rate Classes'!$B$51))*1000)</f>
        <v>401953.76436251891</v>
      </c>
      <c r="L66" s="35">
        <f>(((GETPIVOTDATA("Sum of 2019",$A$53,"Rate Class","AU 2012")*'Allocation to Rate Classes'!$B$44)+(GETPIVOTDATA("Sum of 2019",'KH MWh Savings Pivot'!$A$53,"Rate Class","DI 2012")*'Allocation to Rate Classes'!$B$37)+(GETPIVOTDATA("Sum of 2019",'KH MWh Savings Pivot'!$A$53,"Rate Class","RF 2012")*'Allocation to Rate Classes'!$B$51))*1000)</f>
        <v>401818.88685420895</v>
      </c>
      <c r="M66" s="35">
        <f>(((GETPIVOTDATA("Sum of 2020",$A$53,"Rate Class","AU 2012")*'Allocation to Rate Classes'!$B$44)+(GETPIVOTDATA("Sum of 2020",'KH MWh Savings Pivot'!$A$53,"Rate Class","DI 2012")*'Allocation to Rate Classes'!$B$37)+(GETPIVOTDATA("Sum of 2020",'KH MWh Savings Pivot'!$A$53,"Rate Class","RF 2012")*'Allocation to Rate Classes'!$B$51))*1000)</f>
        <v>396974.93492728006</v>
      </c>
    </row>
    <row r="67" spans="1:13" s="45" customFormat="1">
      <c r="A67" s="586" t="s">
        <v>71</v>
      </c>
      <c r="B67" s="595"/>
      <c r="C67" s="595"/>
      <c r="D67" s="595"/>
      <c r="E67" s="35">
        <f>(((GETPIVOTDATA("Sum of 2012",'KH MWh Savings Pivot'!$A$53,"Rate Class","AU 2012")*'Allocation to Rate Classes'!$D$44)+(GETPIVOTDATA("Sum of 2012",'KH MWh Savings Pivot'!$A$53,"Rate Class","DI 2012")*'Allocation to Rate Classes'!$D$37)+(GETPIVOTDATA("Sum of 2012",'KH MWh Savings Pivot'!$A$53,"Rate Class","RF 2012")*'Allocation to Rate Classes'!$D$51))*1000)/2</f>
        <v>1403512.9436610842</v>
      </c>
      <c r="F67" s="35">
        <f>(((GETPIVOTDATA("Sum of 2013",'KH MWh Savings Pivot'!$A$53,"Rate Class","AU 2012")*'Allocation to Rate Classes'!$D$44)+(GETPIVOTDATA("Sum of 2013",'KH MWh Savings Pivot'!$A$53,"Rate Class","DI 2012")*'Allocation to Rate Classes'!$D$37)+(GETPIVOTDATA("Sum of 2013",'KH MWh Savings Pivot'!$A$53,"Rate Class","RF 2012")*'Allocation to Rate Classes'!$D$51))*1000)</f>
        <v>2807025.8873221683</v>
      </c>
      <c r="G67" s="35">
        <f>(((GETPIVOTDATA("Sum of 2014",'KH MWh Savings Pivot'!$A$53,"Rate Class","AU 2012")*'Allocation to Rate Classes'!$D$44)+(GETPIVOTDATA("Sum of 2014",'KH MWh Savings Pivot'!$A$53,"Rate Class","DI 2012")*'Allocation to Rate Classes'!$D$37)+(GETPIVOTDATA("Sum of 2014",'KH MWh Savings Pivot'!$A$53,"Rate Class","RF 2012")*'Allocation to Rate Classes'!$D$51))*1000)</f>
        <v>2730595.997369309</v>
      </c>
      <c r="H67" s="35">
        <f>(((GETPIVOTDATA("Sum of 2015",'KH MWh Savings Pivot'!$A$53,"Rate Class","AU 2012")*'Allocation to Rate Classes'!$D$44)+(GETPIVOTDATA("Sum of 2015",'KH MWh Savings Pivot'!$A$53,"Rate Class","DI 2012")*'Allocation to Rate Classes'!$D$37)+(GETPIVOTDATA("Sum of 2015",'KH MWh Savings Pivot'!$A$53,"Rate Class","RF 2012")*'Allocation to Rate Classes'!$D$51))*1000)</f>
        <v>2611580.1322963592</v>
      </c>
      <c r="I67" s="35">
        <f>(((GETPIVOTDATA("Sum of 2016",'KH MWh Savings Pivot'!$A$53,"Rate Class","AU 2012")*'Allocation to Rate Classes'!$D$44)+(GETPIVOTDATA("Sum of 2016",'KH MWh Savings Pivot'!$A$53,"Rate Class","DI 2012")*'Allocation to Rate Classes'!$D$37)+(GETPIVOTDATA("Sum of 2016",'KH MWh Savings Pivot'!$A$53,"Rate Class","RF 2012")*'Allocation to Rate Classes'!$D$51))*1000)</f>
        <v>2460522.6055209809</v>
      </c>
      <c r="J67" s="35">
        <f>(((GETPIVOTDATA("Sum of 2017",'KH MWh Savings Pivot'!$A$53,"Rate Class","AU 2012")*'Allocation to Rate Classes'!$D$44)+(GETPIVOTDATA("Sum of 2017",'KH MWh Savings Pivot'!$A$53,"Rate Class","DI 2012")*'Allocation to Rate Classes'!$D$37)+(GETPIVOTDATA("Sum of 2017",'KH MWh Savings Pivot'!$A$53,"Rate Class","RF 2012")*'Allocation to Rate Classes'!$D$51))*1000)</f>
        <v>2150344.7675654688</v>
      </c>
      <c r="K67" s="35">
        <f>(((GETPIVOTDATA("Sum of 2018",'KH MWh Savings Pivot'!$A$53,"Rate Class","AU 2012")*'Allocation to Rate Classes'!$D$44)+(GETPIVOTDATA("Sum of 2018",'KH MWh Savings Pivot'!$A$53,"Rate Class","DI 2012")*'Allocation to Rate Classes'!$D$37)+(GETPIVOTDATA("Sum of 2018",'KH MWh Savings Pivot'!$A$53,"Rate Class","RF 2012")*'Allocation to Rate Classes'!$D$51))*1000)</f>
        <v>2143603.5351029313</v>
      </c>
      <c r="L67" s="35">
        <f>(((GETPIVOTDATA("Sum of 2019",'KH MWh Savings Pivot'!$A$53,"Rate Class","AU 2012")*'Allocation to Rate Classes'!$D$44)+(GETPIVOTDATA("Sum of 2019",'KH MWh Savings Pivot'!$A$53,"Rate Class","DI 2012")*'Allocation to Rate Classes'!$D$37)+(GETPIVOTDATA("Sum of 2019",'KH MWh Savings Pivot'!$A$53,"Rate Class","RF 2012")*'Allocation to Rate Classes'!$D$51))*1000)</f>
        <v>2143596.1647472861</v>
      </c>
      <c r="M67" s="35">
        <f>(((GETPIVOTDATA("Sum of 2020",'KH MWh Savings Pivot'!$A$53,"Rate Class","AU 2012")*'Allocation to Rate Classes'!$D$44)+(GETPIVOTDATA("Sum of 2020",'KH MWh Savings Pivot'!$A$53,"Rate Class","DI 2012")*'Allocation to Rate Classes'!$D$37)+(GETPIVOTDATA("Sum of 2020",'KH MWh Savings Pivot'!$A$53,"Rate Class","RF 2012")*'Allocation to Rate Classes'!$D$51))*1000)</f>
        <v>2089774.2252200027</v>
      </c>
    </row>
    <row r="68" spans="1:13">
      <c r="A68" s="586" t="s">
        <v>57</v>
      </c>
      <c r="B68" s="35"/>
      <c r="C68" s="35"/>
      <c r="D68" s="35"/>
      <c r="E68" s="35">
        <f>((GETPIVOTDATA("Sum of 2012",$A$53,"Rate Class","Large User")+(GETPIVOTDATA("Sum of 2012",$A$53,"Rate Class","RF 2012")*'Allocation to Rate Classes'!$F$51))*1000)/2</f>
        <v>306737.12583040661</v>
      </c>
      <c r="F68" s="35">
        <f>((GETPIVOTDATA("Sum of 2013",$A$53,"Rate Class","Large User")+(GETPIVOTDATA("Sum of 2013",$A$53,"Rate Class","RF 2012")*'Allocation to Rate Classes'!$F$51))*1000)</f>
        <v>605058.57866081328</v>
      </c>
      <c r="G68" s="35">
        <f>((GETPIVOTDATA("Sum of 2014",$A$53,"Rate Class","Large User")+(GETPIVOTDATA("Sum of 2014",$A$53,"Rate Class","RF 2012")*'Allocation to Rate Classes'!$F$51))*1000)</f>
        <v>596959.27131634112</v>
      </c>
      <c r="H68" s="35">
        <f>((GETPIVOTDATA("Sum of 2015",$A$53,"Rate Class","Large User")+(GETPIVOTDATA("Sum of 2015",$A$53,"Rate Class","RF 2012")*'Allocation to Rate Classes'!$F$51))*1000)</f>
        <v>585723.39943386614</v>
      </c>
      <c r="I68" s="35">
        <f>((GETPIVOTDATA("Sum of 2016",$A$53,"Rate Class","Large User")+(GETPIVOTDATA("Sum of 2016",$A$53,"Rate Class","RF 2012")*'Allocation to Rate Classes'!$F$51))*1000)</f>
        <v>585723.39943386614</v>
      </c>
      <c r="J68" s="35">
        <f>((GETPIVOTDATA("Sum of 2017",$A$53,"Rate Class","Large User")+(GETPIVOTDATA("Sum of 2017",$A$53,"Rate Class","RF 2012")*'Allocation to Rate Classes'!$F$51))*1000)</f>
        <v>555454.94731698581</v>
      </c>
      <c r="K68" s="35">
        <f>((GETPIVOTDATA("Sum of 2018",$A$53,"Rate Class","Large User")+(GETPIVOTDATA("Sum of 2018",$A$53,"Rate Class","RF 2012")*'Allocation to Rate Classes'!$F$51))*1000)</f>
        <v>554735.61918046011</v>
      </c>
      <c r="L68" s="35">
        <f>((GETPIVOTDATA("Sum of 2019",$A$53,"Rate Class","Large User")+(GETPIVOTDATA("Sum of 2019",$A$53,"Rate Class","RF 2012")*'Allocation to Rate Classes'!$F$51))*1000)</f>
        <v>554735.61918046011</v>
      </c>
      <c r="M68" s="35">
        <f>((GETPIVOTDATA("Sum of 2020",$A$53,"Rate Class","Large User")+(GETPIVOTDATA("Sum of 2020",$A$53,"Rate Class","RF 2012")*'Allocation to Rate Classes'!$F$51))*1000)</f>
        <v>548992.50978918676</v>
      </c>
    </row>
    <row r="69" spans="1:13">
      <c r="A69" s="586" t="s">
        <v>496</v>
      </c>
      <c r="B69" s="35"/>
      <c r="C69" s="35"/>
      <c r="D69" s="35"/>
      <c r="E69" s="35">
        <f>((GETPIVOTDATA("Sum of 2012",$A$53,"Rate Class","RF 2012")*'Allocation to Rate Classes'!$J$51)*1000)/2</f>
        <v>14564.480776132559</v>
      </c>
      <c r="F69" s="35">
        <f>((GETPIVOTDATA("Sum of 2013",$A$53,"Rate Class","RF 2012")*'Allocation to Rate Classes'!$J$51)*1000)</f>
        <v>29128.961552265118</v>
      </c>
      <c r="G69" s="35">
        <f>((GETPIVOTDATA("Sum of 2014",$A$53,"Rate Class","RF 2012")*'Allocation to Rate Classes'!$J$51)*1000)</f>
        <v>28279.802112317881</v>
      </c>
      <c r="H69" s="35">
        <f>((GETPIVOTDATA("Sum of 2015",$A$53,"Rate Class","RF 2012")*'Allocation to Rate Classes'!$J$51)*1000)</f>
        <v>27101.794380390897</v>
      </c>
      <c r="I69" s="35">
        <f>((GETPIVOTDATA("Sum of 2016",$A$53,"Rate Class","RF 2012")*'Allocation to Rate Classes'!$J$51)*1000)</f>
        <v>27101.794380390897</v>
      </c>
      <c r="J69" s="35">
        <f>((GETPIVOTDATA("Sum of 2017",$A$53,"Rate Class","RF 2012")*'Allocation to Rate Classes'!$J$51)*1000)</f>
        <v>23928.345003243598</v>
      </c>
      <c r="K69" s="35">
        <f>((GETPIVOTDATA("Sum of 2018",$A$53,"Rate Class","RF 2012")*'Allocation to Rate Classes'!$J$51)*1000)</f>
        <v>23852.928149484211</v>
      </c>
      <c r="L69" s="35">
        <f>((GETPIVOTDATA("Sum of 2019",$A$53,"Rate Class","RF 2012")*'Allocation to Rate Classes'!$J$51)*1000)</f>
        <v>23852.928149484211</v>
      </c>
      <c r="M69" s="35">
        <f>((GETPIVOTDATA("Sum of 2020",$A$53,"Rate Class","RF 2012")*'Allocation to Rate Classes'!$J$51)*1000)</f>
        <v>23250.800665387953</v>
      </c>
    </row>
    <row r="71" spans="1:13">
      <c r="A71" s="583" t="s">
        <v>33</v>
      </c>
      <c r="B71" s="53">
        <v>2013</v>
      </c>
      <c r="C71" s="45"/>
      <c r="D71" s="45"/>
      <c r="E71" s="45"/>
      <c r="F71" s="45"/>
      <c r="G71" s="45"/>
      <c r="H71" s="45"/>
      <c r="I71" s="45"/>
      <c r="J71" s="45"/>
      <c r="K71" s="45"/>
      <c r="L71" s="45"/>
      <c r="M71" s="45"/>
    </row>
    <row r="72" spans="1:13">
      <c r="A72" s="731" t="s">
        <v>556</v>
      </c>
      <c r="B72" s="731"/>
      <c r="C72" s="731"/>
      <c r="D72" s="731"/>
      <c r="E72" s="731"/>
      <c r="F72" s="45"/>
      <c r="G72" s="45"/>
      <c r="H72" s="45"/>
      <c r="I72" s="45"/>
      <c r="J72" s="45"/>
      <c r="K72" s="45"/>
      <c r="L72" s="45"/>
      <c r="M72" s="45"/>
    </row>
    <row r="73" spans="1:13">
      <c r="A73" s="583" t="s">
        <v>517</v>
      </c>
      <c r="B73" s="45" t="s">
        <v>558</v>
      </c>
      <c r="C73" s="45" t="s">
        <v>557</v>
      </c>
      <c r="D73" s="45" t="s">
        <v>545</v>
      </c>
      <c r="E73" s="45" t="s">
        <v>546</v>
      </c>
      <c r="F73" s="45" t="s">
        <v>547</v>
      </c>
      <c r="G73" s="45" t="s">
        <v>548</v>
      </c>
      <c r="H73" s="45" t="s">
        <v>549</v>
      </c>
      <c r="I73" s="45" t="s">
        <v>559</v>
      </c>
      <c r="J73" s="45" t="s">
        <v>560</v>
      </c>
      <c r="K73" s="45" t="s">
        <v>561</v>
      </c>
      <c r="L73" s="45" t="s">
        <v>562</v>
      </c>
      <c r="M73" s="45" t="s">
        <v>563</v>
      </c>
    </row>
    <row r="74" spans="1:13">
      <c r="A74" s="53" t="s">
        <v>99</v>
      </c>
      <c r="B74" s="35"/>
      <c r="C74" s="35"/>
      <c r="D74" s="35">
        <v>0</v>
      </c>
      <c r="E74" s="35">
        <v>0</v>
      </c>
      <c r="F74" s="35">
        <v>96.901535593948992</v>
      </c>
      <c r="G74" s="35">
        <v>96.901535593948992</v>
      </c>
      <c r="H74" s="35">
        <v>96.901535593948992</v>
      </c>
      <c r="I74" s="35">
        <v>96.901535593948992</v>
      </c>
      <c r="J74" s="35">
        <v>0</v>
      </c>
      <c r="K74" s="35">
        <v>0</v>
      </c>
      <c r="L74" s="35">
        <v>0</v>
      </c>
      <c r="M74" s="35">
        <v>0</v>
      </c>
    </row>
    <row r="75" spans="1:13">
      <c r="A75" s="53" t="s">
        <v>102</v>
      </c>
      <c r="B75" s="35"/>
      <c r="C75" s="35"/>
      <c r="D75" s="35">
        <v>0</v>
      </c>
      <c r="E75" s="35">
        <v>0</v>
      </c>
      <c r="F75" s="35">
        <v>222.93187639852499</v>
      </c>
      <c r="G75" s="35">
        <v>222.93187639852499</v>
      </c>
      <c r="H75" s="35">
        <v>215.90294163568399</v>
      </c>
      <c r="I75" s="35">
        <v>171.45635630098403</v>
      </c>
      <c r="J75" s="35">
        <v>74.14139567185299</v>
      </c>
      <c r="K75" s="35">
        <v>74.14139567185299</v>
      </c>
      <c r="L75" s="35">
        <v>74.14139567185299</v>
      </c>
      <c r="M75" s="35">
        <v>74.14139567185299</v>
      </c>
    </row>
    <row r="76" spans="1:13">
      <c r="A76" s="53" t="s">
        <v>71</v>
      </c>
      <c r="B76" s="35"/>
      <c r="C76" s="35"/>
      <c r="D76" s="35">
        <v>0</v>
      </c>
      <c r="E76" s="35">
        <v>0</v>
      </c>
      <c r="F76" s="35">
        <v>7.4119459999999995</v>
      </c>
      <c r="G76" s="35">
        <v>0</v>
      </c>
      <c r="H76" s="35">
        <v>0</v>
      </c>
      <c r="I76" s="35">
        <v>0</v>
      </c>
      <c r="J76" s="35">
        <v>0</v>
      </c>
      <c r="K76" s="35">
        <v>0</v>
      </c>
      <c r="L76" s="35">
        <v>0</v>
      </c>
      <c r="M76" s="35">
        <v>0</v>
      </c>
    </row>
    <row r="77" spans="1:13">
      <c r="A77" s="53" t="s">
        <v>100</v>
      </c>
      <c r="B77" s="35"/>
      <c r="C77" s="35"/>
      <c r="D77" s="35">
        <v>0</v>
      </c>
      <c r="E77" s="35">
        <v>0</v>
      </c>
      <c r="F77" s="35">
        <v>58.802057999999995</v>
      </c>
      <c r="G77" s="35">
        <v>58.802057999999995</v>
      </c>
      <c r="H77" s="35">
        <v>58.802057999999995</v>
      </c>
      <c r="I77" s="35">
        <v>58.802057999999995</v>
      </c>
      <c r="J77" s="35">
        <v>58.802057999999995</v>
      </c>
      <c r="K77" s="35">
        <v>58.802057999999995</v>
      </c>
      <c r="L77" s="35">
        <v>58.802057999999995</v>
      </c>
      <c r="M77" s="35">
        <v>58.802057999999995</v>
      </c>
    </row>
    <row r="78" spans="1:13">
      <c r="A78" s="53" t="s">
        <v>128</v>
      </c>
      <c r="B78" s="35"/>
      <c r="C78" s="35"/>
      <c r="D78" s="35">
        <v>0</v>
      </c>
      <c r="E78" s="35">
        <v>0</v>
      </c>
      <c r="F78" s="35">
        <v>52.001860000000001</v>
      </c>
      <c r="G78" s="35">
        <v>0</v>
      </c>
      <c r="H78" s="35">
        <v>0</v>
      </c>
      <c r="I78" s="35">
        <v>0</v>
      </c>
      <c r="J78" s="35">
        <v>0</v>
      </c>
      <c r="K78" s="35">
        <v>0</v>
      </c>
      <c r="L78" s="35">
        <v>0</v>
      </c>
      <c r="M78" s="35">
        <v>0</v>
      </c>
    </row>
    <row r="79" spans="1:13">
      <c r="A79" s="53" t="s">
        <v>17</v>
      </c>
      <c r="B79" s="35"/>
      <c r="C79" s="35"/>
      <c r="D79" s="35">
        <v>0</v>
      </c>
      <c r="E79" s="35">
        <v>0</v>
      </c>
      <c r="F79" s="35">
        <v>488.42031055718894</v>
      </c>
      <c r="G79" s="35">
        <v>482.88965159112394</v>
      </c>
      <c r="H79" s="35">
        <v>474.36540955500794</v>
      </c>
      <c r="I79" s="35">
        <v>428.93618175207899</v>
      </c>
      <c r="J79" s="35">
        <v>411.04259549646298</v>
      </c>
      <c r="K79" s="35">
        <v>389.03916249792695</v>
      </c>
      <c r="L79" s="35">
        <v>380.78114347021699</v>
      </c>
      <c r="M79" s="35">
        <v>379.36062914938896</v>
      </c>
    </row>
    <row r="80" spans="1:13">
      <c r="A80" s="53" t="s">
        <v>101</v>
      </c>
      <c r="B80" s="35"/>
      <c r="C80" s="35"/>
      <c r="D80" s="35">
        <v>0</v>
      </c>
      <c r="E80" s="35">
        <v>0</v>
      </c>
      <c r="F80" s="35">
        <v>5089.5962697838795</v>
      </c>
      <c r="G80" s="35">
        <v>5089.5962697838795</v>
      </c>
      <c r="H80" s="35">
        <v>5089.5962697838795</v>
      </c>
      <c r="I80" s="35">
        <v>4813.2624402286901</v>
      </c>
      <c r="J80" s="35">
        <v>4772.3693252412395</v>
      </c>
      <c r="K80" s="35">
        <v>4761.5441525611195</v>
      </c>
      <c r="L80" s="35">
        <v>4761.5441525611195</v>
      </c>
      <c r="M80" s="35">
        <v>4601.4212858973397</v>
      </c>
    </row>
    <row r="81" spans="1:13">
      <c r="A81" s="53" t="s">
        <v>519</v>
      </c>
      <c r="B81" s="35"/>
      <c r="C81" s="35"/>
      <c r="D81" s="35">
        <v>0</v>
      </c>
      <c r="E81" s="35">
        <v>0</v>
      </c>
      <c r="F81" s="35">
        <v>6016.0658563335428</v>
      </c>
      <c r="G81" s="35">
        <v>5951.1213913674774</v>
      </c>
      <c r="H81" s="35">
        <v>5935.5682145685205</v>
      </c>
      <c r="I81" s="35">
        <v>5569.3585718757022</v>
      </c>
      <c r="J81" s="35">
        <v>5316.3553744095552</v>
      </c>
      <c r="K81" s="35">
        <v>5283.5267687308997</v>
      </c>
      <c r="L81" s="35">
        <v>5275.2687497031893</v>
      </c>
      <c r="M81" s="35">
        <v>5113.7253687185821</v>
      </c>
    </row>
    <row r="82" spans="1:13">
      <c r="A82" s="45"/>
      <c r="B82" s="45"/>
      <c r="C82" s="45"/>
      <c r="D82" s="45"/>
      <c r="E82" s="45"/>
      <c r="F82" s="45"/>
      <c r="G82" s="45"/>
      <c r="H82" s="45"/>
      <c r="I82" s="45"/>
      <c r="J82" s="45"/>
      <c r="K82" s="45"/>
      <c r="L82" s="45"/>
      <c r="M82" s="45"/>
    </row>
    <row r="83" spans="1:13">
      <c r="A83" s="731" t="s">
        <v>568</v>
      </c>
      <c r="B83" s="731"/>
      <c r="C83" s="731"/>
      <c r="D83" s="731"/>
      <c r="E83" s="731"/>
      <c r="F83" s="731"/>
      <c r="G83" s="731"/>
      <c r="H83" s="731"/>
      <c r="I83" s="731"/>
      <c r="J83" s="731"/>
      <c r="K83" s="731"/>
      <c r="L83" s="731"/>
      <c r="M83" s="731"/>
    </row>
    <row r="84" spans="1:13">
      <c r="B84" s="584">
        <v>2009</v>
      </c>
      <c r="C84" s="584">
        <v>2010</v>
      </c>
      <c r="D84" s="584">
        <v>2011</v>
      </c>
      <c r="E84" s="584">
        <v>2012</v>
      </c>
      <c r="F84" s="584">
        <v>2013</v>
      </c>
      <c r="G84" s="584">
        <v>2014</v>
      </c>
      <c r="H84" s="584">
        <v>2015</v>
      </c>
      <c r="I84" s="584">
        <v>2016</v>
      </c>
      <c r="J84" s="584">
        <v>2017</v>
      </c>
      <c r="K84" s="584">
        <v>2018</v>
      </c>
      <c r="L84" s="584">
        <v>2019</v>
      </c>
      <c r="M84" s="584">
        <v>2020</v>
      </c>
    </row>
    <row r="85" spans="1:13">
      <c r="A85" s="586" t="s">
        <v>17</v>
      </c>
      <c r="B85" s="35"/>
      <c r="C85" s="35"/>
      <c r="D85" s="35"/>
      <c r="E85" s="35"/>
      <c r="F85" s="35">
        <f>((GETPIVOTDATA("Sum of 2013",$A$73,"Rate Class","Residential")+(GETPIVOTDATA("Sum of 2013",$A$73,"Rate Class","RF 2013")*'Allocation to Rate Classes'!$H$50))*1000)/2</f>
        <v>248315.57751024087</v>
      </c>
      <c r="G85" s="35">
        <f>((GETPIVOTDATA("Sum of 2014",$A$73,"Rate Class","Residential")+(GETPIVOTDATA("Sum of 2014",$A$73,"Rate Class","RF 2013")*'Allocation to Rate Classes'!$H$50))*1000)</f>
        <v>491100.49605441676</v>
      </c>
      <c r="H85" s="35">
        <f>((GETPIVOTDATA("Sum of 2015",$A$73,"Rate Class","Residential")+(GETPIVOTDATA("Sum of 2015",$A$73,"Rate Class","RF 2013")*'Allocation to Rate Classes'!$H$50))*1000)</f>
        <v>482576.25401830074</v>
      </c>
      <c r="I85" s="35">
        <f>((GETPIVOTDATA("Sum of 2016",$A$73,"Rate Class","Residential")+(GETPIVOTDATA("Sum of 2016",$A$73,"Rate Class","RF 2013")*'Allocation to Rate Classes'!$H$50))*1000)</f>
        <v>436701.22777200723</v>
      </c>
      <c r="J85" s="35">
        <f>((GETPIVOTDATA("Sum of 2017",$A$73,"Rate Class","Residential")+(GETPIVOTDATA("Sum of 2017",$A$73,"Rate Class","RF 2013")*'Allocation to Rate Classes'!$H$50))*1000)</f>
        <v>418741.67027054314</v>
      </c>
      <c r="K85" s="35">
        <f>((GETPIVOTDATA("Sum of 2018",$A$73,"Rate Class","Residential")+(GETPIVOTDATA("Sum of 2018",$A$73,"Rate Class","RF 2013")*'Allocation to Rate Classes'!$H$50))*1000)</f>
        <v>396720.77344885626</v>
      </c>
      <c r="L85" s="35">
        <f>((GETPIVOTDATA("Sum of 2019",$A$73,"Rate Class","Residential")+(GETPIVOTDATA("Sum of 2019",$A$73,"Rate Class","RF 2013")*'Allocation to Rate Classes'!$H$50))*1000)</f>
        <v>388462.7544211463</v>
      </c>
      <c r="M85" s="35">
        <f>((GETPIVOTDATA("Sum of 2020",$A$73,"Rate Class","Residential")+(GETPIVOTDATA("Sum of 2020",$A$73,"Rate Class","RF 2013")*'Allocation to Rate Classes'!$H$50))*1000)</f>
        <v>386783.92020940705</v>
      </c>
    </row>
    <row r="86" spans="1:13" s="45" customFormat="1">
      <c r="A86" s="586" t="s">
        <v>70</v>
      </c>
      <c r="B86" s="35"/>
      <c r="C86" s="35"/>
      <c r="D86" s="35"/>
      <c r="E86" s="35"/>
      <c r="F86" s="35">
        <f>(((GETPIVOTDATA("Sum of 2013",$A$73,"Rate Class","DI 2013")*'Allocation to Rate Classes'!$B$38)+(GETPIVOTDATA("Sum of 2013",'KH MWh Savings Pivot'!$A$73,"Rate Class","RF 2013")*'Allocation to Rate Classes'!$B$52))*1000)/2</f>
        <v>216710.89344552389</v>
      </c>
      <c r="G86" s="35">
        <f>(((GETPIVOTDATA("Sum of 2014",$A$73,"Rate Class","DI 2013")*'Allocation to Rate Classes'!$B$38)+(GETPIVOTDATA("Sum of 2014",'KH MWh Savings Pivot'!$A$73,"Rate Class","RF 2013")*'Allocation to Rate Classes'!$B$52))*1000)</f>
        <v>433421.78689104778</v>
      </c>
      <c r="H86" s="35">
        <f>(((GETPIVOTDATA("Sum of 2015",$A$73,"Rate Class","DI 2013")*'Allocation to Rate Classes'!$B$38)+(GETPIVOTDATA("Sum of 2015",'KH MWh Savings Pivot'!$A$73,"Rate Class","RF 2013")*'Allocation to Rate Classes'!$B$52))*1000)</f>
        <v>428206.77077668183</v>
      </c>
      <c r="I86" s="35">
        <f>(((GETPIVOTDATA("Sum of 2016",$A$73,"Rate Class","DI 2013")*'Allocation to Rate Classes'!$B$38)+(GETPIVOTDATA("Sum of 2016",'KH MWh Savings Pivot'!$A$73,"Rate Class","RF 2013")*'Allocation to Rate Classes'!$B$52))*1000)</f>
        <v>380678.39256023319</v>
      </c>
      <c r="J86" s="35">
        <f>(((GETPIVOTDATA("Sum of 2017",$A$73,"Rate Class","DI 2013")*'Allocation to Rate Classes'!$B$38)+(GETPIVOTDATA("Sum of 2017",'KH MWh Savings Pivot'!$A$73,"Rate Class","RF 2013")*'Allocation to Rate Classes'!$B$52))*1000)</f>
        <v>306323.51801151602</v>
      </c>
      <c r="K86" s="35">
        <f>(((GETPIVOTDATA("Sum of 2018",$A$73,"Rate Class","DI 2013")*'Allocation to Rate Classes'!$B$38)+(GETPIVOTDATA("Sum of 2018",'KH MWh Savings Pivot'!$A$73,"Rate Class","RF 2013")*'Allocation to Rate Classes'!$B$52))*1000)</f>
        <v>305753.45893553353</v>
      </c>
      <c r="L86" s="35">
        <f>(((GETPIVOTDATA("Sum of 2019",$A$73,"Rate Class","DI 2013")*'Allocation to Rate Classes'!$B$38)+(GETPIVOTDATA("Sum of 2019",'KH MWh Savings Pivot'!$A$73,"Rate Class","RF 2013")*'Allocation to Rate Classes'!$B$52))*1000)</f>
        <v>305753.45893553353</v>
      </c>
      <c r="M86" s="35">
        <f>(((GETPIVOTDATA("Sum of 2020",$A$73,"Rate Class","DI 2013")*'Allocation to Rate Classes'!$B$38)+(GETPIVOTDATA("Sum of 2020",'KH MWh Savings Pivot'!$A$73,"Rate Class","RF 2013")*'Allocation to Rate Classes'!$B$52))*1000)</f>
        <v>297321.30767926335</v>
      </c>
    </row>
    <row r="87" spans="1:13" s="45" customFormat="1">
      <c r="A87" s="586" t="s">
        <v>71</v>
      </c>
      <c r="B87" s="35"/>
      <c r="C87" s="35"/>
      <c r="D87" s="35"/>
      <c r="E87" s="35"/>
      <c r="F87" s="35">
        <f>((GETPIVOTDATA("Sum of 2013",$A$73,"Rate Class","GS Greater Than 50kW")+(GETPIVOTDATA("Sum of 2013",$A$73,"Rate Class","AU 2013")*'Allocation to Rate Classes'!$D$45)+(GETPIVOTDATA("Sum of 2013",'KH MWh Savings Pivot'!$A$73,"Rate Class","DI 2013")*'Allocation to Rate Classes'!$D$38)+(GETPIVOTDATA("Sum of 2013",'KH MWh Savings Pivot'!$A$73,"Rate Class","HP 2013")*'Allocation to Rate Classes'!$D$59)+(GETPIVOTDATA("Sum of 2013",'KH MWh Savings Pivot'!$A$73,"Rate Class","RF 2013")*'Allocation to Rate Classes'!$D$52))*1000)/2</f>
        <v>787930.86230717774</v>
      </c>
      <c r="G87" s="35">
        <f>((GETPIVOTDATA("Sum of 2014",$A$73,"Rate Class","GS Greater Than 50kW")+(GETPIVOTDATA("Sum of 2014",$A$73,"Rate Class","AU 2013")*'Allocation to Rate Classes'!$D$45)+(GETPIVOTDATA("Sum of 2014",'KH MWh Savings Pivot'!$A$73,"Rate Class","DI 2013")*'Allocation to Rate Classes'!$D$38)+(GETPIVOTDATA("Sum of 2014",'KH MWh Savings Pivot'!$A$73,"Rate Class","HP 2013")*'Allocation to Rate Classes'!$D$59)+(GETPIVOTDATA("Sum of 2014",'KH MWh Savings Pivot'!$A$73,"Rate Class","RF 2013")*'Allocation to Rate Classes'!$D$52))*1000)</f>
        <v>1568449.7786143557</v>
      </c>
      <c r="H87" s="35">
        <f>((GETPIVOTDATA("Sum of 2015",$A$73,"Rate Class","GS Greater Than 50kW")+(GETPIVOTDATA("Sum of 2015",$A$73,"Rate Class","AU 2013")*'Allocation to Rate Classes'!$D$45)+(GETPIVOTDATA("Sum of 2015",'KH MWh Savings Pivot'!$A$73,"Rate Class","DI 2013")*'Allocation to Rate Classes'!$D$38)+(GETPIVOTDATA("Sum of 2015",'KH MWh Savings Pivot'!$A$73,"Rate Class","HP 2013")*'Allocation to Rate Classes'!$D$59)+(GETPIVOTDATA("Sum of 2015",'KH MWh Savings Pivot'!$A$73,"Rate Class","RF 2013")*'Allocation to Rate Classes'!$D$52))*1000)</f>
        <v>1566635.8599658804</v>
      </c>
      <c r="I87" s="35">
        <f>((GETPIVOTDATA("Sum of 2016",$A$73,"Rate Class","GS Greater Than 50kW")+(GETPIVOTDATA("Sum of 2016",$A$73,"Rate Class","AU 2013")*'Allocation to Rate Classes'!$D$45)+(GETPIVOTDATA("Sum of 2016",'KH MWh Savings Pivot'!$A$73,"Rate Class","DI 2013")*'Allocation to Rate Classes'!$D$38)+(GETPIVOTDATA("Sum of 2016",'KH MWh Savings Pivot'!$A$73,"Rate Class","HP 2013")*'Allocation to Rate Classes'!$D$59)+(GETPIVOTDATA("Sum of 2016",'KH MWh Savings Pivot'!$A$73,"Rate Class","RF 2013")*'Allocation to Rate Classes'!$D$52))*1000)</f>
        <v>1481585.8988206347</v>
      </c>
      <c r="J87" s="35">
        <f>((GETPIVOTDATA("Sum of 2017",$A$73,"Rate Class","GS Greater Than 50kW")+(GETPIVOTDATA("Sum of 2017",$A$73,"Rate Class","AU 2013")*'Allocation to Rate Classes'!$D$45)+(GETPIVOTDATA("Sum of 2017",'KH MWh Savings Pivot'!$A$73,"Rate Class","DI 2013")*'Allocation to Rate Classes'!$D$38)+(GETPIVOTDATA("Sum of 2017",'KH MWh Savings Pivot'!$A$73,"Rate Class","HP 2013")*'Allocation to Rate Classes'!$D$59)+(GETPIVOTDATA("Sum of 2017",'KH MWh Savings Pivot'!$A$73,"Rate Class","RF 2013")*'Allocation to Rate Classes'!$D$52))*1000)</f>
        <v>1348682.1463392228</v>
      </c>
      <c r="K87" s="35">
        <f>((GETPIVOTDATA("Sum of 2018",$A$73,"Rate Class","GS Greater Than 50kW")+(GETPIVOTDATA("Sum of 2018",$A$73,"Rate Class","AU 2013")*'Allocation to Rate Classes'!$D$45)+(GETPIVOTDATA("Sum of 2018",'KH MWh Savings Pivot'!$A$73,"Rate Class","DI 2013")*'Allocation to Rate Classes'!$D$38)+(GETPIVOTDATA("Sum of 2018",'KH MWh Savings Pivot'!$A$73,"Rate Class","HP 2013")*'Allocation to Rate Classes'!$D$59)+(GETPIVOTDATA("Sum of 2018",'KH MWh Savings Pivot'!$A$73,"Rate Class","RF 2013")*'Allocation to Rate Classes'!$D$52))*1000)</f>
        <v>1345799.7093618636</v>
      </c>
      <c r="L87" s="35">
        <f>((GETPIVOTDATA("Sum of 2019",$A$73,"Rate Class","GS Greater Than 50kW")+(GETPIVOTDATA("Sum of 2019",$A$73,"Rate Class","AU 2013")*'Allocation to Rate Classes'!$D$45)+(GETPIVOTDATA("Sum of 2019",'KH MWh Savings Pivot'!$A$73,"Rate Class","DI 2013")*'Allocation to Rate Classes'!$D$38)+(GETPIVOTDATA("Sum of 2019",'KH MWh Savings Pivot'!$A$73,"Rate Class","HP 2013")*'Allocation to Rate Classes'!$D$59)+(GETPIVOTDATA("Sum of 2019",'KH MWh Savings Pivot'!$A$73,"Rate Class","RF 2013")*'Allocation to Rate Classes'!$D$52))*1000)</f>
        <v>1345799.7093618636</v>
      </c>
      <c r="M87" s="35">
        <f>((GETPIVOTDATA("Sum of 2020",$A$73,"Rate Class","GS Greater Than 50kW")+(GETPIVOTDATA("Sum of 2020",$A$73,"Rate Class","AU 2013")*'Allocation to Rate Classes'!$D$45)+(GETPIVOTDATA("Sum of 2020",'KH MWh Savings Pivot'!$A$73,"Rate Class","DI 2013")*'Allocation to Rate Classes'!$D$38)+(GETPIVOTDATA("Sum of 2020",'KH MWh Savings Pivot'!$A$73,"Rate Class","HP 2013")*'Allocation to Rate Classes'!$D$59)+(GETPIVOTDATA("Sum of 2020",'KH MWh Savings Pivot'!$A$73,"Rate Class","RF 2013")*'Allocation to Rate Classes'!$D$52))*1000)</f>
        <v>1303163.5237386962</v>
      </c>
    </row>
    <row r="88" spans="1:13" s="45" customFormat="1">
      <c r="A88" s="586" t="s">
        <v>57</v>
      </c>
      <c r="B88" s="35"/>
      <c r="C88" s="35"/>
      <c r="D88" s="35"/>
      <c r="E88" s="35"/>
      <c r="F88" s="35">
        <f>((GETPIVOTDATA("Sum of 2013",$A$73,"Rate Class","RF 2013")*'Allocation to Rate Classes'!$F$52)*1000)/2</f>
        <v>648214.23391528998</v>
      </c>
      <c r="G88" s="35">
        <f>((GETPIVOTDATA("Sum of 2014",$A$73,"Rate Class","RF 2013")*'Allocation to Rate Classes'!$F$52)*1000)</f>
        <v>1296428.46783058</v>
      </c>
      <c r="H88" s="35">
        <f>((GETPIVOTDATA("Sum of 2015",$A$73,"Rate Class","RF 2013")*'Allocation to Rate Classes'!$F$52)*1000)</f>
        <v>1296428.46783058</v>
      </c>
      <c r="I88" s="35">
        <f>((GETPIVOTDATA("Sum of 2016",$A$73,"Rate Class","RF 2013")*'Allocation to Rate Classes'!$F$52)*1000)</f>
        <v>1226040.3615309021</v>
      </c>
      <c r="J88" s="35">
        <f>((GETPIVOTDATA("Sum of 2017",$A$73,"Rate Class","RF 2013")*'Allocation to Rate Classes'!$F$52)*1000)</f>
        <v>1215624.0150079487</v>
      </c>
      <c r="K88" s="35">
        <f>((GETPIVOTDATA("Sum of 2018",$A$73,"Rate Class","RF 2013")*'Allocation to Rate Classes'!$F$52)*1000)</f>
        <v>1212866.6131851347</v>
      </c>
      <c r="L88" s="35">
        <f>((GETPIVOTDATA("Sum of 2019",$A$73,"Rate Class","RF 2013")*'Allocation to Rate Classes'!$F$52)*1000)</f>
        <v>1212866.6131851347</v>
      </c>
      <c r="M88" s="35">
        <f>((GETPIVOTDATA("Sum of 2020",$A$73,"Rate Class","RF 2013")*'Allocation to Rate Classes'!$F$52)*1000)</f>
        <v>1172079.9119047245</v>
      </c>
    </row>
    <row r="89" spans="1:13">
      <c r="A89" s="586" t="s">
        <v>496</v>
      </c>
      <c r="B89" s="35"/>
      <c r="C89" s="35"/>
      <c r="D89" s="35"/>
      <c r="E89" s="35"/>
      <c r="F89" s="35">
        <f>((GETPIVOTDATA("Sum of 2013",$A$73,"Rate Class","RF 2013")*'Allocation to Rate Classes'!$J$52)*1000)/2</f>
        <v>1074219.5845582362</v>
      </c>
      <c r="G89" s="35">
        <f>((GETPIVOTDATA("Sum of 2014",$A$73,"Rate Class","RF 2013")*'Allocation to Rate Classes'!$J$52)*1000)</f>
        <v>2148439.1691164724</v>
      </c>
      <c r="H89" s="35">
        <f>((GETPIVOTDATA("Sum of 2015",$A$73,"Rate Class","RF 2013")*'Allocation to Rate Classes'!$J$52)*1000)</f>
        <v>2148439.1691164724</v>
      </c>
      <c r="I89" s="35">
        <f>((GETPIVOTDATA("Sum of 2016",$A$73,"Rate Class","RF 2013")*'Allocation to Rate Classes'!$J$52)*1000)</f>
        <v>2031792.1127098678</v>
      </c>
      <c r="J89" s="35">
        <f>((GETPIVOTDATA("Sum of 2017",$A$73,"Rate Class","RF 2013")*'Allocation to Rate Classes'!$J$52)*1000)</f>
        <v>2014530.1600265454</v>
      </c>
      <c r="K89" s="35">
        <f>((GETPIVOTDATA("Sum of 2018",$A$73,"Rate Class","RF 2013")*'Allocation to Rate Classes'!$J$52)*1000)</f>
        <v>2009960.5981663065</v>
      </c>
      <c r="L89" s="35">
        <f>((GETPIVOTDATA("Sum of 2019",$A$73,"Rate Class","RF 2013")*'Allocation to Rate Classes'!$J$52)*1000)</f>
        <v>2009960.5981663065</v>
      </c>
      <c r="M89" s="35">
        <f>((GETPIVOTDATA("Sum of 2020",$A$73,"Rate Class","RF 2013")*'Allocation to Rate Classes'!$J$52)*1000)</f>
        <v>1942368.9424874391</v>
      </c>
    </row>
    <row r="91" spans="1:13">
      <c r="A91" s="583" t="s">
        <v>33</v>
      </c>
      <c r="B91" s="53">
        <v>2014</v>
      </c>
      <c r="C91" s="45"/>
      <c r="D91" s="45"/>
      <c r="E91" s="45"/>
      <c r="F91" s="45"/>
      <c r="G91" s="45"/>
      <c r="H91" s="45"/>
      <c r="I91" s="45"/>
      <c r="J91" s="45"/>
      <c r="K91" s="45"/>
      <c r="L91" s="45"/>
      <c r="M91" s="45"/>
    </row>
    <row r="92" spans="1:13">
      <c r="A92" s="731" t="s">
        <v>556</v>
      </c>
      <c r="B92" s="731"/>
      <c r="C92" s="731"/>
      <c r="D92" s="731"/>
      <c r="E92" s="731"/>
      <c r="F92" s="45"/>
      <c r="G92" s="45"/>
      <c r="H92" s="45"/>
      <c r="I92" s="45"/>
      <c r="J92" s="45"/>
      <c r="K92" s="45"/>
      <c r="L92" s="45"/>
      <c r="M92" s="45"/>
    </row>
    <row r="93" spans="1:13">
      <c r="A93" s="583" t="s">
        <v>517</v>
      </c>
      <c r="B93" s="45" t="s">
        <v>558</v>
      </c>
      <c r="C93" s="45" t="s">
        <v>557</v>
      </c>
      <c r="D93" s="45" t="s">
        <v>545</v>
      </c>
      <c r="E93" s="45" t="s">
        <v>546</v>
      </c>
      <c r="F93" s="45" t="s">
        <v>547</v>
      </c>
      <c r="G93" s="45" t="s">
        <v>548</v>
      </c>
      <c r="H93" s="45" t="s">
        <v>549</v>
      </c>
      <c r="I93" s="45" t="s">
        <v>559</v>
      </c>
      <c r="J93" s="45" t="s">
        <v>560</v>
      </c>
      <c r="K93" s="45" t="s">
        <v>561</v>
      </c>
      <c r="L93" s="45" t="s">
        <v>562</v>
      </c>
      <c r="M93" s="45" t="s">
        <v>563</v>
      </c>
    </row>
    <row r="94" spans="1:13">
      <c r="A94" s="53" t="s">
        <v>104</v>
      </c>
      <c r="B94" s="35"/>
      <c r="C94" s="35"/>
      <c r="D94" s="35"/>
      <c r="E94" s="35"/>
      <c r="F94" s="35"/>
      <c r="G94" s="35">
        <v>326.36784999999998</v>
      </c>
      <c r="H94" s="35">
        <v>326.36784999999998</v>
      </c>
      <c r="I94" s="35">
        <v>326.36784999999998</v>
      </c>
      <c r="J94" s="35">
        <v>326.36784999999998</v>
      </c>
      <c r="K94" s="35"/>
      <c r="L94" s="35"/>
      <c r="M94" s="35"/>
    </row>
    <row r="95" spans="1:13">
      <c r="A95" s="53" t="s">
        <v>106</v>
      </c>
      <c r="B95" s="35"/>
      <c r="C95" s="35"/>
      <c r="D95" s="35"/>
      <c r="E95" s="35"/>
      <c r="F95" s="35"/>
      <c r="G95" s="35">
        <v>338.65834599999999</v>
      </c>
      <c r="H95" s="35">
        <v>338.65834599999999</v>
      </c>
      <c r="I95" s="35">
        <v>327.9806113512758</v>
      </c>
      <c r="J95" s="35">
        <v>260.4612986447824</v>
      </c>
      <c r="K95" s="35">
        <v>112.62903643028514</v>
      </c>
      <c r="L95" s="35">
        <v>112.62903643028514</v>
      </c>
      <c r="M95" s="35">
        <v>112.62903643028514</v>
      </c>
    </row>
    <row r="96" spans="1:13">
      <c r="A96" s="53" t="s">
        <v>105</v>
      </c>
      <c r="B96" s="35"/>
      <c r="C96" s="35"/>
      <c r="D96" s="35"/>
      <c r="E96" s="35"/>
      <c r="F96" s="35"/>
      <c r="G96" s="35">
        <v>84.927365999999992</v>
      </c>
      <c r="H96" s="35">
        <v>84.927365999999992</v>
      </c>
      <c r="I96" s="35">
        <v>84.927365999999992</v>
      </c>
      <c r="J96" s="35">
        <v>84.927365999999992</v>
      </c>
      <c r="K96" s="35">
        <v>84.927365999999992</v>
      </c>
      <c r="L96" s="35">
        <v>84.927365999999992</v>
      </c>
      <c r="M96" s="35">
        <v>84.927365999999992</v>
      </c>
    </row>
    <row r="97" spans="1:13">
      <c r="A97" s="53" t="s">
        <v>17</v>
      </c>
      <c r="B97" s="35"/>
      <c r="C97" s="35"/>
      <c r="D97" s="35"/>
      <c r="E97" s="35"/>
      <c r="F97" s="35"/>
      <c r="G97" s="35">
        <v>1013.2019690000001</v>
      </c>
      <c r="H97" s="35">
        <v>1012.2622257192465</v>
      </c>
      <c r="I97" s="35">
        <v>967.7039967150688</v>
      </c>
      <c r="J97" s="35">
        <v>810.01421743779383</v>
      </c>
      <c r="K97" s="35">
        <v>781.56508583531422</v>
      </c>
      <c r="L97" s="35">
        <v>764.15065633939184</v>
      </c>
      <c r="M97" s="35">
        <v>762.74749300185078</v>
      </c>
    </row>
    <row r="98" spans="1:13">
      <c r="A98" s="53" t="s">
        <v>103</v>
      </c>
      <c r="B98" s="35"/>
      <c r="C98" s="35"/>
      <c r="D98" s="35"/>
      <c r="E98" s="35"/>
      <c r="F98" s="35"/>
      <c r="G98" s="35">
        <v>1834.237828</v>
      </c>
      <c r="H98" s="35">
        <v>1834.237828</v>
      </c>
      <c r="I98" s="35">
        <v>1834.237828</v>
      </c>
      <c r="J98" s="35">
        <v>1734.6499753572684</v>
      </c>
      <c r="K98" s="35">
        <v>1719.9125198816653</v>
      </c>
      <c r="L98" s="35">
        <v>1716.0112396676745</v>
      </c>
      <c r="M98" s="35">
        <v>1716.0112396676745</v>
      </c>
    </row>
    <row r="99" spans="1:13">
      <c r="A99" s="53" t="s">
        <v>518</v>
      </c>
      <c r="B99" s="35"/>
      <c r="C99" s="35"/>
      <c r="D99" s="35"/>
      <c r="E99" s="35"/>
      <c r="F99" s="35"/>
      <c r="G99" s="35"/>
      <c r="H99" s="35"/>
      <c r="I99" s="35"/>
      <c r="J99" s="35"/>
      <c r="K99" s="35"/>
      <c r="L99" s="35"/>
      <c r="M99" s="35"/>
    </row>
    <row r="100" spans="1:13">
      <c r="A100" s="53" t="s">
        <v>519</v>
      </c>
      <c r="B100" s="35"/>
      <c r="C100" s="35"/>
      <c r="D100" s="35"/>
      <c r="E100" s="35"/>
      <c r="F100" s="35"/>
      <c r="G100" s="35">
        <v>3597.3933590000001</v>
      </c>
      <c r="H100" s="35">
        <v>3596.453615719247</v>
      </c>
      <c r="I100" s="35">
        <v>3541.2176520663443</v>
      </c>
      <c r="J100" s="35">
        <v>3216.4207074398446</v>
      </c>
      <c r="K100" s="35">
        <v>2699.0340081472646</v>
      </c>
      <c r="L100" s="35">
        <v>2677.7182984373512</v>
      </c>
      <c r="M100" s="35">
        <v>2676.3151350998105</v>
      </c>
    </row>
    <row r="102" spans="1:13">
      <c r="A102" s="731" t="s">
        <v>569</v>
      </c>
      <c r="B102" s="731"/>
      <c r="C102" s="731"/>
      <c r="D102" s="731"/>
      <c r="E102" s="731"/>
      <c r="F102" s="731"/>
      <c r="G102" s="731"/>
      <c r="H102" s="731"/>
      <c r="I102" s="731"/>
      <c r="J102" s="731"/>
      <c r="K102" s="731"/>
      <c r="L102" s="731"/>
      <c r="M102" s="731"/>
    </row>
    <row r="103" spans="1:13" s="45" customFormat="1">
      <c r="A103" s="584"/>
      <c r="B103" s="584">
        <v>2009</v>
      </c>
      <c r="C103" s="584">
        <v>2010</v>
      </c>
      <c r="D103" s="584">
        <v>2011</v>
      </c>
      <c r="E103" s="584">
        <v>2012</v>
      </c>
      <c r="F103" s="584">
        <v>2013</v>
      </c>
      <c r="G103" s="584">
        <v>2014</v>
      </c>
      <c r="H103" s="584">
        <v>2015</v>
      </c>
      <c r="I103" s="584">
        <v>2016</v>
      </c>
      <c r="J103" s="584">
        <v>2017</v>
      </c>
      <c r="K103" s="584">
        <v>2018</v>
      </c>
      <c r="L103" s="584">
        <v>2019</v>
      </c>
      <c r="M103" s="584">
        <v>2020</v>
      </c>
    </row>
    <row r="104" spans="1:13" s="45" customFormat="1">
      <c r="A104" s="586" t="s">
        <v>17</v>
      </c>
      <c r="B104" s="595"/>
      <c r="C104" s="595"/>
      <c r="D104" s="595"/>
      <c r="E104" s="595"/>
      <c r="F104" s="595"/>
      <c r="G104" s="35">
        <f>((GETPIVOTDATA("Sum of 2014",$A$93,"Rate Class","Residential")+(GETPIVOTDATA("Sum of 2014",$A$93,"Rate Class","RF 2014")*'Allocation to Rate Classes'!$H$53))*1000)/2</f>
        <v>522086.90374498384</v>
      </c>
      <c r="H104" s="35">
        <f>((GETPIVOTDATA("Sum of 2015",$A$93,"Rate Class","Residential")+(GETPIVOTDATA("Sum of 2015",$A$93,"Rate Class","RF 2014")*'Allocation to Rate Classes'!$H$53))*1000)</f>
        <v>1043234.0642092141</v>
      </c>
      <c r="I104" s="35">
        <f>((GETPIVOTDATA("Sum of 2016",$A$93,"Rate Class","Residential")+(GETPIVOTDATA("Sum of 2016",$A$93,"Rate Class","RF 2014")*'Allocation to Rate Classes'!$H$53))*1000)</f>
        <v>998675.83520503622</v>
      </c>
      <c r="J104" s="35">
        <f>((GETPIVOTDATA("Sum of 2017",$A$93,"Rate Class","Residential")+(GETPIVOTDATA("Sum of 2017",$A$93,"Rate Class","RF 2014")*'Allocation to Rate Classes'!$H$53))*1000)</f>
        <v>839304.47525129223</v>
      </c>
      <c r="K104" s="35">
        <f>((GETPIVOTDATA("Sum of 2018",$A$93,"Rate Class","Residential")+(GETPIVOTDATA("Sum of 2018",$A$93,"Rate Class","RF 2014")*'Allocation to Rate Classes'!$H$53))*1000)</f>
        <v>810606.49582560477</v>
      </c>
      <c r="L104" s="35">
        <f>((GETPIVOTDATA("Sum of 2019",$A$93,"Rate Class","Residential")+(GETPIVOTDATA("Sum of 2019",$A$93,"Rate Class","RF 2014")*'Allocation to Rate Classes'!$H$53))*1000)</f>
        <v>793126.19165473711</v>
      </c>
      <c r="M104" s="35">
        <f>((GETPIVOTDATA("Sum of 2020",$A$93,"Rate Class","Residential")+(GETPIVOTDATA("Sum of 2020",$A$93,"Rate Class","RF 2014")*'Allocation to Rate Classes'!$H$53))*1000)</f>
        <v>791723.02831719606</v>
      </c>
    </row>
    <row r="105" spans="1:13" s="45" customFormat="1">
      <c r="A105" s="586" t="s">
        <v>70</v>
      </c>
      <c r="B105" s="595"/>
      <c r="C105" s="595"/>
      <c r="D105" s="595"/>
      <c r="E105" s="595"/>
      <c r="F105" s="595"/>
      <c r="G105" s="35">
        <f>(((GETPIVOTDATA("Sum of 2014",$A$93,"Rate Class","AU 2014")*'Allocation to Rate Classes'!$B$46)+(GETPIVOTDATA("Sum of 2014",'KH MWh Savings Pivot'!$A$93,"Rate Class","DI 2014")*'Allocation to Rate Classes'!$B$39)+(GETPIVOTDATA("Sum of 2014",'KH MWh Savings Pivot'!$A$93,"Rate Class","HP 2014")*'Allocation to Rate Classes'!$B$60)+(GETPIVOTDATA("Sum of 2014",'KH MWh Savings Pivot'!$A$93,"Rate Class","RF 2014")*'Allocation to Rate Classes'!$B$53))*1000)/2</f>
        <v>406204.00706009357</v>
      </c>
      <c r="H105" s="35">
        <f>(((GETPIVOTDATA("Sum of 2015",$A$93,"Rate Class","AU 2014")*'Allocation to Rate Classes'!$B$46)+(GETPIVOTDATA("Sum of 2015",'KH MWh Savings Pivot'!$A$93,"Rate Class","DI 2014")*'Allocation to Rate Classes'!$B$39)+(GETPIVOTDATA("Sum of 2015",'KH MWh Savings Pivot'!$A$93,"Rate Class","HP 2014")*'Allocation to Rate Classes'!$B$60)+(GETPIVOTDATA("Sum of 2015",'KH MWh Savings Pivot'!$A$93,"Rate Class","RF 2014")*'Allocation to Rate Classes'!$B$53))*1000)</f>
        <v>812408.01412018714</v>
      </c>
      <c r="I105" s="35">
        <f>(((GETPIVOTDATA("Sum of 2016",$A$93,"Rate Class","AU 2014")*'Allocation to Rate Classes'!$B$46)+(GETPIVOTDATA("Sum of 2016",'KH MWh Savings Pivot'!$A$93,"Rate Class","DI 2014")*'Allocation to Rate Classes'!$B$39)+(GETPIVOTDATA("Sum of 2016",'KH MWh Savings Pivot'!$A$93,"Rate Class","HP 2014")*'Allocation to Rate Classes'!$B$60)+(GETPIVOTDATA("Sum of 2016",'KH MWh Savings Pivot'!$A$93,"Rate Class","RF 2014")*'Allocation to Rate Classes'!$B$53))*1000)</f>
        <v>803574.61545624258</v>
      </c>
      <c r="J105" s="35">
        <f>(((GETPIVOTDATA("Sum of 2017",$A$93,"Rate Class","AU 2014")*'Allocation to Rate Classes'!$B$46)+(GETPIVOTDATA("Sum of 2017",'KH MWh Savings Pivot'!$A$93,"Rate Class","DI 2014")*'Allocation to Rate Classes'!$B$39)+(GETPIVOTDATA("Sum of 2017",'KH MWh Savings Pivot'!$A$93,"Rate Class","HP 2014")*'Allocation to Rate Classes'!$B$60)+(GETPIVOTDATA("Sum of 2017",'KH MWh Savings Pivot'!$A$93,"Rate Class","RF 2014")*'Allocation to Rate Classes'!$B$53))*1000)</f>
        <v>724669.55422772828</v>
      </c>
      <c r="K105" s="35">
        <f>(((GETPIVOTDATA("Sum of 2018",$A$93,"Rate Class","AU 2014")*'Allocation to Rate Classes'!$B$46)+(GETPIVOTDATA("Sum of 2018",'KH MWh Savings Pivot'!$A$93,"Rate Class","DI 2014")*'Allocation to Rate Classes'!$B$39)+(GETPIVOTDATA("Sum of 2018",'KH MWh Savings Pivot'!$A$93,"Rate Class","HP 2014")*'Allocation to Rate Classes'!$B$60)+(GETPIVOTDATA("Sum of 2018",'KH MWh Savings Pivot'!$A$93,"Rate Class","RF 2014")*'Allocation to Rate Classes'!$B$53))*1000)</f>
        <v>533687.61351288133</v>
      </c>
      <c r="L105" s="35">
        <f>(((GETPIVOTDATA("Sum of 2019",$A$93,"Rate Class","AU 2014")*'Allocation to Rate Classes'!$B$46)+(GETPIVOTDATA("Sum of 2019",'KH MWh Savings Pivot'!$A$93,"Rate Class","DI 2014")*'Allocation to Rate Classes'!$B$39)+(GETPIVOTDATA("Sum of 2019",'KH MWh Savings Pivot'!$A$93,"Rate Class","HP 2014")*'Allocation to Rate Classes'!$B$60)+(GETPIVOTDATA("Sum of 2019",'KH MWh Savings Pivot'!$A$93,"Rate Class","RF 2014")*'Allocation to Rate Classes'!$B$53))*1000)</f>
        <v>532784.71835315006</v>
      </c>
      <c r="M105" s="35">
        <f>(((GETPIVOTDATA("Sum of 2020",$A$93,"Rate Class","AU 2014")*'Allocation to Rate Classes'!$B$46)+(GETPIVOTDATA("Sum of 2020",'KH MWh Savings Pivot'!$A$93,"Rate Class","DI 2014")*'Allocation to Rate Classes'!$B$39)+(GETPIVOTDATA("Sum of 2020",'KH MWh Savings Pivot'!$A$93,"Rate Class","HP 2014")*'Allocation to Rate Classes'!$B$60)+(GETPIVOTDATA("Sum of 2020",'KH MWh Savings Pivot'!$A$93,"Rate Class","RF 2014")*'Allocation to Rate Classes'!$B$53))*1000)</f>
        <v>532784.71835315006</v>
      </c>
    </row>
    <row r="106" spans="1:13" s="45" customFormat="1">
      <c r="A106" s="586" t="s">
        <v>71</v>
      </c>
      <c r="B106" s="595"/>
      <c r="C106" s="595"/>
      <c r="D106" s="595"/>
      <c r="E106" s="595"/>
      <c r="F106" s="595"/>
      <c r="G106" s="35">
        <f>(((GETPIVOTDATA("Sum of 2014",$A$93,"Rate Class","AU 2014")*'Allocation to Rate Classes'!$D$46)+(GETPIVOTDATA("Sum of 2014",'KH MWh Savings Pivot'!$A$93,"Rate Class","DI 2014")*'Allocation to Rate Classes'!$D$39)+(GETPIVOTDATA("Sum of 2014",'KH MWh Savings Pivot'!$A$93,"Rate Class","HP 2014")*'Allocation to Rate Classes'!$D$60)+(GETPIVOTDATA("Sum of 2014",'KH MWh Savings Pivot'!$A$93,"Rate Class","RF 2014")*'Allocation to Rate Classes'!$D$53))*1000)/2</f>
        <v>819789.6168605003</v>
      </c>
      <c r="H106" s="35">
        <f>(((GETPIVOTDATA("Sum of 2015",$A$93,"Rate Class","AU 2014")*'Allocation to Rate Classes'!$D$46)+(GETPIVOTDATA("Sum of 2015",'KH MWh Savings Pivot'!$A$93,"Rate Class","DI 2014")*'Allocation to Rate Classes'!$D$39)+(GETPIVOTDATA("Sum of 2015",'KH MWh Savings Pivot'!$A$93,"Rate Class","HP 2014")*'Allocation to Rate Classes'!$D$60)+(GETPIVOTDATA("Sum of 2015",'KH MWh Savings Pivot'!$A$93,"Rate Class","RF 2014")*'Allocation to Rate Classes'!$D$53))*1000)</f>
        <v>1639579.2337210006</v>
      </c>
      <c r="I106" s="35">
        <f>(((GETPIVOTDATA("Sum of 2016",$A$93,"Rate Class","AU 2014")*'Allocation to Rate Classes'!$D$46)+(GETPIVOTDATA("Sum of 2016",'KH MWh Savings Pivot'!$A$93,"Rate Class","DI 2014")*'Allocation to Rate Classes'!$D$39)+(GETPIVOTDATA("Sum of 2016",'KH MWh Savings Pivot'!$A$93,"Rate Class","HP 2014")*'Allocation to Rate Classes'!$D$60)+(GETPIVOTDATA("Sum of 2016",'KH MWh Savings Pivot'!$A$93,"Rate Class","RF 2014")*'Allocation to Rate Classes'!$D$53))*1000)</f>
        <v>1637734.8977362211</v>
      </c>
      <c r="J106" s="35">
        <f>(((GETPIVOTDATA("Sum of 2017",$A$93,"Rate Class","AU 2014")*'Allocation to Rate Classes'!$D$46)+(GETPIVOTDATA("Sum of 2017",'KH MWh Savings Pivot'!$A$93,"Rate Class","DI 2014")*'Allocation to Rate Classes'!$D$39)+(GETPIVOTDATA("Sum of 2017",'KH MWh Savings Pivot'!$A$93,"Rate Class","HP 2014")*'Allocation to Rate Classes'!$D$60)+(GETPIVOTDATA("Sum of 2017",'KH MWh Savings Pivot'!$A$93,"Rate Class","RF 2014")*'Allocation to Rate Classes'!$D$53))*1000)</f>
        <v>1556710.6668591488</v>
      </c>
      <c r="K106" s="35">
        <f>(((GETPIVOTDATA("Sum of 2018",$A$93,"Rate Class","AU 2014")*'Allocation to Rate Classes'!$D$46)+(GETPIVOTDATA("Sum of 2018",'KH MWh Savings Pivot'!$A$93,"Rate Class","DI 2014")*'Allocation to Rate Classes'!$D$39)+(GETPIVOTDATA("Sum of 2018",'KH MWh Savings Pivot'!$A$93,"Rate Class","HP 2014")*'Allocation to Rate Classes'!$D$60)+(GETPIVOTDATA("Sum of 2018",'KH MWh Savings Pivot'!$A$93,"Rate Class","RF 2014")*'Allocation to Rate Classes'!$D$53))*1000)</f>
        <v>1259817.2536432093</v>
      </c>
      <c r="L106" s="35">
        <f>(((GETPIVOTDATA("Sum of 2019",$A$93,"Rate Class","AU 2014")*'Allocation to Rate Classes'!$D$46)+(GETPIVOTDATA("Sum of 2019",'KH MWh Savings Pivot'!$A$93,"Rate Class","DI 2014")*'Allocation to Rate Classes'!$D$39)+(GETPIVOTDATA("Sum of 2019",'KH MWh Savings Pivot'!$A$93,"Rate Class","HP 2014")*'Allocation to Rate Classes'!$D$60)+(GETPIVOTDATA("Sum of 2019",'KH MWh Savings Pivot'!$A$93,"Rate Class","RF 2014")*'Allocation to Rate Classes'!$D$53))*1000)</f>
        <v>1257100.0564459104</v>
      </c>
      <c r="M106" s="35">
        <f>(((GETPIVOTDATA("Sum of 2020",$A$93,"Rate Class","AU 2014")*'Allocation to Rate Classes'!$D$46)+(GETPIVOTDATA("Sum of 2020",'KH MWh Savings Pivot'!$A$93,"Rate Class","DI 2014")*'Allocation to Rate Classes'!$D$39)+(GETPIVOTDATA("Sum of 2020",'KH MWh Savings Pivot'!$A$93,"Rate Class","HP 2014")*'Allocation to Rate Classes'!$D$60)+(GETPIVOTDATA("Sum of 2020",'KH MWh Savings Pivot'!$A$93,"Rate Class","RF 2014")*'Allocation to Rate Classes'!$D$53))*1000)</f>
        <v>1257100.0564459104</v>
      </c>
    </row>
    <row r="107" spans="1:13" s="45" customFormat="1">
      <c r="A107" s="586" t="s">
        <v>57</v>
      </c>
      <c r="B107" s="595"/>
      <c r="C107" s="595"/>
      <c r="D107" s="595"/>
      <c r="E107" s="595"/>
      <c r="F107" s="595"/>
      <c r="G107" s="35">
        <f>((GETPIVOTDATA("Sum of 2014",$A$93,"Rate Class","RF 2014")*'Allocation to Rate Classes'!$F$53)*1000)/2</f>
        <v>50616.151834422322</v>
      </c>
      <c r="H107" s="35">
        <f>((GETPIVOTDATA("Sum of 2015",$A$93,"Rate Class","RF 2014")*'Allocation to Rate Classes'!$F$53)*1000)</f>
        <v>101232.30366884464</v>
      </c>
      <c r="I107" s="35">
        <f>((GETPIVOTDATA("Sum of 2016",$A$93,"Rate Class","RF 2014")*'Allocation to Rate Classes'!$F$53)*1000)</f>
        <v>101232.30366884464</v>
      </c>
      <c r="J107" s="35">
        <f>((GETPIVOTDATA("Sum of 2017",$A$93,"Rate Class","RF 2014")*'Allocation to Rate Classes'!$F$53)*1000)</f>
        <v>95736.011101675365</v>
      </c>
      <c r="K107" s="35">
        <f>((GETPIVOTDATA("Sum of 2018",$A$93,"Rate Class","RF 2014")*'Allocation to Rate Classes'!$F$53)*1000)</f>
        <v>94922.645165569309</v>
      </c>
      <c r="L107" s="35">
        <f>((GETPIVOTDATA("Sum of 2019",$A$93,"Rate Class","RF 2014")*'Allocation to Rate Classes'!$F$53)*1000)</f>
        <v>94707.33198355377</v>
      </c>
      <c r="M107" s="35">
        <f>((GETPIVOTDATA("Sum of 2020",$A$93,"Rate Class","RF 2014")*'Allocation to Rate Classes'!$F$53)*1000)</f>
        <v>94707.33198355377</v>
      </c>
    </row>
    <row r="108" spans="1:13" s="45" customFormat="1">
      <c r="A108" s="586"/>
      <c r="B108" s="584"/>
      <c r="C108" s="584"/>
      <c r="D108" s="584"/>
      <c r="E108" s="584"/>
      <c r="F108" s="584"/>
    </row>
    <row r="109" spans="1:13">
      <c r="A109" s="583" t="s">
        <v>33</v>
      </c>
      <c r="B109" s="45" t="s">
        <v>481</v>
      </c>
      <c r="C109" s="45"/>
      <c r="D109" s="45"/>
      <c r="E109" s="45"/>
      <c r="F109" s="45"/>
      <c r="G109" s="45"/>
      <c r="H109" s="45"/>
      <c r="I109" s="45"/>
      <c r="J109" s="45"/>
      <c r="K109" s="45"/>
      <c r="L109" s="45"/>
      <c r="M109" s="45"/>
    </row>
    <row r="110" spans="1:13">
      <c r="A110" s="731" t="s">
        <v>556</v>
      </c>
      <c r="B110" s="731"/>
      <c r="C110" s="731"/>
      <c r="D110" s="731"/>
      <c r="E110" s="731"/>
      <c r="F110" s="45"/>
      <c r="G110" s="45"/>
      <c r="H110" s="45"/>
      <c r="I110" s="45"/>
      <c r="J110" s="45"/>
      <c r="K110" s="45"/>
      <c r="L110" s="45"/>
      <c r="M110" s="45"/>
    </row>
    <row r="111" spans="1:13">
      <c r="A111" s="583" t="s">
        <v>517</v>
      </c>
      <c r="B111" s="45" t="s">
        <v>558</v>
      </c>
      <c r="C111" s="45" t="s">
        <v>557</v>
      </c>
      <c r="D111" s="45" t="s">
        <v>545</v>
      </c>
      <c r="E111" s="45" t="s">
        <v>546</v>
      </c>
      <c r="F111" s="45" t="s">
        <v>547</v>
      </c>
      <c r="G111" s="45" t="s">
        <v>548</v>
      </c>
      <c r="H111" s="45" t="s">
        <v>549</v>
      </c>
      <c r="I111" s="45" t="s">
        <v>559</v>
      </c>
      <c r="J111" s="45" t="s">
        <v>560</v>
      </c>
      <c r="K111" s="45" t="s">
        <v>561</v>
      </c>
      <c r="L111" s="45" t="s">
        <v>562</v>
      </c>
      <c r="M111" s="45" t="s">
        <v>563</v>
      </c>
    </row>
    <row r="112" spans="1:13">
      <c r="A112" s="53" t="s">
        <v>474</v>
      </c>
      <c r="B112" s="35"/>
      <c r="C112" s="35"/>
      <c r="D112" s="35"/>
      <c r="E112" s="35"/>
      <c r="F112" s="35"/>
      <c r="G112" s="35"/>
      <c r="H112" s="35">
        <v>100.57815493751451</v>
      </c>
      <c r="I112" s="35">
        <v>252.96929878223347</v>
      </c>
      <c r="J112" s="35">
        <v>405.36044262695242</v>
      </c>
      <c r="K112" s="35">
        <v>557.75158647167143</v>
      </c>
      <c r="L112" s="35">
        <v>609.56457537887582</v>
      </c>
      <c r="M112" s="35">
        <v>609.56457537887582</v>
      </c>
    </row>
    <row r="113" spans="1:13">
      <c r="A113" s="587" t="s">
        <v>472</v>
      </c>
      <c r="B113" s="597"/>
      <c r="C113" s="597"/>
      <c r="D113" s="597"/>
      <c r="E113" s="597"/>
      <c r="F113" s="597"/>
      <c r="G113" s="597"/>
      <c r="H113" s="597">
        <v>0</v>
      </c>
      <c r="I113" s="35">
        <v>397.99679561551812</v>
      </c>
      <c r="J113" s="35">
        <v>832.17511810517431</v>
      </c>
      <c r="K113" s="35">
        <v>1302.5349674689683</v>
      </c>
      <c r="L113" s="35">
        <v>1809.0763437069004</v>
      </c>
      <c r="M113" s="35">
        <v>2351.7992468189709</v>
      </c>
    </row>
    <row r="114" spans="1:13">
      <c r="A114" s="587" t="s">
        <v>71</v>
      </c>
      <c r="B114" s="597"/>
      <c r="C114" s="597"/>
      <c r="D114" s="597"/>
      <c r="E114" s="597"/>
      <c r="F114" s="597"/>
      <c r="G114" s="597"/>
      <c r="H114" s="597">
        <v>0</v>
      </c>
      <c r="I114" s="35">
        <v>401.80369679491241</v>
      </c>
      <c r="J114" s="35">
        <v>803.60739358982482</v>
      </c>
      <c r="K114" s="35">
        <v>1205.4110903847372</v>
      </c>
      <c r="L114" s="35">
        <v>1506.7638629809217</v>
      </c>
      <c r="M114" s="35">
        <v>1808.1166355771061</v>
      </c>
    </row>
    <row r="115" spans="1:13">
      <c r="A115" s="53" t="s">
        <v>473</v>
      </c>
      <c r="B115" s="35"/>
      <c r="C115" s="35"/>
      <c r="D115" s="35"/>
      <c r="E115" s="35"/>
      <c r="F115" s="35"/>
      <c r="G115" s="35"/>
      <c r="H115" s="35">
        <v>60.119840795330255</v>
      </c>
      <c r="I115" s="35">
        <v>174.63382326262595</v>
      </c>
      <c r="J115" s="35">
        <v>289.14780572992163</v>
      </c>
      <c r="K115" s="35">
        <v>403.66178819721739</v>
      </c>
      <c r="L115" s="35">
        <v>518.17577066451315</v>
      </c>
      <c r="M115" s="35">
        <v>632.68975313180886</v>
      </c>
    </row>
    <row r="116" spans="1:13">
      <c r="A116" s="53" t="s">
        <v>57</v>
      </c>
      <c r="B116" s="35"/>
      <c r="C116" s="35"/>
      <c r="D116" s="35"/>
      <c r="E116" s="35"/>
      <c r="F116" s="35"/>
      <c r="G116" s="35"/>
      <c r="H116" s="35">
        <v>100.4509241987281</v>
      </c>
      <c r="I116" s="35">
        <v>8056.6261949893078</v>
      </c>
      <c r="J116" s="35">
        <v>11098.280179726797</v>
      </c>
      <c r="K116" s="35">
        <v>11500.083876521709</v>
      </c>
      <c r="L116" s="35">
        <v>11801.436649117892</v>
      </c>
      <c r="M116" s="35">
        <v>12102.789421714077</v>
      </c>
    </row>
    <row r="117" spans="1:13">
      <c r="A117" s="53" t="s">
        <v>17</v>
      </c>
      <c r="B117" s="35"/>
      <c r="C117" s="35"/>
      <c r="D117" s="35"/>
      <c r="E117" s="35"/>
      <c r="F117" s="35"/>
      <c r="G117" s="35"/>
      <c r="H117" s="35">
        <v>355.24218270097799</v>
      </c>
      <c r="I117" s="35">
        <v>499.16387425609543</v>
      </c>
      <c r="J117" s="35">
        <v>550.77175116784656</v>
      </c>
      <c r="K117" s="35">
        <v>602.37962807959775</v>
      </c>
      <c r="L117" s="35">
        <v>653.98750499134894</v>
      </c>
      <c r="M117" s="35">
        <v>705.59538190310013</v>
      </c>
    </row>
    <row r="118" spans="1:13">
      <c r="A118" s="53" t="s">
        <v>471</v>
      </c>
      <c r="B118" s="35"/>
      <c r="C118" s="35"/>
      <c r="D118" s="35"/>
      <c r="E118" s="35"/>
      <c r="F118" s="35"/>
      <c r="G118" s="35"/>
      <c r="H118" s="35">
        <v>2229.8638588624331</v>
      </c>
      <c r="I118" s="35">
        <v>5134.4901161313128</v>
      </c>
      <c r="J118" s="35">
        <v>8406.3463909489692</v>
      </c>
      <c r="K118" s="35">
        <v>12131.196677887034</v>
      </c>
      <c r="L118" s="35">
        <v>16309.040976945511</v>
      </c>
      <c r="M118" s="35">
        <v>20939.879288124397</v>
      </c>
    </row>
    <row r="119" spans="1:13">
      <c r="A119" s="53" t="s">
        <v>519</v>
      </c>
      <c r="B119" s="35"/>
      <c r="C119" s="35"/>
      <c r="D119" s="35"/>
      <c r="E119" s="35"/>
      <c r="F119" s="35"/>
      <c r="G119" s="35"/>
      <c r="H119" s="35">
        <v>2846.2549614949839</v>
      </c>
      <c r="I119" s="35">
        <v>14917.683799832004</v>
      </c>
      <c r="J119" s="35">
        <v>22385.689081895485</v>
      </c>
      <c r="K119" s="35">
        <v>27703.019615010933</v>
      </c>
      <c r="L119" s="35">
        <v>33208.045683785967</v>
      </c>
      <c r="M119" s="35">
        <v>39150.43430264834</v>
      </c>
    </row>
    <row r="121" spans="1:13">
      <c r="A121" s="731" t="s">
        <v>570</v>
      </c>
      <c r="B121" s="731"/>
      <c r="C121" s="731"/>
      <c r="D121" s="731"/>
      <c r="E121" s="731"/>
      <c r="F121" s="731"/>
      <c r="G121" s="731"/>
      <c r="H121" s="731"/>
      <c r="I121" s="731"/>
      <c r="J121" s="731"/>
      <c r="K121" s="731"/>
      <c r="L121" s="731"/>
      <c r="M121" s="731"/>
    </row>
    <row r="122" spans="1:13">
      <c r="B122" s="584">
        <v>2009</v>
      </c>
      <c r="C122" s="584">
        <v>2010</v>
      </c>
      <c r="D122" s="584">
        <v>2011</v>
      </c>
      <c r="E122" s="584">
        <v>2012</v>
      </c>
      <c r="F122" s="584">
        <v>2013</v>
      </c>
      <c r="G122" s="584">
        <v>2014</v>
      </c>
      <c r="H122" s="584">
        <v>2015</v>
      </c>
      <c r="I122" s="584">
        <v>2016</v>
      </c>
      <c r="J122" s="584">
        <v>2017</v>
      </c>
      <c r="K122" s="584">
        <v>2018</v>
      </c>
      <c r="L122" s="584">
        <v>2019</v>
      </c>
      <c r="M122" s="584">
        <v>2020</v>
      </c>
    </row>
    <row r="123" spans="1:13">
      <c r="A123" s="586" t="s">
        <v>17</v>
      </c>
      <c r="B123" s="35"/>
      <c r="C123" s="35"/>
      <c r="D123" s="35"/>
      <c r="E123" s="35"/>
      <c r="F123" s="35"/>
      <c r="G123" s="35"/>
      <c r="H123" s="35">
        <f>((GETPIVOTDATA("Sum of 2015",$A$111,"Rate Class","Residential")+(GETPIVOTDATA("Sum of 2015",$A$111,"Rate Class","RF 2015-20")*'Allocation to Rate Classes'!$H$54))*1000)/2</f>
        <v>181705.71754005147</v>
      </c>
      <c r="I123" s="35">
        <f>((GETPIVOTDATA("Sum of 2016",$A$111,"Rate Class","Residential")+(GETPIVOTDATA("Sum of 2016",$A$111,"Rate Class","RF 2015-20")*'Allocation to Rate Classes'!$H$54))*1000)</f>
        <v>517974.41528087232</v>
      </c>
      <c r="J123" s="35">
        <f>((GETPIVOTDATA("Sum of 2017",$A$111,"Rate Class","Residential")+(GETPIVOTDATA("Sum of 2017",$A$111,"Rate Class","RF 2015-20")*'Allocation to Rate Classes'!$H$54))*1000)</f>
        <v>581568.95207366417</v>
      </c>
      <c r="K123" s="35">
        <f>((GETPIVOTDATA("Sum of 2018",$A$111,"Rate Class","Residential")+(GETPIVOTDATA("Sum of 2018",$A$111,"Rate Class","RF 2015-20")*'Allocation to Rate Classes'!$H$54))*1000)</f>
        <v>646823.06211642653</v>
      </c>
      <c r="L123" s="35">
        <f>((GETPIVOTDATA("Sum of 2019",$A$111,"Rate Class","Residential")+(GETPIVOTDATA("Sum of 2019",$A$111,"Rate Class","RF 2015-20")*'Allocation to Rate Classes'!$H$54))*1000)</f>
        <v>713736.74540915934</v>
      </c>
      <c r="M123" s="35">
        <f>((GETPIVOTDATA("Sum of 2020",$A$111,"Rate Class","Residential")+(GETPIVOTDATA("Sum of 2020",$A$111,"Rate Class","RF 2015-20")*'Allocation to Rate Classes'!$H$54))*1000)</f>
        <v>782310.00195186271</v>
      </c>
    </row>
    <row r="124" spans="1:13">
      <c r="A124" s="586" t="s">
        <v>70</v>
      </c>
      <c r="B124" s="35"/>
      <c r="C124" s="35"/>
      <c r="D124" s="35"/>
      <c r="E124" s="35"/>
      <c r="F124" s="35"/>
      <c r="G124" s="35"/>
      <c r="H124" s="35">
        <f>(((GETPIVOTDATA("Sum of 2015",$A$111,"Rate Class","AU 2015-20")*'Allocation to Rate Classes'!$B$47)+(GETPIVOTDATA("Sum of 2015",'KH MWh Savings Pivot'!$A$111,"Rate Class","DI 2015-20")*'Allocation to Rate Classes'!$B$40)+(GETPIVOTDATA("Sum of 2015",'KH MWh Savings Pivot'!$A$111,"Rate Class","HP 2015-20")*'Allocation to Rate Classes'!$B$61)+(GETPIVOTDATA("Sum of 2015",'KH MWh Savings Pivot'!$A$111,"Rate Class","RF 2015-20")*'Allocation to Rate Classes'!$B$54))*1000)/2</f>
        <v>135731.6256015221</v>
      </c>
      <c r="I124" s="35">
        <f>(((GETPIVOTDATA("Sum of 2016",$A$111,"Rate Class","AU 2015-20")*'Allocation to Rate Classes'!$B$47)+(GETPIVOTDATA("Sum of 2016",'KH MWh Savings Pivot'!$A$111,"Rate Class","DI 2015-20")*'Allocation to Rate Classes'!$B$40)+(GETPIVOTDATA("Sum of 2016",'KH MWh Savings Pivot'!$A$111,"Rate Class","HP 2015-20")*'Allocation to Rate Classes'!$B$61)+(GETPIVOTDATA("Sum of 2016",'KH MWh Savings Pivot'!$A$111,"Rate Class","RF 2015-20")*'Allocation to Rate Classes'!$B$54))*1000)</f>
        <v>997809.39378643211</v>
      </c>
      <c r="J124" s="35">
        <f>(((GETPIVOTDATA("Sum of 2017",$A$111,"Rate Class","AU 2015-20")*'Allocation to Rate Classes'!$B$47)+(GETPIVOTDATA("Sum of 2017",'KH MWh Savings Pivot'!$A$111,"Rate Class","DI 2015-20")*'Allocation to Rate Classes'!$B$40)+(GETPIVOTDATA("Sum of 2017",'KH MWh Savings Pivot'!$A$111,"Rate Class","HP 2015-20")*'Allocation to Rate Classes'!$B$61)+(GETPIVOTDATA("Sum of 2017",'KH MWh Savings Pivot'!$A$111,"Rate Class","RF 2015-20")*'Allocation to Rate Classes'!$B$54))*1000)</f>
        <v>1795482.0288606647</v>
      </c>
      <c r="K124" s="35">
        <f>(((GETPIVOTDATA("Sum of 2018",$A$111,"Rate Class","AU 2015-20")*'Allocation to Rate Classes'!$B$47)+(GETPIVOTDATA("Sum of 2018",'KH MWh Savings Pivot'!$A$111,"Rate Class","DI 2015-20")*'Allocation to Rate Classes'!$B$40)+(GETPIVOTDATA("Sum of 2018",'KH MWh Savings Pivot'!$A$111,"Rate Class","HP 2015-20")*'Allocation to Rate Classes'!$B$61)+(GETPIVOTDATA("Sum of 2018",'KH MWh Savings Pivot'!$A$111,"Rate Class","RF 2015-20")*'Allocation to Rate Classes'!$B$54))*1000)</f>
        <v>2673492.4927453413</v>
      </c>
      <c r="L124" s="35">
        <f>(((GETPIVOTDATA("Sum of 2019",$A$111,"Rate Class","AU 2015-20")*'Allocation to Rate Classes'!$B$47)+(GETPIVOTDATA("Sum of 2019",'KH MWh Savings Pivot'!$A$111,"Rate Class","DI 2015-20")*'Allocation to Rate Classes'!$B$40)+(GETPIVOTDATA("Sum of 2019",'KH MWh Savings Pivot'!$A$111,"Rate Class","HP 2015-20")*'Allocation to Rate Classes'!$B$61)+(GETPIVOTDATA("Sum of 2019",'KH MWh Savings Pivot'!$A$111,"Rate Class","RF 2015-20")*'Allocation to Rate Classes'!$B$54))*1000)</f>
        <v>3606696.2467060839</v>
      </c>
      <c r="M124" s="35">
        <f>(((GETPIVOTDATA("Sum of 2020",$A$111,"Rate Class","AU 2015-20")*'Allocation to Rate Classes'!$B$47)+(GETPIVOTDATA("Sum of 2020",'KH MWh Savings Pivot'!$A$111,"Rate Class","DI 2015-20")*'Allocation to Rate Classes'!$B$40)+(GETPIVOTDATA("Sum of 2020",'KH MWh Savings Pivot'!$A$111,"Rate Class","HP 2015-20")*'Allocation to Rate Classes'!$B$61)+(GETPIVOTDATA("Sum of 2020",'KH MWh Savings Pivot'!$A$111,"Rate Class","RF 2015-20")*'Allocation to Rate Classes'!$B$54))*1000)</f>
        <v>4607284.5822504694</v>
      </c>
    </row>
    <row r="125" spans="1:13">
      <c r="A125" s="586" t="s">
        <v>71</v>
      </c>
      <c r="B125" s="35"/>
      <c r="C125" s="35"/>
      <c r="D125" s="35"/>
      <c r="E125" s="35"/>
      <c r="F125" s="35"/>
      <c r="G125" s="35"/>
      <c r="H125" s="35">
        <f>((GETPIVOTDATA("Sum of 2015",$A$111,"Rate Class","GS Greater Than 50kW")+(GETPIVOTDATA("Sum of 2015",$A$111,"Rate Class","AU 2015-20")*'Allocation to Rate Classes'!$D$47)+(GETPIVOTDATA("Sum of 2015",'KH MWh Savings Pivot'!$A$111,"Rate Class","DI 2015-20")*'Allocation to Rate Classes'!$D$40)+(GETPIVOTDATA("Sum of 2015",'KH MWh Savings Pivot'!$A$111,"Rate Class","HP 2015-20")*'Allocation to Rate Classes'!$D$61)+(GETPIVOTDATA("Sum of 2015",'KH MWh Savings Pivot'!$A$111,"Rate Class","RF 2015-20")*'Allocation to Rate Classes'!$D$54))*1000)/2</f>
        <v>601192.67822346475</v>
      </c>
      <c r="I125" s="35">
        <f>((GETPIVOTDATA("Sum of 2016",$A$111,"Rate Class","GS Greater Than 50kW")+(GETPIVOTDATA("Sum of 2016",$A$111,"Rate Class","AU 2015-20")*'Allocation to Rate Classes'!$D$47)+(GETPIVOTDATA("Sum of 2016",'KH MWh Savings Pivot'!$A$111,"Rate Class","DI 2015-20")*'Allocation to Rate Classes'!$D$40)+(GETPIVOTDATA("Sum of 2016",'KH MWh Savings Pivot'!$A$111,"Rate Class","HP 2015-20")*'Allocation to Rate Classes'!$D$61)+(GETPIVOTDATA("Sum of 2016",'KH MWh Savings Pivot'!$A$111,"Rate Class","RF 2015-20")*'Allocation to Rate Classes'!$D$54))*1000)</f>
        <v>3224468.3574159634</v>
      </c>
      <c r="J125" s="35">
        <f>((GETPIVOTDATA("Sum of 2017",$A$111,"Rate Class","GS Greater Than 50kW")+(GETPIVOTDATA("Sum of 2017",$A$111,"Rate Class","AU 2015-20")*'Allocation to Rate Classes'!$D$47)+(GETPIVOTDATA("Sum of 2017",'KH MWh Savings Pivot'!$A$111,"Rate Class","DI 2015-20")*'Allocation to Rate Classes'!$D$40)+(GETPIVOTDATA("Sum of 2017",'KH MWh Savings Pivot'!$A$111,"Rate Class","HP 2015-20")*'Allocation to Rate Classes'!$D$61)+(GETPIVOTDATA("Sum of 2017",'KH MWh Savings Pivot'!$A$111,"Rate Class","RF 2015-20")*'Allocation to Rate Classes'!$D$54))*1000)</f>
        <v>5440897.9306131564</v>
      </c>
      <c r="K125" s="35">
        <f>((GETPIVOTDATA("Sum of 2018",$A$111,"Rate Class","GS Greater Than 50kW")+(GETPIVOTDATA("Sum of 2018",$A$111,"Rate Class","AU 2015-20")*'Allocation to Rate Classes'!$D$47)+(GETPIVOTDATA("Sum of 2018",'KH MWh Savings Pivot'!$A$111,"Rate Class","DI 2015-20")*'Allocation to Rate Classes'!$D$40)+(GETPIVOTDATA("Sum of 2018",'KH MWh Savings Pivot'!$A$111,"Rate Class","HP 2015-20")*'Allocation to Rate Classes'!$D$61)+(GETPIVOTDATA("Sum of 2018",'KH MWh Savings Pivot'!$A$111,"Rate Class","RF 2015-20")*'Allocation to Rate Classes'!$D$54))*1000)</f>
        <v>7896258.8785567386</v>
      </c>
      <c r="L125" s="35">
        <f>((GETPIVOTDATA("Sum of 2019",$A$111,"Rate Class","GS Greater Than 50kW")+(GETPIVOTDATA("Sum of 2019",$A$111,"Rate Class","AU 2015-20")*'Allocation to Rate Classes'!$D$47)+(GETPIVOTDATA("Sum of 2019",'KH MWh Savings Pivot'!$A$111,"Rate Class","DI 2015-20")*'Allocation to Rate Classes'!$D$40)+(GETPIVOTDATA("Sum of 2019",'KH MWh Savings Pivot'!$A$111,"Rate Class","HP 2015-20")*'Allocation to Rate Classes'!$D$61)+(GETPIVOTDATA("Sum of 2019",'KH MWh Savings Pivot'!$A$111,"Rate Class","RF 2015-20")*'Allocation to Rate Classes'!$D$54))*1000)</f>
        <v>10464955.738313606</v>
      </c>
      <c r="M125" s="35">
        <f>((GETPIVOTDATA("Sum of 2020",$A$111,"Rate Class","GS Greater Than 50kW")+(GETPIVOTDATA("Sum of 2020",$A$111,"Rate Class","AU 2015-20")*'Allocation to Rate Classes'!$D$47)+(GETPIVOTDATA("Sum of 2020",'KH MWh Savings Pivot'!$A$111,"Rate Class","DI 2015-20")*'Allocation to Rate Classes'!$D$40)+(GETPIVOTDATA("Sum of 2020",'KH MWh Savings Pivot'!$A$111,"Rate Class","HP 2015-20")*'Allocation to Rate Classes'!$D$61)+(GETPIVOTDATA("Sum of 2020",'KH MWh Savings Pivot'!$A$111,"Rate Class","RF 2015-20")*'Allocation to Rate Classes'!$D$54))*1000)</f>
        <v>13259630.725590058</v>
      </c>
    </row>
    <row r="126" spans="1:13">
      <c r="A126" s="586" t="s">
        <v>57</v>
      </c>
      <c r="B126" s="35"/>
      <c r="C126" s="35"/>
      <c r="D126" s="35"/>
      <c r="E126" s="35"/>
      <c r="F126" s="35"/>
      <c r="G126" s="35"/>
      <c r="H126" s="35">
        <f>((GETPIVOTDATA("Sum of 2015",$A$111,"Rate Class","Large User")+(GETPIVOTDATA("Sum of 2015",$A$111,"Rate Class","AU 2015-20")*'Allocation to Rate Classes'!$F$47)+(GETPIVOTDATA("Sum of 2015",'KH MWh Savings Pivot'!$A$111,"Rate Class","HP 2015-20")*'Allocation to Rate Classes'!$F$61)+(GETPIVOTDATA("Sum of 2015",'KH MWh Savings Pivot'!$A$111,"Rate Class","RF 2015-20")*'Allocation to Rate Classes'!$F$54))*1000)/2</f>
        <v>299418.53706033068</v>
      </c>
      <c r="I126" s="35">
        <f>((GETPIVOTDATA("Sum of 2016",$A$111,"Rate Class","Large User")+(GETPIVOTDATA("Sum of 2016",$A$111,"Rate Class","AU 2015-20")*'Allocation to Rate Classes'!$F$47)+(GETPIVOTDATA("Sum of 2016",'KH MWh Savings Pivot'!$A$111,"Rate Class","HP 2015-20")*'Allocation to Rate Classes'!$F$61)+(GETPIVOTDATA("Sum of 2016",'KH MWh Savings Pivot'!$A$111,"Rate Class","RF 2015-20")*'Allocation to Rate Classes'!$F$54))*1000)</f>
        <v>9233001.151187392</v>
      </c>
      <c r="J126" s="35">
        <f>((GETPIVOTDATA("Sum of 2017",$A$111,"Rate Class","Large User")+(GETPIVOTDATA("Sum of 2017",$A$111,"Rate Class","AU 2015-20")*'Allocation to Rate Classes'!$F$47)+(GETPIVOTDATA("Sum of 2017",'KH MWh Savings Pivot'!$A$111,"Rate Class","HP 2015-20")*'Allocation to Rate Classes'!$F$61)+(GETPIVOTDATA("Sum of 2017",'KH MWh Savings Pivot'!$A$111,"Rate Class","RF 2015-20")*'Allocation to Rate Classes'!$F$54))*1000)</f>
        <v>13021489.306941688</v>
      </c>
      <c r="K126" s="35">
        <f>((GETPIVOTDATA("Sum of 2018",$A$111,"Rate Class","Large User")+(GETPIVOTDATA("Sum of 2018",$A$111,"Rate Class","AU 2015-20")*'Allocation to Rate Classes'!$F$47)+(GETPIVOTDATA("Sum of 2018",'KH MWh Savings Pivot'!$A$111,"Rate Class","HP 2015-20")*'Allocation to Rate Classes'!$F$61)+(GETPIVOTDATA("Sum of 2018",'KH MWh Savings Pivot'!$A$111,"Rate Class","RF 2015-20")*'Allocation to Rate Classes'!$F$54))*1000)</f>
        <v>14255050.891496196</v>
      </c>
      <c r="L126" s="35">
        <f>((GETPIVOTDATA("Sum of 2019",$A$111,"Rate Class","Large User")+(GETPIVOTDATA("Sum of 2019",$A$111,"Rate Class","AU 2015-20")*'Allocation to Rate Classes'!$F$47)+(GETPIVOTDATA("Sum of 2019",'KH MWh Savings Pivot'!$A$111,"Rate Class","HP 2015-20")*'Allocation to Rate Classes'!$F$61)+(GETPIVOTDATA("Sum of 2019",'KH MWh Savings Pivot'!$A$111,"Rate Class","RF 2015-20")*'Allocation to Rate Classes'!$F$54))*1000)</f>
        <v>15422796.191126009</v>
      </c>
      <c r="M126" s="35">
        <f>((GETPIVOTDATA("Sum of 2020",$A$111,"Rate Class","Large User")+(GETPIVOTDATA("Sum of 2020",$A$111,"Rate Class","AU 2015-20")*'Allocation to Rate Classes'!$F$47)+(GETPIVOTDATA("Sum of 2020",'KH MWh Savings Pivot'!$A$111,"Rate Class","HP 2015-20")*'Allocation to Rate Classes'!$F$61)+(GETPIVOTDATA("Sum of 2020",'KH MWh Savings Pivot'!$A$111,"Rate Class","RF 2015-20")*'Allocation to Rate Classes'!$F$54))*1000)</f>
        <v>16649558.713045008</v>
      </c>
    </row>
    <row r="127" spans="1:13">
      <c r="A127" s="586"/>
      <c r="G127" t="s">
        <v>634</v>
      </c>
      <c r="H127" s="35">
        <f>SUM(H123:H126)</f>
        <v>1218048.558425369</v>
      </c>
      <c r="I127" s="35">
        <f t="shared" ref="I127:M127" si="0">SUM(I123:I126)</f>
        <v>13973253.31767066</v>
      </c>
      <c r="J127" s="35">
        <f t="shared" si="0"/>
        <v>20839438.218489174</v>
      </c>
      <c r="K127" s="35">
        <f t="shared" si="0"/>
        <v>25471625.324914701</v>
      </c>
      <c r="L127" s="35">
        <f t="shared" si="0"/>
        <v>30208184.921554856</v>
      </c>
      <c r="M127" s="35">
        <f t="shared" si="0"/>
        <v>35298784.0228374</v>
      </c>
    </row>
  </sheetData>
  <mergeCells count="14">
    <mergeCell ref="A2:E2"/>
    <mergeCell ref="A121:M121"/>
    <mergeCell ref="A110:E110"/>
    <mergeCell ref="A10:M10"/>
    <mergeCell ref="A25:M25"/>
    <mergeCell ref="A44:M44"/>
    <mergeCell ref="A63:M63"/>
    <mergeCell ref="A83:M83"/>
    <mergeCell ref="A102:M102"/>
    <mergeCell ref="A17:E17"/>
    <mergeCell ref="A32:E32"/>
    <mergeCell ref="A52:E52"/>
    <mergeCell ref="A72:E72"/>
    <mergeCell ref="A92:E92"/>
  </mergeCells>
  <pageMargins left="0.7" right="0.7" top="0.75" bottom="0.75" header="0.3" footer="0.3"/>
  <pageSetup scale="52" orientation="portrait" r:id="rId8"/>
  <legacy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topLeftCell="B13" zoomScaleNormal="100" workbookViewId="0">
      <selection activeCell="P46" sqref="P46"/>
    </sheetView>
  </sheetViews>
  <sheetFormatPr defaultRowHeight="15"/>
  <cols>
    <col min="1" max="1" width="49.85546875" bestFit="1" customWidth="1"/>
    <col min="2" max="5" width="11.85546875" bestFit="1" customWidth="1"/>
    <col min="6" max="11" width="12.28515625" bestFit="1" customWidth="1"/>
    <col min="12" max="13" width="12.42578125" bestFit="1" customWidth="1"/>
    <col min="15" max="15" width="11.7109375" bestFit="1" customWidth="1"/>
  </cols>
  <sheetData>
    <row r="1" spans="1:27" s="45" customFormat="1"/>
    <row r="2" spans="1:27">
      <c r="A2" s="589" t="s">
        <v>580</v>
      </c>
      <c r="B2" s="589">
        <v>2009</v>
      </c>
      <c r="C2" s="589">
        <v>2010</v>
      </c>
      <c r="D2" s="589">
        <v>2011</v>
      </c>
      <c r="E2" s="589">
        <v>2012</v>
      </c>
      <c r="F2" s="589">
        <v>2013</v>
      </c>
      <c r="G2" s="589">
        <v>2014</v>
      </c>
      <c r="H2" s="589">
        <v>2015</v>
      </c>
      <c r="I2" s="589">
        <v>2016</v>
      </c>
      <c r="J2" s="589">
        <v>2017</v>
      </c>
      <c r="K2" s="589">
        <v>2018</v>
      </c>
      <c r="L2" s="589">
        <v>2019</v>
      </c>
      <c r="M2" s="589">
        <v>2020</v>
      </c>
    </row>
    <row r="3" spans="1:27">
      <c r="A3" s="591" t="s">
        <v>572</v>
      </c>
      <c r="B3" s="35">
        <f>'KH MWh Savings Pivot'!B12</f>
        <v>258079.21812710026</v>
      </c>
      <c r="C3" s="35">
        <f>'KH MWh Savings Pivot'!C12</f>
        <v>505604.05151086615</v>
      </c>
      <c r="D3" s="35">
        <f>'KH MWh Savings Pivot'!D12</f>
        <v>505604.05151086615</v>
      </c>
      <c r="E3" s="35">
        <f>'KH MWh Savings Pivot'!E12</f>
        <v>504460.54298790556</v>
      </c>
      <c r="F3" s="35">
        <f>'KH MWh Savings Pivot'!F12</f>
        <v>473728.86872915045</v>
      </c>
      <c r="G3" s="35">
        <f>'KH MWh Savings Pivot'!G12</f>
        <v>376734.39521936764</v>
      </c>
      <c r="H3" s="35">
        <f>'KH MWh Savings Pivot'!H12</f>
        <v>329319.42198716803</v>
      </c>
      <c r="I3" s="35">
        <f>'KH MWh Savings Pivot'!I12</f>
        <v>328284.86129872652</v>
      </c>
      <c r="J3" s="35">
        <f>'KH MWh Savings Pivot'!J12</f>
        <v>261911.8570510759</v>
      </c>
      <c r="K3" s="35">
        <f>'KH MWh Savings Pivot'!K12</f>
        <v>261911.8570510759</v>
      </c>
      <c r="L3" s="35">
        <f>'KH MWh Savings Pivot'!L12</f>
        <v>226227.74087909621</v>
      </c>
      <c r="M3" s="35">
        <f>'KH MWh Savings Pivot'!M12</f>
        <v>226163.96103314386</v>
      </c>
      <c r="O3" s="45"/>
      <c r="P3" s="45"/>
      <c r="Q3" s="45"/>
      <c r="R3" s="45"/>
      <c r="S3" s="45"/>
      <c r="T3" s="45"/>
      <c r="U3" s="45"/>
      <c r="V3" s="45"/>
      <c r="W3" s="45"/>
      <c r="X3" s="45"/>
      <c r="Y3" s="45"/>
      <c r="Z3" s="45"/>
      <c r="AA3" s="45"/>
    </row>
    <row r="4" spans="1:27">
      <c r="A4" s="591" t="s">
        <v>573</v>
      </c>
      <c r="B4" s="35"/>
      <c r="C4" s="35">
        <f>'KH MWh Savings Pivot'!C27</f>
        <v>176590.02795359696</v>
      </c>
      <c r="D4" s="35">
        <f>'KH MWh Savings Pivot'!D27</f>
        <v>342383.9360958882</v>
      </c>
      <c r="E4" s="35">
        <f>'KH MWh Savings Pivot'!E27</f>
        <v>339889.6387007102</v>
      </c>
      <c r="F4" s="35">
        <f>'KH MWh Savings Pivot'!F27</f>
        <v>338947.24307090783</v>
      </c>
      <c r="G4" s="35">
        <f>'KH MWh Savings Pivot'!G27</f>
        <v>313908.64148591651</v>
      </c>
      <c r="H4" s="35">
        <f>'KH MWh Savings Pivot'!H27</f>
        <v>212305.15997988035</v>
      </c>
      <c r="I4" s="35">
        <f>'KH MWh Savings Pivot'!I27</f>
        <v>203069.68140192828</v>
      </c>
      <c r="J4" s="35">
        <f>'KH MWh Savings Pivot'!J27</f>
        <v>203069.68140192828</v>
      </c>
      <c r="K4" s="35">
        <f>'KH MWh Savings Pivot'!K27</f>
        <v>202309.3872396285</v>
      </c>
      <c r="L4" s="35">
        <f>'KH MWh Savings Pivot'!L27</f>
        <v>110021.75782230031</v>
      </c>
      <c r="M4" s="35">
        <f>'KH MWh Savings Pivot'!M27</f>
        <v>94821.570593297569</v>
      </c>
      <c r="O4" s="45"/>
      <c r="P4" s="45"/>
      <c r="Q4" s="45"/>
      <c r="R4" s="45"/>
      <c r="S4" s="45"/>
      <c r="T4" s="45"/>
      <c r="U4" s="45"/>
      <c r="V4" s="45"/>
      <c r="W4" s="45"/>
      <c r="X4" s="45"/>
      <c r="Y4" s="45"/>
      <c r="Z4" s="45"/>
      <c r="AA4" s="45"/>
    </row>
    <row r="5" spans="1:27">
      <c r="A5" s="591" t="s">
        <v>574</v>
      </c>
      <c r="B5" s="35"/>
      <c r="C5" s="35"/>
      <c r="D5" s="35">
        <f>'KH MWh Savings Pivot'!D46</f>
        <v>259175.21868655752</v>
      </c>
      <c r="E5" s="35">
        <f>'KH MWh Savings Pivot'!E46</f>
        <v>518350.43737311504</v>
      </c>
      <c r="F5" s="35">
        <f>'KH MWh Savings Pivot'!F46</f>
        <v>518350.43737311504</v>
      </c>
      <c r="G5" s="35">
        <f>'KH MWh Savings Pivot'!G46</f>
        <v>516845.59338506463</v>
      </c>
      <c r="H5" s="35">
        <f>'KH MWh Savings Pivot'!H46</f>
        <v>478543.88628608891</v>
      </c>
      <c r="I5" s="35">
        <f>'KH MWh Savings Pivot'!I46</f>
        <v>401921.62019794108</v>
      </c>
      <c r="J5" s="35">
        <f>'KH MWh Savings Pivot'!J46</f>
        <v>348519.15696424112</v>
      </c>
      <c r="K5" s="35">
        <f>'KH MWh Savings Pivot'!K46</f>
        <v>347791.32569697214</v>
      </c>
      <c r="L5" s="35">
        <f>'KH MWh Savings Pivot'!L46</f>
        <v>390852.95170851401</v>
      </c>
      <c r="M5" s="35">
        <f>'KH MWh Savings Pivot'!M46</f>
        <v>256088.29460278258</v>
      </c>
      <c r="O5" s="45"/>
      <c r="P5" s="45"/>
      <c r="Q5" s="45"/>
      <c r="R5" s="45"/>
      <c r="S5" s="45"/>
      <c r="T5" s="45"/>
      <c r="U5" s="45"/>
      <c r="V5" s="45"/>
      <c r="W5" s="45"/>
      <c r="X5" s="45"/>
      <c r="Y5" s="45"/>
      <c r="Z5" s="45"/>
      <c r="AA5" s="45"/>
    </row>
    <row r="6" spans="1:27">
      <c r="A6" s="591" t="s">
        <v>575</v>
      </c>
      <c r="B6" s="35"/>
      <c r="C6" s="35"/>
      <c r="D6" s="35"/>
      <c r="E6" s="35">
        <f>'KH MWh Savings Pivot'!E65</f>
        <v>170805.37694206584</v>
      </c>
      <c r="F6" s="35">
        <f>'KH MWh Savings Pivot'!F65</f>
        <v>341610.75425034255</v>
      </c>
      <c r="G6" s="35">
        <f>'KH MWh Savings Pivot'!G65</f>
        <v>341610.75425034255</v>
      </c>
      <c r="H6" s="35">
        <f>'KH MWh Savings Pivot'!H65</f>
        <v>338452.82844285696</v>
      </c>
      <c r="I6" s="35">
        <f>'KH MWh Savings Pivot'!I65</f>
        <v>294604.98507918062</v>
      </c>
      <c r="J6" s="35">
        <f>'KH MWh Savings Pivot'!J65</f>
        <v>250166.71519501388</v>
      </c>
      <c r="K6" s="35">
        <f>'KH MWh Savings Pivot'!K65</f>
        <v>212667.03191332149</v>
      </c>
      <c r="L6" s="35">
        <f>'KH MWh Savings Pivot'!L65</f>
        <v>212435.89799124471</v>
      </c>
      <c r="M6" s="35">
        <f>'KH MWh Savings Pivot'!M65</f>
        <v>195367.89799124465</v>
      </c>
      <c r="O6" s="45"/>
      <c r="P6" s="45"/>
      <c r="Q6" s="45"/>
      <c r="R6" s="45"/>
      <c r="S6" s="45"/>
      <c r="T6" s="45"/>
      <c r="U6" s="45"/>
      <c r="V6" s="45"/>
      <c r="W6" s="45"/>
      <c r="X6" s="45"/>
      <c r="Y6" s="45"/>
      <c r="Z6" s="45"/>
      <c r="AA6" s="45"/>
    </row>
    <row r="7" spans="1:27">
      <c r="A7" s="591" t="s">
        <v>576</v>
      </c>
      <c r="B7" s="35"/>
      <c r="C7" s="35"/>
      <c r="D7" s="35"/>
      <c r="E7" s="35"/>
      <c r="F7" s="35">
        <f>'KH MWh Savings Pivot'!F85</f>
        <v>248315.57751024087</v>
      </c>
      <c r="G7" s="35">
        <f>'KH MWh Savings Pivot'!G85</f>
        <v>491100.49605441676</v>
      </c>
      <c r="H7" s="35">
        <f>'KH MWh Savings Pivot'!H85</f>
        <v>482576.25401830074</v>
      </c>
      <c r="I7" s="35">
        <f>'KH MWh Savings Pivot'!I85</f>
        <v>436701.22777200723</v>
      </c>
      <c r="J7" s="35">
        <f>'KH MWh Savings Pivot'!J85</f>
        <v>418741.67027054314</v>
      </c>
      <c r="K7" s="35">
        <f>'KH MWh Savings Pivot'!K85</f>
        <v>396720.77344885626</v>
      </c>
      <c r="L7" s="35">
        <f>'KH MWh Savings Pivot'!L85</f>
        <v>388462.7544211463</v>
      </c>
      <c r="M7" s="35">
        <f>'KH MWh Savings Pivot'!M85</f>
        <v>386783.92020940705</v>
      </c>
      <c r="O7" s="45"/>
      <c r="P7" s="45"/>
      <c r="Q7" s="45"/>
      <c r="R7" s="45"/>
      <c r="S7" s="45"/>
      <c r="T7" s="45"/>
      <c r="U7" s="45"/>
      <c r="V7" s="45"/>
      <c r="W7" s="45"/>
      <c r="X7" s="45"/>
      <c r="Y7" s="45"/>
      <c r="Z7" s="45"/>
      <c r="AA7" s="45"/>
    </row>
    <row r="8" spans="1:27">
      <c r="A8" s="591" t="s">
        <v>577</v>
      </c>
      <c r="B8" s="35"/>
      <c r="C8" s="35"/>
      <c r="D8" s="35"/>
      <c r="E8" s="35"/>
      <c r="F8" s="35"/>
      <c r="G8" s="35">
        <f>'KH MWh Savings Pivot'!G104</f>
        <v>522086.90374498384</v>
      </c>
      <c r="H8" s="35">
        <f>'KH MWh Savings Pivot'!H104</f>
        <v>1043234.0642092141</v>
      </c>
      <c r="I8" s="35">
        <f>'KH MWh Savings Pivot'!I104</f>
        <v>998675.83520503622</v>
      </c>
      <c r="J8" s="35">
        <f>'KH MWh Savings Pivot'!J104</f>
        <v>839304.47525129223</v>
      </c>
      <c r="K8" s="35">
        <f>'KH MWh Savings Pivot'!K104</f>
        <v>810606.49582560477</v>
      </c>
      <c r="L8" s="35">
        <f>'KH MWh Savings Pivot'!L104</f>
        <v>793126.19165473711</v>
      </c>
      <c r="M8" s="35">
        <f>'KH MWh Savings Pivot'!M104</f>
        <v>791723.02831719606</v>
      </c>
      <c r="O8" s="45"/>
      <c r="P8" s="45"/>
      <c r="Q8" s="45"/>
      <c r="R8" s="45"/>
      <c r="S8" s="45"/>
      <c r="T8" s="45"/>
      <c r="U8" s="45"/>
      <c r="V8" s="45"/>
      <c r="W8" s="45"/>
      <c r="X8" s="45"/>
      <c r="Y8" s="45"/>
      <c r="Z8" s="45"/>
      <c r="AA8" s="45"/>
    </row>
    <row r="9" spans="1:27">
      <c r="A9" s="591" t="s">
        <v>578</v>
      </c>
      <c r="B9" s="35"/>
      <c r="C9" s="35"/>
      <c r="D9" s="35"/>
      <c r="E9" s="35"/>
      <c r="F9" s="35"/>
      <c r="G9" s="35"/>
      <c r="H9" s="35">
        <f>'KH MWh Savings Pivot'!H123</f>
        <v>181705.71754005147</v>
      </c>
      <c r="I9" s="35">
        <f>'KH MWh Savings Pivot'!I123</f>
        <v>517974.41528087232</v>
      </c>
      <c r="J9" s="35">
        <f>'KH MWh Savings Pivot'!J123</f>
        <v>581568.95207366417</v>
      </c>
      <c r="K9" s="35">
        <f>'KH MWh Savings Pivot'!K123</f>
        <v>646823.06211642653</v>
      </c>
      <c r="L9" s="35">
        <f>'KH MWh Savings Pivot'!L123</f>
        <v>713736.74540915934</v>
      </c>
      <c r="M9" s="35">
        <f>'KH MWh Savings Pivot'!M123</f>
        <v>782310.00195186271</v>
      </c>
    </row>
    <row r="10" spans="1:27">
      <c r="A10" s="591" t="s">
        <v>579</v>
      </c>
      <c r="B10" s="593">
        <f>SUM(B3:B9)</f>
        <v>258079.21812710026</v>
      </c>
      <c r="C10" s="593">
        <f t="shared" ref="C10:M10" si="0">SUM(C3:C9)</f>
        <v>682194.07946446305</v>
      </c>
      <c r="D10" s="593">
        <f t="shared" si="0"/>
        <v>1107163.2062933119</v>
      </c>
      <c r="E10" s="593">
        <f t="shared" si="0"/>
        <v>1533505.9960037966</v>
      </c>
      <c r="F10" s="593">
        <f t="shared" si="0"/>
        <v>1920952.8809337567</v>
      </c>
      <c r="G10" s="593">
        <f t="shared" si="0"/>
        <v>2562286.7841400919</v>
      </c>
      <c r="H10" s="593">
        <f t="shared" si="0"/>
        <v>3066137.3324635602</v>
      </c>
      <c r="I10" s="593">
        <f t="shared" si="0"/>
        <v>3181232.6262356923</v>
      </c>
      <c r="J10" s="593">
        <f t="shared" si="0"/>
        <v>2903282.5082077589</v>
      </c>
      <c r="K10" s="593">
        <f t="shared" si="0"/>
        <v>2878829.9332918855</v>
      </c>
      <c r="L10" s="593">
        <f t="shared" si="0"/>
        <v>2834864.039886198</v>
      </c>
      <c r="M10" s="593">
        <f t="shared" si="0"/>
        <v>2733258.6746989344</v>
      </c>
      <c r="O10" s="45"/>
      <c r="P10" s="46"/>
      <c r="Q10" s="46"/>
      <c r="R10" s="46"/>
      <c r="S10" s="46"/>
      <c r="T10" s="46"/>
      <c r="U10" s="46"/>
      <c r="V10" s="46"/>
      <c r="W10" s="46"/>
      <c r="X10" s="46"/>
      <c r="Y10" s="46"/>
      <c r="Z10" s="46"/>
      <c r="AA10" s="46"/>
    </row>
    <row r="11" spans="1:27">
      <c r="A11" s="50"/>
      <c r="O11" s="45"/>
      <c r="P11" s="45"/>
      <c r="Q11" s="45"/>
      <c r="R11" s="45"/>
      <c r="S11" s="45"/>
      <c r="T11" s="45"/>
      <c r="U11" s="45"/>
      <c r="V11" s="45"/>
      <c r="W11" s="45"/>
      <c r="X11" s="45"/>
      <c r="Y11" s="45"/>
      <c r="Z11" s="45"/>
      <c r="AA11" s="45"/>
    </row>
    <row r="12" spans="1:27">
      <c r="A12" s="589" t="s">
        <v>486</v>
      </c>
      <c r="B12" s="589">
        <v>2009</v>
      </c>
      <c r="C12" s="589">
        <v>2010</v>
      </c>
      <c r="D12" s="589">
        <v>2011</v>
      </c>
      <c r="E12" s="589">
        <v>2012</v>
      </c>
      <c r="F12" s="589">
        <v>2013</v>
      </c>
      <c r="G12" s="589">
        <v>2014</v>
      </c>
      <c r="H12" s="589">
        <v>2015</v>
      </c>
      <c r="I12" s="589">
        <v>2016</v>
      </c>
      <c r="J12" s="589">
        <v>2017</v>
      </c>
      <c r="K12" s="589">
        <v>2018</v>
      </c>
      <c r="L12" s="589">
        <v>2019</v>
      </c>
      <c r="M12" s="589">
        <v>2020</v>
      </c>
      <c r="O12" s="45"/>
      <c r="P12" s="45"/>
      <c r="Q12" s="45"/>
      <c r="R12" s="45"/>
      <c r="S12" s="45"/>
      <c r="T12" s="45"/>
      <c r="U12" s="45"/>
      <c r="V12" s="45"/>
      <c r="W12" s="45"/>
      <c r="X12" s="45"/>
      <c r="Y12" s="45"/>
      <c r="Z12" s="45"/>
      <c r="AA12" s="45"/>
    </row>
    <row r="13" spans="1:27">
      <c r="A13" s="591" t="s">
        <v>572</v>
      </c>
      <c r="B13" s="35">
        <f>'KH MWh Savings Pivot'!B13</f>
        <v>341521.75913147489</v>
      </c>
      <c r="C13" s="35">
        <f>'KH MWh Savings Pivot'!C13</f>
        <v>683043.51826294977</v>
      </c>
      <c r="D13" s="35">
        <f>'KH MWh Savings Pivot'!D13</f>
        <v>683043.51826294977</v>
      </c>
      <c r="E13" s="35">
        <f>'KH MWh Savings Pivot'!E13</f>
        <v>683043.51826294977</v>
      </c>
      <c r="F13" s="35">
        <f>'KH MWh Savings Pivot'!F13</f>
        <v>683043.51826294977</v>
      </c>
      <c r="G13" s="35">
        <f>'KH MWh Savings Pivot'!G13</f>
        <v>683043.51826294977</v>
      </c>
      <c r="H13" s="35">
        <f>'KH MWh Savings Pivot'!H13</f>
        <v>683043.51826294977</v>
      </c>
      <c r="I13" s="35">
        <f>'KH MWh Savings Pivot'!I13</f>
        <v>683043.51826294977</v>
      </c>
      <c r="J13" s="35">
        <f>'KH MWh Savings Pivot'!J13</f>
        <v>384702.67120560509</v>
      </c>
      <c r="K13" s="35">
        <f>'KH MWh Savings Pivot'!K13</f>
        <v>0</v>
      </c>
      <c r="L13" s="35">
        <f>'KH MWh Savings Pivot'!L13</f>
        <v>0</v>
      </c>
      <c r="M13" s="35">
        <f>'KH MWh Savings Pivot'!M13</f>
        <v>0</v>
      </c>
      <c r="O13" s="45"/>
      <c r="P13" s="45"/>
      <c r="Q13" s="45"/>
      <c r="R13" s="45"/>
      <c r="S13" s="45"/>
      <c r="T13" s="45"/>
      <c r="U13" s="45"/>
      <c r="V13" s="45"/>
      <c r="W13" s="45"/>
      <c r="X13" s="45"/>
      <c r="Y13" s="45"/>
      <c r="Z13" s="45"/>
      <c r="AA13" s="45"/>
    </row>
    <row r="14" spans="1:27">
      <c r="A14" s="591" t="s">
        <v>573</v>
      </c>
      <c r="B14" s="35"/>
      <c r="C14" s="35">
        <f>'KH MWh Savings Pivot'!C28</f>
        <v>269706.18447509001</v>
      </c>
      <c r="D14" s="35">
        <f>'KH MWh Savings Pivot'!D28</f>
        <v>539412.36895018001</v>
      </c>
      <c r="E14" s="35">
        <f>'KH MWh Savings Pivot'!E28</f>
        <v>539412.36895018001</v>
      </c>
      <c r="F14" s="35">
        <f>'KH MWh Savings Pivot'!F28</f>
        <v>539412.36895018001</v>
      </c>
      <c r="G14" s="35">
        <f>'KH MWh Savings Pivot'!G28</f>
        <v>539412.36895018001</v>
      </c>
      <c r="H14" s="35">
        <f>'KH MWh Savings Pivot'!H28</f>
        <v>539412.36895018001</v>
      </c>
      <c r="I14" s="35">
        <f>'KH MWh Savings Pivot'!I28</f>
        <v>539412.36895018001</v>
      </c>
      <c r="J14" s="35">
        <f>'KH MWh Savings Pivot'!J28</f>
        <v>364051.28221036796</v>
      </c>
      <c r="K14" s="35">
        <f>'KH MWh Savings Pivot'!K28</f>
        <v>0</v>
      </c>
      <c r="L14" s="35">
        <f>'KH MWh Savings Pivot'!L28</f>
        <v>0</v>
      </c>
      <c r="M14" s="35">
        <f>'KH MWh Savings Pivot'!M28</f>
        <v>0</v>
      </c>
      <c r="O14" s="45"/>
      <c r="P14" s="45"/>
      <c r="Q14" s="45"/>
      <c r="R14" s="45"/>
      <c r="S14" s="45"/>
      <c r="T14" s="45"/>
      <c r="U14" s="45"/>
      <c r="V14" s="45"/>
      <c r="W14" s="45"/>
      <c r="X14" s="45"/>
      <c r="Y14" s="45"/>
      <c r="Z14" s="45"/>
      <c r="AA14" s="45"/>
    </row>
    <row r="15" spans="1:27">
      <c r="A15" s="591" t="s">
        <v>574</v>
      </c>
      <c r="B15" s="35"/>
      <c r="C15" s="35"/>
      <c r="D15" s="35">
        <f>'KH MWh Savings Pivot'!D47</f>
        <v>332629.70705580758</v>
      </c>
      <c r="E15" s="35">
        <f>'KH MWh Savings Pivot'!E47</f>
        <v>665259.41411161516</v>
      </c>
      <c r="F15" s="35">
        <f>'KH MWh Savings Pivot'!F47</f>
        <v>664680.61727180087</v>
      </c>
      <c r="G15" s="35">
        <f>'KH MWh Savings Pivot'!G47</f>
        <v>608446.44148929615</v>
      </c>
      <c r="H15" s="35">
        <f>'KH MWh Savings Pivot'!H47</f>
        <v>608446.44148929615</v>
      </c>
      <c r="I15" s="35">
        <f>'KH MWh Savings Pivot'!I47</f>
        <v>608446.44148929615</v>
      </c>
      <c r="J15" s="35">
        <f>'KH MWh Savings Pivot'!J47</f>
        <v>456298.80260920519</v>
      </c>
      <c r="K15" s="35">
        <f>'KH MWh Savings Pivot'!K47</f>
        <v>454572.26577393396</v>
      </c>
      <c r="L15" s="35">
        <f>'KH MWh Savings Pivot'!L47</f>
        <v>454572.26577393396</v>
      </c>
      <c r="M15" s="35">
        <f>'KH MWh Savings Pivot'!M47</f>
        <v>351000.35161120637</v>
      </c>
      <c r="O15" s="45"/>
      <c r="P15" s="45"/>
      <c r="Q15" s="45"/>
      <c r="R15" s="45"/>
      <c r="S15" s="45"/>
      <c r="T15" s="45"/>
      <c r="U15" s="45"/>
      <c r="V15" s="45"/>
      <c r="W15" s="45"/>
      <c r="X15" s="45"/>
      <c r="Y15" s="45"/>
      <c r="Z15" s="45"/>
      <c r="AA15" s="45"/>
    </row>
    <row r="16" spans="1:27">
      <c r="A16" s="591" t="s">
        <v>575</v>
      </c>
      <c r="B16" s="35"/>
      <c r="C16" s="35"/>
      <c r="D16" s="35"/>
      <c r="E16" s="35">
        <f>'KH MWh Savings Pivot'!E66</f>
        <v>607739.2566490632</v>
      </c>
      <c r="F16" s="35">
        <f>'KH MWh Savings Pivot'!F66</f>
        <v>1215478.5132981283</v>
      </c>
      <c r="G16" s="35">
        <f>'KH MWh Savings Pivot'!G66</f>
        <v>1199008.9875823504</v>
      </c>
      <c r="H16" s="35">
        <f>'KH MWh Savings Pivot'!H66</f>
        <v>938490.47514653509</v>
      </c>
      <c r="I16" s="35">
        <f>'KH MWh Savings Pivot'!I66</f>
        <v>913314.220683972</v>
      </c>
      <c r="J16" s="35">
        <f>'KH MWh Savings Pivot'!J66</f>
        <v>402560.47244965931</v>
      </c>
      <c r="K16" s="35">
        <f>'KH MWh Savings Pivot'!K66</f>
        <v>401953.76436251891</v>
      </c>
      <c r="L16" s="35">
        <f>'KH MWh Savings Pivot'!L66</f>
        <v>401818.88685420895</v>
      </c>
      <c r="M16" s="35">
        <f>'KH MWh Savings Pivot'!M66</f>
        <v>396974.93492728006</v>
      </c>
      <c r="O16" s="45"/>
      <c r="P16" s="45"/>
      <c r="Q16" s="45"/>
      <c r="R16" s="45"/>
      <c r="S16" s="45"/>
      <c r="T16" s="45"/>
      <c r="U16" s="45"/>
      <c r="V16" s="45"/>
      <c r="W16" s="45"/>
      <c r="X16" s="45"/>
      <c r="Y16" s="45"/>
      <c r="Z16" s="45"/>
      <c r="AA16" s="45"/>
    </row>
    <row r="17" spans="1:27">
      <c r="A17" s="591" t="s">
        <v>576</v>
      </c>
      <c r="B17" s="35"/>
      <c r="C17" s="35"/>
      <c r="D17" s="35"/>
      <c r="E17" s="35"/>
      <c r="F17" s="35">
        <f>'KH MWh Savings Pivot'!F86</f>
        <v>216710.89344552389</v>
      </c>
      <c r="G17" s="35">
        <f>'KH MWh Savings Pivot'!G86</f>
        <v>433421.78689104778</v>
      </c>
      <c r="H17" s="35">
        <f>'KH MWh Savings Pivot'!H86</f>
        <v>428206.77077668183</v>
      </c>
      <c r="I17" s="35">
        <f>'KH MWh Savings Pivot'!I86</f>
        <v>380678.39256023319</v>
      </c>
      <c r="J17" s="35">
        <f>'KH MWh Savings Pivot'!J86</f>
        <v>306323.51801151602</v>
      </c>
      <c r="K17" s="35">
        <f>'KH MWh Savings Pivot'!K86</f>
        <v>305753.45893553353</v>
      </c>
      <c r="L17" s="35">
        <f>'KH MWh Savings Pivot'!L86</f>
        <v>305753.45893553353</v>
      </c>
      <c r="M17" s="35">
        <f>'KH MWh Savings Pivot'!M86</f>
        <v>297321.30767926335</v>
      </c>
    </row>
    <row r="18" spans="1:27">
      <c r="A18" s="591" t="s">
        <v>577</v>
      </c>
      <c r="B18" s="35"/>
      <c r="C18" s="35"/>
      <c r="D18" s="35"/>
      <c r="E18" s="35"/>
      <c r="F18" s="35"/>
      <c r="G18" s="35">
        <f>'KH MWh Savings Pivot'!G105</f>
        <v>406204.00706009357</v>
      </c>
      <c r="H18" s="35">
        <f>'KH MWh Savings Pivot'!H105</f>
        <v>812408.01412018714</v>
      </c>
      <c r="I18" s="35">
        <f>'KH MWh Savings Pivot'!I105</f>
        <v>803574.61545624258</v>
      </c>
      <c r="J18" s="35">
        <f>'KH MWh Savings Pivot'!J105</f>
        <v>724669.55422772828</v>
      </c>
      <c r="K18" s="35">
        <f>'KH MWh Savings Pivot'!K105</f>
        <v>533687.61351288133</v>
      </c>
      <c r="L18" s="35">
        <f>'KH MWh Savings Pivot'!L105</f>
        <v>532784.71835315006</v>
      </c>
      <c r="M18" s="35">
        <f>'KH MWh Savings Pivot'!M105</f>
        <v>532784.71835315006</v>
      </c>
      <c r="O18" s="45"/>
      <c r="P18" s="46"/>
      <c r="Q18" s="46"/>
      <c r="R18" s="46"/>
      <c r="S18" s="46"/>
      <c r="T18" s="46"/>
      <c r="U18" s="46"/>
      <c r="V18" s="46"/>
      <c r="W18" s="46"/>
      <c r="X18" s="46"/>
      <c r="Y18" s="46"/>
      <c r="Z18" s="46"/>
      <c r="AA18" s="46"/>
    </row>
    <row r="19" spans="1:27">
      <c r="A19" s="591" t="s">
        <v>578</v>
      </c>
      <c r="B19" s="35"/>
      <c r="C19" s="35"/>
      <c r="D19" s="35"/>
      <c r="E19" s="35"/>
      <c r="F19" s="35"/>
      <c r="G19" s="35"/>
      <c r="H19" s="35">
        <f>'KH MWh Savings Pivot'!H124</f>
        <v>135731.6256015221</v>
      </c>
      <c r="I19" s="35">
        <f>'KH MWh Savings Pivot'!I124</f>
        <v>997809.39378643211</v>
      </c>
      <c r="J19" s="35">
        <f>'KH MWh Savings Pivot'!J124</f>
        <v>1795482.0288606647</v>
      </c>
      <c r="K19" s="35">
        <f>'KH MWh Savings Pivot'!K124</f>
        <v>2673492.4927453413</v>
      </c>
      <c r="L19" s="35">
        <f>'KH MWh Savings Pivot'!L124</f>
        <v>3606696.2467060839</v>
      </c>
      <c r="M19" s="35">
        <f>'KH MWh Savings Pivot'!M124</f>
        <v>4607284.5822504694</v>
      </c>
      <c r="O19" s="45"/>
      <c r="P19" s="45"/>
      <c r="Q19" s="45"/>
      <c r="R19" s="45"/>
      <c r="S19" s="45"/>
      <c r="T19" s="45"/>
      <c r="U19" s="45"/>
      <c r="V19" s="45"/>
      <c r="W19" s="45"/>
      <c r="X19" s="45"/>
      <c r="Y19" s="45"/>
      <c r="Z19" s="45"/>
      <c r="AA19" s="45"/>
    </row>
    <row r="20" spans="1:27">
      <c r="A20" s="591" t="s">
        <v>579</v>
      </c>
      <c r="B20" s="593">
        <f>SUM(B13:B19)</f>
        <v>341521.75913147489</v>
      </c>
      <c r="C20" s="593">
        <f t="shared" ref="C20:M20" si="1">SUM(C13:C19)</f>
        <v>952749.70273803978</v>
      </c>
      <c r="D20" s="593">
        <f t="shared" si="1"/>
        <v>1555085.5942689374</v>
      </c>
      <c r="E20" s="593">
        <f t="shared" si="1"/>
        <v>2495454.5579738081</v>
      </c>
      <c r="F20" s="593">
        <f t="shared" si="1"/>
        <v>3319325.9112285827</v>
      </c>
      <c r="G20" s="593">
        <f t="shared" si="1"/>
        <v>3869537.1102359183</v>
      </c>
      <c r="H20" s="593">
        <f t="shared" si="1"/>
        <v>4145739.2143473523</v>
      </c>
      <c r="I20" s="593">
        <f t="shared" si="1"/>
        <v>4926278.9511893056</v>
      </c>
      <c r="J20" s="593">
        <f t="shared" si="1"/>
        <v>4434088.329574747</v>
      </c>
      <c r="K20" s="593">
        <f t="shared" si="1"/>
        <v>4369459.5953302085</v>
      </c>
      <c r="L20" s="593">
        <f t="shared" si="1"/>
        <v>5301625.5766229108</v>
      </c>
      <c r="M20" s="593">
        <f t="shared" si="1"/>
        <v>6185365.8948213691</v>
      </c>
      <c r="O20" s="45"/>
      <c r="P20" s="45"/>
      <c r="Q20" s="45"/>
      <c r="R20" s="45"/>
      <c r="S20" s="45"/>
      <c r="T20" s="45"/>
      <c r="U20" s="45"/>
      <c r="V20" s="45"/>
      <c r="W20" s="45"/>
      <c r="X20" s="45"/>
      <c r="Y20" s="45"/>
      <c r="Z20" s="45"/>
      <c r="AA20" s="45"/>
    </row>
    <row r="21" spans="1:27">
      <c r="O21" s="45"/>
      <c r="P21" s="45"/>
      <c r="Q21" s="45"/>
      <c r="R21" s="45"/>
      <c r="S21" s="45"/>
      <c r="T21" s="45"/>
      <c r="U21" s="45"/>
      <c r="V21" s="45"/>
      <c r="W21" s="45"/>
      <c r="X21" s="45"/>
      <c r="Y21" s="45"/>
      <c r="Z21" s="45"/>
      <c r="AA21" s="45"/>
    </row>
    <row r="22" spans="1:27">
      <c r="A22" s="589" t="s">
        <v>480</v>
      </c>
      <c r="B22" s="589">
        <v>2009</v>
      </c>
      <c r="C22" s="589">
        <v>2010</v>
      </c>
      <c r="D22" s="589">
        <v>2011</v>
      </c>
      <c r="E22" s="589">
        <v>2012</v>
      </c>
      <c r="F22" s="589">
        <v>2013</v>
      </c>
      <c r="G22" s="589">
        <v>2014</v>
      </c>
      <c r="H22" s="589">
        <v>2015</v>
      </c>
      <c r="I22" s="589">
        <v>2016</v>
      </c>
      <c r="J22" s="589">
        <v>2017</v>
      </c>
      <c r="K22" s="589">
        <v>2018</v>
      </c>
      <c r="L22" s="589">
        <v>2019</v>
      </c>
      <c r="M22" s="589">
        <v>2020</v>
      </c>
      <c r="O22" s="45"/>
      <c r="P22" s="45"/>
      <c r="Q22" s="45"/>
      <c r="R22" s="45"/>
      <c r="S22" s="45"/>
      <c r="T22" s="45"/>
      <c r="U22" s="45"/>
      <c r="V22" s="45"/>
      <c r="W22" s="45"/>
      <c r="X22" s="45"/>
      <c r="Y22" s="45"/>
      <c r="Z22" s="45"/>
      <c r="AA22" s="45"/>
    </row>
    <row r="23" spans="1:27">
      <c r="A23" s="591" t="s">
        <v>572</v>
      </c>
      <c r="B23" s="35">
        <f>'KH MWh Savings Pivot'!B14</f>
        <v>640448.99242075463</v>
      </c>
      <c r="C23" s="35">
        <f>'KH MWh Savings Pivot'!C14</f>
        <v>718664.87270786322</v>
      </c>
      <c r="D23" s="35">
        <f>'KH MWh Savings Pivot'!D14</f>
        <v>718664.87270786322</v>
      </c>
      <c r="E23" s="35">
        <f>'KH MWh Savings Pivot'!E14</f>
        <v>718664.87270786322</v>
      </c>
      <c r="F23" s="35">
        <f>'KH MWh Savings Pivot'!F14</f>
        <v>718664.87270786322</v>
      </c>
      <c r="G23" s="35">
        <f>'KH MWh Savings Pivot'!G14</f>
        <v>718664.87270786322</v>
      </c>
      <c r="H23" s="35">
        <f>'KH MWh Savings Pivot'!H14</f>
        <v>570233.2937605154</v>
      </c>
      <c r="I23" s="35">
        <f>'KH MWh Savings Pivot'!I14</f>
        <v>467085.92533944215</v>
      </c>
      <c r="J23" s="35">
        <f>'KH MWh Savings Pivot'!J14</f>
        <v>467085.92533944215</v>
      </c>
      <c r="K23" s="35">
        <f>'KH MWh Savings Pivot'!K14</f>
        <v>467085.92533944215</v>
      </c>
      <c r="L23" s="35">
        <f>'KH MWh Savings Pivot'!L14</f>
        <v>389812.06170305633</v>
      </c>
      <c r="M23" s="35">
        <f>'KH MWh Savings Pivot'!M14</f>
        <v>60381.37988489672</v>
      </c>
      <c r="O23" s="45"/>
      <c r="P23" s="45"/>
      <c r="Q23" s="45"/>
      <c r="R23" s="45"/>
      <c r="S23" s="45"/>
      <c r="T23" s="45"/>
      <c r="U23" s="45"/>
      <c r="V23" s="45"/>
      <c r="W23" s="45"/>
      <c r="X23" s="45"/>
      <c r="Y23" s="45"/>
      <c r="Z23" s="45"/>
      <c r="AA23" s="45"/>
    </row>
    <row r="24" spans="1:27">
      <c r="A24" s="591" t="s">
        <v>573</v>
      </c>
      <c r="B24" s="35"/>
      <c r="C24" s="35">
        <f>'KH MWh Savings Pivot'!C29</f>
        <v>698425.10604095156</v>
      </c>
      <c r="D24" s="35">
        <f>'KH MWh Savings Pivot'!D29</f>
        <v>436954.46521984925</v>
      </c>
      <c r="E24" s="35">
        <f>'KH MWh Savings Pivot'!E29</f>
        <v>436954.46521984925</v>
      </c>
      <c r="F24" s="35">
        <f>'KH MWh Savings Pivot'!F29</f>
        <v>436954.46521984925</v>
      </c>
      <c r="G24" s="35">
        <f>'KH MWh Savings Pivot'!G29</f>
        <v>436954.46521984925</v>
      </c>
      <c r="H24" s="35">
        <f>'KH MWh Savings Pivot'!H29</f>
        <v>436954.46521984925</v>
      </c>
      <c r="I24" s="35">
        <f>'KH MWh Savings Pivot'!I29</f>
        <v>436954.46521984925</v>
      </c>
      <c r="J24" s="35">
        <f>'KH MWh Savings Pivot'!J29</f>
        <v>436954.46521984925</v>
      </c>
      <c r="K24" s="35">
        <f>'KH MWh Savings Pivot'!K29</f>
        <v>434367.597254753</v>
      </c>
      <c r="L24" s="35">
        <f>'KH MWh Savings Pivot'!L29</f>
        <v>250053.25474166201</v>
      </c>
      <c r="M24" s="35">
        <f>'KH MWh Savings Pivot'!M29</f>
        <v>196160.17213547786</v>
      </c>
      <c r="O24" s="45"/>
      <c r="P24" s="45"/>
      <c r="Q24" s="45"/>
      <c r="R24" s="45"/>
      <c r="S24" s="45"/>
      <c r="T24" s="45"/>
      <c r="U24" s="45"/>
      <c r="V24" s="45"/>
      <c r="W24" s="45"/>
      <c r="X24" s="45"/>
      <c r="Y24" s="45"/>
      <c r="Z24" s="45"/>
      <c r="AA24" s="45"/>
    </row>
    <row r="25" spans="1:27">
      <c r="A25" s="591" t="s">
        <v>574</v>
      </c>
      <c r="B25" s="35"/>
      <c r="C25" s="35"/>
      <c r="D25" s="35">
        <f>'KH MWh Savings Pivot'!D48</f>
        <v>609272.08906501881</v>
      </c>
      <c r="E25" s="35">
        <f>'KH MWh Savings Pivot'!E48</f>
        <v>1218544.1781300376</v>
      </c>
      <c r="F25" s="35">
        <f>'KH MWh Savings Pivot'!F48</f>
        <v>1218538.7688137775</v>
      </c>
      <c r="G25" s="35">
        <f>'KH MWh Savings Pivot'!G48</f>
        <v>1217521.0285001916</v>
      </c>
      <c r="H25" s="35">
        <f>'KH MWh Savings Pivot'!H48</f>
        <v>1217521.0285001916</v>
      </c>
      <c r="I25" s="35">
        <f>'KH MWh Savings Pivot'!I48</f>
        <v>1167168.5195750655</v>
      </c>
      <c r="J25" s="35">
        <f>'KH MWh Savings Pivot'!J48</f>
        <v>1160690.0654416622</v>
      </c>
      <c r="K25" s="35">
        <f>'KH MWh Savings Pivot'!K48</f>
        <v>1160673.9295833888</v>
      </c>
      <c r="L25" s="35">
        <f>'KH MWh Savings Pivot'!L48</f>
        <v>1160673.9295833888</v>
      </c>
      <c r="M25" s="35">
        <f>'KH MWh Savings Pivot'!M48</f>
        <v>870425.9801885183</v>
      </c>
    </row>
    <row r="26" spans="1:27">
      <c r="A26" s="591" t="s">
        <v>575</v>
      </c>
      <c r="B26" s="35"/>
      <c r="C26" s="35"/>
      <c r="D26" s="35"/>
      <c r="E26" s="35">
        <f>'KH MWh Savings Pivot'!E67</f>
        <v>1403512.9436610842</v>
      </c>
      <c r="F26" s="35">
        <f>'KH MWh Savings Pivot'!F67</f>
        <v>2807025.8873221683</v>
      </c>
      <c r="G26" s="35">
        <f>'KH MWh Savings Pivot'!G67</f>
        <v>2730595.997369309</v>
      </c>
      <c r="H26" s="35">
        <f>'KH MWh Savings Pivot'!H67</f>
        <v>2611580.1322963592</v>
      </c>
      <c r="I26" s="35">
        <f>'KH MWh Savings Pivot'!I67</f>
        <v>2460522.6055209809</v>
      </c>
      <c r="J26" s="35">
        <f>'KH MWh Savings Pivot'!J67</f>
        <v>2150344.7675654688</v>
      </c>
      <c r="K26" s="35">
        <f>'KH MWh Savings Pivot'!K67</f>
        <v>2143603.5351029313</v>
      </c>
      <c r="L26" s="35">
        <f>'KH MWh Savings Pivot'!L67</f>
        <v>2143596.1647472861</v>
      </c>
      <c r="M26" s="35">
        <f>'KH MWh Savings Pivot'!M67</f>
        <v>2089774.2252200027</v>
      </c>
      <c r="O26" s="45"/>
      <c r="P26" s="46"/>
      <c r="Q26" s="46"/>
      <c r="R26" s="46"/>
      <c r="S26" s="46"/>
      <c r="T26" s="46"/>
      <c r="U26" s="46"/>
      <c r="V26" s="46"/>
      <c r="W26" s="46"/>
      <c r="X26" s="46"/>
      <c r="Y26" s="46"/>
      <c r="Z26" s="46"/>
      <c r="AA26" s="46"/>
    </row>
    <row r="27" spans="1:27">
      <c r="A27" s="591" t="s">
        <v>576</v>
      </c>
      <c r="B27" s="35"/>
      <c r="C27" s="35"/>
      <c r="D27" s="35"/>
      <c r="E27" s="35"/>
      <c r="F27" s="35">
        <f>'KH MWh Savings Pivot'!F87</f>
        <v>787930.86230717774</v>
      </c>
      <c r="G27" s="35">
        <f>'KH MWh Savings Pivot'!G87</f>
        <v>1568449.7786143557</v>
      </c>
      <c r="H27" s="35">
        <f>'KH MWh Savings Pivot'!H87</f>
        <v>1566635.8599658804</v>
      </c>
      <c r="I27" s="35">
        <f>'KH MWh Savings Pivot'!I87</f>
        <v>1481585.8988206347</v>
      </c>
      <c r="J27" s="35">
        <f>'KH MWh Savings Pivot'!J87</f>
        <v>1348682.1463392228</v>
      </c>
      <c r="K27" s="35">
        <f>'KH MWh Savings Pivot'!K87</f>
        <v>1345799.7093618636</v>
      </c>
      <c r="L27" s="35">
        <f>'KH MWh Savings Pivot'!L87</f>
        <v>1345799.7093618636</v>
      </c>
      <c r="M27" s="35">
        <f>'KH MWh Savings Pivot'!M87</f>
        <v>1303163.5237386962</v>
      </c>
      <c r="O27" s="45"/>
      <c r="P27" s="45"/>
      <c r="Q27" s="45"/>
      <c r="R27" s="45"/>
      <c r="S27" s="45"/>
      <c r="T27" s="45"/>
      <c r="U27" s="45"/>
      <c r="V27" s="45"/>
      <c r="W27" s="45"/>
      <c r="X27" s="45"/>
      <c r="Y27" s="45"/>
      <c r="Z27" s="45"/>
      <c r="AA27" s="45"/>
    </row>
    <row r="28" spans="1:27">
      <c r="A28" s="591" t="s">
        <v>577</v>
      </c>
      <c r="B28" s="35"/>
      <c r="C28" s="35"/>
      <c r="D28" s="35"/>
      <c r="E28" s="35"/>
      <c r="F28" s="35"/>
      <c r="G28" s="35">
        <f>'KH MWh Savings Pivot'!G106</f>
        <v>819789.6168605003</v>
      </c>
      <c r="H28" s="35">
        <f>'KH MWh Savings Pivot'!H106</f>
        <v>1639579.2337210006</v>
      </c>
      <c r="I28" s="35">
        <f>'KH MWh Savings Pivot'!I106</f>
        <v>1637734.8977362211</v>
      </c>
      <c r="J28" s="35">
        <f>'KH MWh Savings Pivot'!J106</f>
        <v>1556710.6668591488</v>
      </c>
      <c r="K28" s="35">
        <f>'KH MWh Savings Pivot'!K106</f>
        <v>1259817.2536432093</v>
      </c>
      <c r="L28" s="35">
        <f>'KH MWh Savings Pivot'!L106</f>
        <v>1257100.0564459104</v>
      </c>
      <c r="M28" s="35">
        <f>'KH MWh Savings Pivot'!M106</f>
        <v>1257100.0564459104</v>
      </c>
      <c r="O28" s="45"/>
      <c r="P28" s="45"/>
      <c r="Q28" s="45"/>
      <c r="R28" s="45"/>
      <c r="S28" s="45"/>
      <c r="T28" s="45"/>
      <c r="U28" s="45"/>
      <c r="V28" s="45"/>
      <c r="W28" s="45"/>
      <c r="X28" s="45"/>
      <c r="Y28" s="45"/>
      <c r="Z28" s="45"/>
      <c r="AA28" s="45"/>
    </row>
    <row r="29" spans="1:27">
      <c r="A29" s="591" t="s">
        <v>578</v>
      </c>
      <c r="B29" s="35"/>
      <c r="C29" s="35"/>
      <c r="D29" s="35"/>
      <c r="E29" s="35"/>
      <c r="F29" s="35"/>
      <c r="G29" s="35"/>
      <c r="H29" s="35">
        <f>'KH MWh Savings Pivot'!H125</f>
        <v>601192.67822346475</v>
      </c>
      <c r="I29" s="35">
        <f>'KH MWh Savings Pivot'!I125</f>
        <v>3224468.3574159634</v>
      </c>
      <c r="J29" s="35">
        <f>'KH MWh Savings Pivot'!J125</f>
        <v>5440897.9306131564</v>
      </c>
      <c r="K29" s="35">
        <f>'KH MWh Savings Pivot'!K125</f>
        <v>7896258.8785567386</v>
      </c>
      <c r="L29" s="35">
        <f>'KH MWh Savings Pivot'!L125</f>
        <v>10464955.738313606</v>
      </c>
      <c r="M29" s="35">
        <f>'KH MWh Savings Pivot'!M125</f>
        <v>13259630.725590058</v>
      </c>
      <c r="O29" s="45"/>
      <c r="P29" s="45"/>
      <c r="Q29" s="45"/>
      <c r="R29" s="45"/>
      <c r="S29" s="45"/>
      <c r="T29" s="45"/>
      <c r="U29" s="45"/>
      <c r="V29" s="45"/>
      <c r="W29" s="45"/>
      <c r="X29" s="45"/>
      <c r="Y29" s="45"/>
      <c r="Z29" s="45"/>
      <c r="AA29" s="45"/>
    </row>
    <row r="30" spans="1:27">
      <c r="A30" s="591" t="s">
        <v>579</v>
      </c>
      <c r="B30" s="593">
        <f t="shared" ref="B30:M30" si="2">SUM(B23:B29)</f>
        <v>640448.99242075463</v>
      </c>
      <c r="C30" s="593">
        <f t="shared" si="2"/>
        <v>1417089.9787488147</v>
      </c>
      <c r="D30" s="593">
        <f t="shared" si="2"/>
        <v>1764891.4269927314</v>
      </c>
      <c r="E30" s="593">
        <f t="shared" si="2"/>
        <v>3777676.4597188346</v>
      </c>
      <c r="F30" s="593">
        <f t="shared" si="2"/>
        <v>5969114.8563708365</v>
      </c>
      <c r="G30" s="593">
        <f t="shared" si="2"/>
        <v>7491975.7592720697</v>
      </c>
      <c r="H30" s="593">
        <f t="shared" si="2"/>
        <v>8643696.6916872617</v>
      </c>
      <c r="I30" s="593">
        <f t="shared" si="2"/>
        <v>10875520.669628156</v>
      </c>
      <c r="J30" s="593">
        <f t="shared" si="2"/>
        <v>12561365.96737795</v>
      </c>
      <c r="K30" s="593">
        <f t="shared" si="2"/>
        <v>14707606.828842327</v>
      </c>
      <c r="L30" s="593">
        <f t="shared" si="2"/>
        <v>17011990.914896771</v>
      </c>
      <c r="M30" s="593">
        <f t="shared" si="2"/>
        <v>19036636.063203558</v>
      </c>
      <c r="O30" s="45"/>
      <c r="P30" s="45"/>
      <c r="Q30" s="45"/>
      <c r="R30" s="45"/>
      <c r="S30" s="45"/>
      <c r="T30" s="45"/>
      <c r="U30" s="45"/>
      <c r="V30" s="45"/>
      <c r="W30" s="45"/>
      <c r="X30" s="45"/>
      <c r="Y30" s="45"/>
      <c r="Z30" s="45"/>
      <c r="AA30" s="45"/>
    </row>
    <row r="31" spans="1:27">
      <c r="O31" s="45"/>
      <c r="P31" s="45"/>
      <c r="Q31" s="45"/>
      <c r="R31" s="45"/>
      <c r="S31" s="45"/>
      <c r="T31" s="45"/>
      <c r="U31" s="45"/>
      <c r="V31" s="45"/>
      <c r="W31" s="45"/>
      <c r="X31" s="45"/>
      <c r="Y31" s="45"/>
      <c r="Z31" s="45"/>
      <c r="AA31" s="45"/>
    </row>
    <row r="32" spans="1:27">
      <c r="A32" s="589" t="s">
        <v>57</v>
      </c>
      <c r="B32" s="589">
        <v>2009</v>
      </c>
      <c r="C32" s="589">
        <v>2010</v>
      </c>
      <c r="D32" s="589">
        <v>2011</v>
      </c>
      <c r="E32" s="589">
        <v>2012</v>
      </c>
      <c r="F32" s="589">
        <v>2013</v>
      </c>
      <c r="G32" s="589">
        <v>2014</v>
      </c>
      <c r="H32" s="589">
        <v>2015</v>
      </c>
      <c r="I32" s="589">
        <v>2016</v>
      </c>
      <c r="J32" s="589">
        <v>2017</v>
      </c>
      <c r="K32" s="589">
        <v>2018</v>
      </c>
      <c r="L32" s="589">
        <v>2019</v>
      </c>
      <c r="M32" s="589">
        <v>2020</v>
      </c>
      <c r="O32" s="45"/>
      <c r="P32" s="45"/>
      <c r="Q32" s="45"/>
      <c r="R32" s="45"/>
      <c r="S32" s="45"/>
      <c r="T32" s="45"/>
      <c r="U32" s="45"/>
      <c r="V32" s="45"/>
      <c r="W32" s="45"/>
      <c r="X32" s="45"/>
      <c r="Y32" s="45"/>
      <c r="Z32" s="45"/>
      <c r="AA32" s="45"/>
    </row>
    <row r="33" spans="1:27">
      <c r="A33" s="591" t="s">
        <v>572</v>
      </c>
      <c r="B33" s="35"/>
      <c r="C33" s="35"/>
      <c r="D33" s="35"/>
      <c r="E33" s="35"/>
      <c r="F33" s="35"/>
      <c r="G33" s="35"/>
      <c r="H33" s="35"/>
      <c r="I33" s="35"/>
      <c r="J33" s="35"/>
      <c r="K33" s="35"/>
      <c r="L33" s="35"/>
      <c r="M33" s="35"/>
    </row>
    <row r="34" spans="1:27">
      <c r="A34" s="591" t="s">
        <v>573</v>
      </c>
      <c r="B34" s="35"/>
      <c r="C34" s="35"/>
      <c r="D34" s="35"/>
      <c r="E34" s="35"/>
      <c r="F34" s="35"/>
      <c r="G34" s="35"/>
      <c r="H34" s="35"/>
      <c r="I34" s="35"/>
      <c r="J34" s="35"/>
      <c r="K34" s="35"/>
      <c r="L34" s="35"/>
      <c r="M34" s="35"/>
      <c r="N34" s="45"/>
      <c r="O34" s="45"/>
      <c r="P34" s="46"/>
      <c r="Q34" s="46"/>
      <c r="R34" s="46"/>
      <c r="S34" s="46"/>
      <c r="T34" s="46"/>
      <c r="U34" s="46"/>
      <c r="V34" s="46"/>
      <c r="W34" s="46"/>
      <c r="X34" s="46"/>
      <c r="Y34" s="46"/>
      <c r="Z34" s="46"/>
      <c r="AA34" s="46"/>
    </row>
    <row r="35" spans="1:27">
      <c r="A35" s="591" t="s">
        <v>574</v>
      </c>
      <c r="B35" s="35"/>
      <c r="C35" s="35"/>
      <c r="D35" s="35">
        <f>'KH MWh Savings Pivot'!D49</f>
        <v>617444.24766883871</v>
      </c>
      <c r="E35" s="35">
        <f>'KH MWh Savings Pivot'!E49</f>
        <v>1234888.4953376774</v>
      </c>
      <c r="F35" s="35">
        <f>'KH MWh Savings Pivot'!F49</f>
        <v>1234888.4953376774</v>
      </c>
      <c r="G35" s="35">
        <f>'KH MWh Savings Pivot'!G49</f>
        <v>1234679.7210905638</v>
      </c>
      <c r="H35" s="35">
        <f>'KH MWh Savings Pivot'!H49</f>
        <v>1234679.7210905636</v>
      </c>
      <c r="I35" s="35">
        <f>'KH MWh Savings Pivot'!I49</f>
        <v>1234679.7210905636</v>
      </c>
      <c r="J35" s="35">
        <f>'KH MWh Savings Pivot'!J49</f>
        <v>1232534.8671232576</v>
      </c>
      <c r="K35" s="35">
        <f>'KH MWh Savings Pivot'!K49</f>
        <v>1232534.8671232576</v>
      </c>
      <c r="L35" s="35">
        <f>'KH MWh Savings Pivot'!L49</f>
        <v>1232534.8671232576</v>
      </c>
      <c r="M35" s="35">
        <f>'KH MWh Savings Pivot'!M49</f>
        <v>1109829.1097225861</v>
      </c>
      <c r="N35" s="45"/>
      <c r="O35" s="45"/>
      <c r="P35" s="45"/>
      <c r="Q35" s="45"/>
      <c r="R35" s="45"/>
      <c r="S35" s="45"/>
      <c r="T35" s="45"/>
      <c r="U35" s="45"/>
      <c r="V35" s="45"/>
      <c r="W35" s="45"/>
      <c r="X35" s="45"/>
      <c r="Y35" s="45"/>
      <c r="Z35" s="45"/>
      <c r="AA35" s="45"/>
    </row>
    <row r="36" spans="1:27">
      <c r="A36" s="591" t="s">
        <v>575</v>
      </c>
      <c r="B36" s="35"/>
      <c r="C36" s="35"/>
      <c r="D36" s="35"/>
      <c r="E36" s="35">
        <f>'KH MWh Savings Pivot'!E68</f>
        <v>306737.12583040661</v>
      </c>
      <c r="F36" s="35">
        <f>'KH MWh Savings Pivot'!F68</f>
        <v>605058.57866081328</v>
      </c>
      <c r="G36" s="35">
        <f>'KH MWh Savings Pivot'!G68</f>
        <v>596959.27131634112</v>
      </c>
      <c r="H36" s="35">
        <f>'KH MWh Savings Pivot'!H68</f>
        <v>585723.39943386614</v>
      </c>
      <c r="I36" s="35">
        <f>'KH MWh Savings Pivot'!I68</f>
        <v>585723.39943386614</v>
      </c>
      <c r="J36" s="35">
        <f>'KH MWh Savings Pivot'!J68</f>
        <v>555454.94731698581</v>
      </c>
      <c r="K36" s="35">
        <f>'KH MWh Savings Pivot'!K68</f>
        <v>554735.61918046011</v>
      </c>
      <c r="L36" s="35">
        <f>'KH MWh Savings Pivot'!L68</f>
        <v>554735.61918046011</v>
      </c>
      <c r="M36" s="35">
        <f>'KH MWh Savings Pivot'!M68</f>
        <v>548992.50978918676</v>
      </c>
      <c r="N36" s="45"/>
      <c r="O36" s="45"/>
      <c r="P36" s="45"/>
      <c r="Q36" s="45"/>
      <c r="R36" s="45"/>
      <c r="S36" s="45"/>
      <c r="T36" s="45"/>
      <c r="U36" s="45"/>
      <c r="V36" s="45"/>
      <c r="W36" s="45"/>
      <c r="X36" s="45"/>
      <c r="Y36" s="45"/>
      <c r="Z36" s="45"/>
      <c r="AA36" s="45"/>
    </row>
    <row r="37" spans="1:27">
      <c r="A37" s="591" t="s">
        <v>576</v>
      </c>
      <c r="B37" s="35"/>
      <c r="C37" s="35"/>
      <c r="D37" s="35"/>
      <c r="E37" s="35"/>
      <c r="F37" s="35">
        <f>'KH MWh Savings Pivot'!F88</f>
        <v>648214.23391528998</v>
      </c>
      <c r="G37" s="35">
        <f>'KH MWh Savings Pivot'!G88</f>
        <v>1296428.46783058</v>
      </c>
      <c r="H37" s="35">
        <f>'KH MWh Savings Pivot'!H88</f>
        <v>1296428.46783058</v>
      </c>
      <c r="I37" s="35">
        <f>'KH MWh Savings Pivot'!I88</f>
        <v>1226040.3615309021</v>
      </c>
      <c r="J37" s="35">
        <f>'KH MWh Savings Pivot'!J88</f>
        <v>1215624.0150079487</v>
      </c>
      <c r="K37" s="35">
        <f>'KH MWh Savings Pivot'!K88</f>
        <v>1212866.6131851347</v>
      </c>
      <c r="L37" s="35">
        <f>'KH MWh Savings Pivot'!L88</f>
        <v>1212866.6131851347</v>
      </c>
      <c r="M37" s="35">
        <f>'KH MWh Savings Pivot'!M88</f>
        <v>1172079.9119047245</v>
      </c>
      <c r="N37" s="45"/>
      <c r="O37" s="45"/>
      <c r="P37" s="45"/>
      <c r="Q37" s="45"/>
      <c r="R37" s="45"/>
      <c r="S37" s="45"/>
      <c r="T37" s="45"/>
      <c r="U37" s="45"/>
      <c r="V37" s="45"/>
      <c r="W37" s="45"/>
      <c r="X37" s="45"/>
      <c r="Y37" s="45"/>
      <c r="Z37" s="45"/>
      <c r="AA37" s="45"/>
    </row>
    <row r="38" spans="1:27">
      <c r="A38" s="591" t="s">
        <v>577</v>
      </c>
      <c r="B38" s="35"/>
      <c r="C38" s="35"/>
      <c r="D38" s="35"/>
      <c r="E38" s="35"/>
      <c r="F38" s="35"/>
      <c r="G38" s="35">
        <f>'KH MWh Savings Pivot'!G107</f>
        <v>50616.151834422322</v>
      </c>
      <c r="H38" s="35">
        <f>'KH MWh Savings Pivot'!H107</f>
        <v>101232.30366884464</v>
      </c>
      <c r="I38" s="35">
        <f>'KH MWh Savings Pivot'!I107</f>
        <v>101232.30366884464</v>
      </c>
      <c r="J38" s="35">
        <f>'KH MWh Savings Pivot'!J107</f>
        <v>95736.011101675365</v>
      </c>
      <c r="K38" s="35">
        <f>'KH MWh Savings Pivot'!K107</f>
        <v>94922.645165569309</v>
      </c>
      <c r="L38" s="35">
        <f>'KH MWh Savings Pivot'!L107</f>
        <v>94707.33198355377</v>
      </c>
      <c r="M38" s="35">
        <f>'KH MWh Savings Pivot'!M107</f>
        <v>94707.33198355377</v>
      </c>
      <c r="N38" s="45"/>
      <c r="O38" s="45"/>
      <c r="P38" s="45"/>
      <c r="Q38" s="45"/>
      <c r="R38" s="45"/>
      <c r="S38" s="45"/>
      <c r="T38" s="45"/>
      <c r="U38" s="45"/>
      <c r="V38" s="45"/>
      <c r="W38" s="45"/>
      <c r="X38" s="45"/>
      <c r="Y38" s="45"/>
      <c r="Z38" s="45"/>
      <c r="AA38" s="45"/>
    </row>
    <row r="39" spans="1:27">
      <c r="A39" s="591" t="s">
        <v>578</v>
      </c>
      <c r="B39" s="35"/>
      <c r="C39" s="35"/>
      <c r="D39" s="35"/>
      <c r="E39" s="35"/>
      <c r="F39" s="35"/>
      <c r="G39" s="35"/>
      <c r="H39" s="35">
        <f>'KH MWh Savings Pivot'!H126</f>
        <v>299418.53706033068</v>
      </c>
      <c r="I39" s="35">
        <f>'KH MWh Savings Pivot'!I126</f>
        <v>9233001.151187392</v>
      </c>
      <c r="J39" s="35">
        <f>'KH MWh Savings Pivot'!J126</f>
        <v>13021489.306941688</v>
      </c>
      <c r="K39" s="35">
        <f>'KH MWh Savings Pivot'!K126</f>
        <v>14255050.891496196</v>
      </c>
      <c r="L39" s="35">
        <f>'KH MWh Savings Pivot'!L126</f>
        <v>15422796.191126009</v>
      </c>
      <c r="M39" s="35">
        <f>'KH MWh Savings Pivot'!M126</f>
        <v>16649558.713045008</v>
      </c>
      <c r="N39" s="45"/>
      <c r="O39" s="45"/>
      <c r="P39" s="45"/>
      <c r="Q39" s="45"/>
      <c r="R39" s="45"/>
      <c r="S39" s="45"/>
      <c r="T39" s="45"/>
      <c r="U39" s="45"/>
      <c r="V39" s="45"/>
      <c r="W39" s="45"/>
      <c r="X39" s="45"/>
      <c r="Y39" s="45"/>
      <c r="Z39" s="45"/>
      <c r="AA39" s="45"/>
    </row>
    <row r="40" spans="1:27">
      <c r="A40" s="591" t="s">
        <v>579</v>
      </c>
      <c r="B40" s="593">
        <f>SUM(B33:B39)</f>
        <v>0</v>
      </c>
      <c r="C40" s="593">
        <f t="shared" ref="C40:M40" si="3">SUM(C33:C39)</f>
        <v>0</v>
      </c>
      <c r="D40" s="593">
        <f t="shared" si="3"/>
        <v>617444.24766883871</v>
      </c>
      <c r="E40" s="593">
        <f t="shared" si="3"/>
        <v>1541625.621168084</v>
      </c>
      <c r="F40" s="593">
        <f t="shared" si="3"/>
        <v>2488161.3079137807</v>
      </c>
      <c r="G40" s="593">
        <f t="shared" si="3"/>
        <v>3178683.6120719071</v>
      </c>
      <c r="H40" s="593">
        <f t="shared" si="3"/>
        <v>3517482.4290841846</v>
      </c>
      <c r="I40" s="593">
        <f t="shared" si="3"/>
        <v>12380676.936911568</v>
      </c>
      <c r="J40" s="593">
        <f t="shared" si="3"/>
        <v>16120839.147491556</v>
      </c>
      <c r="K40" s="593">
        <f t="shared" si="3"/>
        <v>17350110.636150617</v>
      </c>
      <c r="L40" s="593">
        <f t="shared" si="3"/>
        <v>18517640.622598417</v>
      </c>
      <c r="M40" s="593">
        <f t="shared" si="3"/>
        <v>19575167.576445058</v>
      </c>
      <c r="N40" s="45"/>
      <c r="O40" s="45"/>
      <c r="P40" s="45"/>
      <c r="Q40" s="45"/>
      <c r="R40" s="45"/>
      <c r="S40" s="45"/>
      <c r="T40" s="45"/>
      <c r="U40" s="45"/>
      <c r="V40" s="45"/>
      <c r="W40" s="45"/>
      <c r="X40" s="45"/>
      <c r="Y40" s="45"/>
      <c r="Z40" s="45"/>
      <c r="AA40" s="45"/>
    </row>
    <row r="42" spans="1:27">
      <c r="A42" s="589" t="s">
        <v>496</v>
      </c>
      <c r="B42" s="589">
        <v>2009</v>
      </c>
      <c r="C42" s="589">
        <v>2010</v>
      </c>
      <c r="D42" s="589">
        <v>2011</v>
      </c>
      <c r="E42" s="589">
        <v>2012</v>
      </c>
      <c r="F42" s="589">
        <v>2013</v>
      </c>
      <c r="G42" s="589">
        <v>2014</v>
      </c>
      <c r="H42" s="589">
        <v>2015</v>
      </c>
      <c r="I42" s="589">
        <v>2016</v>
      </c>
      <c r="J42" s="589">
        <v>2017</v>
      </c>
      <c r="K42" s="589">
        <v>2018</v>
      </c>
      <c r="L42" s="589">
        <v>2019</v>
      </c>
      <c r="M42" s="589">
        <v>2020</v>
      </c>
    </row>
    <row r="43" spans="1:27">
      <c r="A43" s="591" t="s">
        <v>572</v>
      </c>
      <c r="B43" s="35"/>
      <c r="C43" s="35"/>
      <c r="D43" s="35"/>
      <c r="E43" s="35"/>
      <c r="F43" s="35"/>
      <c r="G43" s="35"/>
      <c r="H43" s="35"/>
      <c r="I43" s="35"/>
      <c r="J43" s="35"/>
      <c r="K43" s="35"/>
      <c r="L43" s="35"/>
      <c r="M43" s="35"/>
    </row>
    <row r="44" spans="1:27">
      <c r="A44" s="591" t="s">
        <v>573</v>
      </c>
      <c r="B44" s="35"/>
      <c r="C44" s="35"/>
      <c r="D44" s="35"/>
      <c r="E44" s="35"/>
      <c r="F44" s="35"/>
      <c r="G44" s="35"/>
      <c r="H44" s="35"/>
      <c r="I44" s="35"/>
      <c r="J44" s="35"/>
      <c r="K44" s="35"/>
      <c r="L44" s="35"/>
      <c r="M44" s="35"/>
    </row>
    <row r="45" spans="1:27">
      <c r="A45" s="591" t="s">
        <v>574</v>
      </c>
      <c r="B45" s="35"/>
      <c r="C45" s="35"/>
      <c r="D45" s="35"/>
      <c r="E45" s="35"/>
      <c r="F45" s="35"/>
      <c r="G45" s="35"/>
      <c r="H45" s="35"/>
      <c r="I45" s="35"/>
      <c r="J45" s="35"/>
      <c r="K45" s="35"/>
      <c r="L45" s="35"/>
      <c r="M45" s="35"/>
    </row>
    <row r="46" spans="1:27">
      <c r="A46" s="591" t="s">
        <v>575</v>
      </c>
      <c r="B46" s="35"/>
      <c r="C46" s="35"/>
      <c r="D46" s="35"/>
      <c r="E46" s="35">
        <f>'KH MWh Savings Pivot'!E69</f>
        <v>14564.480776132559</v>
      </c>
      <c r="F46" s="35">
        <f>'KH MWh Savings Pivot'!F69</f>
        <v>29128.961552265118</v>
      </c>
      <c r="G46" s="35">
        <f>'KH MWh Savings Pivot'!G69</f>
        <v>28279.802112317881</v>
      </c>
      <c r="H46" s="35">
        <f>'KH MWh Savings Pivot'!H69</f>
        <v>27101.794380390897</v>
      </c>
      <c r="I46" s="35">
        <f>'KH MWh Savings Pivot'!I69</f>
        <v>27101.794380390897</v>
      </c>
      <c r="J46" s="35">
        <f>'KH MWh Savings Pivot'!J69</f>
        <v>23928.345003243598</v>
      </c>
      <c r="K46" s="35">
        <f>'KH MWh Savings Pivot'!K69</f>
        <v>23852.928149484211</v>
      </c>
      <c r="L46" s="35">
        <f>'KH MWh Savings Pivot'!L69</f>
        <v>23852.928149484211</v>
      </c>
      <c r="M46" s="35">
        <f>'KH MWh Savings Pivot'!M69</f>
        <v>23250.800665387953</v>
      </c>
    </row>
    <row r="47" spans="1:27">
      <c r="A47" s="591" t="s">
        <v>576</v>
      </c>
      <c r="B47" s="35"/>
      <c r="C47" s="35"/>
      <c r="D47" s="35"/>
      <c r="E47" s="35"/>
      <c r="F47" s="35">
        <f>'KH MWh Savings Pivot'!F89</f>
        <v>1074219.5845582362</v>
      </c>
      <c r="G47" s="35">
        <f>'KH MWh Savings Pivot'!G89</f>
        <v>2148439.1691164724</v>
      </c>
      <c r="H47" s="35">
        <f>'KH MWh Savings Pivot'!H89</f>
        <v>2148439.1691164724</v>
      </c>
      <c r="I47" s="35">
        <f>'KH MWh Savings Pivot'!I89</f>
        <v>2031792.1127098678</v>
      </c>
      <c r="J47" s="35">
        <f>'KH MWh Savings Pivot'!J89</f>
        <v>2014530.1600265454</v>
      </c>
      <c r="K47" s="35">
        <f>'KH MWh Savings Pivot'!K89</f>
        <v>2009960.5981663065</v>
      </c>
      <c r="L47" s="35">
        <f>'KH MWh Savings Pivot'!L89</f>
        <v>2009960.5981663065</v>
      </c>
      <c r="M47" s="35">
        <f>'KH MWh Savings Pivot'!M89</f>
        <v>1942368.9424874391</v>
      </c>
    </row>
    <row r="48" spans="1:27">
      <c r="A48" s="591" t="s">
        <v>577</v>
      </c>
      <c r="B48" s="45"/>
      <c r="C48" s="45"/>
      <c r="D48" s="45"/>
      <c r="E48" s="45"/>
      <c r="F48" s="45"/>
      <c r="G48" s="45"/>
      <c r="H48" s="45"/>
      <c r="I48" s="45"/>
      <c r="J48" s="45"/>
      <c r="K48" s="45"/>
      <c r="L48" s="45"/>
      <c r="M48" s="45"/>
    </row>
    <row r="49" spans="1:13">
      <c r="A49" s="591" t="s">
        <v>578</v>
      </c>
      <c r="B49" s="45"/>
      <c r="C49" s="45"/>
      <c r="D49" s="45"/>
      <c r="E49" s="45"/>
      <c r="F49" s="45"/>
      <c r="G49" s="45"/>
      <c r="H49" s="35"/>
      <c r="I49" s="35"/>
      <c r="J49" s="35"/>
      <c r="K49" s="35"/>
      <c r="L49" s="35"/>
      <c r="M49" s="35"/>
    </row>
    <row r="50" spans="1:13">
      <c r="A50" s="591" t="s">
        <v>579</v>
      </c>
      <c r="B50" s="35">
        <f>SUM(B43:B49)</f>
        <v>0</v>
      </c>
      <c r="C50" s="35">
        <f t="shared" ref="C50:M50" si="4">SUM(C43:C49)</f>
        <v>0</v>
      </c>
      <c r="D50" s="35">
        <f t="shared" si="4"/>
        <v>0</v>
      </c>
      <c r="E50" s="35">
        <f t="shared" si="4"/>
        <v>14564.480776132559</v>
      </c>
      <c r="F50" s="35">
        <f t="shared" si="4"/>
        <v>1103348.5461105013</v>
      </c>
      <c r="G50" s="35">
        <f t="shared" si="4"/>
        <v>2176718.9712287905</v>
      </c>
      <c r="H50" s="35">
        <f t="shared" si="4"/>
        <v>2175540.9634968634</v>
      </c>
      <c r="I50" s="35">
        <f t="shared" si="4"/>
        <v>2058893.9070902586</v>
      </c>
      <c r="J50" s="35">
        <f t="shared" si="4"/>
        <v>2038458.5050297889</v>
      </c>
      <c r="K50" s="35">
        <f t="shared" si="4"/>
        <v>2033813.5263157906</v>
      </c>
      <c r="L50" s="35">
        <f t="shared" si="4"/>
        <v>2033813.5263157906</v>
      </c>
      <c r="M50" s="35">
        <f t="shared" si="4"/>
        <v>1965619.743152827</v>
      </c>
    </row>
    <row r="52" spans="1:13">
      <c r="A52" s="592"/>
      <c r="B52" s="589">
        <v>2009</v>
      </c>
      <c r="C52" s="589">
        <v>2010</v>
      </c>
      <c r="D52" s="589">
        <v>2011</v>
      </c>
      <c r="E52" s="589">
        <v>2012</v>
      </c>
      <c r="F52" s="589">
        <v>2013</v>
      </c>
      <c r="G52" s="589">
        <v>2014</v>
      </c>
      <c r="H52" s="589">
        <v>2015</v>
      </c>
      <c r="I52" s="589">
        <v>2016</v>
      </c>
      <c r="J52" s="589">
        <v>2017</v>
      </c>
      <c r="K52" s="589">
        <v>2018</v>
      </c>
      <c r="L52" s="589">
        <v>2019</v>
      </c>
      <c r="M52" s="589">
        <v>2020</v>
      </c>
    </row>
    <row r="53" spans="1:13">
      <c r="A53" s="590" t="s">
        <v>581</v>
      </c>
      <c r="B53" s="594">
        <f>B50+B40+B30+B20+B10</f>
        <v>1240049.9696793298</v>
      </c>
      <c r="C53" s="594">
        <f t="shared" ref="C53:M53" si="5">C50+C40+C30+C20+C10</f>
        <v>3052033.7609513174</v>
      </c>
      <c r="D53" s="594">
        <f t="shared" si="5"/>
        <v>5044584.4752238197</v>
      </c>
      <c r="E53" s="594">
        <f t="shared" si="5"/>
        <v>9362827.115640657</v>
      </c>
      <c r="F53" s="594">
        <f t="shared" si="5"/>
        <v>14800903.502557456</v>
      </c>
      <c r="G53" s="594">
        <f t="shared" si="5"/>
        <v>19279202.236948777</v>
      </c>
      <c r="H53" s="594">
        <f t="shared" si="5"/>
        <v>21548596.631079219</v>
      </c>
      <c r="I53" s="594">
        <f t="shared" si="5"/>
        <v>33422603.09105498</v>
      </c>
      <c r="J53" s="594">
        <f t="shared" si="5"/>
        <v>38058034.457681805</v>
      </c>
      <c r="K53" s="594">
        <f t="shared" si="5"/>
        <v>41339820.519930825</v>
      </c>
      <c r="L53" s="594">
        <f t="shared" si="5"/>
        <v>45699934.680320084</v>
      </c>
      <c r="M53" s="594">
        <f t="shared" si="5"/>
        <v>49496047.952321745</v>
      </c>
    </row>
  </sheetData>
  <pageMargins left="0.7" right="0.7" top="0.75" bottom="0.75" header="0.3" footer="0.3"/>
  <pageSetup scale="4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
  <sheetViews>
    <sheetView topLeftCell="A9" zoomScaleNormal="100" workbookViewId="0">
      <selection activeCell="L9" sqref="L9"/>
    </sheetView>
  </sheetViews>
  <sheetFormatPr defaultColWidth="8.7109375" defaultRowHeight="15"/>
  <cols>
    <col min="1" max="1" width="24.140625" style="45" bestFit="1" customWidth="1"/>
    <col min="2" max="2" width="13.5703125" style="46" bestFit="1" customWidth="1"/>
    <col min="3" max="3" width="16.42578125" style="588" customWidth="1"/>
    <col min="4" max="4" width="33.85546875" style="45" customWidth="1"/>
    <col min="5" max="5" width="11" style="45" customWidth="1"/>
    <col min="6" max="6" width="12.28515625" style="45" customWidth="1"/>
    <col min="7" max="16384" width="8.7109375" style="45"/>
  </cols>
  <sheetData>
    <row r="1" spans="1:6">
      <c r="A1" s="52" t="s">
        <v>597</v>
      </c>
      <c r="B1" s="646"/>
      <c r="C1" s="645"/>
    </row>
    <row r="2" spans="1:6">
      <c r="A2" s="52"/>
      <c r="B2" s="646"/>
      <c r="C2" s="645"/>
    </row>
    <row r="3" spans="1:6">
      <c r="A3" s="618">
        <v>40299</v>
      </c>
      <c r="B3" s="642"/>
      <c r="C3" s="616"/>
      <c r="D3" s="615"/>
      <c r="E3" s="644"/>
      <c r="F3" s="644"/>
    </row>
    <row r="4" spans="1:6" ht="38.25">
      <c r="A4" s="640" t="s">
        <v>596</v>
      </c>
      <c r="B4" s="611" t="s">
        <v>594</v>
      </c>
      <c r="C4" s="611" t="s">
        <v>593</v>
      </c>
      <c r="D4" s="611" t="s">
        <v>592</v>
      </c>
      <c r="E4" s="612" t="s">
        <v>591</v>
      </c>
      <c r="F4" s="611" t="s">
        <v>590</v>
      </c>
    </row>
    <row r="6" spans="1:6">
      <c r="A6" s="608" t="s">
        <v>3</v>
      </c>
      <c r="B6" s="625">
        <v>40299</v>
      </c>
      <c r="C6" s="625">
        <v>40299</v>
      </c>
      <c r="D6" s="606" t="s">
        <v>17</v>
      </c>
      <c r="E6" s="609">
        <v>10.119999999999999</v>
      </c>
      <c r="F6" s="636">
        <v>1.24E-2</v>
      </c>
    </row>
    <row r="7" spans="1:6">
      <c r="A7" s="608" t="s">
        <v>3</v>
      </c>
      <c r="B7" s="625">
        <v>40299</v>
      </c>
      <c r="C7" s="625">
        <v>40299</v>
      </c>
      <c r="D7" s="606" t="s">
        <v>589</v>
      </c>
      <c r="E7" s="609">
        <v>23.39</v>
      </c>
      <c r="F7" s="636">
        <v>9.7000000000000003E-3</v>
      </c>
    </row>
    <row r="8" spans="1:6">
      <c r="A8" s="608" t="s">
        <v>3</v>
      </c>
      <c r="B8" s="625">
        <v>40299</v>
      </c>
      <c r="C8" s="625">
        <v>40299</v>
      </c>
      <c r="D8" s="606" t="s">
        <v>588</v>
      </c>
      <c r="E8" s="609">
        <v>234.1</v>
      </c>
      <c r="F8" s="636">
        <v>1.6891</v>
      </c>
    </row>
    <row r="9" spans="1:6">
      <c r="A9" s="608" t="s">
        <v>3</v>
      </c>
      <c r="B9" s="625">
        <v>40299</v>
      </c>
      <c r="C9" s="625">
        <v>40299</v>
      </c>
      <c r="D9" s="606" t="s">
        <v>587</v>
      </c>
      <c r="E9" s="609">
        <v>3864.27</v>
      </c>
      <c r="F9" s="636">
        <v>0.83709999999999996</v>
      </c>
    </row>
    <row r="10" spans="1:6">
      <c r="A10" s="608" t="s">
        <v>3</v>
      </c>
      <c r="B10" s="625">
        <v>40299</v>
      </c>
      <c r="C10" s="625">
        <v>40299</v>
      </c>
      <c r="D10" s="606" t="s">
        <v>586</v>
      </c>
      <c r="E10" s="609">
        <v>0.86</v>
      </c>
      <c r="F10" s="636">
        <v>3.9127000000000001</v>
      </c>
    </row>
    <row r="11" spans="1:6">
      <c r="A11" s="603" t="s">
        <v>3</v>
      </c>
      <c r="B11" s="630">
        <v>40299</v>
      </c>
      <c r="C11" s="630">
        <v>40299</v>
      </c>
      <c r="D11" s="601" t="s">
        <v>585</v>
      </c>
      <c r="E11" s="635">
        <v>9.6999999999999993</v>
      </c>
      <c r="F11" s="634">
        <v>1.18E-2</v>
      </c>
    </row>
    <row r="12" spans="1:6">
      <c r="A12" s="608"/>
      <c r="B12" s="625"/>
      <c r="C12" s="625"/>
      <c r="D12" s="606"/>
      <c r="E12" s="643"/>
      <c r="F12" s="636"/>
    </row>
    <row r="13" spans="1:6">
      <c r="A13" s="608"/>
      <c r="B13" s="625"/>
      <c r="C13" s="625"/>
      <c r="D13" s="606"/>
      <c r="E13" s="643"/>
      <c r="F13" s="636"/>
    </row>
    <row r="14" spans="1:6">
      <c r="A14" s="618">
        <v>40664</v>
      </c>
      <c r="B14" s="642"/>
      <c r="C14" s="616"/>
      <c r="D14" s="641"/>
      <c r="E14" s="633"/>
      <c r="F14" s="613"/>
    </row>
    <row r="15" spans="1:6" ht="38.25">
      <c r="A15" s="640" t="s">
        <v>596</v>
      </c>
      <c r="B15" s="611" t="s">
        <v>594</v>
      </c>
      <c r="C15" s="611" t="s">
        <v>593</v>
      </c>
      <c r="D15" s="611" t="s">
        <v>592</v>
      </c>
      <c r="E15" s="612" t="s">
        <v>591</v>
      </c>
      <c r="F15" s="611" t="s">
        <v>590</v>
      </c>
    </row>
    <row r="16" spans="1:6">
      <c r="A16" s="639" t="s">
        <v>3</v>
      </c>
      <c r="B16" s="625">
        <v>40664</v>
      </c>
      <c r="C16" s="625">
        <v>40756</v>
      </c>
      <c r="D16" s="638" t="s">
        <v>17</v>
      </c>
      <c r="E16" s="609">
        <v>12.06</v>
      </c>
      <c r="F16" s="637">
        <v>1.4800000000000001E-2</v>
      </c>
    </row>
    <row r="17" spans="1:6">
      <c r="A17" s="608" t="s">
        <v>3</v>
      </c>
      <c r="B17" s="625">
        <v>40664</v>
      </c>
      <c r="C17" s="625">
        <v>40756</v>
      </c>
      <c r="D17" s="606" t="s">
        <v>589</v>
      </c>
      <c r="E17" s="609">
        <v>24.83</v>
      </c>
      <c r="F17" s="636">
        <v>1.03E-2</v>
      </c>
    </row>
    <row r="18" spans="1:6">
      <c r="A18" s="608" t="s">
        <v>3</v>
      </c>
      <c r="B18" s="625">
        <v>40664</v>
      </c>
      <c r="C18" s="625">
        <v>40756</v>
      </c>
      <c r="D18" s="606" t="s">
        <v>588</v>
      </c>
      <c r="E18" s="609">
        <v>269.01</v>
      </c>
      <c r="F18" s="636">
        <v>1.927</v>
      </c>
    </row>
    <row r="19" spans="1:6">
      <c r="A19" s="608" t="s">
        <v>3</v>
      </c>
      <c r="B19" s="625">
        <v>40664</v>
      </c>
      <c r="C19" s="625">
        <v>40756</v>
      </c>
      <c r="D19" s="606" t="s">
        <v>587</v>
      </c>
      <c r="E19" s="609">
        <v>4959.68</v>
      </c>
      <c r="F19" s="636">
        <v>1.0118</v>
      </c>
    </row>
    <row r="20" spans="1:6">
      <c r="A20" s="608" t="s">
        <v>3</v>
      </c>
      <c r="B20" s="625">
        <v>40664</v>
      </c>
      <c r="C20" s="625">
        <v>40756</v>
      </c>
      <c r="D20" s="606" t="s">
        <v>586</v>
      </c>
      <c r="E20" s="609">
        <v>0.99</v>
      </c>
      <c r="F20" s="636">
        <v>4.4901</v>
      </c>
    </row>
    <row r="21" spans="1:6">
      <c r="A21" s="603" t="s">
        <v>3</v>
      </c>
      <c r="B21" s="630">
        <v>40664</v>
      </c>
      <c r="C21" s="630">
        <v>40756</v>
      </c>
      <c r="D21" s="601" t="s">
        <v>585</v>
      </c>
      <c r="E21" s="635">
        <v>11.09</v>
      </c>
      <c r="F21" s="634">
        <v>1.35E-2</v>
      </c>
    </row>
    <row r="24" spans="1:6">
      <c r="A24" s="618">
        <v>41030</v>
      </c>
      <c r="B24" s="617"/>
      <c r="C24" s="616"/>
      <c r="D24" s="615"/>
      <c r="E24" s="633"/>
      <c r="F24" s="613"/>
    </row>
    <row r="25" spans="1:6" ht="38.25">
      <c r="A25" s="611" t="s">
        <v>595</v>
      </c>
      <c r="B25" s="611" t="s">
        <v>594</v>
      </c>
      <c r="C25" s="611" t="s">
        <v>593</v>
      </c>
      <c r="D25" s="611" t="s">
        <v>592</v>
      </c>
      <c r="E25" s="612" t="s">
        <v>591</v>
      </c>
      <c r="F25" s="611" t="s">
        <v>590</v>
      </c>
    </row>
    <row r="26" spans="1:6">
      <c r="A26" s="626" t="s">
        <v>3</v>
      </c>
      <c r="B26" s="625">
        <v>41030</v>
      </c>
      <c r="C26" s="625">
        <v>41030</v>
      </c>
      <c r="D26" s="624" t="s">
        <v>17</v>
      </c>
      <c r="E26" s="632">
        <v>12.17</v>
      </c>
      <c r="F26" s="622">
        <v>1.49E-2</v>
      </c>
    </row>
    <row r="27" spans="1:6">
      <c r="A27" s="626" t="s">
        <v>3</v>
      </c>
      <c r="B27" s="625">
        <v>41030</v>
      </c>
      <c r="C27" s="625">
        <v>41030</v>
      </c>
      <c r="D27" s="624" t="s">
        <v>589</v>
      </c>
      <c r="E27" s="632">
        <v>25.05</v>
      </c>
      <c r="F27" s="622">
        <v>1.04E-2</v>
      </c>
    </row>
    <row r="28" spans="1:6">
      <c r="A28" s="626" t="s">
        <v>3</v>
      </c>
      <c r="B28" s="625">
        <v>41030</v>
      </c>
      <c r="C28" s="625">
        <v>41030</v>
      </c>
      <c r="D28" s="624" t="s">
        <v>588</v>
      </c>
      <c r="E28" s="632">
        <v>271.38</v>
      </c>
      <c r="F28" s="622">
        <v>1.944</v>
      </c>
    </row>
    <row r="29" spans="1:6">
      <c r="A29" s="626" t="s">
        <v>3</v>
      </c>
      <c r="B29" s="625">
        <v>41030</v>
      </c>
      <c r="C29" s="625">
        <v>41030</v>
      </c>
      <c r="D29" s="624" t="s">
        <v>587</v>
      </c>
      <c r="E29" s="632">
        <v>5003.33</v>
      </c>
      <c r="F29" s="622">
        <v>1.0206999999999999</v>
      </c>
    </row>
    <row r="30" spans="1:6">
      <c r="A30" s="626" t="s">
        <v>3</v>
      </c>
      <c r="B30" s="625">
        <v>41030</v>
      </c>
      <c r="C30" s="625">
        <v>41030</v>
      </c>
      <c r="D30" s="624" t="s">
        <v>586</v>
      </c>
      <c r="E30" s="632">
        <v>1</v>
      </c>
      <c r="F30" s="622">
        <v>4.5296000000000003</v>
      </c>
    </row>
    <row r="31" spans="1:6">
      <c r="A31" s="631" t="s">
        <v>3</v>
      </c>
      <c r="B31" s="630">
        <v>41030</v>
      </c>
      <c r="C31" s="630">
        <v>41030</v>
      </c>
      <c r="D31" s="629" t="s">
        <v>585</v>
      </c>
      <c r="E31" s="628">
        <v>11.19</v>
      </c>
      <c r="F31" s="627">
        <v>1.3599999999999999E-2</v>
      </c>
    </row>
    <row r="32" spans="1:6">
      <c r="A32" s="626"/>
      <c r="B32" s="625"/>
      <c r="C32" s="625"/>
      <c r="D32" s="624"/>
      <c r="E32" s="623"/>
      <c r="F32" s="622"/>
    </row>
    <row r="33" spans="1:6">
      <c r="A33" s="626"/>
      <c r="B33" s="625"/>
      <c r="C33" s="625"/>
      <c r="D33" s="624"/>
      <c r="E33" s="623"/>
      <c r="F33" s="622"/>
    </row>
    <row r="34" spans="1:6">
      <c r="A34" s="618">
        <v>41395</v>
      </c>
      <c r="B34" s="617"/>
      <c r="C34" s="616"/>
      <c r="D34" s="615"/>
      <c r="E34" s="614"/>
      <c r="F34" s="613"/>
    </row>
    <row r="35" spans="1:6" ht="38.25">
      <c r="A35" s="611" t="s">
        <v>595</v>
      </c>
      <c r="B35" s="611" t="s">
        <v>594</v>
      </c>
      <c r="C35" s="611" t="s">
        <v>593</v>
      </c>
      <c r="D35" s="611" t="s">
        <v>592</v>
      </c>
      <c r="E35" s="612" t="s">
        <v>591</v>
      </c>
      <c r="F35" s="611" t="s">
        <v>590</v>
      </c>
    </row>
    <row r="36" spans="1:6">
      <c r="A36" s="608" t="s">
        <v>3</v>
      </c>
      <c r="B36" s="607">
        <v>41395</v>
      </c>
      <c r="C36" s="607">
        <v>41395</v>
      </c>
      <c r="D36" s="606" t="s">
        <v>17</v>
      </c>
      <c r="E36" s="605">
        <v>12.23</v>
      </c>
      <c r="F36" s="604">
        <v>1.4999999999999999E-2</v>
      </c>
    </row>
    <row r="37" spans="1:6">
      <c r="A37" s="608" t="s">
        <v>3</v>
      </c>
      <c r="B37" s="607">
        <v>41395</v>
      </c>
      <c r="C37" s="607">
        <v>41395</v>
      </c>
      <c r="D37" s="606" t="s">
        <v>589</v>
      </c>
      <c r="E37" s="605">
        <v>25.17</v>
      </c>
      <c r="F37" s="604">
        <v>1.04E-2</v>
      </c>
    </row>
    <row r="38" spans="1:6">
      <c r="A38" s="608" t="s">
        <v>3</v>
      </c>
      <c r="B38" s="607">
        <v>41395</v>
      </c>
      <c r="C38" s="607">
        <v>41395</v>
      </c>
      <c r="D38" s="606" t="s">
        <v>588</v>
      </c>
      <c r="E38" s="605">
        <v>272.68</v>
      </c>
      <c r="F38" s="604">
        <v>1.9533</v>
      </c>
    </row>
    <row r="39" spans="1:6">
      <c r="A39" s="608" t="s">
        <v>3</v>
      </c>
      <c r="B39" s="607">
        <v>41395</v>
      </c>
      <c r="C39" s="607">
        <v>41395</v>
      </c>
      <c r="D39" s="606" t="s">
        <v>587</v>
      </c>
      <c r="E39" s="605">
        <v>5027.3500000000004</v>
      </c>
      <c r="F39" s="604">
        <v>1.0256000000000001</v>
      </c>
    </row>
    <row r="40" spans="1:6">
      <c r="A40" s="608" t="s">
        <v>3</v>
      </c>
      <c r="B40" s="607">
        <v>41395</v>
      </c>
      <c r="C40" s="607">
        <v>41395</v>
      </c>
      <c r="D40" s="606" t="s">
        <v>586</v>
      </c>
      <c r="E40" s="605">
        <v>1</v>
      </c>
      <c r="F40" s="604">
        <v>4.5513000000000003</v>
      </c>
    </row>
    <row r="41" spans="1:6">
      <c r="A41" s="603" t="s">
        <v>3</v>
      </c>
      <c r="B41" s="602">
        <v>41395</v>
      </c>
      <c r="C41" s="602">
        <v>41395</v>
      </c>
      <c r="D41" s="601" t="s">
        <v>585</v>
      </c>
      <c r="E41" s="600">
        <v>11.24</v>
      </c>
      <c r="F41" s="599">
        <v>1.37E-2</v>
      </c>
    </row>
    <row r="42" spans="1:6">
      <c r="E42" s="621"/>
    </row>
    <row r="44" spans="1:6">
      <c r="A44" s="618">
        <v>41760</v>
      </c>
      <c r="B44" s="617"/>
      <c r="C44" s="616"/>
      <c r="D44" s="615"/>
      <c r="E44" s="614"/>
      <c r="F44" s="613"/>
    </row>
    <row r="45" spans="1:6" ht="38.25">
      <c r="A45" s="611" t="s">
        <v>595</v>
      </c>
      <c r="B45" s="611" t="s">
        <v>594</v>
      </c>
      <c r="C45" s="611" t="s">
        <v>593</v>
      </c>
      <c r="D45" s="611" t="s">
        <v>592</v>
      </c>
      <c r="E45" s="612" t="s">
        <v>591</v>
      </c>
      <c r="F45" s="611" t="s">
        <v>590</v>
      </c>
    </row>
    <row r="46" spans="1:6">
      <c r="A46" s="610" t="s">
        <v>3</v>
      </c>
      <c r="B46" s="607">
        <v>41760</v>
      </c>
      <c r="C46" s="607">
        <v>41760</v>
      </c>
      <c r="D46" s="606" t="s">
        <v>17</v>
      </c>
      <c r="E46" s="609">
        <v>12.4</v>
      </c>
      <c r="F46" s="604">
        <v>1.52E-2</v>
      </c>
    </row>
    <row r="47" spans="1:6">
      <c r="A47" s="608" t="s">
        <v>3</v>
      </c>
      <c r="B47" s="607">
        <v>41760</v>
      </c>
      <c r="C47" s="607">
        <v>41760</v>
      </c>
      <c r="D47" s="606" t="s">
        <v>589</v>
      </c>
      <c r="E47" s="605">
        <v>25.52</v>
      </c>
      <c r="F47" s="604">
        <v>1.0500000000000001E-2</v>
      </c>
    </row>
    <row r="48" spans="1:6">
      <c r="A48" s="608" t="s">
        <v>3</v>
      </c>
      <c r="B48" s="607">
        <v>41760</v>
      </c>
      <c r="C48" s="607">
        <v>41760</v>
      </c>
      <c r="D48" s="606" t="s">
        <v>588</v>
      </c>
      <c r="E48" s="605">
        <v>276.5</v>
      </c>
      <c r="F48" s="604">
        <v>1.9805999999999999</v>
      </c>
    </row>
    <row r="49" spans="1:12">
      <c r="A49" s="608" t="s">
        <v>3</v>
      </c>
      <c r="B49" s="607">
        <v>41760</v>
      </c>
      <c r="C49" s="607">
        <v>41760</v>
      </c>
      <c r="D49" s="606" t="s">
        <v>587</v>
      </c>
      <c r="E49" s="605">
        <v>5097.7299999999996</v>
      </c>
      <c r="F49" s="604">
        <v>1.04</v>
      </c>
    </row>
    <row r="50" spans="1:12">
      <c r="A50" s="608" t="s">
        <v>3</v>
      </c>
      <c r="B50" s="607">
        <v>41760</v>
      </c>
      <c r="C50" s="607">
        <v>41760</v>
      </c>
      <c r="D50" s="606" t="s">
        <v>586</v>
      </c>
      <c r="E50" s="605">
        <v>1.01</v>
      </c>
      <c r="F50" s="604">
        <v>4.6150000000000002</v>
      </c>
    </row>
    <row r="51" spans="1:12">
      <c r="A51" s="603" t="s">
        <v>3</v>
      </c>
      <c r="B51" s="602">
        <v>41760</v>
      </c>
      <c r="C51" s="602">
        <v>41760</v>
      </c>
      <c r="D51" s="601" t="s">
        <v>585</v>
      </c>
      <c r="E51" s="600">
        <v>11.4</v>
      </c>
      <c r="F51" s="599">
        <v>1.3899999999999999E-2</v>
      </c>
      <c r="G51" s="619"/>
      <c r="H51" s="619"/>
      <c r="I51" s="619"/>
      <c r="J51" s="619"/>
      <c r="K51" s="619"/>
      <c r="L51" s="619"/>
    </row>
    <row r="52" spans="1:12">
      <c r="A52" s="608"/>
      <c r="B52" s="607"/>
      <c r="C52" s="607"/>
      <c r="D52" s="606"/>
      <c r="E52" s="620"/>
      <c r="F52" s="604"/>
      <c r="G52" s="619"/>
      <c r="H52" s="619"/>
      <c r="I52" s="619"/>
      <c r="J52" s="619"/>
      <c r="K52" s="619"/>
      <c r="L52" s="619"/>
    </row>
    <row r="54" spans="1:12">
      <c r="A54" s="618">
        <v>42125</v>
      </c>
      <c r="B54" s="617"/>
      <c r="C54" s="616"/>
      <c r="D54" s="615"/>
      <c r="E54" s="614"/>
      <c r="F54" s="613"/>
    </row>
    <row r="55" spans="1:12" ht="38.25">
      <c r="A55" s="611" t="s">
        <v>595</v>
      </c>
      <c r="B55" s="611" t="s">
        <v>594</v>
      </c>
      <c r="C55" s="611" t="s">
        <v>593</v>
      </c>
      <c r="D55" s="611" t="s">
        <v>592</v>
      </c>
      <c r="E55" s="612" t="s">
        <v>591</v>
      </c>
      <c r="F55" s="611" t="s">
        <v>590</v>
      </c>
    </row>
    <row r="56" spans="1:12">
      <c r="A56" s="610" t="s">
        <v>3</v>
      </c>
      <c r="B56" s="607">
        <v>42125</v>
      </c>
      <c r="C56" s="607">
        <v>42125</v>
      </c>
      <c r="D56" s="606" t="s">
        <v>17</v>
      </c>
      <c r="E56" s="609">
        <v>12.56</v>
      </c>
      <c r="F56" s="604">
        <v>1.54E-2</v>
      </c>
    </row>
    <row r="57" spans="1:12">
      <c r="A57" s="608" t="s">
        <v>3</v>
      </c>
      <c r="B57" s="607">
        <v>42125</v>
      </c>
      <c r="C57" s="607">
        <v>42125</v>
      </c>
      <c r="D57" s="606" t="s">
        <v>589</v>
      </c>
      <c r="E57" s="605">
        <v>25.85</v>
      </c>
      <c r="F57" s="604">
        <v>1.06E-2</v>
      </c>
    </row>
    <row r="58" spans="1:12">
      <c r="A58" s="608" t="s">
        <v>3</v>
      </c>
      <c r="B58" s="607">
        <v>42125</v>
      </c>
      <c r="C58" s="607">
        <v>42125</v>
      </c>
      <c r="D58" s="606" t="s">
        <v>588</v>
      </c>
      <c r="E58" s="605">
        <v>280.08999999999997</v>
      </c>
      <c r="F58" s="604">
        <v>2.0063</v>
      </c>
    </row>
    <row r="59" spans="1:12">
      <c r="A59" s="608" t="s">
        <v>3</v>
      </c>
      <c r="B59" s="607">
        <v>42125</v>
      </c>
      <c r="C59" s="607">
        <v>42125</v>
      </c>
      <c r="D59" s="606" t="s">
        <v>587</v>
      </c>
      <c r="E59" s="605">
        <v>5164</v>
      </c>
      <c r="F59" s="604">
        <v>1.0535000000000001</v>
      </c>
    </row>
    <row r="60" spans="1:12">
      <c r="A60" s="608" t="s">
        <v>3</v>
      </c>
      <c r="B60" s="607">
        <v>42125</v>
      </c>
      <c r="C60" s="607">
        <v>42125</v>
      </c>
      <c r="D60" s="606" t="s">
        <v>586</v>
      </c>
      <c r="E60" s="605">
        <v>1.02</v>
      </c>
      <c r="F60" s="604">
        <v>4.6749999999999998</v>
      </c>
    </row>
    <row r="61" spans="1:12">
      <c r="A61" s="603" t="s">
        <v>3</v>
      </c>
      <c r="B61" s="602">
        <v>42125</v>
      </c>
      <c r="C61" s="602">
        <v>42125</v>
      </c>
      <c r="D61" s="601" t="s">
        <v>585</v>
      </c>
      <c r="E61" s="600">
        <v>11.55</v>
      </c>
      <c r="F61" s="599">
        <v>1.41E-2</v>
      </c>
    </row>
  </sheetData>
  <pageMargins left="0.7" right="0.7" top="0.75" bottom="0.75" header="0.3" footer="0.3"/>
  <pageSetup scale="80"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2"/>
  <sheetViews>
    <sheetView tabSelected="1" topLeftCell="A39" zoomScaleNormal="100" workbookViewId="0">
      <selection activeCell="K49" sqref="K49"/>
    </sheetView>
  </sheetViews>
  <sheetFormatPr defaultColWidth="8.7109375" defaultRowHeight="15"/>
  <cols>
    <col min="1" max="1" width="22.85546875" style="45" bestFit="1" customWidth="1"/>
    <col min="2" max="2" width="20.42578125" style="45" bestFit="1" customWidth="1"/>
    <col min="3" max="3" width="22.7109375" style="45" customWidth="1"/>
    <col min="4" max="4" width="14.42578125" style="45" bestFit="1" customWidth="1"/>
    <col min="5" max="7" width="9.140625" style="45" customWidth="1"/>
    <col min="8" max="13" width="8.7109375" style="45"/>
    <col min="14" max="14" width="14.5703125" style="45" bestFit="1" customWidth="1"/>
    <col min="15" max="16" width="8.7109375" style="45"/>
    <col min="17" max="17" width="7.7109375" style="45" bestFit="1" customWidth="1"/>
    <col min="18" max="18" width="14.140625" style="45" customWidth="1"/>
    <col min="19" max="19" width="8.7109375" style="45"/>
    <col min="20" max="21" width="11.28515625" style="45" bestFit="1" customWidth="1"/>
    <col min="22" max="23" width="8.7109375" style="45"/>
    <col min="24" max="24" width="12.28515625" style="45" bestFit="1" customWidth="1"/>
    <col min="25" max="26" width="9.85546875" style="45" bestFit="1" customWidth="1"/>
    <col min="27" max="16384" width="8.7109375" style="45"/>
  </cols>
  <sheetData>
    <row r="1" spans="1:18">
      <c r="A1" s="45" t="s">
        <v>475</v>
      </c>
    </row>
    <row r="3" spans="1:18" ht="14.45" customHeight="1">
      <c r="A3" s="737" t="s">
        <v>148</v>
      </c>
      <c r="B3" s="737"/>
      <c r="C3" s="737"/>
      <c r="D3" s="737"/>
      <c r="E3" s="737"/>
      <c r="F3" s="53"/>
      <c r="G3" s="738" t="s">
        <v>129</v>
      </c>
      <c r="H3" s="738"/>
      <c r="I3" s="738"/>
      <c r="J3" s="738"/>
      <c r="K3" s="738"/>
      <c r="L3" s="738"/>
      <c r="M3" s="53"/>
      <c r="N3" s="735" t="s">
        <v>476</v>
      </c>
      <c r="O3" s="735"/>
      <c r="P3" s="735"/>
      <c r="Q3" s="735"/>
      <c r="R3" s="735"/>
    </row>
    <row r="4" spans="1:18" ht="14.45" customHeight="1">
      <c r="A4" s="737"/>
      <c r="B4" s="737"/>
      <c r="C4" s="737"/>
      <c r="D4" s="737"/>
      <c r="E4" s="737"/>
      <c r="F4" s="53"/>
      <c r="G4" s="738"/>
      <c r="H4" s="738"/>
      <c r="I4" s="738"/>
      <c r="J4" s="738"/>
      <c r="K4" s="738"/>
      <c r="L4" s="738"/>
      <c r="M4" s="53"/>
      <c r="N4" s="735"/>
      <c r="O4" s="735"/>
      <c r="P4" s="735"/>
      <c r="Q4" s="735"/>
      <c r="R4" s="735"/>
    </row>
    <row r="5" spans="1:18">
      <c r="A5" s="737"/>
      <c r="B5" s="737"/>
      <c r="C5" s="737"/>
      <c r="D5" s="737"/>
      <c r="E5" s="737"/>
      <c r="F5" s="53"/>
      <c r="G5" s="738"/>
      <c r="H5" s="738"/>
      <c r="I5" s="738"/>
      <c r="J5" s="738"/>
      <c r="K5" s="738"/>
      <c r="L5" s="738"/>
      <c r="M5" s="53"/>
      <c r="N5" s="735"/>
      <c r="O5" s="735"/>
      <c r="P5" s="735"/>
      <c r="Q5" s="735"/>
      <c r="R5" s="735"/>
    </row>
    <row r="6" spans="1:18">
      <c r="A6" s="737"/>
      <c r="B6" s="737"/>
      <c r="C6" s="737"/>
      <c r="D6" s="737"/>
      <c r="E6" s="737"/>
      <c r="F6" s="53"/>
      <c r="G6" s="738"/>
      <c r="H6" s="738"/>
      <c r="I6" s="738"/>
      <c r="J6" s="738"/>
      <c r="K6" s="738"/>
      <c r="L6" s="738"/>
      <c r="M6" s="53"/>
      <c r="N6" s="735"/>
      <c r="O6" s="735"/>
      <c r="P6" s="735"/>
      <c r="Q6" s="735"/>
      <c r="R6" s="735"/>
    </row>
    <row r="7" spans="1:18" ht="14.45" customHeight="1">
      <c r="A7" s="735" t="s">
        <v>555</v>
      </c>
      <c r="B7" s="735"/>
      <c r="C7" s="735"/>
      <c r="D7" s="735"/>
      <c r="E7" s="735"/>
      <c r="F7" s="53"/>
      <c r="G7" s="738"/>
      <c r="H7" s="738"/>
      <c r="I7" s="738"/>
      <c r="J7" s="738"/>
      <c r="K7" s="738"/>
      <c r="L7" s="738"/>
      <c r="M7" s="53"/>
      <c r="N7" s="735"/>
      <c r="O7" s="735"/>
      <c r="P7" s="735"/>
      <c r="Q7" s="735"/>
      <c r="R7" s="735"/>
    </row>
    <row r="8" spans="1:18">
      <c r="A8" s="735"/>
      <c r="B8" s="735"/>
      <c r="C8" s="735"/>
      <c r="D8" s="735"/>
      <c r="E8" s="735"/>
      <c r="F8" s="53"/>
      <c r="G8" s="738"/>
      <c r="H8" s="738"/>
      <c r="I8" s="738"/>
      <c r="J8" s="738"/>
      <c r="K8" s="738"/>
      <c r="L8" s="738"/>
      <c r="M8" s="53"/>
      <c r="N8" s="735"/>
      <c r="O8" s="735"/>
      <c r="P8" s="735"/>
      <c r="Q8" s="735"/>
      <c r="R8" s="735"/>
    </row>
    <row r="9" spans="1:18">
      <c r="A9" s="735"/>
      <c r="B9" s="735"/>
      <c r="C9" s="735"/>
      <c r="D9" s="735"/>
      <c r="E9" s="735"/>
      <c r="F9" s="53"/>
      <c r="G9" s="738"/>
      <c r="H9" s="738"/>
      <c r="I9" s="738"/>
      <c r="J9" s="738"/>
      <c r="K9" s="738"/>
      <c r="L9" s="738"/>
      <c r="M9" s="53"/>
      <c r="N9" s="735"/>
      <c r="O9" s="735"/>
      <c r="P9" s="735"/>
      <c r="Q9" s="735"/>
      <c r="R9" s="735"/>
    </row>
    <row r="10" spans="1:18" ht="9.6" customHeight="1">
      <c r="A10" s="735"/>
      <c r="B10" s="735"/>
      <c r="C10" s="735"/>
      <c r="D10" s="735"/>
      <c r="E10" s="735"/>
      <c r="F10" s="53"/>
      <c r="G10" s="738"/>
      <c r="H10" s="738"/>
      <c r="I10" s="738"/>
      <c r="J10" s="738"/>
      <c r="K10" s="738"/>
      <c r="L10" s="738"/>
      <c r="M10" s="53"/>
      <c r="N10" s="735"/>
      <c r="O10" s="735"/>
      <c r="P10" s="735"/>
      <c r="Q10" s="735"/>
      <c r="R10" s="735"/>
    </row>
    <row r="11" spans="1:18">
      <c r="A11" s="735"/>
      <c r="B11" s="735"/>
      <c r="C11" s="735"/>
      <c r="D11" s="735"/>
      <c r="E11" s="735"/>
      <c r="F11" s="53"/>
      <c r="G11" s="738"/>
      <c r="H11" s="738"/>
      <c r="I11" s="738"/>
      <c r="J11" s="738"/>
      <c r="K11" s="738"/>
      <c r="L11" s="738"/>
      <c r="M11" s="53"/>
      <c r="N11" s="735"/>
      <c r="O11" s="735"/>
      <c r="P11" s="735"/>
      <c r="Q11" s="735"/>
      <c r="R11" s="735"/>
    </row>
    <row r="12" spans="1:18">
      <c r="A12" s="735"/>
      <c r="B12" s="735"/>
      <c r="C12" s="735"/>
      <c r="D12" s="735"/>
      <c r="E12" s="735"/>
      <c r="F12" s="53"/>
      <c r="G12" s="738"/>
      <c r="H12" s="738"/>
      <c r="I12" s="738"/>
      <c r="J12" s="738"/>
      <c r="K12" s="738"/>
      <c r="L12" s="738"/>
      <c r="M12" s="53"/>
      <c r="N12" s="735"/>
      <c r="O12" s="735"/>
      <c r="P12" s="735"/>
      <c r="Q12" s="735"/>
      <c r="R12" s="735"/>
    </row>
    <row r="13" spans="1:18">
      <c r="A13" s="735"/>
      <c r="B13" s="735"/>
      <c r="C13" s="735"/>
      <c r="D13" s="735"/>
      <c r="E13" s="735"/>
      <c r="F13" s="53"/>
      <c r="G13" s="738"/>
      <c r="H13" s="738"/>
      <c r="I13" s="738"/>
      <c r="J13" s="738"/>
      <c r="K13" s="738"/>
      <c r="L13" s="738"/>
      <c r="M13" s="53"/>
      <c r="N13" s="735"/>
      <c r="O13" s="735"/>
      <c r="P13" s="735"/>
      <c r="Q13" s="735"/>
      <c r="R13" s="735"/>
    </row>
    <row r="14" spans="1:18">
      <c r="A14" s="735"/>
      <c r="B14" s="735"/>
      <c r="C14" s="735"/>
      <c r="D14" s="735"/>
      <c r="E14" s="735"/>
      <c r="F14" s="53"/>
      <c r="G14" s="738"/>
      <c r="H14" s="738"/>
      <c r="I14" s="738"/>
      <c r="J14" s="738"/>
      <c r="K14" s="738"/>
      <c r="L14" s="738"/>
      <c r="M14" s="53"/>
      <c r="N14" s="735"/>
      <c r="O14" s="735"/>
      <c r="P14" s="735"/>
      <c r="Q14" s="735"/>
      <c r="R14" s="735"/>
    </row>
    <row r="15" spans="1:18">
      <c r="A15" s="735"/>
      <c r="B15" s="735"/>
      <c r="C15" s="735"/>
      <c r="D15" s="735"/>
      <c r="E15" s="735"/>
      <c r="F15" s="53"/>
      <c r="G15" s="738"/>
      <c r="H15" s="738"/>
      <c r="I15" s="738"/>
      <c r="J15" s="738"/>
      <c r="K15" s="738"/>
      <c r="L15" s="738"/>
      <c r="M15" s="53"/>
      <c r="N15" s="735"/>
      <c r="O15" s="735"/>
      <c r="P15" s="735"/>
      <c r="Q15" s="735"/>
      <c r="R15" s="735"/>
    </row>
    <row r="16" spans="1:18">
      <c r="N16" s="438"/>
      <c r="O16" s="438"/>
      <c r="P16" s="438"/>
      <c r="Q16" s="438"/>
      <c r="R16" s="438"/>
    </row>
    <row r="18" spans="1:26">
      <c r="A18" s="46">
        <v>2011</v>
      </c>
      <c r="B18" s="732" t="s">
        <v>72</v>
      </c>
      <c r="C18" s="733"/>
      <c r="D18" s="46"/>
      <c r="E18" s="732" t="s">
        <v>73</v>
      </c>
      <c r="F18" s="733"/>
      <c r="G18" s="46"/>
      <c r="H18" s="732" t="s">
        <v>74</v>
      </c>
      <c r="I18" s="734"/>
      <c r="J18" s="734"/>
      <c r="K18" s="733"/>
      <c r="L18" s="46"/>
      <c r="M18" s="732" t="s">
        <v>75</v>
      </c>
      <c r="N18" s="734"/>
      <c r="O18" s="733"/>
      <c r="P18" s="46"/>
      <c r="Q18" s="732" t="s">
        <v>76</v>
      </c>
      <c r="R18" s="733"/>
      <c r="S18" s="28"/>
      <c r="T18" s="18"/>
    </row>
    <row r="19" spans="1:26" ht="14.45" customHeight="1">
      <c r="A19" s="46" t="s">
        <v>77</v>
      </c>
      <c r="B19" s="439" t="s">
        <v>78</v>
      </c>
      <c r="C19" s="440" t="s">
        <v>79</v>
      </c>
      <c r="D19" s="46"/>
      <c r="E19" s="439" t="s">
        <v>78</v>
      </c>
      <c r="F19" s="440" t="s">
        <v>79</v>
      </c>
      <c r="G19" s="46"/>
      <c r="H19" s="439" t="s">
        <v>80</v>
      </c>
      <c r="I19" s="441" t="s">
        <v>80</v>
      </c>
      <c r="J19" s="441" t="s">
        <v>81</v>
      </c>
      <c r="K19" s="440" t="s">
        <v>81</v>
      </c>
      <c r="L19" s="46"/>
      <c r="M19" s="439" t="s">
        <v>78</v>
      </c>
      <c r="N19" s="441" t="s">
        <v>79</v>
      </c>
      <c r="O19" s="440" t="s">
        <v>82</v>
      </c>
      <c r="P19" s="46"/>
      <c r="Q19" s="439"/>
      <c r="R19" s="442"/>
      <c r="S19" s="28"/>
      <c r="T19" s="18"/>
    </row>
    <row r="20" spans="1:26">
      <c r="B20" s="4"/>
      <c r="C20" s="5"/>
      <c r="E20" s="4"/>
      <c r="F20" s="5"/>
      <c r="H20" s="6" t="s">
        <v>83</v>
      </c>
      <c r="I20" s="7" t="s">
        <v>84</v>
      </c>
      <c r="J20" s="8" t="s">
        <v>83</v>
      </c>
      <c r="K20" s="5" t="s">
        <v>84</v>
      </c>
      <c r="M20" s="4"/>
      <c r="N20" s="8"/>
      <c r="O20" s="5"/>
      <c r="Q20" s="9"/>
      <c r="R20" s="10"/>
      <c r="S20" s="28"/>
      <c r="T20" s="18"/>
    </row>
    <row r="21" spans="1:26">
      <c r="A21" s="45" t="s">
        <v>17</v>
      </c>
      <c r="B21" s="443">
        <f>'KH MWh Savings Pivot'!D46</f>
        <v>259175.21868655752</v>
      </c>
      <c r="C21" s="444"/>
      <c r="D21" s="51"/>
      <c r="E21" s="11">
        <f>B21/12</f>
        <v>21597.934890546461</v>
      </c>
      <c r="F21" s="445"/>
      <c r="H21" s="446">
        <f>'KH 2011-2014 Rates'!F6</f>
        <v>1.24E-2</v>
      </c>
      <c r="I21" s="447">
        <f>'KH 2011-2014 Rates'!F16</f>
        <v>1.4800000000000001E-2</v>
      </c>
      <c r="J21" s="447"/>
      <c r="K21" s="448"/>
      <c r="M21" s="449">
        <f>((B21*H21)*(4/12))+((B21*I21)*(8/12))</f>
        <v>3628.453061611805</v>
      </c>
      <c r="N21" s="450"/>
      <c r="O21" s="451">
        <f>SUM(M21:N21)</f>
        <v>3628.453061611805</v>
      </c>
      <c r="Q21" s="9" t="s">
        <v>85</v>
      </c>
      <c r="R21" s="14">
        <v>1.47E-2</v>
      </c>
      <c r="S21" s="28"/>
      <c r="T21" s="18"/>
    </row>
    <row r="22" spans="1:26" ht="14.45" customHeight="1">
      <c r="A22" s="45" t="s">
        <v>86</v>
      </c>
      <c r="B22" s="19">
        <f>'KH MWh Savings Pivot'!D47</f>
        <v>332629.70705580758</v>
      </c>
      <c r="C22" s="20"/>
      <c r="D22" s="51"/>
      <c r="E22" s="11">
        <f>B22/12</f>
        <v>27719.142254650633</v>
      </c>
      <c r="F22" s="13"/>
      <c r="H22" s="21">
        <f>'KH 2011-2014 Rates'!F7</f>
        <v>9.7000000000000003E-3</v>
      </c>
      <c r="I22" s="22">
        <f>'KH 2011-2014 Rates'!F17</f>
        <v>1.03E-2</v>
      </c>
      <c r="J22" s="22"/>
      <c r="K22" s="23"/>
      <c r="M22" s="15">
        <f>((B22*H22)*(4/12))+((B22*I22)*(8/12))</f>
        <v>3359.5600412636568</v>
      </c>
      <c r="N22" s="16"/>
      <c r="O22" s="17">
        <f>SUM(M22:N22)</f>
        <v>3359.5600412636568</v>
      </c>
      <c r="Q22" s="9" t="s">
        <v>87</v>
      </c>
      <c r="R22" s="14">
        <v>1.47E-2</v>
      </c>
      <c r="S22" s="28"/>
      <c r="T22" s="16"/>
    </row>
    <row r="23" spans="1:26">
      <c r="A23" s="45" t="s">
        <v>88</v>
      </c>
      <c r="B23" s="19"/>
      <c r="C23" s="20">
        <f>'KH MW Savings Pivot'!B16</f>
        <v>80.821433970955852</v>
      </c>
      <c r="D23" s="51"/>
      <c r="E23" s="11"/>
      <c r="F23" s="13">
        <f>C23</f>
        <v>80.821433970955852</v>
      </c>
      <c r="H23" s="21"/>
      <c r="I23" s="22"/>
      <c r="J23" s="22">
        <f>'KH 2011-2014 Rates'!F8</f>
        <v>1.6891</v>
      </c>
      <c r="K23" s="23">
        <f>'KH 2011-2014 Rates'!F18</f>
        <v>1.927</v>
      </c>
      <c r="M23" s="15"/>
      <c r="N23" s="16">
        <f>F23*K23*5</f>
        <v>778.71451631015952</v>
      </c>
      <c r="O23" s="17">
        <f>SUM(M23:N23)</f>
        <v>778.71451631015952</v>
      </c>
      <c r="Q23" s="9" t="s">
        <v>89</v>
      </c>
      <c r="R23" s="14">
        <v>1.47E-2</v>
      </c>
      <c r="S23" s="28"/>
      <c r="T23" s="16"/>
    </row>
    <row r="24" spans="1:26" ht="14.45" customHeight="1">
      <c r="A24" s="45" t="s">
        <v>57</v>
      </c>
      <c r="B24" s="19"/>
      <c r="C24" s="20">
        <f>'KH MW Savings Pivot'!B17</f>
        <v>140.72585418904555</v>
      </c>
      <c r="D24" s="51"/>
      <c r="E24" s="11"/>
      <c r="F24" s="13">
        <f>C24</f>
        <v>140.72585418904555</v>
      </c>
      <c r="H24" s="21"/>
      <c r="I24" s="22"/>
      <c r="J24" s="22">
        <f>'KH 2011-2014 Rates'!F9</f>
        <v>0.83709999999999996</v>
      </c>
      <c r="K24" s="23">
        <f>'KH 2011-2014 Rates'!F19</f>
        <v>1.0118</v>
      </c>
      <c r="M24" s="15"/>
      <c r="N24" s="16">
        <f>F24*K24*5</f>
        <v>711.93209634238144</v>
      </c>
      <c r="O24" s="17">
        <f>SUM(M24:N24)</f>
        <v>711.93209634238144</v>
      </c>
      <c r="Q24" s="9" t="s">
        <v>90</v>
      </c>
      <c r="R24" s="14">
        <v>1.47E-2</v>
      </c>
      <c r="S24" s="28"/>
    </row>
    <row r="25" spans="1:26">
      <c r="A25" s="45" t="s">
        <v>496</v>
      </c>
      <c r="B25" s="19"/>
      <c r="C25" s="20"/>
      <c r="D25" s="51"/>
      <c r="E25" s="11"/>
      <c r="F25" s="13"/>
      <c r="H25" s="21"/>
      <c r="I25" s="22"/>
      <c r="J25" s="22">
        <f>'KH 2011-2014 Rates'!F10</f>
        <v>3.9127000000000001</v>
      </c>
      <c r="K25" s="23">
        <f>'KH 2011-2014 Rates'!F20</f>
        <v>4.4901</v>
      </c>
      <c r="M25" s="15"/>
      <c r="N25" s="16">
        <f>C25*J25*12</f>
        <v>0</v>
      </c>
      <c r="O25" s="17">
        <f>C25*K25*12</f>
        <v>0</v>
      </c>
      <c r="Q25" s="9"/>
      <c r="R25" s="14"/>
      <c r="S25" s="28"/>
      <c r="U25" s="24"/>
      <c r="V25" s="24"/>
      <c r="W25" s="24"/>
      <c r="X25" s="24"/>
      <c r="Y25" s="24"/>
      <c r="Z25" s="16"/>
    </row>
    <row r="26" spans="1:26">
      <c r="A26" s="452" t="s">
        <v>82</v>
      </c>
      <c r="B26" s="443">
        <f>SUM(B21:B25)</f>
        <v>591804.92574236507</v>
      </c>
      <c r="C26" s="444">
        <f>SUM(C23:C25)</f>
        <v>221.54728816000141</v>
      </c>
      <c r="D26" s="453"/>
      <c r="E26" s="454">
        <f>SUM(E21:E25)</f>
        <v>49317.077145197094</v>
      </c>
      <c r="F26" s="445">
        <f>SUM(F23:F25)</f>
        <v>221.54728816000141</v>
      </c>
      <c r="G26" s="452"/>
      <c r="H26" s="446"/>
      <c r="I26" s="447"/>
      <c r="J26" s="447"/>
      <c r="K26" s="448"/>
      <c r="L26" s="452"/>
      <c r="M26" s="449">
        <f>SUM(M21:M25)</f>
        <v>6988.0131028754622</v>
      </c>
      <c r="N26" s="450">
        <f>SUM(N21:N25)</f>
        <v>1490.6466126525411</v>
      </c>
      <c r="O26" s="451">
        <f>SUM(O21:O25)</f>
        <v>8478.6597155280033</v>
      </c>
      <c r="P26" s="450"/>
      <c r="Q26" s="455"/>
      <c r="R26" s="456"/>
      <c r="S26" s="26"/>
      <c r="U26" s="48"/>
      <c r="V26" s="48"/>
      <c r="W26" s="48"/>
      <c r="X26" s="48"/>
      <c r="Y26" s="48"/>
      <c r="Z26" s="24"/>
    </row>
    <row r="27" spans="1:26">
      <c r="S27" s="27"/>
      <c r="U27" s="736"/>
      <c r="V27" s="736"/>
      <c r="W27" s="736"/>
      <c r="X27" s="736"/>
      <c r="Y27" s="736"/>
      <c r="Z27" s="24"/>
    </row>
    <row r="28" spans="1:26" ht="21" customHeight="1">
      <c r="A28" s="46">
        <v>2012</v>
      </c>
      <c r="B28" s="732" t="s">
        <v>72</v>
      </c>
      <c r="C28" s="733"/>
      <c r="D28" s="46"/>
      <c r="E28" s="732" t="s">
        <v>73</v>
      </c>
      <c r="F28" s="733"/>
      <c r="G28" s="46"/>
      <c r="H28" s="732" t="s">
        <v>74</v>
      </c>
      <c r="I28" s="734"/>
      <c r="J28" s="734"/>
      <c r="K28" s="733"/>
      <c r="L28" s="46"/>
      <c r="M28" s="732" t="s">
        <v>75</v>
      </c>
      <c r="N28" s="734"/>
      <c r="O28" s="733"/>
      <c r="P28" s="46"/>
      <c r="Q28" s="732" t="s">
        <v>76</v>
      </c>
      <c r="R28" s="733"/>
      <c r="S28" s="28"/>
      <c r="T28" s="46"/>
      <c r="U28" s="25"/>
      <c r="V28" s="25"/>
      <c r="W28" s="25"/>
      <c r="X28" s="25"/>
      <c r="Y28" s="54"/>
      <c r="Z28" s="24"/>
    </row>
    <row r="29" spans="1:26">
      <c r="A29" s="46" t="s">
        <v>77</v>
      </c>
      <c r="B29" s="439" t="s">
        <v>78</v>
      </c>
      <c r="C29" s="440" t="s">
        <v>79</v>
      </c>
      <c r="D29" s="46"/>
      <c r="E29" s="439" t="s">
        <v>78</v>
      </c>
      <c r="F29" s="440" t="s">
        <v>79</v>
      </c>
      <c r="G29" s="46"/>
      <c r="H29" s="439" t="s">
        <v>80</v>
      </c>
      <c r="I29" s="441" t="s">
        <v>80</v>
      </c>
      <c r="J29" s="441" t="s">
        <v>81</v>
      </c>
      <c r="K29" s="440" t="s">
        <v>81</v>
      </c>
      <c r="L29" s="46"/>
      <c r="M29" s="439" t="s">
        <v>78</v>
      </c>
      <c r="N29" s="441" t="s">
        <v>79</v>
      </c>
      <c r="O29" s="440" t="s">
        <v>82</v>
      </c>
      <c r="P29" s="46"/>
      <c r="Q29" s="439"/>
      <c r="R29" s="442"/>
      <c r="S29" s="28"/>
      <c r="U29" s="12"/>
      <c r="V29" s="12"/>
      <c r="W29" s="12"/>
      <c r="X29" s="12"/>
      <c r="Y29" s="12"/>
      <c r="Z29" s="24"/>
    </row>
    <row r="30" spans="1:26" ht="14.45" customHeight="1">
      <c r="B30" s="4"/>
      <c r="C30" s="5"/>
      <c r="E30" s="4"/>
      <c r="F30" s="5"/>
      <c r="H30" s="6" t="s">
        <v>83</v>
      </c>
      <c r="I30" s="7" t="s">
        <v>84</v>
      </c>
      <c r="J30" s="8" t="s">
        <v>83</v>
      </c>
      <c r="K30" s="5" t="s">
        <v>84</v>
      </c>
      <c r="M30" s="4"/>
      <c r="N30" s="8"/>
      <c r="O30" s="5"/>
      <c r="Q30" s="9"/>
      <c r="R30" s="10"/>
      <c r="S30" s="28"/>
      <c r="U30" s="16"/>
      <c r="V30" s="16"/>
      <c r="W30" s="16"/>
      <c r="X30" s="16"/>
      <c r="Y30" s="16"/>
      <c r="Z30" s="24"/>
    </row>
    <row r="31" spans="1:26">
      <c r="A31" s="45" t="s">
        <v>17</v>
      </c>
      <c r="B31" s="443">
        <f>'KH MWh Savings Pivot'!E46+'KH MWh Savings Pivot'!E65</f>
        <v>689155.81431518088</v>
      </c>
      <c r="C31" s="444"/>
      <c r="D31" s="51"/>
      <c r="E31" s="11">
        <f>B31/12</f>
        <v>57429.651192931742</v>
      </c>
      <c r="F31" s="445"/>
      <c r="H31" s="446">
        <f>I21</f>
        <v>1.4800000000000001E-2</v>
      </c>
      <c r="I31" s="447">
        <f>'KH 2011-2014 Rates'!F26</f>
        <v>1.49E-2</v>
      </c>
      <c r="J31" s="447"/>
      <c r="K31" s="448"/>
      <c r="M31" s="449">
        <f>((B31*H31)*(4/12))+((B31*I31)*(8/12))</f>
        <v>10245.449772819022</v>
      </c>
      <c r="N31" s="450"/>
      <c r="O31" s="451">
        <f>SUM(M31:N31)</f>
        <v>10245.449772819022</v>
      </c>
      <c r="Q31" s="9" t="s">
        <v>85</v>
      </c>
      <c r="R31" s="14">
        <v>1.47E-2</v>
      </c>
      <c r="S31" s="28"/>
      <c r="Z31" s="24"/>
    </row>
    <row r="32" spans="1:26">
      <c r="A32" s="45" t="s">
        <v>86</v>
      </c>
      <c r="B32" s="19">
        <f>'KH MWh Savings Pivot'!E47+'KH MWh Savings Pivot'!E66</f>
        <v>1272998.6707606784</v>
      </c>
      <c r="C32" s="20"/>
      <c r="D32" s="51"/>
      <c r="E32" s="11">
        <f>B32/12</f>
        <v>106083.22256338986</v>
      </c>
      <c r="F32" s="13"/>
      <c r="H32" s="21">
        <f>I22</f>
        <v>1.03E-2</v>
      </c>
      <c r="I32" s="22">
        <f>'KH 2011-2014 Rates'!F27</f>
        <v>1.04E-2</v>
      </c>
      <c r="J32" s="22"/>
      <c r="K32" s="23"/>
      <c r="M32" s="15">
        <f>((B32*H32)*(4/12))+((B32*I32)*(8/12))</f>
        <v>13196.752886885697</v>
      </c>
      <c r="N32" s="16"/>
      <c r="O32" s="17">
        <f>SUM(M32:N32)</f>
        <v>13196.752886885697</v>
      </c>
      <c r="Q32" s="9" t="s">
        <v>87</v>
      </c>
      <c r="R32" s="14">
        <v>1.47E-2</v>
      </c>
      <c r="S32" s="28"/>
      <c r="Z32" s="24"/>
    </row>
    <row r="33" spans="1:26">
      <c r="A33" s="45" t="s">
        <v>88</v>
      </c>
      <c r="B33" s="19"/>
      <c r="C33" s="20">
        <f>'KH MW Savings Pivot'!C16+'KH MW Savings Pivot'!C34</f>
        <v>386.49297003767447</v>
      </c>
      <c r="D33" s="51"/>
      <c r="E33" s="11"/>
      <c r="F33" s="13">
        <f>C33</f>
        <v>386.49297003767447</v>
      </c>
      <c r="H33" s="21"/>
      <c r="I33" s="22"/>
      <c r="J33" s="22">
        <f>K23</f>
        <v>1.927</v>
      </c>
      <c r="K33" s="23">
        <f>'KH 2011-2014 Rates'!F28</f>
        <v>1.944</v>
      </c>
      <c r="M33" s="15"/>
      <c r="N33" s="16">
        <f>F33*K33*5</f>
        <v>3756.7116687661955</v>
      </c>
      <c r="O33" s="17">
        <f>SUM(M33:N33)</f>
        <v>3756.7116687661955</v>
      </c>
      <c r="Q33" s="9" t="s">
        <v>89</v>
      </c>
      <c r="R33" s="14">
        <v>1.47E-2</v>
      </c>
      <c r="S33" s="28"/>
      <c r="Z33" s="24"/>
    </row>
    <row r="34" spans="1:26">
      <c r="A34" s="45" t="s">
        <v>57</v>
      </c>
      <c r="B34" s="19"/>
      <c r="C34" s="20">
        <f>'KH MW Savings Pivot'!C17+'KH MW Savings Pivot'!C35</f>
        <v>373.02885743320581</v>
      </c>
      <c r="D34" s="51"/>
      <c r="E34" s="11"/>
      <c r="F34" s="13">
        <f>C34</f>
        <v>373.02885743320581</v>
      </c>
      <c r="H34" s="21"/>
      <c r="I34" s="22"/>
      <c r="J34" s="22">
        <f t="shared" ref="J34:J35" si="0">K24</f>
        <v>1.0118</v>
      </c>
      <c r="K34" s="23">
        <f>'KH 2011-2014 Rates'!F29</f>
        <v>1.0206999999999999</v>
      </c>
      <c r="M34" s="15"/>
      <c r="N34" s="16">
        <f>F34*K34*5</f>
        <v>1903.7527739103657</v>
      </c>
      <c r="O34" s="17">
        <f>SUM(M34:N34)</f>
        <v>1903.7527739103657</v>
      </c>
      <c r="Q34" s="9" t="s">
        <v>90</v>
      </c>
      <c r="R34" s="14">
        <v>1.47E-2</v>
      </c>
      <c r="S34" s="28"/>
      <c r="Z34" s="24"/>
    </row>
    <row r="35" spans="1:26">
      <c r="A35" s="45" t="s">
        <v>496</v>
      </c>
      <c r="B35" s="19"/>
      <c r="C35" s="20">
        <f>'KH MW Savings Pivot'!C36</f>
        <v>3.0331011986301371</v>
      </c>
      <c r="D35" s="51"/>
      <c r="E35" s="11"/>
      <c r="F35" s="13">
        <f>C35</f>
        <v>3.0331011986301371</v>
      </c>
      <c r="H35" s="21"/>
      <c r="I35" s="22"/>
      <c r="J35" s="22">
        <f t="shared" si="0"/>
        <v>4.4901</v>
      </c>
      <c r="K35" s="23">
        <f>'KH 2011-2014 Rates'!F30</f>
        <v>4.5296000000000003</v>
      </c>
      <c r="M35" s="15"/>
      <c r="N35" s="16">
        <f>C35*J35*12</f>
        <v>163.42713230363015</v>
      </c>
      <c r="O35" s="17">
        <f>C35*K35*12</f>
        <v>164.86482227178084</v>
      </c>
      <c r="Q35" s="9"/>
      <c r="R35" s="14"/>
      <c r="S35" s="28"/>
      <c r="Z35" s="24"/>
    </row>
    <row r="36" spans="1:26" ht="14.45" customHeight="1">
      <c r="A36" s="452" t="s">
        <v>82</v>
      </c>
      <c r="B36" s="443">
        <f>SUM(B31:B35)</f>
        <v>1962154.4850758594</v>
      </c>
      <c r="C36" s="444">
        <f>SUM(C31:C35)</f>
        <v>762.55492866951033</v>
      </c>
      <c r="D36" s="453"/>
      <c r="E36" s="454">
        <f>SUM(E31:E35)</f>
        <v>163512.87375632161</v>
      </c>
      <c r="F36" s="445">
        <f>SUM(F31:F35)</f>
        <v>762.55492866951033</v>
      </c>
      <c r="G36" s="445"/>
      <c r="H36" s="446"/>
      <c r="I36" s="447"/>
      <c r="J36" s="447"/>
      <c r="K36" s="448"/>
      <c r="L36" s="452"/>
      <c r="M36" s="449">
        <f>SUM(M31:M35)</f>
        <v>23442.202659704719</v>
      </c>
      <c r="N36" s="450">
        <f>SUM(N31:N35)</f>
        <v>5823.8915749801909</v>
      </c>
      <c r="O36" s="451">
        <f>SUM(O31:O35)</f>
        <v>29267.53192465306</v>
      </c>
      <c r="P36" s="452"/>
      <c r="Q36" s="455"/>
      <c r="R36" s="456"/>
      <c r="Z36" s="24"/>
    </row>
    <row r="37" spans="1:26">
      <c r="Z37" s="24"/>
    </row>
    <row r="38" spans="1:26">
      <c r="A38" s="46">
        <v>2013</v>
      </c>
      <c r="B38" s="732" t="s">
        <v>72</v>
      </c>
      <c r="C38" s="733"/>
      <c r="D38" s="46"/>
      <c r="E38" s="732" t="s">
        <v>73</v>
      </c>
      <c r="F38" s="733"/>
      <c r="G38" s="46"/>
      <c r="H38" s="732" t="s">
        <v>74</v>
      </c>
      <c r="I38" s="734"/>
      <c r="J38" s="734"/>
      <c r="K38" s="733"/>
      <c r="L38" s="46"/>
      <c r="M38" s="732" t="s">
        <v>75</v>
      </c>
      <c r="N38" s="734"/>
      <c r="O38" s="733"/>
      <c r="P38" s="46"/>
      <c r="Q38" s="732" t="s">
        <v>76</v>
      </c>
      <c r="R38" s="733"/>
      <c r="Z38" s="24"/>
    </row>
    <row r="39" spans="1:26">
      <c r="A39" s="46" t="s">
        <v>77</v>
      </c>
      <c r="B39" s="439" t="s">
        <v>78</v>
      </c>
      <c r="C39" s="440" t="s">
        <v>79</v>
      </c>
      <c r="D39" s="46"/>
      <c r="E39" s="439" t="s">
        <v>78</v>
      </c>
      <c r="F39" s="440" t="s">
        <v>79</v>
      </c>
      <c r="G39" s="46"/>
      <c r="H39" s="439" t="s">
        <v>80</v>
      </c>
      <c r="I39" s="441" t="s">
        <v>80</v>
      </c>
      <c r="J39" s="441" t="s">
        <v>81</v>
      </c>
      <c r="K39" s="440" t="s">
        <v>81</v>
      </c>
      <c r="L39" s="46"/>
      <c r="M39" s="439" t="s">
        <v>78</v>
      </c>
      <c r="N39" s="441" t="s">
        <v>79</v>
      </c>
      <c r="O39" s="440" t="s">
        <v>82</v>
      </c>
      <c r="P39" s="46"/>
      <c r="Q39" s="439"/>
      <c r="R39" s="442"/>
      <c r="Z39" s="24"/>
    </row>
    <row r="40" spans="1:26">
      <c r="B40" s="4"/>
      <c r="C40" s="5"/>
      <c r="E40" s="4"/>
      <c r="F40" s="5"/>
      <c r="H40" s="6" t="s">
        <v>83</v>
      </c>
      <c r="I40" s="7" t="s">
        <v>84</v>
      </c>
      <c r="J40" s="8" t="s">
        <v>83</v>
      </c>
      <c r="K40" s="5" t="s">
        <v>84</v>
      </c>
      <c r="M40" s="4"/>
      <c r="N40" s="8"/>
      <c r="O40" s="5"/>
      <c r="Q40" s="9"/>
      <c r="R40" s="10"/>
      <c r="Z40" s="24"/>
    </row>
    <row r="41" spans="1:26">
      <c r="A41" s="45" t="s">
        <v>17</v>
      </c>
      <c r="B41" s="443">
        <f>'KH MWh Savings Pivot'!F46+'KH MWh Savings Pivot'!F65+'KH MWh Savings Pivot'!F85</f>
        <v>1108276.7691336984</v>
      </c>
      <c r="C41" s="444"/>
      <c r="D41" s="51"/>
      <c r="E41" s="11">
        <f>B41/12</f>
        <v>92356.397427808202</v>
      </c>
      <c r="F41" s="445"/>
      <c r="H41" s="446">
        <f>I31</f>
        <v>1.49E-2</v>
      </c>
      <c r="I41" s="447">
        <f>'KH 2011-2014 Rates'!F36</f>
        <v>1.4999999999999999E-2</v>
      </c>
      <c r="J41" s="447"/>
      <c r="K41" s="448"/>
      <c r="M41" s="449">
        <f>((B41*H41)*(4/12))+((B41*I41)*(8/12))</f>
        <v>16587.208978034352</v>
      </c>
      <c r="N41" s="450"/>
      <c r="O41" s="451">
        <f>SUM(M41:N41)</f>
        <v>16587.208978034352</v>
      </c>
      <c r="Q41" s="9" t="s">
        <v>85</v>
      </c>
      <c r="R41" s="14">
        <v>1.47E-2</v>
      </c>
      <c r="U41" s="24"/>
      <c r="V41" s="24"/>
      <c r="W41" s="24"/>
      <c r="X41" s="24"/>
      <c r="Y41" s="24"/>
      <c r="Z41" s="24"/>
    </row>
    <row r="42" spans="1:26">
      <c r="A42" s="45" t="s">
        <v>86</v>
      </c>
      <c r="B42" s="19">
        <f>'KH MWh Savings Pivot'!F47+'KH MWh Savings Pivot'!F66+'KH MWh Savings Pivot'!F86</f>
        <v>2096870.0240154532</v>
      </c>
      <c r="C42" s="20"/>
      <c r="D42" s="51"/>
      <c r="E42" s="11">
        <f>B42/12</f>
        <v>174739.16866795442</v>
      </c>
      <c r="F42" s="13"/>
      <c r="H42" s="21">
        <f>I32</f>
        <v>1.04E-2</v>
      </c>
      <c r="I42" s="22">
        <f>'KH 2011-2014 Rates'!F37</f>
        <v>1.04E-2</v>
      </c>
      <c r="J42" s="22"/>
      <c r="K42" s="23"/>
      <c r="M42" s="15">
        <f>((B42*H42)*(4/12))+((B42*I42)*(8/12))</f>
        <v>21807.448249760713</v>
      </c>
      <c r="N42" s="16"/>
      <c r="O42" s="17">
        <f>SUM(M42:N42)</f>
        <v>21807.448249760713</v>
      </c>
      <c r="Q42" s="9" t="s">
        <v>87</v>
      </c>
      <c r="R42" s="14">
        <v>1.47E-2</v>
      </c>
    </row>
    <row r="43" spans="1:26">
      <c r="A43" s="45" t="s">
        <v>88</v>
      </c>
      <c r="B43" s="19"/>
      <c r="C43" s="20">
        <f>'KH MW Savings Pivot'!D16+'KH MW Savings Pivot'!D34+'KH MW Savings Pivot'!D52</f>
        <v>724.53763289479116</v>
      </c>
      <c r="D43" s="51"/>
      <c r="E43" s="11"/>
      <c r="F43" s="13">
        <f>C43</f>
        <v>724.53763289479116</v>
      </c>
      <c r="H43" s="21"/>
      <c r="I43" s="22"/>
      <c r="J43" s="22">
        <f>K33</f>
        <v>1.944</v>
      </c>
      <c r="K43" s="23">
        <f>'KH 2011-2014 Rates'!F38</f>
        <v>1.9533</v>
      </c>
      <c r="M43" s="15"/>
      <c r="N43" s="16">
        <f>F43*K43*5</f>
        <v>7076.1967916669782</v>
      </c>
      <c r="O43" s="17">
        <f>SUM(M43:N43)</f>
        <v>7076.1967916669782</v>
      </c>
      <c r="Q43" s="9" t="s">
        <v>89</v>
      </c>
      <c r="R43" s="14">
        <v>1.47E-2</v>
      </c>
    </row>
    <row r="44" spans="1:26">
      <c r="A44" s="45" t="s">
        <v>57</v>
      </c>
      <c r="B44" s="19"/>
      <c r="C44" s="20">
        <f>'KH MW Savings Pivot'!D17+'KH MW Savings Pivot'!D35+'KH MW Savings Pivot'!D53</f>
        <v>465.06497183226855</v>
      </c>
      <c r="D44" s="51"/>
      <c r="E44" s="11"/>
      <c r="F44" s="13">
        <f>C44</f>
        <v>465.06497183226855</v>
      </c>
      <c r="H44" s="21"/>
      <c r="I44" s="22"/>
      <c r="J44" s="22">
        <f t="shared" ref="J44:J45" si="1">K34</f>
        <v>1.0206999999999999</v>
      </c>
      <c r="K44" s="23">
        <f>'KH 2011-2014 Rates'!F39</f>
        <v>1.0256000000000001</v>
      </c>
      <c r="M44" s="15"/>
      <c r="N44" s="16">
        <f>F44*K44*5</f>
        <v>2384.8531755558733</v>
      </c>
      <c r="O44" s="17">
        <f>SUM(M44:N44)</f>
        <v>2384.8531755558733</v>
      </c>
      <c r="Q44" s="9" t="s">
        <v>90</v>
      </c>
      <c r="R44" s="14">
        <v>1.47E-2</v>
      </c>
    </row>
    <row r="45" spans="1:26">
      <c r="A45" s="45" t="s">
        <v>496</v>
      </c>
      <c r="B45" s="19"/>
      <c r="C45" s="20">
        <f>'KH MW Savings Pivot'!D36+'KH MW Savings Pivot'!D54</f>
        <v>199.00290175799088</v>
      </c>
      <c r="D45" s="51"/>
      <c r="E45" s="11"/>
      <c r="F45" s="13"/>
      <c r="H45" s="21"/>
      <c r="I45" s="22"/>
      <c r="J45" s="22">
        <f t="shared" si="1"/>
        <v>4.5296000000000003</v>
      </c>
      <c r="K45" s="23">
        <f>'KH 2011-2014 Rates'!F40</f>
        <v>4.5513000000000003</v>
      </c>
      <c r="M45" s="15"/>
      <c r="N45" s="16">
        <f>C45*J45*12</f>
        <v>10816.842525635948</v>
      </c>
      <c r="O45" s="17">
        <f>C45*K45*12</f>
        <v>10868.662881253727</v>
      </c>
      <c r="Q45" s="9"/>
      <c r="R45" s="14"/>
    </row>
    <row r="46" spans="1:26">
      <c r="A46" s="452" t="s">
        <v>82</v>
      </c>
      <c r="B46" s="443">
        <f>SUM(B41:B45)</f>
        <v>3205146.7931491518</v>
      </c>
      <c r="C46" s="443">
        <f>SUM(C41:C45)</f>
        <v>1388.6055064850507</v>
      </c>
      <c r="D46" s="453"/>
      <c r="E46" s="454">
        <f>SUM(E41:E45)</f>
        <v>267095.56609576265</v>
      </c>
      <c r="F46" s="445">
        <f>SUM(F41:F45)</f>
        <v>1189.6026047270598</v>
      </c>
      <c r="G46" s="452"/>
      <c r="H46" s="446"/>
      <c r="I46" s="447"/>
      <c r="J46" s="447"/>
      <c r="K46" s="448"/>
      <c r="L46" s="452"/>
      <c r="M46" s="449">
        <f>SUM(M41:M45)</f>
        <v>38394.657227795062</v>
      </c>
      <c r="N46" s="450">
        <f>SUM(N41:N45)</f>
        <v>20277.892492858799</v>
      </c>
      <c r="O46" s="451">
        <f>SUM(O41:O45)</f>
        <v>58724.370076271647</v>
      </c>
      <c r="P46" s="452"/>
      <c r="Q46" s="455"/>
      <c r="R46" s="456"/>
    </row>
    <row r="47" spans="1:26">
      <c r="A47" s="24"/>
      <c r="B47" s="24"/>
      <c r="C47" s="24"/>
    </row>
    <row r="48" spans="1:26">
      <c r="A48" s="46">
        <v>2014</v>
      </c>
      <c r="B48" s="732" t="s">
        <v>72</v>
      </c>
      <c r="C48" s="733"/>
      <c r="D48" s="46"/>
      <c r="E48" s="732" t="s">
        <v>73</v>
      </c>
      <c r="F48" s="733"/>
      <c r="G48" s="46"/>
      <c r="H48" s="732" t="s">
        <v>74</v>
      </c>
      <c r="I48" s="734"/>
      <c r="J48" s="734"/>
      <c r="K48" s="733"/>
      <c r="L48" s="46"/>
      <c r="M48" s="732" t="s">
        <v>75</v>
      </c>
      <c r="N48" s="734"/>
      <c r="O48" s="733"/>
      <c r="P48" s="46"/>
      <c r="Q48" s="732" t="s">
        <v>76</v>
      </c>
      <c r="R48" s="733"/>
    </row>
    <row r="49" spans="1:18">
      <c r="A49" s="46" t="s">
        <v>77</v>
      </c>
      <c r="B49" s="439" t="s">
        <v>78</v>
      </c>
      <c r="C49" s="440" t="s">
        <v>79</v>
      </c>
      <c r="D49" s="46"/>
      <c r="E49" s="439" t="s">
        <v>78</v>
      </c>
      <c r="F49" s="440" t="s">
        <v>79</v>
      </c>
      <c r="G49" s="46"/>
      <c r="H49" s="439" t="s">
        <v>80</v>
      </c>
      <c r="I49" s="441" t="s">
        <v>80</v>
      </c>
      <c r="J49" s="441" t="s">
        <v>81</v>
      </c>
      <c r="K49" s="440" t="s">
        <v>81</v>
      </c>
      <c r="L49" s="46"/>
      <c r="M49" s="439" t="s">
        <v>78</v>
      </c>
      <c r="N49" s="441" t="s">
        <v>79</v>
      </c>
      <c r="O49" s="440" t="s">
        <v>82</v>
      </c>
      <c r="P49" s="46"/>
      <c r="Q49" s="439"/>
      <c r="R49" s="442"/>
    </row>
    <row r="50" spans="1:18">
      <c r="B50" s="4"/>
      <c r="C50" s="5"/>
      <c r="E50" s="4"/>
      <c r="F50" s="5"/>
      <c r="H50" s="6" t="s">
        <v>83</v>
      </c>
      <c r="I50" s="7" t="s">
        <v>84</v>
      </c>
      <c r="J50" s="8" t="s">
        <v>83</v>
      </c>
      <c r="K50" s="5" t="s">
        <v>84</v>
      </c>
      <c r="M50" s="4"/>
      <c r="N50" s="8"/>
      <c r="O50" s="5"/>
      <c r="Q50" s="9"/>
      <c r="R50" s="10"/>
    </row>
    <row r="51" spans="1:18">
      <c r="A51" s="45" t="s">
        <v>17</v>
      </c>
      <c r="B51" s="443">
        <f>'KH MWh Savings Pivot'!G46+'KH MWh Savings Pivot'!G65+'KH MWh Savings Pivot'!G85+'KH MWh Savings Pivot'!G104</f>
        <v>1871643.7474348079</v>
      </c>
      <c r="C51" s="444"/>
      <c r="D51" s="51"/>
      <c r="E51" s="11">
        <f>B51/12</f>
        <v>155970.312286234</v>
      </c>
      <c r="F51" s="445"/>
      <c r="H51" s="446">
        <f>I41</f>
        <v>1.4999999999999999E-2</v>
      </c>
      <c r="I51" s="22">
        <f>'KH 2011-2014 Rates'!F46</f>
        <v>1.52E-2</v>
      </c>
      <c r="J51" s="447"/>
      <c r="K51" s="448"/>
      <c r="M51" s="449">
        <f>((B51*H51)*(4/12))+((B51*I51)*(8/12))</f>
        <v>28324.208711180094</v>
      </c>
      <c r="N51" s="450"/>
      <c r="O51" s="451">
        <f>SUM(M51:N51)</f>
        <v>28324.208711180094</v>
      </c>
      <c r="Q51" s="9" t="s">
        <v>85</v>
      </c>
      <c r="R51" s="14">
        <v>1.47E-2</v>
      </c>
    </row>
    <row r="52" spans="1:18">
      <c r="A52" s="45" t="s">
        <v>86</v>
      </c>
      <c r="B52" s="19">
        <f>'KH MWh Savings Pivot'!G47+'KH MWh Savings Pivot'!G66+'KH MWh Savings Pivot'!G86+'KH MWh Savings Pivot'!G105</f>
        <v>2647081.2230227878</v>
      </c>
      <c r="C52" s="20"/>
      <c r="D52" s="51"/>
      <c r="E52" s="11">
        <f>B52/12</f>
        <v>220590.10191856566</v>
      </c>
      <c r="F52" s="13"/>
      <c r="H52" s="21">
        <f>I42</f>
        <v>1.04E-2</v>
      </c>
      <c r="I52" s="22">
        <f>'KH 2011-2014 Rates'!F47</f>
        <v>1.0500000000000001E-2</v>
      </c>
      <c r="J52" s="22"/>
      <c r="K52" s="23"/>
      <c r="M52" s="15">
        <f>((B52*H52)*(4/12))+((B52*I52)*(8/12))</f>
        <v>27706.116800971846</v>
      </c>
      <c r="N52" s="16"/>
      <c r="O52" s="17">
        <f>SUM(M52:N52)</f>
        <v>27706.116800971846</v>
      </c>
      <c r="Q52" s="9" t="s">
        <v>87</v>
      </c>
      <c r="R52" s="14">
        <v>1.47E-2</v>
      </c>
    </row>
    <row r="53" spans="1:18">
      <c r="A53" s="45" t="s">
        <v>88</v>
      </c>
      <c r="B53" s="19"/>
      <c r="C53" s="20">
        <f>'KH MW Savings Pivot'!E16+'KH MW Savings Pivot'!E34+'KH MW Savings Pivot'!E52+'KH MW Savings Pivot'!E69</f>
        <v>970.74966220624128</v>
      </c>
      <c r="D53" s="51"/>
      <c r="E53" s="11"/>
      <c r="F53" s="13">
        <f>C53</f>
        <v>970.74966220624128</v>
      </c>
      <c r="H53" s="21"/>
      <c r="I53" s="22"/>
      <c r="J53" s="22">
        <f>K43</f>
        <v>1.9533</v>
      </c>
      <c r="K53" s="23">
        <f>'KH 2011-2014 Rates'!F48</f>
        <v>1.9805999999999999</v>
      </c>
      <c r="M53" s="15"/>
      <c r="N53" s="16">
        <f>F53*K53*5</f>
        <v>9613.333904828407</v>
      </c>
      <c r="O53" s="17">
        <f>SUM(M53:N53)</f>
        <v>9613.333904828407</v>
      </c>
      <c r="Q53" s="9" t="s">
        <v>89</v>
      </c>
      <c r="R53" s="14">
        <v>1.47E-2</v>
      </c>
    </row>
    <row r="54" spans="1:18">
      <c r="A54" s="45" t="s">
        <v>57</v>
      </c>
      <c r="B54" s="19"/>
      <c r="C54" s="20">
        <f>'KH MW Savings Pivot'!E17+'KH MW Savings Pivot'!E35+'KH MW Savings Pivot'!E53+'KH MW Savings Pivot'!E70</f>
        <v>469.32765716283393</v>
      </c>
      <c r="D54" s="51"/>
      <c r="E54" s="11"/>
      <c r="F54" s="13">
        <f>C54</f>
        <v>469.32765716283393</v>
      </c>
      <c r="H54" s="21"/>
      <c r="I54" s="22"/>
      <c r="J54" s="22">
        <f t="shared" ref="J54:J55" si="2">K44</f>
        <v>1.0256000000000001</v>
      </c>
      <c r="K54" s="23">
        <f>'KH 2011-2014 Rates'!F49</f>
        <v>1.04</v>
      </c>
      <c r="M54" s="15"/>
      <c r="N54" s="16">
        <f>F54*K54*5</f>
        <v>2440.5038172467366</v>
      </c>
      <c r="O54" s="17">
        <f>SUM(M54:N54)</f>
        <v>2440.5038172467366</v>
      </c>
      <c r="Q54" s="9" t="s">
        <v>90</v>
      </c>
      <c r="R54" s="14">
        <v>1.47E-2</v>
      </c>
    </row>
    <row r="55" spans="1:18">
      <c r="A55" s="45" t="s">
        <v>496</v>
      </c>
      <c r="B55" s="19"/>
      <c r="C55" s="20">
        <f>'KH MW Savings Pivot'!E36+'KH MW Savings Pivot'!E54+'KH MW Savings Pivot'!E71</f>
        <v>391.9396011187215</v>
      </c>
      <c r="D55" s="51"/>
      <c r="E55" s="11"/>
      <c r="F55" s="13"/>
      <c r="H55" s="21"/>
      <c r="I55" s="22"/>
      <c r="J55" s="22">
        <f t="shared" si="2"/>
        <v>4.5513000000000003</v>
      </c>
      <c r="K55" s="23">
        <f>'KH 2011-2014 Rates'!F50</f>
        <v>4.6150000000000002</v>
      </c>
      <c r="M55" s="15"/>
      <c r="N55" s="16">
        <f>C55*J55*12</f>
        <v>21406.016478859648</v>
      </c>
      <c r="O55" s="17">
        <f>C55*K55*12</f>
        <v>21705.615109954801</v>
      </c>
      <c r="Q55" s="9"/>
      <c r="R55" s="14"/>
    </row>
    <row r="56" spans="1:18">
      <c r="A56" s="452" t="s">
        <v>82</v>
      </c>
      <c r="B56" s="443">
        <f>SUM(B51:B55)</f>
        <v>4518724.9704575958</v>
      </c>
      <c r="C56" s="443">
        <f>SUM(C51:C55)</f>
        <v>1832.0169204877966</v>
      </c>
      <c r="D56" s="453"/>
      <c r="E56" s="454">
        <f>SUM(E51:E55)</f>
        <v>376560.41420479969</v>
      </c>
      <c r="F56" s="445">
        <f>SUM(F51:F55)</f>
        <v>1440.0773193690752</v>
      </c>
      <c r="G56" s="452"/>
      <c r="H56" s="446"/>
      <c r="I56" s="447"/>
      <c r="J56" s="447"/>
      <c r="K56" s="448"/>
      <c r="L56" s="452"/>
      <c r="M56" s="449">
        <f>SUM(M51:M55)</f>
        <v>56030.32551215194</v>
      </c>
      <c r="N56" s="450">
        <f>SUM(N51:N55)</f>
        <v>33459.854200934788</v>
      </c>
      <c r="O56" s="451">
        <f>SUM(O51:O55)</f>
        <v>89789.778344181876</v>
      </c>
      <c r="P56" s="452"/>
      <c r="Q56" s="455"/>
      <c r="R56" s="456"/>
    </row>
    <row r="57" spans="1:18">
      <c r="B57" s="24"/>
      <c r="C57" s="24"/>
      <c r="D57" s="24"/>
    </row>
    <row r="58" spans="1:18">
      <c r="A58" s="647" t="s">
        <v>630</v>
      </c>
      <c r="B58" s="52"/>
      <c r="C58" s="52"/>
      <c r="D58" s="659">
        <f>O56+O46+O36+O26</f>
        <v>186260.3400606346</v>
      </c>
    </row>
    <row r="59" spans="1:18">
      <c r="A59" s="647" t="s">
        <v>631</v>
      </c>
      <c r="B59" s="52"/>
      <c r="C59" s="52"/>
      <c r="D59" s="659">
        <f>D58+'KH LRAMVA Account'!I9</f>
        <v>191830.72288543821</v>
      </c>
      <c r="N59" s="438"/>
      <c r="O59" s="438"/>
      <c r="P59" s="438"/>
      <c r="Q59" s="438"/>
      <c r="R59" s="438"/>
    </row>
    <row r="60" spans="1:18">
      <c r="N60" s="438"/>
      <c r="O60" s="438"/>
      <c r="P60" s="438"/>
      <c r="Q60" s="438"/>
      <c r="R60" s="438"/>
    </row>
    <row r="61" spans="1:18">
      <c r="N61" s="438"/>
      <c r="O61" s="438"/>
      <c r="P61" s="438"/>
      <c r="Q61" s="438"/>
      <c r="R61" s="438"/>
    </row>
    <row r="62" spans="1:18">
      <c r="N62" s="438"/>
      <c r="O62" s="438"/>
      <c r="P62" s="438"/>
      <c r="Q62" s="438"/>
      <c r="R62" s="438"/>
    </row>
  </sheetData>
  <mergeCells count="25">
    <mergeCell ref="N3:R15"/>
    <mergeCell ref="U27:Y27"/>
    <mergeCell ref="M28:O28"/>
    <mergeCell ref="Q28:R28"/>
    <mergeCell ref="A3:E6"/>
    <mergeCell ref="G3:L15"/>
    <mergeCell ref="A7:E15"/>
    <mergeCell ref="B28:C28"/>
    <mergeCell ref="E28:F28"/>
    <mergeCell ref="H28:K28"/>
    <mergeCell ref="B18:C18"/>
    <mergeCell ref="E18:F18"/>
    <mergeCell ref="H18:K18"/>
    <mergeCell ref="M18:O18"/>
    <mergeCell ref="Q18:R18"/>
    <mergeCell ref="B38:C38"/>
    <mergeCell ref="E38:F38"/>
    <mergeCell ref="H38:K38"/>
    <mergeCell ref="M38:O38"/>
    <mergeCell ref="Q38:R38"/>
    <mergeCell ref="B48:C48"/>
    <mergeCell ref="E48:F48"/>
    <mergeCell ref="H48:K48"/>
    <mergeCell ref="M48:O48"/>
    <mergeCell ref="Q48:R48"/>
  </mergeCells>
  <pageMargins left="0.7" right="0.7" top="0.75" bottom="0.75" header="0.3" footer="0.3"/>
  <pageSetup scale="42" orientation="portrait" r:id="rId1"/>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12</vt:i4>
      </vt:variant>
    </vt:vector>
  </HeadingPairs>
  <TitlesOfParts>
    <vt:vector size="34" baseType="lpstr">
      <vt:lpstr>Ch. 2 App 2-I 2016 COS</vt:lpstr>
      <vt:lpstr>KH MW Persistence Table</vt:lpstr>
      <vt:lpstr>KH MW Savings Pivot</vt:lpstr>
      <vt:lpstr>KH MWh Persistence Table</vt:lpstr>
      <vt:lpstr>Allocation to Rate Classes</vt:lpstr>
      <vt:lpstr>KH MWh Savings Pivot</vt:lpstr>
      <vt:lpstr>CDM kWh by Rate Class 2009-20</vt:lpstr>
      <vt:lpstr>KH 2011-2014 Rates</vt:lpstr>
      <vt:lpstr>2011-14 LRAMVA Summary</vt:lpstr>
      <vt:lpstr>KH LRAMVA Account</vt:lpstr>
      <vt:lpstr>Carrying Charges 2011</vt:lpstr>
      <vt:lpstr>Carrying Charges 2012</vt:lpstr>
      <vt:lpstr>Carrying Charges 2013</vt:lpstr>
      <vt:lpstr>Carrying Charges 2014</vt:lpstr>
      <vt:lpstr>2015-2020 LRAMVA Projections</vt:lpstr>
      <vt:lpstr>Kingston Hydro - Summary</vt:lpstr>
      <vt:lpstr>Kingston Hydro - Results (Net)</vt:lpstr>
      <vt:lpstr>Kingston Hydro - NTGs</vt:lpstr>
      <vt:lpstr>2006-10 KH Net MW MWh</vt:lpstr>
      <vt:lpstr>KH 2015-2020 CDM Plan Milestone</vt:lpstr>
      <vt:lpstr>2015-20 Measure Savings Results</vt:lpstr>
      <vt:lpstr>2015-20 Measures-CE Results</vt:lpstr>
      <vt:lpstr>'2006-10 KH Net MW MWh'!Print_Area</vt:lpstr>
      <vt:lpstr>'2011-14 LRAMVA Summary'!Print_Area</vt:lpstr>
      <vt:lpstr>'2015-20 Measure Savings Results'!Print_Area</vt:lpstr>
      <vt:lpstr>'Carrying Charges 2011'!Print_Area</vt:lpstr>
      <vt:lpstr>'Ch. 2 App 2-I 2016 COS'!Print_Area</vt:lpstr>
      <vt:lpstr>'KH 2015-2020 CDM Plan Milestone'!Print_Area</vt:lpstr>
      <vt:lpstr>'KH MW Savings Pivot'!Print_Area</vt:lpstr>
      <vt:lpstr>'Kingston Hydro - NTGs'!Print_Area</vt:lpstr>
      <vt:lpstr>'Kingston Hydro - Results (Net)'!Print_Area</vt:lpstr>
      <vt:lpstr>'2006-10 KH Net MW MWh'!Print_Titles</vt:lpstr>
      <vt:lpstr>'Kingston Hydro - NTGs'!Print_Titles</vt:lpstr>
      <vt:lpstr>'Kingston Hydro - Results (Net)'!Print_Titles</vt:lpstr>
    </vt:vector>
  </TitlesOfParts>
  <Company>Ontario Power Authority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haneef.ansari</dc:creator>
  <cp:lastModifiedBy>Lillian Ing</cp:lastModifiedBy>
  <dcterms:created xsi:type="dcterms:W3CDTF">2015-02-05T18:13:23Z</dcterms:created>
  <dcterms:modified xsi:type="dcterms:W3CDTF">2015-09-17T20:29:13Z</dcterms:modified>
</cp:coreProperties>
</file>