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1.xml" ContentType="application/vnd.ms-excel.controlproperties+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930" windowWidth="24240" windowHeight="11295" tabRatio="768" firstSheet="17" activeTab="17"/>
  </bookViews>
  <sheets>
    <sheet name="Threshold Test" sheetId="1" state="hidden" r:id="rId1"/>
    <sheet name="3. Continuity Schedule" sheetId="2" state="hidden" r:id="rId2"/>
    <sheet name="1. Billing Det. for Def-Var" sheetId="3" state="hidden" r:id="rId3"/>
    <sheet name="2. Allocating Def-Var Balances" sheetId="6" state="hidden" r:id="rId4"/>
    <sheet name="3. Calculation of Def-Var RR" sheetId="11" state="hidden" r:id="rId5"/>
    <sheet name="4. Calculation of GA RR" sheetId="33" state="hidden" r:id="rId6"/>
    <sheet name="5. Summary of Def-Var RR" sheetId="12" state="hidden" r:id="rId7"/>
    <sheet name="7. STS - Tax Change" sheetId="15" state="hidden" r:id="rId8"/>
    <sheet name="8. Shared Tax - Rate Rider" sheetId="13" state="hidden" r:id="rId9"/>
    <sheet name="9.RTSR Current Rates" sheetId="17" state="hidden" r:id="rId10"/>
    <sheet name="10. RTSR - UTR's and Sub-tx" sheetId="19" state="hidden" r:id="rId11"/>
    <sheet name="11. RTSR - Historical Wholesale" sheetId="20" state="hidden" r:id="rId12"/>
    <sheet name="12. RTSR - Current Wholesale" sheetId="21" state="hidden" r:id="rId13"/>
    <sheet name="13. RTSR - Forecast Wholesale" sheetId="22" state="hidden" r:id="rId14"/>
    <sheet name="14. RTSR  Rates to Forecast " sheetId="35" state="hidden" r:id="rId15"/>
    <sheet name="6. Rev2Cost_GDPIPI" sheetId="28" state="hidden" r:id="rId16"/>
    <sheet name="16. Additional Rates" sheetId="29" state="hidden" r:id="rId17"/>
    <sheet name="7. Final Tariff Schedule" sheetId="31" r:id="rId18"/>
    <sheet name="Bill Impacts" sheetId="32" state="hidden" r:id="rId19"/>
    <sheet name="RTSR % Change" sheetId="36" state="hidden"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BI_LDCLIST">'[1]3. Rate Class Selection'!$B$19:$B$26</definedName>
    <definedName name="COS_RES_CUSTOMERS">'6. Rev2Cost_GDPIPI'!$F$12</definedName>
    <definedName name="COS_RES_KWH">'6. Rev2Cost_GDPIPI'!$F$13</definedName>
    <definedName name="CustomerAdministration">[1]lists!$Z$1:$Z$36</definedName>
    <definedName name="forecast_wholesale_lineplus">'[2]13. RTSR - Forecast Wholesale'!$P$113</definedName>
    <definedName name="forecast_wholesale_network">'[2]13. RTSR - Forecast Wholesale'!$F$109</definedName>
    <definedName name="LossFactors">[1]lists!$L$2:$L$15</definedName>
    <definedName name="NonPayment">[1]lists!$AA$1:$AA$71</definedName>
    <definedName name="_xlnm.Print_Titles" localSheetId="5">'4. Calculation of GA RR'!$1:$5</definedName>
    <definedName name="_xlnm.Print_Titles" localSheetId="17">'7. Final Tariff Schedule'!$1:$6</definedName>
    <definedName name="ratebase">'7. STS - Tax Change'!$N$19</definedName>
    <definedName name="Total_Current_Wholesale_Lineplus">'[2]12. RTSR - Current Wholesale'!$P$113</definedName>
    <definedName name="total_current_wholesale_network">'[2]12. RTSR - Current Wholesale'!$F$109</definedName>
    <definedName name="Units">[1]lists!$N$2:$N$5</definedName>
    <definedName name="Units1">[3]lists!$O$2:$O$4</definedName>
    <definedName name="Units2">[1]lists!$P$2:$P$3</definedName>
    <definedName name="YRS_LEFT">'6. Rev2Cost_GDPIPI'!$F$14</definedName>
  </definedNames>
  <calcPr calcId="145621"/>
</workbook>
</file>

<file path=xl/calcChain.xml><?xml version="1.0" encoding="utf-8"?>
<calcChain xmlns="http://schemas.openxmlformats.org/spreadsheetml/2006/main">
  <c r="H17" i="28" l="1"/>
  <c r="C23" i="3" l="1"/>
  <c r="C16" i="6"/>
  <c r="C17" i="3"/>
  <c r="C10" i="6"/>
  <c r="C18" i="3"/>
  <c r="C11" i="6"/>
  <c r="C19" i="3"/>
  <c r="C12" i="6"/>
  <c r="C20" i="3"/>
  <c r="C13" i="6"/>
  <c r="C21" i="3"/>
  <c r="C14" i="6"/>
  <c r="C22" i="3"/>
  <c r="C15" i="6"/>
  <c r="C29" i="6"/>
  <c r="D22" i="6"/>
  <c r="D29" i="6"/>
  <c r="P16" i="6"/>
  <c r="C42" i="6"/>
  <c r="D35" i="6"/>
  <c r="D42" i="6"/>
  <c r="R16" i="6" s="1"/>
  <c r="C54" i="6"/>
  <c r="D47" i="6"/>
  <c r="D54" i="6"/>
  <c r="T16" i="6" s="1"/>
  <c r="D23" i="3"/>
  <c r="D27" i="11"/>
  <c r="I23" i="3"/>
  <c r="H16" i="6"/>
  <c r="I17" i="3"/>
  <c r="H10" i="6"/>
  <c r="I18" i="3"/>
  <c r="H11" i="6"/>
  <c r="I20" i="3"/>
  <c r="H13" i="6"/>
  <c r="I21" i="3"/>
  <c r="H14" i="6"/>
  <c r="I22" i="3"/>
  <c r="E26" i="11" s="1"/>
  <c r="H15" i="6"/>
  <c r="J23" i="3"/>
  <c r="F27" i="11" s="1"/>
  <c r="C25" i="6"/>
  <c r="D25" i="6" s="1"/>
  <c r="P15" i="6" s="1"/>
  <c r="C38" i="6"/>
  <c r="D38" i="6"/>
  <c r="R15" i="6" s="1"/>
  <c r="C50" i="6"/>
  <c r="D50" i="6" s="1"/>
  <c r="T15" i="6"/>
  <c r="C26" i="11"/>
  <c r="C28" i="6"/>
  <c r="D28" i="6"/>
  <c r="P14" i="6"/>
  <c r="C41" i="6"/>
  <c r="D41" i="6" s="1"/>
  <c r="R14" i="6" s="1"/>
  <c r="C53" i="6"/>
  <c r="D53" i="6" s="1"/>
  <c r="T14" i="6" s="1"/>
  <c r="D21" i="3"/>
  <c r="J21" i="3" s="1"/>
  <c r="D25" i="11"/>
  <c r="C24" i="6"/>
  <c r="D24" i="6" s="1"/>
  <c r="P11" i="6"/>
  <c r="C37" i="6"/>
  <c r="D37" i="6" s="1"/>
  <c r="R11" i="6" s="1"/>
  <c r="C49" i="6"/>
  <c r="D49" i="6" s="1"/>
  <c r="T11" i="6" s="1"/>
  <c r="C22" i="11"/>
  <c r="E22" i="11"/>
  <c r="C23" i="6"/>
  <c r="C36" i="6"/>
  <c r="D36" i="6"/>
  <c r="C48" i="6"/>
  <c r="C21" i="11"/>
  <c r="F35" i="13"/>
  <c r="F28" i="6"/>
  <c r="G22" i="6"/>
  <c r="G26" i="6" s="1"/>
  <c r="F41" i="6"/>
  <c r="G35" i="6"/>
  <c r="S9" i="6" s="1"/>
  <c r="F53" i="6"/>
  <c r="G53" i="6" s="1"/>
  <c r="U14" i="6" s="1"/>
  <c r="G47" i="6"/>
  <c r="U9" i="6" s="1"/>
  <c r="F21" i="3"/>
  <c r="L25" i="11"/>
  <c r="N25" i="11" s="1"/>
  <c r="F23" i="6"/>
  <c r="G23" i="6" s="1"/>
  <c r="Q10" i="6" s="1"/>
  <c r="F36" i="6"/>
  <c r="F48" i="6"/>
  <c r="G48" i="6" s="1"/>
  <c r="U10" i="6" s="1"/>
  <c r="E17" i="3"/>
  <c r="E10" i="6" s="1"/>
  <c r="N17" i="3"/>
  <c r="C11" i="33"/>
  <c r="D11" i="33"/>
  <c r="E11" i="33"/>
  <c r="F11" i="33"/>
  <c r="G11" i="33"/>
  <c r="B39" i="33"/>
  <c r="B33" i="33"/>
  <c r="B34" i="33"/>
  <c r="B35" i="33"/>
  <c r="B36" i="33"/>
  <c r="B37" i="33"/>
  <c r="B38" i="33"/>
  <c r="E39" i="33"/>
  <c r="N9" i="6"/>
  <c r="M9" i="6"/>
  <c r="F29" i="6"/>
  <c r="F42" i="6"/>
  <c r="F54" i="6"/>
  <c r="G54" i="6"/>
  <c r="U16" i="6"/>
  <c r="F23" i="3"/>
  <c r="O23" i="3"/>
  <c r="L27" i="11" s="1"/>
  <c r="N27" i="11" s="1"/>
  <c r="F25" i="6"/>
  <c r="F38" i="6"/>
  <c r="F50" i="6"/>
  <c r="G50" i="6" s="1"/>
  <c r="E22" i="3"/>
  <c r="F27" i="6"/>
  <c r="G27" i="6"/>
  <c r="Q13" i="6" s="1"/>
  <c r="F40" i="6"/>
  <c r="G40" i="6" s="1"/>
  <c r="S13" i="6" s="1"/>
  <c r="F52" i="6"/>
  <c r="G52" i="6" s="1"/>
  <c r="U13" i="6" s="1"/>
  <c r="F20" i="3"/>
  <c r="O20" i="3"/>
  <c r="L24" i="11" s="1"/>
  <c r="N24" i="11"/>
  <c r="F26" i="6"/>
  <c r="Q12" i="6"/>
  <c r="F39" i="6"/>
  <c r="G39" i="6"/>
  <c r="S12" i="6" s="1"/>
  <c r="F51" i="6"/>
  <c r="G51" i="6" s="1"/>
  <c r="U12" i="6" s="1"/>
  <c r="F19" i="3"/>
  <c r="O19" i="3"/>
  <c r="L23" i="11"/>
  <c r="N23" i="11" s="1"/>
  <c r="F24" i="6"/>
  <c r="G24" i="6" s="1"/>
  <c r="Q11" i="6" s="1"/>
  <c r="F37" i="6"/>
  <c r="G37" i="6"/>
  <c r="S11" i="6" s="1"/>
  <c r="F49" i="6"/>
  <c r="G49" i="6"/>
  <c r="U11" i="6" s="1"/>
  <c r="E18" i="3"/>
  <c r="N18" i="3"/>
  <c r="L22" i="11" s="1"/>
  <c r="N22" i="11" s="1"/>
  <c r="E11" i="6"/>
  <c r="E19" i="3"/>
  <c r="E12" i="6" s="1"/>
  <c r="E20" i="3"/>
  <c r="E13" i="6"/>
  <c r="E21" i="3"/>
  <c r="E14" i="6"/>
  <c r="E23" i="3"/>
  <c r="E38" i="33"/>
  <c r="E37" i="33"/>
  <c r="E36" i="33"/>
  <c r="E35" i="33"/>
  <c r="E34" i="33"/>
  <c r="E33" i="33"/>
  <c r="E28" i="33"/>
  <c r="B28" i="33"/>
  <c r="E27" i="33"/>
  <c r="B27" i="33"/>
  <c r="E26" i="33"/>
  <c r="E29" i="33" s="1"/>
  <c r="B26" i="33"/>
  <c r="E25" i="33"/>
  <c r="B25" i="33"/>
  <c r="E24" i="33"/>
  <c r="B24" i="33"/>
  <c r="E19" i="33"/>
  <c r="B19" i="33"/>
  <c r="E18" i="33"/>
  <c r="E20" i="33" s="1"/>
  <c r="B18" i="33"/>
  <c r="E17" i="33"/>
  <c r="B17" i="33"/>
  <c r="E16" i="33"/>
  <c r="B16" i="33"/>
  <c r="F10" i="33"/>
  <c r="D10" i="33"/>
  <c r="D12" i="33" s="1"/>
  <c r="C10" i="33"/>
  <c r="E10" i="33" s="1"/>
  <c r="F9" i="33"/>
  <c r="F12" i="33" s="1"/>
  <c r="D9" i="33"/>
  <c r="C9" i="33"/>
  <c r="G10" i="33"/>
  <c r="M25" i="11"/>
  <c r="M24" i="11"/>
  <c r="M23" i="11"/>
  <c r="M30" i="11"/>
  <c r="T9" i="6"/>
  <c r="C40" i="6"/>
  <c r="C39" i="6"/>
  <c r="R9" i="6"/>
  <c r="D22" i="11"/>
  <c r="D26" i="11"/>
  <c r="D21" i="11"/>
  <c r="M20" i="3"/>
  <c r="M19" i="3"/>
  <c r="L20" i="3"/>
  <c r="L19" i="3"/>
  <c r="G11" i="6"/>
  <c r="G10" i="6"/>
  <c r="V27" i="3"/>
  <c r="U27" i="3"/>
  <c r="K27" i="3"/>
  <c r="G17" i="6"/>
  <c r="AJ11" i="2"/>
  <c r="AJ12" i="2"/>
  <c r="AJ13" i="2"/>
  <c r="AJ14" i="2"/>
  <c r="AJ15" i="2"/>
  <c r="AJ16" i="2"/>
  <c r="AJ17" i="2"/>
  <c r="AJ18" i="2"/>
  <c r="AJ19" i="2"/>
  <c r="AJ20" i="2"/>
  <c r="AJ21" i="2"/>
  <c r="AJ22" i="2"/>
  <c r="AJ23" i="2"/>
  <c r="AJ10" i="2"/>
  <c r="E224" i="31"/>
  <c r="E223" i="31"/>
  <c r="E194" i="31"/>
  <c r="E193" i="31"/>
  <c r="E164" i="31"/>
  <c r="E163" i="31"/>
  <c r="E129" i="31"/>
  <c r="E128" i="31"/>
  <c r="E95" i="31"/>
  <c r="E94" i="31"/>
  <c r="E61" i="31"/>
  <c r="E60" i="31"/>
  <c r="E29" i="31"/>
  <c r="D21" i="36"/>
  <c r="E21" i="36"/>
  <c r="D20" i="36"/>
  <c r="E20" i="36"/>
  <c r="D19" i="36"/>
  <c r="E19" i="36"/>
  <c r="D18" i="36"/>
  <c r="E18" i="36"/>
  <c r="D17" i="36"/>
  <c r="E17" i="36"/>
  <c r="D16" i="36"/>
  <c r="E16" i="36"/>
  <c r="D15" i="36"/>
  <c r="E15" i="36"/>
  <c r="D14" i="36"/>
  <c r="E14" i="36"/>
  <c r="D9" i="36"/>
  <c r="E9" i="36"/>
  <c r="D8" i="36"/>
  <c r="E8" i="36"/>
  <c r="D7" i="36"/>
  <c r="E7" i="36"/>
  <c r="D6" i="36"/>
  <c r="E6" i="36"/>
  <c r="D5" i="36"/>
  <c r="E5" i="36"/>
  <c r="D4" i="36"/>
  <c r="E4" i="36"/>
  <c r="D3" i="36"/>
  <c r="E3" i="36"/>
  <c r="D2" i="36"/>
  <c r="E2" i="36"/>
  <c r="E222" i="31"/>
  <c r="E192" i="31"/>
  <c r="E162" i="31"/>
  <c r="E127" i="31"/>
  <c r="E93" i="31"/>
  <c r="E59" i="31"/>
  <c r="E28" i="31"/>
  <c r="H36" i="35"/>
  <c r="H35" i="35"/>
  <c r="H34" i="35"/>
  <c r="H33" i="35"/>
  <c r="H32" i="35"/>
  <c r="H31" i="35"/>
  <c r="H30" i="35"/>
  <c r="H29" i="35"/>
  <c r="H24" i="35"/>
  <c r="H23" i="35"/>
  <c r="H22" i="35"/>
  <c r="H21" i="35"/>
  <c r="H20" i="35"/>
  <c r="H19" i="35"/>
  <c r="H18" i="35"/>
  <c r="H17" i="35"/>
  <c r="G29" i="35"/>
  <c r="W20" i="3"/>
  <c r="W19" i="3"/>
  <c r="W23" i="3"/>
  <c r="W21" i="3"/>
  <c r="W18" i="3"/>
  <c r="W17" i="3"/>
  <c r="E37" i="13"/>
  <c r="D37" i="13"/>
  <c r="C37" i="13"/>
  <c r="E25" i="13"/>
  <c r="D25" i="13"/>
  <c r="C25" i="13"/>
  <c r="K24" i="13"/>
  <c r="J24" i="13"/>
  <c r="I24" i="13"/>
  <c r="K23" i="13"/>
  <c r="J23" i="13"/>
  <c r="I23" i="13"/>
  <c r="K22" i="13"/>
  <c r="J22" i="13"/>
  <c r="I22" i="13"/>
  <c r="K21" i="13"/>
  <c r="J21" i="13"/>
  <c r="I21" i="13"/>
  <c r="K20" i="13"/>
  <c r="J20" i="13"/>
  <c r="I20" i="13"/>
  <c r="K19" i="13"/>
  <c r="J19" i="13"/>
  <c r="I19" i="13"/>
  <c r="K18" i="13"/>
  <c r="J18" i="13"/>
  <c r="I18" i="13"/>
  <c r="K17" i="13"/>
  <c r="K25" i="13"/>
  <c r="J17" i="13"/>
  <c r="I17" i="13"/>
  <c r="N32" i="15"/>
  <c r="M19" i="13"/>
  <c r="N19" i="13"/>
  <c r="N22" i="13"/>
  <c r="M17" i="13"/>
  <c r="N21" i="13"/>
  <c r="L17" i="13"/>
  <c r="L18" i="13"/>
  <c r="N18" i="13"/>
  <c r="L19" i="13"/>
  <c r="L20" i="13"/>
  <c r="L21" i="13"/>
  <c r="L22" i="13"/>
  <c r="L23" i="13"/>
  <c r="M23" i="13"/>
  <c r="L24" i="13"/>
  <c r="N24" i="13"/>
  <c r="I25" i="13"/>
  <c r="J25" i="13"/>
  <c r="M24" i="13"/>
  <c r="O21" i="13"/>
  <c r="N23" i="13"/>
  <c r="O20" i="13"/>
  <c r="M21" i="13"/>
  <c r="M18" i="13"/>
  <c r="O19" i="13"/>
  <c r="O24" i="13"/>
  <c r="O22" i="13"/>
  <c r="O18" i="13"/>
  <c r="N20" i="13"/>
  <c r="M20" i="13"/>
  <c r="O23" i="13"/>
  <c r="L25" i="13"/>
  <c r="P17" i="13"/>
  <c r="O17" i="13"/>
  <c r="N17" i="13"/>
  <c r="M22" i="13"/>
  <c r="E29" i="13"/>
  <c r="F29" i="13"/>
  <c r="P22" i="13"/>
  <c r="E34" i="13"/>
  <c r="F34" i="13"/>
  <c r="P20" i="13"/>
  <c r="E32" i="13"/>
  <c r="F32" i="13"/>
  <c r="P23" i="13"/>
  <c r="E35" i="13"/>
  <c r="P24" i="13"/>
  <c r="E36" i="13"/>
  <c r="F36" i="13"/>
  <c r="P21" i="13"/>
  <c r="E33" i="13"/>
  <c r="F33" i="13"/>
  <c r="P19" i="13"/>
  <c r="E31" i="13"/>
  <c r="F31" i="13"/>
  <c r="P18" i="13"/>
  <c r="E30" i="13"/>
  <c r="F30" i="13"/>
  <c r="P25" i="13"/>
  <c r="C27" i="28"/>
  <c r="C28" i="28"/>
  <c r="C29" i="28"/>
  <c r="D27" i="28"/>
  <c r="E27" i="28"/>
  <c r="Y18" i="3"/>
  <c r="Y17" i="3"/>
  <c r="F27" i="28"/>
  <c r="G27" i="28"/>
  <c r="G28" i="28"/>
  <c r="D28" i="28"/>
  <c r="F56" i="35"/>
  <c r="F55" i="35"/>
  <c r="F44" i="35"/>
  <c r="F43" i="35"/>
  <c r="G31" i="35"/>
  <c r="F32" i="35"/>
  <c r="F31" i="35"/>
  <c r="F20" i="35"/>
  <c r="F19" i="35"/>
  <c r="F24" i="17"/>
  <c r="F23" i="17"/>
  <c r="F22" i="17"/>
  <c r="F21" i="17"/>
  <c r="E24" i="17"/>
  <c r="E23" i="17"/>
  <c r="E22" i="17"/>
  <c r="E21" i="17"/>
  <c r="G17" i="35"/>
  <c r="H27" i="28"/>
  <c r="I27" i="28"/>
  <c r="B28" i="28"/>
  <c r="B27" i="28"/>
  <c r="G24" i="28"/>
  <c r="H23" i="28"/>
  <c r="E218" i="31" s="1"/>
  <c r="G21" i="28"/>
  <c r="E156" i="31" s="1"/>
  <c r="G18" i="28"/>
  <c r="E53" i="31" s="1"/>
  <c r="B14" i="28"/>
  <c r="D13" i="28"/>
  <c r="H18" i="28" s="1"/>
  <c r="E55" i="31" s="1"/>
  <c r="G36" i="35"/>
  <c r="G35" i="35"/>
  <c r="G34" i="35"/>
  <c r="G33" i="35"/>
  <c r="G32" i="35"/>
  <c r="G30" i="35"/>
  <c r="G24" i="35"/>
  <c r="G23" i="35"/>
  <c r="G22" i="35"/>
  <c r="G21" i="35"/>
  <c r="G20" i="35"/>
  <c r="G19" i="35"/>
  <c r="G18" i="35"/>
  <c r="M43" i="21"/>
  <c r="M39" i="21"/>
  <c r="I43" i="21"/>
  <c r="I39" i="21"/>
  <c r="E43" i="21"/>
  <c r="E41" i="21"/>
  <c r="E42" i="21"/>
  <c r="E39" i="21"/>
  <c r="F19" i="28"/>
  <c r="H22" i="28"/>
  <c r="I22" i="28" s="1"/>
  <c r="H21" i="28"/>
  <c r="I21" i="28" s="1"/>
  <c r="G22" i="28"/>
  <c r="E187" i="31" s="1"/>
  <c r="H28" i="28"/>
  <c r="E24" i="31"/>
  <c r="I28" i="28"/>
  <c r="A32" i="28"/>
  <c r="I29" i="28"/>
  <c r="G91" i="19"/>
  <c r="I89" i="19"/>
  <c r="I87" i="19"/>
  <c r="I91" i="19"/>
  <c r="E91" i="19"/>
  <c r="G41" i="19"/>
  <c r="E41" i="19"/>
  <c r="I39" i="19"/>
  <c r="I41" i="19"/>
  <c r="I37" i="19"/>
  <c r="I35" i="19"/>
  <c r="H30" i="17"/>
  <c r="H29" i="17"/>
  <c r="H20" i="17"/>
  <c r="H19" i="17"/>
  <c r="H18" i="17"/>
  <c r="H17" i="17"/>
  <c r="O21" i="3"/>
  <c r="M27" i="3"/>
  <c r="L27" i="3"/>
  <c r="N24" i="3"/>
  <c r="W22" i="2"/>
  <c r="J22" i="3"/>
  <c r="J18" i="3"/>
  <c r="J17" i="3"/>
  <c r="H27" i="3"/>
  <c r="G27" i="3"/>
  <c r="T34" i="2"/>
  <c r="M39" i="22"/>
  <c r="M40" i="22"/>
  <c r="M41" i="22"/>
  <c r="M42" i="22"/>
  <c r="M43" i="22"/>
  <c r="M44" i="22"/>
  <c r="M45" i="22"/>
  <c r="M46" i="22"/>
  <c r="I39" i="22"/>
  <c r="E39" i="22"/>
  <c r="M20" i="22"/>
  <c r="I20" i="22"/>
  <c r="E20" i="22"/>
  <c r="I40" i="21"/>
  <c r="I41" i="21"/>
  <c r="I42" i="21"/>
  <c r="I44" i="21"/>
  <c r="M20" i="21"/>
  <c r="I20" i="21"/>
  <c r="I21" i="21"/>
  <c r="I22" i="21"/>
  <c r="I23" i="21"/>
  <c r="I24" i="21"/>
  <c r="I25" i="21"/>
  <c r="E20" i="21"/>
  <c r="F39" i="20"/>
  <c r="F40" i="20"/>
  <c r="F41" i="20"/>
  <c r="E41" i="20" s="1"/>
  <c r="F42" i="20"/>
  <c r="F43" i="20"/>
  <c r="F100" i="20" s="1"/>
  <c r="F44" i="20"/>
  <c r="F45" i="20"/>
  <c r="F46" i="20"/>
  <c r="F47" i="20"/>
  <c r="F48" i="20"/>
  <c r="E48" i="20" s="1"/>
  <c r="F49" i="20"/>
  <c r="D39" i="20"/>
  <c r="D40" i="20"/>
  <c r="D41" i="20"/>
  <c r="D42" i="21"/>
  <c r="D42" i="20"/>
  <c r="D43" i="20"/>
  <c r="D44" i="20"/>
  <c r="D45" i="22"/>
  <c r="D45" i="20"/>
  <c r="D46" i="22" s="1"/>
  <c r="D46" i="20"/>
  <c r="D47" i="20"/>
  <c r="D48" i="21"/>
  <c r="F48" i="21" s="1"/>
  <c r="D48" i="20"/>
  <c r="D49" i="21" s="1"/>
  <c r="D49" i="20"/>
  <c r="J39" i="20"/>
  <c r="J40" i="20"/>
  <c r="J41" i="20"/>
  <c r="P41" i="20" s="1"/>
  <c r="J42" i="20"/>
  <c r="I42" i="20" s="1"/>
  <c r="J43" i="20"/>
  <c r="J44" i="20"/>
  <c r="J45" i="20"/>
  <c r="P45" i="20" s="1"/>
  <c r="J46" i="20"/>
  <c r="J47" i="20"/>
  <c r="J48" i="20"/>
  <c r="J49" i="20"/>
  <c r="J106" i="20" s="1"/>
  <c r="P106" i="20" s="1"/>
  <c r="H39" i="20"/>
  <c r="H40" i="22" s="1"/>
  <c r="H40" i="20"/>
  <c r="H41" i="20"/>
  <c r="H42" i="20"/>
  <c r="H43" i="22"/>
  <c r="H43" i="20"/>
  <c r="H44" i="21"/>
  <c r="J44" i="21" s="1"/>
  <c r="H44" i="20"/>
  <c r="H45" i="20"/>
  <c r="H46" i="20"/>
  <c r="H47" i="22" s="1"/>
  <c r="H47" i="20"/>
  <c r="H48" i="22"/>
  <c r="J48" i="22" s="1"/>
  <c r="H48" i="20"/>
  <c r="H49" i="20"/>
  <c r="H50" i="22" s="1"/>
  <c r="N39" i="20"/>
  <c r="M39" i="20" s="1"/>
  <c r="N40" i="20"/>
  <c r="N41" i="20"/>
  <c r="N42" i="20"/>
  <c r="N43" i="20"/>
  <c r="N100" i="20" s="1"/>
  <c r="N44" i="20"/>
  <c r="N101" i="20" s="1"/>
  <c r="N45" i="20"/>
  <c r="N46" i="20"/>
  <c r="N47" i="20"/>
  <c r="P47" i="20" s="1"/>
  <c r="N48" i="20"/>
  <c r="N49" i="20"/>
  <c r="L39" i="20"/>
  <c r="L40" i="20"/>
  <c r="L41" i="21"/>
  <c r="L41" i="20"/>
  <c r="L42" i="20"/>
  <c r="L43" i="20"/>
  <c r="L44" i="22" s="1"/>
  <c r="N44" i="22" s="1"/>
  <c r="L44" i="20"/>
  <c r="L45" i="21"/>
  <c r="L102" i="21" s="1"/>
  <c r="L45" i="20"/>
  <c r="L46" i="20"/>
  <c r="L47" i="22"/>
  <c r="L47" i="20"/>
  <c r="L48" i="20"/>
  <c r="L49" i="21"/>
  <c r="L49" i="20"/>
  <c r="L50" i="22" s="1"/>
  <c r="N50" i="22" s="1"/>
  <c r="N38" i="20"/>
  <c r="L38" i="20"/>
  <c r="L39" i="21"/>
  <c r="J38" i="20"/>
  <c r="H38" i="20"/>
  <c r="H39" i="22" s="1"/>
  <c r="J39" i="22"/>
  <c r="F38" i="20"/>
  <c r="F51" i="20" s="1"/>
  <c r="D38" i="20"/>
  <c r="N20" i="20"/>
  <c r="N21" i="20"/>
  <c r="N22" i="20"/>
  <c r="N23" i="20"/>
  <c r="N24" i="20"/>
  <c r="N25" i="20"/>
  <c r="N26" i="20"/>
  <c r="N27" i="20"/>
  <c r="P27" i="20" s="1"/>
  <c r="N28" i="20"/>
  <c r="N29" i="20"/>
  <c r="N105" i="20" s="1"/>
  <c r="P105" i="20" s="1"/>
  <c r="N30" i="20"/>
  <c r="L20" i="20"/>
  <c r="M20" i="20"/>
  <c r="L21" i="20"/>
  <c r="L22" i="20"/>
  <c r="L23" i="21" s="1"/>
  <c r="L23" i="20"/>
  <c r="L24" i="21"/>
  <c r="L24" i="20"/>
  <c r="L25" i="20"/>
  <c r="L26" i="21"/>
  <c r="L26" i="20"/>
  <c r="L27" i="22"/>
  <c r="N27" i="22" s="1"/>
  <c r="L27" i="20"/>
  <c r="L28" i="20"/>
  <c r="L29" i="20"/>
  <c r="L30" i="20"/>
  <c r="L31" i="21" s="1"/>
  <c r="J20" i="20"/>
  <c r="P20" i="20" s="1"/>
  <c r="J96" i="20"/>
  <c r="J21" i="20"/>
  <c r="J22" i="20"/>
  <c r="J98" i="20"/>
  <c r="P98" i="20" s="1"/>
  <c r="J23" i="20"/>
  <c r="J24" i="20"/>
  <c r="J25" i="20"/>
  <c r="J101" i="20"/>
  <c r="J26" i="20"/>
  <c r="J102" i="20"/>
  <c r="J27" i="20"/>
  <c r="J28" i="20"/>
  <c r="J29" i="20"/>
  <c r="J105" i="20"/>
  <c r="J30" i="20"/>
  <c r="I30" i="20" s="1"/>
  <c r="H20" i="20"/>
  <c r="H21" i="20"/>
  <c r="H22" i="20"/>
  <c r="H23" i="21"/>
  <c r="H23" i="20"/>
  <c r="H24" i="22"/>
  <c r="H24" i="20"/>
  <c r="H25" i="20"/>
  <c r="H26" i="20"/>
  <c r="H27" i="20"/>
  <c r="H28" i="21"/>
  <c r="H28" i="20"/>
  <c r="H29" i="20"/>
  <c r="H105" i="20"/>
  <c r="I105" i="20" s="1"/>
  <c r="H30" i="20"/>
  <c r="H31" i="21"/>
  <c r="F20" i="20"/>
  <c r="F21" i="20"/>
  <c r="F97" i="20" s="1"/>
  <c r="E97" i="20" s="1"/>
  <c r="F22" i="20"/>
  <c r="F23" i="20"/>
  <c r="E23" i="20" s="1"/>
  <c r="F24" i="20"/>
  <c r="F25" i="20"/>
  <c r="F101" i="20" s="1"/>
  <c r="F26" i="20"/>
  <c r="F27" i="20"/>
  <c r="F28" i="20"/>
  <c r="F29" i="20"/>
  <c r="F105" i="20" s="1"/>
  <c r="F30" i="20"/>
  <c r="F106" i="20" s="1"/>
  <c r="D20" i="20"/>
  <c r="D21" i="20"/>
  <c r="D22" i="20"/>
  <c r="D23" i="22" s="1"/>
  <c r="D23" i="20"/>
  <c r="D24" i="22" s="1"/>
  <c r="F24" i="22" s="1"/>
  <c r="D24" i="20"/>
  <c r="D25" i="21"/>
  <c r="D25" i="20"/>
  <c r="D26" i="22" s="1"/>
  <c r="D102" i="22" s="1"/>
  <c r="D26" i="20"/>
  <c r="D27" i="21" s="1"/>
  <c r="D27" i="20"/>
  <c r="D28" i="21" s="1"/>
  <c r="F28" i="21" s="1"/>
  <c r="D28" i="20"/>
  <c r="D29" i="20"/>
  <c r="D30" i="20"/>
  <c r="N19" i="20"/>
  <c r="L19" i="20"/>
  <c r="L95" i="20"/>
  <c r="J19" i="20"/>
  <c r="H19" i="20"/>
  <c r="H20" i="22"/>
  <c r="F19" i="20"/>
  <c r="D19" i="20"/>
  <c r="H58" i="21"/>
  <c r="I58" i="21"/>
  <c r="I59" i="21" s="1"/>
  <c r="I60" i="21" s="1"/>
  <c r="H77" i="21"/>
  <c r="I77" i="21"/>
  <c r="I78" i="21" s="1"/>
  <c r="I79" i="21" s="1"/>
  <c r="L58" i="21"/>
  <c r="M58" i="21"/>
  <c r="M59" i="21"/>
  <c r="M60" i="21"/>
  <c r="N60" i="21" s="1"/>
  <c r="M61" i="21"/>
  <c r="M62" i="21" s="1"/>
  <c r="L77" i="21"/>
  <c r="L90" i="21" s="1"/>
  <c r="M90" i="21" s="1"/>
  <c r="M77" i="21"/>
  <c r="H59" i="21"/>
  <c r="H78" i="21"/>
  <c r="M21" i="21"/>
  <c r="M22" i="21"/>
  <c r="M23" i="21"/>
  <c r="M24" i="21"/>
  <c r="M25" i="21"/>
  <c r="M26" i="21"/>
  <c r="M27" i="21"/>
  <c r="M28" i="21"/>
  <c r="M29" i="21"/>
  <c r="M30" i="21"/>
  <c r="M31" i="21"/>
  <c r="M40" i="21"/>
  <c r="M41" i="21"/>
  <c r="L59" i="21"/>
  <c r="N59" i="21" s="1"/>
  <c r="L78" i="21"/>
  <c r="H60" i="21"/>
  <c r="H79" i="21"/>
  <c r="L60" i="21"/>
  <c r="L79" i="21"/>
  <c r="H61" i="21"/>
  <c r="H80" i="21"/>
  <c r="L61" i="21"/>
  <c r="L80" i="21"/>
  <c r="H62" i="21"/>
  <c r="H81" i="21"/>
  <c r="J81" i="21" s="1"/>
  <c r="L62" i="21"/>
  <c r="L81" i="21"/>
  <c r="H63" i="21"/>
  <c r="H82" i="21"/>
  <c r="L63" i="21"/>
  <c r="L82" i="21"/>
  <c r="H64" i="21"/>
  <c r="H83" i="21"/>
  <c r="L64" i="21"/>
  <c r="L83" i="21"/>
  <c r="H65" i="21"/>
  <c r="H84" i="21"/>
  <c r="L65" i="21"/>
  <c r="L84" i="21"/>
  <c r="H66" i="21"/>
  <c r="H85" i="21"/>
  <c r="L66" i="21"/>
  <c r="L85" i="21"/>
  <c r="H67" i="21"/>
  <c r="H86" i="21"/>
  <c r="L67" i="21"/>
  <c r="L86" i="21"/>
  <c r="H68" i="21"/>
  <c r="H87" i="21"/>
  <c r="L68" i="21"/>
  <c r="L87" i="21"/>
  <c r="H69" i="21"/>
  <c r="H88" i="21"/>
  <c r="L69" i="21"/>
  <c r="L88" i="21"/>
  <c r="P111" i="21"/>
  <c r="D58" i="21"/>
  <c r="E58" i="21"/>
  <c r="E59" i="21" s="1"/>
  <c r="D77" i="21"/>
  <c r="E77" i="21"/>
  <c r="E21" i="21"/>
  <c r="E22" i="21"/>
  <c r="E23" i="21"/>
  <c r="E24" i="21"/>
  <c r="E25" i="21"/>
  <c r="E26" i="21"/>
  <c r="E27" i="21"/>
  <c r="E28" i="21"/>
  <c r="E29" i="21"/>
  <c r="E30" i="21"/>
  <c r="E31" i="21"/>
  <c r="E40" i="21"/>
  <c r="D59" i="21"/>
  <c r="D78" i="21"/>
  <c r="E44" i="21"/>
  <c r="E45" i="21"/>
  <c r="E46" i="21"/>
  <c r="E47" i="21"/>
  <c r="E48" i="21"/>
  <c r="E49" i="21"/>
  <c r="E50" i="21"/>
  <c r="D60" i="21"/>
  <c r="D79" i="21"/>
  <c r="D61" i="21"/>
  <c r="D80" i="21"/>
  <c r="D62" i="21"/>
  <c r="D81" i="21"/>
  <c r="D63" i="21"/>
  <c r="D82" i="21"/>
  <c r="D64" i="21"/>
  <c r="D83" i="21"/>
  <c r="D65" i="21"/>
  <c r="D84" i="21"/>
  <c r="D66" i="21"/>
  <c r="D85" i="21"/>
  <c r="D67" i="21"/>
  <c r="D86" i="21"/>
  <c r="D68" i="21"/>
  <c r="D87" i="21"/>
  <c r="D69" i="21"/>
  <c r="D88" i="21"/>
  <c r="B73" i="21"/>
  <c r="B54" i="21"/>
  <c r="G28" i="32"/>
  <c r="G29" i="32"/>
  <c r="G30" i="32"/>
  <c r="G31" i="32"/>
  <c r="G32" i="32"/>
  <c r="E33" i="32"/>
  <c r="F33" i="32"/>
  <c r="G33" i="32"/>
  <c r="G34" i="32"/>
  <c r="G35" i="32"/>
  <c r="G36" i="32"/>
  <c r="G37" i="32"/>
  <c r="G38" i="32"/>
  <c r="G39" i="32"/>
  <c r="G40" i="32"/>
  <c r="F41" i="32"/>
  <c r="G41" i="32"/>
  <c r="F42" i="32"/>
  <c r="G42" i="32"/>
  <c r="G43" i="32"/>
  <c r="F44" i="32"/>
  <c r="G44" i="32"/>
  <c r="G45" i="32"/>
  <c r="G46" i="32"/>
  <c r="G47" i="32"/>
  <c r="G49" i="32"/>
  <c r="G50" i="32"/>
  <c r="G51" i="32"/>
  <c r="G52" i="32"/>
  <c r="G53" i="32"/>
  <c r="K28" i="32"/>
  <c r="J29" i="32"/>
  <c r="K29" i="32"/>
  <c r="K30" i="32"/>
  <c r="J31" i="32"/>
  <c r="K31" i="32"/>
  <c r="K32" i="32"/>
  <c r="I33" i="32"/>
  <c r="J33" i="32"/>
  <c r="K33" i="32"/>
  <c r="J34" i="32"/>
  <c r="K34" i="32"/>
  <c r="J35" i="32"/>
  <c r="K35" i="32"/>
  <c r="J36" i="32"/>
  <c r="K36" i="32"/>
  <c r="K37" i="32"/>
  <c r="J38" i="32"/>
  <c r="K38" i="32"/>
  <c r="J39" i="32"/>
  <c r="K39" i="32"/>
  <c r="K40" i="32"/>
  <c r="J41" i="32"/>
  <c r="K41" i="32"/>
  <c r="J42" i="32"/>
  <c r="K42" i="32"/>
  <c r="K43" i="32"/>
  <c r="J44" i="32"/>
  <c r="K44" i="32"/>
  <c r="J45" i="32"/>
  <c r="K45" i="32"/>
  <c r="J46" i="32"/>
  <c r="K46" i="32"/>
  <c r="J47" i="32"/>
  <c r="K47" i="32"/>
  <c r="K49" i="32"/>
  <c r="K50" i="32"/>
  <c r="K51" i="32"/>
  <c r="K52" i="32"/>
  <c r="K53" i="32"/>
  <c r="M53" i="32"/>
  <c r="N53" i="32"/>
  <c r="M52" i="32"/>
  <c r="N52" i="32"/>
  <c r="M51" i="32"/>
  <c r="N51" i="32"/>
  <c r="M50" i="32"/>
  <c r="N50" i="32"/>
  <c r="M49" i="32"/>
  <c r="N49" i="32"/>
  <c r="M47" i="32"/>
  <c r="N47" i="32"/>
  <c r="M46" i="32"/>
  <c r="N46" i="32"/>
  <c r="M45" i="32"/>
  <c r="N45" i="32"/>
  <c r="M44" i="32"/>
  <c r="N44" i="32"/>
  <c r="M43" i="32"/>
  <c r="N43" i="32"/>
  <c r="M42" i="32"/>
  <c r="N42" i="32"/>
  <c r="M41" i="32"/>
  <c r="N41" i="32"/>
  <c r="M40" i="32"/>
  <c r="N40" i="32"/>
  <c r="M39" i="32"/>
  <c r="N39" i="32"/>
  <c r="M38" i="32"/>
  <c r="N38" i="32"/>
  <c r="M37" i="32"/>
  <c r="N37" i="32"/>
  <c r="M36" i="32"/>
  <c r="N36" i="32"/>
  <c r="M35" i="32"/>
  <c r="N35" i="32"/>
  <c r="M34" i="32"/>
  <c r="N34" i="32"/>
  <c r="M33" i="32"/>
  <c r="N33" i="32"/>
  <c r="M32" i="32"/>
  <c r="N32" i="32"/>
  <c r="M31" i="32"/>
  <c r="N31" i="32"/>
  <c r="N30" i="32"/>
  <c r="M30" i="32"/>
  <c r="M29" i="32"/>
  <c r="N29" i="32"/>
  <c r="M28" i="32"/>
  <c r="N28" i="32"/>
  <c r="AA1" i="32"/>
  <c r="Z1" i="32"/>
  <c r="C52" i="6"/>
  <c r="C51" i="6"/>
  <c r="C27" i="6"/>
  <c r="C26" i="6"/>
  <c r="D26" i="6" s="1"/>
  <c r="P9" i="6"/>
  <c r="D20" i="3"/>
  <c r="D24" i="11" s="1"/>
  <c r="D19" i="3"/>
  <c r="D23" i="11" s="1"/>
  <c r="D30" i="11" s="1"/>
  <c r="B13" i="1"/>
  <c r="B12" i="1"/>
  <c r="B14" i="1" s="1"/>
  <c r="B18" i="1" s="1"/>
  <c r="B22" i="1" s="1"/>
  <c r="B11" i="1"/>
  <c r="B10" i="1"/>
  <c r="B9" i="1"/>
  <c r="B8" i="1"/>
  <c r="B7" i="1"/>
  <c r="E33" i="1"/>
  <c r="E35" i="1"/>
  <c r="F35" i="1"/>
  <c r="D33" i="1"/>
  <c r="D35" i="1"/>
  <c r="C35" i="1"/>
  <c r="C33" i="1"/>
  <c r="D32" i="1"/>
  <c r="E32" i="1"/>
  <c r="C32" i="1"/>
  <c r="C27" i="1"/>
  <c r="D27" i="1"/>
  <c r="E27" i="1"/>
  <c r="F27" i="1"/>
  <c r="C28" i="1"/>
  <c r="D28" i="1"/>
  <c r="E28" i="1"/>
  <c r="C29" i="1"/>
  <c r="D29" i="1"/>
  <c r="E29" i="1"/>
  <c r="C30" i="1"/>
  <c r="D30" i="1"/>
  <c r="E30" i="1"/>
  <c r="F30" i="1"/>
  <c r="C31" i="1"/>
  <c r="D31" i="1"/>
  <c r="E31" i="1"/>
  <c r="Z10" i="2"/>
  <c r="E26" i="1"/>
  <c r="AE10" i="2"/>
  <c r="AI10" i="2"/>
  <c r="D26" i="1"/>
  <c r="AH10" i="2"/>
  <c r="C26" i="1"/>
  <c r="I21" i="22"/>
  <c r="I40" i="22"/>
  <c r="I41" i="22"/>
  <c r="I42" i="22"/>
  <c r="I43" i="22"/>
  <c r="I44" i="22"/>
  <c r="I45" i="22"/>
  <c r="I46" i="22"/>
  <c r="I47" i="22"/>
  <c r="I48" i="22"/>
  <c r="I49" i="22"/>
  <c r="I50" i="22"/>
  <c r="M21" i="22"/>
  <c r="M22" i="22"/>
  <c r="M23" i="22"/>
  <c r="I22" i="22"/>
  <c r="I23" i="22"/>
  <c r="I24" i="22"/>
  <c r="I25" i="22"/>
  <c r="P111" i="22"/>
  <c r="E21" i="22"/>
  <c r="E22" i="22"/>
  <c r="E23" i="22"/>
  <c r="E24" i="22"/>
  <c r="E40" i="22"/>
  <c r="E41" i="22"/>
  <c r="E42" i="22"/>
  <c r="E43" i="22"/>
  <c r="E44" i="22"/>
  <c r="E45" i="22"/>
  <c r="H77" i="22"/>
  <c r="I77" i="22"/>
  <c r="L77" i="22"/>
  <c r="M77" i="22"/>
  <c r="M78" i="22" s="1"/>
  <c r="M79" i="22"/>
  <c r="M80" i="22" s="1"/>
  <c r="N80" i="22" s="1"/>
  <c r="H78" i="22"/>
  <c r="L78" i="22"/>
  <c r="H79" i="22"/>
  <c r="L79" i="22"/>
  <c r="N79" i="22" s="1"/>
  <c r="H80" i="22"/>
  <c r="L80" i="22"/>
  <c r="H81" i="22"/>
  <c r="L81" i="22"/>
  <c r="H82" i="22"/>
  <c r="L82" i="22"/>
  <c r="H83" i="22"/>
  <c r="L83" i="22"/>
  <c r="H84" i="22"/>
  <c r="L84" i="22"/>
  <c r="H85" i="22"/>
  <c r="L85" i="22"/>
  <c r="H86" i="22"/>
  <c r="L86" i="22"/>
  <c r="H87" i="22"/>
  <c r="L87" i="22"/>
  <c r="H88" i="22"/>
  <c r="L88" i="22"/>
  <c r="D77" i="22"/>
  <c r="E77" i="22"/>
  <c r="E78" i="22" s="1"/>
  <c r="E79" i="22" s="1"/>
  <c r="E80" i="22" s="1"/>
  <c r="D78" i="22"/>
  <c r="D79" i="22"/>
  <c r="D80" i="22"/>
  <c r="D81" i="22"/>
  <c r="D82" i="22"/>
  <c r="D83" i="22"/>
  <c r="D84" i="22"/>
  <c r="D85" i="22"/>
  <c r="D86" i="22"/>
  <c r="D87" i="22"/>
  <c r="D88" i="22"/>
  <c r="B73" i="22"/>
  <c r="H58" i="22"/>
  <c r="I58" i="22"/>
  <c r="I59" i="22"/>
  <c r="I60" i="22"/>
  <c r="J60" i="22" s="1"/>
  <c r="L58" i="22"/>
  <c r="L71" i="22" s="1"/>
  <c r="M58" i="22"/>
  <c r="M59" i="22" s="1"/>
  <c r="H59" i="22"/>
  <c r="L59" i="22"/>
  <c r="H60" i="22"/>
  <c r="L60" i="22"/>
  <c r="H61" i="22"/>
  <c r="L61" i="22"/>
  <c r="H62" i="22"/>
  <c r="L62" i="22"/>
  <c r="H63" i="22"/>
  <c r="L63" i="22"/>
  <c r="H64" i="22"/>
  <c r="L64" i="22"/>
  <c r="H65" i="22"/>
  <c r="L65" i="22"/>
  <c r="H66" i="22"/>
  <c r="L66" i="22"/>
  <c r="H67" i="22"/>
  <c r="L67" i="22"/>
  <c r="H68" i="22"/>
  <c r="L68" i="22"/>
  <c r="H69" i="22"/>
  <c r="L69" i="22"/>
  <c r="D58" i="22"/>
  <c r="E58" i="22"/>
  <c r="E59" i="22"/>
  <c r="D59" i="22"/>
  <c r="D60" i="22"/>
  <c r="D61" i="22"/>
  <c r="D62" i="22"/>
  <c r="D63" i="22"/>
  <c r="D64" i="22"/>
  <c r="D65" i="22"/>
  <c r="D66" i="22"/>
  <c r="D67" i="22"/>
  <c r="D68" i="22"/>
  <c r="D69" i="22"/>
  <c r="B54" i="22"/>
  <c r="P110" i="20"/>
  <c r="P76" i="20"/>
  <c r="P89" i="20"/>
  <c r="P77" i="20"/>
  <c r="P78" i="20"/>
  <c r="P79" i="20"/>
  <c r="P80" i="20"/>
  <c r="P81" i="20"/>
  <c r="P82" i="20"/>
  <c r="P83" i="20"/>
  <c r="P84" i="20"/>
  <c r="P85" i="20"/>
  <c r="P86" i="20"/>
  <c r="P87" i="20"/>
  <c r="N89" i="20"/>
  <c r="L89" i="20"/>
  <c r="M89" i="20"/>
  <c r="J89" i="20"/>
  <c r="H89" i="20"/>
  <c r="I89" i="20"/>
  <c r="F89" i="20"/>
  <c r="D89" i="20"/>
  <c r="E89" i="20"/>
  <c r="M87" i="20"/>
  <c r="I87" i="20"/>
  <c r="E87" i="20"/>
  <c r="M86" i="20"/>
  <c r="I86" i="20"/>
  <c r="E86" i="20"/>
  <c r="M85" i="20"/>
  <c r="I85" i="20"/>
  <c r="E85" i="20"/>
  <c r="M84" i="20"/>
  <c r="I84" i="20"/>
  <c r="E84" i="20"/>
  <c r="M83" i="20"/>
  <c r="I83" i="20"/>
  <c r="E83" i="20"/>
  <c r="M82" i="20"/>
  <c r="I82" i="20"/>
  <c r="E82" i="20"/>
  <c r="M81" i="20"/>
  <c r="I81" i="20"/>
  <c r="E81" i="20"/>
  <c r="M80" i="20"/>
  <c r="I80" i="20"/>
  <c r="E80" i="20"/>
  <c r="M79" i="20"/>
  <c r="I79" i="20"/>
  <c r="E79" i="20"/>
  <c r="M78" i="20"/>
  <c r="I78" i="20"/>
  <c r="E78" i="20"/>
  <c r="M77" i="20"/>
  <c r="I77" i="20"/>
  <c r="E77" i="20"/>
  <c r="M76" i="20"/>
  <c r="I76" i="20"/>
  <c r="E76" i="20"/>
  <c r="P57" i="20"/>
  <c r="P70" i="20"/>
  <c r="P58" i="20"/>
  <c r="P59" i="20"/>
  <c r="P60" i="20"/>
  <c r="P61" i="20"/>
  <c r="P62" i="20"/>
  <c r="P63" i="20"/>
  <c r="P64" i="20"/>
  <c r="P65" i="20"/>
  <c r="P66" i="20"/>
  <c r="P67" i="20"/>
  <c r="P68" i="20"/>
  <c r="N70" i="20"/>
  <c r="L70" i="20"/>
  <c r="M70" i="20"/>
  <c r="J70" i="20"/>
  <c r="H70" i="20"/>
  <c r="I70" i="20"/>
  <c r="F70" i="20"/>
  <c r="D70" i="20"/>
  <c r="E70" i="20"/>
  <c r="M68" i="20"/>
  <c r="I68" i="20"/>
  <c r="E68" i="20"/>
  <c r="M67" i="20"/>
  <c r="I67" i="20"/>
  <c r="E67" i="20"/>
  <c r="M66" i="20"/>
  <c r="I66" i="20"/>
  <c r="E66" i="20"/>
  <c r="M65" i="20"/>
  <c r="I65" i="20"/>
  <c r="E65" i="20"/>
  <c r="M64" i="20"/>
  <c r="I64" i="20"/>
  <c r="E64" i="20"/>
  <c r="M63" i="20"/>
  <c r="I63" i="20"/>
  <c r="E63" i="20"/>
  <c r="M62" i="20"/>
  <c r="I62" i="20"/>
  <c r="E62" i="20"/>
  <c r="M61" i="20"/>
  <c r="I61" i="20"/>
  <c r="E61" i="20"/>
  <c r="M60" i="20"/>
  <c r="I60" i="20"/>
  <c r="E60" i="20"/>
  <c r="M59" i="20"/>
  <c r="I59" i="20"/>
  <c r="E59" i="20"/>
  <c r="M58" i="20"/>
  <c r="I58" i="20"/>
  <c r="E58" i="20"/>
  <c r="M57" i="20"/>
  <c r="I57" i="20"/>
  <c r="E57" i="20"/>
  <c r="I71" i="19"/>
  <c r="G71" i="19"/>
  <c r="E71" i="19"/>
  <c r="I56" i="19"/>
  <c r="G56" i="19"/>
  <c r="E56" i="19"/>
  <c r="U15" i="15"/>
  <c r="U16" i="15"/>
  <c r="U17" i="15"/>
  <c r="U18" i="15"/>
  <c r="U19" i="15"/>
  <c r="U20" i="15"/>
  <c r="U21" i="15"/>
  <c r="U22" i="15"/>
  <c r="U23" i="15"/>
  <c r="U24" i="15"/>
  <c r="U25" i="15"/>
  <c r="U26" i="15"/>
  <c r="U27" i="15"/>
  <c r="U28" i="15"/>
  <c r="U29" i="15"/>
  <c r="U30" i="15"/>
  <c r="U31" i="15"/>
  <c r="U32" i="15"/>
  <c r="U33" i="15"/>
  <c r="U34" i="15"/>
  <c r="U35" i="15"/>
  <c r="U36" i="15"/>
  <c r="U37" i="15"/>
  <c r="U38" i="15"/>
  <c r="U39" i="15"/>
  <c r="U40" i="15"/>
  <c r="U41" i="15"/>
  <c r="U42" i="15"/>
  <c r="U43" i="15"/>
  <c r="U44" i="15"/>
  <c r="U45" i="15"/>
  <c r="U46" i="15"/>
  <c r="U47" i="15"/>
  <c r="U48" i="15"/>
  <c r="U49" i="15"/>
  <c r="U50" i="15"/>
  <c r="U51" i="15"/>
  <c r="U52" i="15"/>
  <c r="V53" i="15"/>
  <c r="T4" i="15"/>
  <c r="T5" i="15"/>
  <c r="T6" i="15"/>
  <c r="T7" i="15"/>
  <c r="T8" i="15"/>
  <c r="T9" i="15"/>
  <c r="T10" i="15"/>
  <c r="T11" i="15"/>
  <c r="T12" i="15"/>
  <c r="T13" i="15"/>
  <c r="T14" i="15"/>
  <c r="T15" i="15"/>
  <c r="T16" i="15"/>
  <c r="T17" i="15"/>
  <c r="T18" i="15"/>
  <c r="T19" i="15"/>
  <c r="T20" i="15"/>
  <c r="T21" i="15"/>
  <c r="T22" i="15"/>
  <c r="T23" i="15"/>
  <c r="T24" i="15"/>
  <c r="T25" i="15"/>
  <c r="T26" i="15"/>
  <c r="T27" i="15"/>
  <c r="T28" i="15"/>
  <c r="T29" i="15"/>
  <c r="T30" i="15"/>
  <c r="T31" i="15"/>
  <c r="T32" i="15"/>
  <c r="T33" i="15"/>
  <c r="T34" i="15"/>
  <c r="T35" i="15"/>
  <c r="T36" i="15"/>
  <c r="T37" i="15"/>
  <c r="T38" i="15"/>
  <c r="T39" i="15"/>
  <c r="T40" i="15"/>
  <c r="T41" i="15"/>
  <c r="T42" i="15"/>
  <c r="T43" i="15"/>
  <c r="T44" i="15"/>
  <c r="T45" i="15"/>
  <c r="T46" i="15"/>
  <c r="T47" i="15"/>
  <c r="T48" i="15"/>
  <c r="T49" i="15"/>
  <c r="T50" i="15"/>
  <c r="T51" i="15"/>
  <c r="T52" i="15"/>
  <c r="T53" i="15"/>
  <c r="V52" i="15"/>
  <c r="V51" i="15"/>
  <c r="V50" i="15"/>
  <c r="V49" i="15"/>
  <c r="V48" i="15"/>
  <c r="V47" i="15"/>
  <c r="V46" i="15"/>
  <c r="N30" i="15"/>
  <c r="N19" i="15"/>
  <c r="N34" i="15"/>
  <c r="N36" i="15"/>
  <c r="N40" i="15"/>
  <c r="N42" i="15"/>
  <c r="N44" i="15"/>
  <c r="N46" i="15"/>
  <c r="N38" i="15"/>
  <c r="L40" i="15"/>
  <c r="L23" i="15"/>
  <c r="L27" i="15"/>
  <c r="L38" i="15"/>
  <c r="L42" i="15"/>
  <c r="V45" i="15"/>
  <c r="V44" i="15"/>
  <c r="V43" i="15"/>
  <c r="V42" i="15"/>
  <c r="V41" i="15"/>
  <c r="V40" i="15"/>
  <c r="V39" i="15"/>
  <c r="V38" i="15"/>
  <c r="V37" i="15"/>
  <c r="V36" i="15"/>
  <c r="V35" i="15"/>
  <c r="V34" i="15"/>
  <c r="V33" i="15"/>
  <c r="V32" i="15"/>
  <c r="V31" i="15"/>
  <c r="V30" i="15"/>
  <c r="V29" i="15"/>
  <c r="V28" i="15"/>
  <c r="V27" i="15"/>
  <c r="V26" i="15"/>
  <c r="V25" i="15"/>
  <c r="V24" i="15"/>
  <c r="V23" i="15"/>
  <c r="N21" i="15"/>
  <c r="N23" i="15"/>
  <c r="V22" i="15"/>
  <c r="V21" i="15"/>
  <c r="V20" i="15"/>
  <c r="V19" i="15"/>
  <c r="V18" i="15"/>
  <c r="L18" i="15"/>
  <c r="V17" i="15"/>
  <c r="V16" i="15"/>
  <c r="V15" i="15"/>
  <c r="A15" i="15"/>
  <c r="C24" i="11"/>
  <c r="AK10" i="2"/>
  <c r="J9" i="6"/>
  <c r="S27" i="3"/>
  <c r="K9" i="6"/>
  <c r="O9" i="6"/>
  <c r="N20" i="3"/>
  <c r="N19" i="3"/>
  <c r="AI16" i="2"/>
  <c r="F26" i="1"/>
  <c r="F28" i="1"/>
  <c r="H32" i="1"/>
  <c r="F32" i="1"/>
  <c r="Q27" i="3"/>
  <c r="P27" i="3"/>
  <c r="F24" i="3"/>
  <c r="O24" i="3" s="1"/>
  <c r="AK29" i="2"/>
  <c r="AJ29" i="2"/>
  <c r="AI29" i="2"/>
  <c r="AH29" i="2"/>
  <c r="AE29" i="2"/>
  <c r="Z29" i="2"/>
  <c r="AA29" i="2"/>
  <c r="V29" i="2"/>
  <c r="U29" i="2"/>
  <c r="Q29" i="2"/>
  <c r="P29" i="2"/>
  <c r="L29" i="2"/>
  <c r="F29" i="2"/>
  <c r="F20" i="2"/>
  <c r="AM10" i="2"/>
  <c r="AM25" i="2"/>
  <c r="AM11" i="2"/>
  <c r="AM12" i="2"/>
  <c r="AM13" i="2"/>
  <c r="AM14" i="2"/>
  <c r="AM15" i="2"/>
  <c r="AM16" i="2"/>
  <c r="AM17" i="2"/>
  <c r="AM18" i="2"/>
  <c r="AM19" i="2"/>
  <c r="AM20" i="2"/>
  <c r="AM21" i="2"/>
  <c r="AM23" i="2"/>
  <c r="AK11" i="2"/>
  <c r="AK12" i="2"/>
  <c r="L9" i="6"/>
  <c r="AK13" i="2"/>
  <c r="AK14" i="2"/>
  <c r="AK15" i="2"/>
  <c r="AK16" i="2"/>
  <c r="AK17" i="2"/>
  <c r="AK18" i="2"/>
  <c r="AK19" i="2"/>
  <c r="AK20" i="2"/>
  <c r="AK21" i="2"/>
  <c r="AK23" i="2"/>
  <c r="AJ25" i="2"/>
  <c r="AJ26" i="2"/>
  <c r="AH11" i="2"/>
  <c r="AI11" i="2"/>
  <c r="AH12" i="2"/>
  <c r="AI12" i="2"/>
  <c r="AH13" i="2"/>
  <c r="AI13" i="2"/>
  <c r="AH14" i="2"/>
  <c r="AI14" i="2"/>
  <c r="AH15" i="2"/>
  <c r="AI15" i="2"/>
  <c r="AH16" i="2"/>
  <c r="AH25" i="2"/>
  <c r="AI25" i="2"/>
  <c r="AH17" i="2"/>
  <c r="AI17" i="2"/>
  <c r="AH18" i="2"/>
  <c r="AI18" i="2"/>
  <c r="AH19" i="2"/>
  <c r="AI19" i="2"/>
  <c r="AH20" i="2"/>
  <c r="AI20" i="2"/>
  <c r="AH21" i="2"/>
  <c r="AI21" i="2"/>
  <c r="AH23" i="2"/>
  <c r="AI23" i="2"/>
  <c r="AL27" i="2"/>
  <c r="AL26" i="2"/>
  <c r="AL25" i="2"/>
  <c r="AK25" i="2"/>
  <c r="AG27" i="2"/>
  <c r="AG26" i="2"/>
  <c r="AG25" i="2"/>
  <c r="AF27" i="2"/>
  <c r="AF26" i="2"/>
  <c r="AF25" i="2"/>
  <c r="W25" i="2"/>
  <c r="X25" i="2"/>
  <c r="Y25" i="2"/>
  <c r="Z25" i="2"/>
  <c r="AA25" i="2"/>
  <c r="AB25" i="2"/>
  <c r="AC25" i="2"/>
  <c r="AD25" i="2"/>
  <c r="AE25" i="2"/>
  <c r="W26" i="2"/>
  <c r="Y26" i="2"/>
  <c r="AA26" i="2"/>
  <c r="AB26" i="2"/>
  <c r="AC26" i="2"/>
  <c r="AD26" i="2"/>
  <c r="W27" i="2"/>
  <c r="Y27" i="2"/>
  <c r="AA27" i="2"/>
  <c r="AB27" i="2"/>
  <c r="AC27" i="2"/>
  <c r="AD27" i="2"/>
  <c r="V26" i="2"/>
  <c r="V27" i="2"/>
  <c r="V25" i="2"/>
  <c r="M25" i="2"/>
  <c r="N25" i="2"/>
  <c r="O25" i="2"/>
  <c r="P25" i="2"/>
  <c r="Q25" i="2"/>
  <c r="R25" i="2"/>
  <c r="S25" i="2"/>
  <c r="T25" i="2"/>
  <c r="U25" i="2"/>
  <c r="M26" i="2"/>
  <c r="N26" i="2"/>
  <c r="O26" i="2"/>
  <c r="P26" i="2"/>
  <c r="Q26" i="2"/>
  <c r="R26" i="2"/>
  <c r="S26" i="2"/>
  <c r="T26" i="2"/>
  <c r="U26" i="2"/>
  <c r="M27" i="2"/>
  <c r="N27" i="2"/>
  <c r="O27" i="2"/>
  <c r="P27" i="2"/>
  <c r="Q27" i="2"/>
  <c r="R27" i="2"/>
  <c r="S27" i="2"/>
  <c r="T27" i="2"/>
  <c r="U27" i="2"/>
  <c r="L26" i="2"/>
  <c r="K23" i="2"/>
  <c r="Q23" i="2"/>
  <c r="L23" i="2"/>
  <c r="L27" i="2"/>
  <c r="L25" i="2"/>
  <c r="D27" i="2"/>
  <c r="E27" i="2"/>
  <c r="E31" i="2"/>
  <c r="F27" i="2"/>
  <c r="G27" i="2"/>
  <c r="H27" i="2"/>
  <c r="I27" i="2"/>
  <c r="I31" i="2"/>
  <c r="J27" i="2"/>
  <c r="K27" i="2"/>
  <c r="C27" i="2"/>
  <c r="D26" i="2"/>
  <c r="E26" i="2"/>
  <c r="F26" i="2"/>
  <c r="G26" i="2"/>
  <c r="H26" i="2"/>
  <c r="I26" i="2"/>
  <c r="J26" i="2"/>
  <c r="K26" i="2"/>
  <c r="D25" i="2"/>
  <c r="E25" i="2"/>
  <c r="F25" i="2"/>
  <c r="G25" i="2"/>
  <c r="H25" i="2"/>
  <c r="I25" i="2"/>
  <c r="J25" i="2"/>
  <c r="K25" i="2"/>
  <c r="AE23" i="2"/>
  <c r="AE22" i="2"/>
  <c r="AI22" i="2"/>
  <c r="AE21" i="2"/>
  <c r="AE20" i="2"/>
  <c r="AE19" i="2"/>
  <c r="AE18" i="2"/>
  <c r="AE17" i="2"/>
  <c r="AE16" i="2"/>
  <c r="AE15" i="2"/>
  <c r="AE14" i="2"/>
  <c r="AE13" i="2"/>
  <c r="AE12" i="2"/>
  <c r="AE11" i="2"/>
  <c r="AB23" i="2"/>
  <c r="AB20" i="2"/>
  <c r="AD11" i="2"/>
  <c r="AA11" i="2"/>
  <c r="AA12" i="2"/>
  <c r="AA13" i="2"/>
  <c r="AA14" i="2"/>
  <c r="AA15" i="2"/>
  <c r="AA16" i="2"/>
  <c r="AA17" i="2"/>
  <c r="AA18" i="2"/>
  <c r="AA19" i="2"/>
  <c r="AA20" i="2"/>
  <c r="AA21" i="2"/>
  <c r="AA22" i="2"/>
  <c r="AA23" i="2"/>
  <c r="AA24" i="2"/>
  <c r="AA10" i="2"/>
  <c r="Z12" i="2"/>
  <c r="Z13" i="2"/>
  <c r="Z14" i="2"/>
  <c r="Z15" i="2"/>
  <c r="Z16" i="2"/>
  <c r="Z17" i="2"/>
  <c r="Z18" i="2"/>
  <c r="Z19" i="2"/>
  <c r="Z20" i="2"/>
  <c r="Z21" i="2"/>
  <c r="Z22" i="2"/>
  <c r="AH22" i="2"/>
  <c r="Z23" i="2"/>
  <c r="Z24" i="2"/>
  <c r="X19" i="2"/>
  <c r="Y11" i="2"/>
  <c r="X11" i="2"/>
  <c r="Z11" i="2"/>
  <c r="V11" i="2"/>
  <c r="V12" i="2"/>
  <c r="V13" i="2"/>
  <c r="V14" i="2"/>
  <c r="V15" i="2"/>
  <c r="V16" i="2"/>
  <c r="V17" i="2"/>
  <c r="V18" i="2"/>
  <c r="V19" i="2"/>
  <c r="V20" i="2"/>
  <c r="V21" i="2"/>
  <c r="V22" i="2"/>
  <c r="V10" i="2"/>
  <c r="S36" i="2"/>
  <c r="S37" i="2"/>
  <c r="S38" i="2"/>
  <c r="S39" i="2"/>
  <c r="S40" i="2"/>
  <c r="S41" i="2"/>
  <c r="S42" i="2"/>
  <c r="S43" i="2"/>
  <c r="S44" i="2"/>
  <c r="S45" i="2"/>
  <c r="S35" i="2"/>
  <c r="U22" i="2"/>
  <c r="U21" i="2"/>
  <c r="U20" i="2"/>
  <c r="U19" i="2"/>
  <c r="U18" i="2"/>
  <c r="U17" i="2"/>
  <c r="U16" i="2"/>
  <c r="U15" i="2"/>
  <c r="U14" i="2"/>
  <c r="U13" i="2"/>
  <c r="U12" i="2"/>
  <c r="U11" i="2"/>
  <c r="U10" i="2"/>
  <c r="Q11" i="2"/>
  <c r="Q12" i="2"/>
  <c r="Q13" i="2"/>
  <c r="Q14" i="2"/>
  <c r="Q15" i="2"/>
  <c r="Q16" i="2"/>
  <c r="Q17" i="2"/>
  <c r="Q18" i="2"/>
  <c r="Q19" i="2"/>
  <c r="Q20" i="2"/>
  <c r="Q21" i="2"/>
  <c r="Q22" i="2"/>
  <c r="Q10" i="2"/>
  <c r="N36" i="2"/>
  <c r="N37" i="2"/>
  <c r="N38" i="2"/>
  <c r="N39" i="2"/>
  <c r="N40" i="2"/>
  <c r="N41" i="2"/>
  <c r="N42" i="2"/>
  <c r="N35" i="2"/>
  <c r="P22" i="2"/>
  <c r="P21" i="2"/>
  <c r="P20" i="2"/>
  <c r="P19" i="2"/>
  <c r="P18" i="2"/>
  <c r="P17" i="2"/>
  <c r="P16" i="2"/>
  <c r="P15" i="2"/>
  <c r="P14" i="2"/>
  <c r="P13" i="2"/>
  <c r="P12" i="2"/>
  <c r="P11" i="2"/>
  <c r="P10" i="2"/>
  <c r="L11" i="2"/>
  <c r="L12" i="2"/>
  <c r="L13" i="2"/>
  <c r="L14" i="2"/>
  <c r="L15" i="2"/>
  <c r="L16" i="2"/>
  <c r="L17" i="2"/>
  <c r="L18" i="2"/>
  <c r="L19" i="2"/>
  <c r="L20" i="2"/>
  <c r="L21" i="2"/>
  <c r="L22" i="2"/>
  <c r="L10" i="2"/>
  <c r="F11" i="2"/>
  <c r="F12" i="2"/>
  <c r="F13" i="2"/>
  <c r="F14" i="2"/>
  <c r="F15" i="2"/>
  <c r="F16" i="2"/>
  <c r="F17" i="2"/>
  <c r="F18" i="2"/>
  <c r="F19" i="2"/>
  <c r="F21" i="2"/>
  <c r="F22" i="2"/>
  <c r="F10" i="2"/>
  <c r="J31" i="2"/>
  <c r="D31" i="2"/>
  <c r="C25" i="2"/>
  <c r="K22" i="2"/>
  <c r="K21" i="2"/>
  <c r="H20" i="2"/>
  <c r="K19" i="2"/>
  <c r="K18" i="2"/>
  <c r="K17" i="2"/>
  <c r="K15" i="2"/>
  <c r="K14" i="2"/>
  <c r="K13" i="2"/>
  <c r="K12" i="2"/>
  <c r="C26" i="2"/>
  <c r="G36" i="1"/>
  <c r="C14" i="1"/>
  <c r="Z26" i="2"/>
  <c r="Z27" i="2"/>
  <c r="X26" i="2"/>
  <c r="X27" i="2"/>
  <c r="H31" i="2"/>
  <c r="K20" i="2"/>
  <c r="G31" i="2"/>
  <c r="K16" i="2"/>
  <c r="K29" i="2"/>
  <c r="C31" i="2"/>
  <c r="K10" i="2"/>
  <c r="K31" i="2"/>
  <c r="F31" i="2"/>
  <c r="H30" i="1"/>
  <c r="H26" i="1"/>
  <c r="F29" i="1"/>
  <c r="F31" i="1"/>
  <c r="F33" i="1"/>
  <c r="H28" i="1"/>
  <c r="H33" i="1"/>
  <c r="H35" i="1"/>
  <c r="H31" i="1"/>
  <c r="H27" i="1"/>
  <c r="H29" i="1"/>
  <c r="F102" i="20"/>
  <c r="P23" i="20"/>
  <c r="C25" i="11"/>
  <c r="C27" i="11"/>
  <c r="K11" i="6"/>
  <c r="K13" i="6"/>
  <c r="K15" i="6"/>
  <c r="K10" i="6"/>
  <c r="K12" i="6"/>
  <c r="K14" i="6"/>
  <c r="K16" i="6"/>
  <c r="J19" i="3"/>
  <c r="F23" i="11" s="1"/>
  <c r="P24" i="20"/>
  <c r="N102" i="20"/>
  <c r="P102" i="20" s="1"/>
  <c r="E21" i="20"/>
  <c r="M28" i="20"/>
  <c r="E39" i="20"/>
  <c r="H103" i="20"/>
  <c r="P22" i="20"/>
  <c r="D103" i="20"/>
  <c r="L41" i="22"/>
  <c r="N41" i="22" s="1"/>
  <c r="P41" i="22" s="1"/>
  <c r="P49" i="20"/>
  <c r="M48" i="20"/>
  <c r="I27" i="20"/>
  <c r="M40" i="20"/>
  <c r="I46" i="20"/>
  <c r="E44" i="20"/>
  <c r="F104" i="20"/>
  <c r="F96" i="20"/>
  <c r="P46" i="20"/>
  <c r="J103" i="20"/>
  <c r="M30" i="20"/>
  <c r="N97" i="20"/>
  <c r="P97" i="20" s="1"/>
  <c r="H39" i="21"/>
  <c r="D98" i="20"/>
  <c r="F58" i="22"/>
  <c r="H20" i="21"/>
  <c r="F43" i="6"/>
  <c r="N58" i="21"/>
  <c r="P38" i="20"/>
  <c r="D28" i="22"/>
  <c r="M19" i="20"/>
  <c r="E27" i="20"/>
  <c r="M23" i="20"/>
  <c r="M46" i="20"/>
  <c r="L26" i="22"/>
  <c r="P30" i="20"/>
  <c r="E45" i="20"/>
  <c r="D101" i="20"/>
  <c r="E101" i="20" s="1"/>
  <c r="L49" i="22"/>
  <c r="F45" i="22"/>
  <c r="E46" i="22"/>
  <c r="E47" i="22"/>
  <c r="E48" i="22"/>
  <c r="E49" i="22"/>
  <c r="E50" i="22"/>
  <c r="I45" i="21"/>
  <c r="I46" i="21"/>
  <c r="I47" i="21"/>
  <c r="I48" i="21"/>
  <c r="I49" i="21"/>
  <c r="I50" i="21"/>
  <c r="M42" i="21"/>
  <c r="M44" i="21"/>
  <c r="M45" i="21"/>
  <c r="M46" i="21"/>
  <c r="M47" i="21"/>
  <c r="M48" i="21"/>
  <c r="M49" i="21"/>
  <c r="M47" i="22"/>
  <c r="J43" i="22"/>
  <c r="F49" i="21"/>
  <c r="N39" i="21"/>
  <c r="J50" i="22"/>
  <c r="F42" i="21"/>
  <c r="M24" i="22"/>
  <c r="M25" i="22"/>
  <c r="M26" i="22"/>
  <c r="M27" i="22"/>
  <c r="M28" i="22"/>
  <c r="M29" i="22"/>
  <c r="M30" i="22"/>
  <c r="M31" i="22"/>
  <c r="I26" i="21"/>
  <c r="I26" i="22"/>
  <c r="I27" i="22"/>
  <c r="I28" i="22"/>
  <c r="I29" i="22"/>
  <c r="I30" i="22"/>
  <c r="I31" i="22"/>
  <c r="E25" i="22"/>
  <c r="E26" i="22"/>
  <c r="E27" i="22"/>
  <c r="E28" i="22"/>
  <c r="E29" i="22"/>
  <c r="E30" i="22"/>
  <c r="E31" i="22"/>
  <c r="J23" i="21"/>
  <c r="F23" i="22"/>
  <c r="N31" i="21"/>
  <c r="P12" i="6"/>
  <c r="F27" i="21"/>
  <c r="P19" i="20"/>
  <c r="H50" i="21"/>
  <c r="H107" i="21" s="1"/>
  <c r="L45" i="22"/>
  <c r="N45" i="22" s="1"/>
  <c r="M38" i="20"/>
  <c r="I49" i="20"/>
  <c r="D97" i="20"/>
  <c r="N98" i="20"/>
  <c r="H48" i="21"/>
  <c r="J48" i="21" s="1"/>
  <c r="I22" i="20"/>
  <c r="N106" i="20"/>
  <c r="F26" i="22"/>
  <c r="F102" i="22" s="1"/>
  <c r="E102" i="22" s="1"/>
  <c r="D46" i="21"/>
  <c r="H43" i="21"/>
  <c r="J43" i="21" s="1"/>
  <c r="D27" i="22"/>
  <c r="N78" i="22"/>
  <c r="I38" i="20"/>
  <c r="E26" i="20"/>
  <c r="E30" i="20"/>
  <c r="P39" i="20"/>
  <c r="L101" i="20"/>
  <c r="L71" i="21"/>
  <c r="M71" i="21" s="1"/>
  <c r="I48" i="20"/>
  <c r="I40" i="20"/>
  <c r="D45" i="21"/>
  <c r="F45" i="21"/>
  <c r="D42" i="22"/>
  <c r="N104" i="20"/>
  <c r="F78" i="22"/>
  <c r="I23" i="20"/>
  <c r="M43" i="20"/>
  <c r="E47" i="20"/>
  <c r="H106" i="20"/>
  <c r="L47" i="21"/>
  <c r="L31" i="22"/>
  <c r="E25" i="20"/>
  <c r="I20" i="20"/>
  <c r="I47" i="20"/>
  <c r="D102" i="20"/>
  <c r="E102" i="20" s="1"/>
  <c r="L98" i="20"/>
  <c r="M98" i="20" s="1"/>
  <c r="F79" i="22"/>
  <c r="D24" i="21"/>
  <c r="F24" i="21" s="1"/>
  <c r="D20" i="22"/>
  <c r="E19" i="20"/>
  <c r="D29" i="22"/>
  <c r="F29" i="22" s="1"/>
  <c r="F105" i="22" s="1"/>
  <c r="D21" i="21"/>
  <c r="D96" i="20"/>
  <c r="E96" i="20" s="1"/>
  <c r="F99" i="20"/>
  <c r="F32" i="20"/>
  <c r="H27" i="21"/>
  <c r="H27" i="22"/>
  <c r="H32" i="20"/>
  <c r="P29" i="20"/>
  <c r="I29" i="20"/>
  <c r="J97" i="20"/>
  <c r="L25" i="21"/>
  <c r="L25" i="22"/>
  <c r="L100" i="20"/>
  <c r="N103" i="20"/>
  <c r="L48" i="21"/>
  <c r="L48" i="22"/>
  <c r="N48" i="22" s="1"/>
  <c r="M47" i="20"/>
  <c r="L40" i="21"/>
  <c r="N40" i="21"/>
  <c r="N99" i="20"/>
  <c r="H46" i="21"/>
  <c r="J46" i="21" s="1"/>
  <c r="H46" i="22"/>
  <c r="D20" i="21"/>
  <c r="M24" i="20"/>
  <c r="L96" i="20"/>
  <c r="I80" i="21"/>
  <c r="I81" i="21"/>
  <c r="I82" i="21" s="1"/>
  <c r="L40" i="22"/>
  <c r="N40" i="22" s="1"/>
  <c r="L104" i="20"/>
  <c r="I61" i="22"/>
  <c r="L51" i="20"/>
  <c r="P40" i="20"/>
  <c r="F103" i="20"/>
  <c r="M71" i="22"/>
  <c r="N31" i="22"/>
  <c r="E43" i="20"/>
  <c r="E46" i="20"/>
  <c r="P48" i="20"/>
  <c r="M81" i="22"/>
  <c r="J58" i="22"/>
  <c r="J58" i="21"/>
  <c r="H71" i="21"/>
  <c r="I71" i="21"/>
  <c r="N26" i="21"/>
  <c r="J78" i="21"/>
  <c r="D90" i="21"/>
  <c r="E90" i="21"/>
  <c r="L20" i="21"/>
  <c r="L20" i="22"/>
  <c r="L29" i="22"/>
  <c r="L29" i="21"/>
  <c r="L21" i="22"/>
  <c r="L21" i="21"/>
  <c r="H42" i="21"/>
  <c r="H99" i="21" s="1"/>
  <c r="J42" i="21"/>
  <c r="P42" i="21" s="1"/>
  <c r="H42" i="22"/>
  <c r="J42" i="22" s="1"/>
  <c r="D40" i="21"/>
  <c r="F40" i="21" s="1"/>
  <c r="D40" i="22"/>
  <c r="F40" i="22"/>
  <c r="H31" i="22"/>
  <c r="H107" i="22" s="1"/>
  <c r="L39" i="22"/>
  <c r="N58" i="22"/>
  <c r="P58" i="22" s="1"/>
  <c r="F77" i="22"/>
  <c r="D90" i="22"/>
  <c r="E90" i="22" s="1"/>
  <c r="H30" i="22"/>
  <c r="H30" i="21"/>
  <c r="J30" i="21" s="1"/>
  <c r="L43" i="22"/>
  <c r="N43" i="22"/>
  <c r="L43" i="21"/>
  <c r="N43" i="21" s="1"/>
  <c r="P43" i="21" s="1"/>
  <c r="H49" i="22"/>
  <c r="J49" i="22"/>
  <c r="P49" i="22" s="1"/>
  <c r="H49" i="21"/>
  <c r="J49" i="21" s="1"/>
  <c r="H41" i="22"/>
  <c r="H41" i="21"/>
  <c r="J41" i="21" s="1"/>
  <c r="D47" i="21"/>
  <c r="F47" i="21"/>
  <c r="D47" i="22"/>
  <c r="L44" i="21"/>
  <c r="L101" i="21" s="1"/>
  <c r="H23" i="22"/>
  <c r="M78" i="21"/>
  <c r="N77" i="21"/>
  <c r="J39" i="21"/>
  <c r="H22" i="22"/>
  <c r="J22" i="22" s="1"/>
  <c r="J98" i="22" s="1"/>
  <c r="D48" i="22"/>
  <c r="F48" i="22" s="1"/>
  <c r="J59" i="21"/>
  <c r="P59" i="21" s="1"/>
  <c r="D30" i="22"/>
  <c r="D30" i="21"/>
  <c r="D22" i="22"/>
  <c r="D22" i="21"/>
  <c r="H47" i="21"/>
  <c r="J47" i="21" s="1"/>
  <c r="H28" i="22"/>
  <c r="D26" i="21"/>
  <c r="D102" i="21" s="1"/>
  <c r="L24" i="22"/>
  <c r="N24" i="22" s="1"/>
  <c r="D49" i="22"/>
  <c r="D41" i="22"/>
  <c r="H44" i="22"/>
  <c r="D31" i="21"/>
  <c r="D23" i="21"/>
  <c r="D99" i="21" s="1"/>
  <c r="L42" i="21"/>
  <c r="N42" i="21" s="1"/>
  <c r="H26" i="22"/>
  <c r="E24" i="11"/>
  <c r="X27" i="3"/>
  <c r="AI27" i="2"/>
  <c r="D34" i="1"/>
  <c r="D36" i="1"/>
  <c r="AI26" i="2"/>
  <c r="AM22" i="2"/>
  <c r="AM27" i="2"/>
  <c r="AE26" i="2"/>
  <c r="AE27" i="2"/>
  <c r="AM26" i="2"/>
  <c r="AK22" i="2"/>
  <c r="C34" i="1"/>
  <c r="AH26" i="2"/>
  <c r="AH27" i="2"/>
  <c r="D40" i="6"/>
  <c r="R13" i="6" s="1"/>
  <c r="E34" i="1"/>
  <c r="E36" i="1"/>
  <c r="AJ27" i="2"/>
  <c r="D27" i="6"/>
  <c r="P13" i="6" s="1"/>
  <c r="J20" i="3"/>
  <c r="T27" i="3"/>
  <c r="W27" i="3"/>
  <c r="R27" i="3"/>
  <c r="D51" i="6"/>
  <c r="T12" i="6" s="1"/>
  <c r="C43" i="6"/>
  <c r="D52" i="6"/>
  <c r="T13" i="6"/>
  <c r="F55" i="6"/>
  <c r="F18" i="3"/>
  <c r="O18" i="3" s="1"/>
  <c r="D27" i="3"/>
  <c r="F17" i="3"/>
  <c r="O17" i="3" s="1"/>
  <c r="C27" i="3"/>
  <c r="F22" i="3"/>
  <c r="O22" i="3" s="1"/>
  <c r="H96" i="21"/>
  <c r="F49" i="22"/>
  <c r="F46" i="22"/>
  <c r="E103" i="20"/>
  <c r="M100" i="20"/>
  <c r="P43" i="22"/>
  <c r="N44" i="21"/>
  <c r="P44" i="21" s="1"/>
  <c r="N47" i="21"/>
  <c r="N49" i="21"/>
  <c r="M50" i="21"/>
  <c r="N47" i="22"/>
  <c r="M48" i="22"/>
  <c r="M49" i="22"/>
  <c r="N45" i="21"/>
  <c r="F28" i="22"/>
  <c r="I27" i="21"/>
  <c r="I28" i="21"/>
  <c r="D99" i="22"/>
  <c r="F42" i="22"/>
  <c r="F99" i="22"/>
  <c r="M104" i="20"/>
  <c r="J44" i="22"/>
  <c r="N25" i="22"/>
  <c r="L101" i="22"/>
  <c r="N25" i="21"/>
  <c r="F22" i="21"/>
  <c r="J41" i="22"/>
  <c r="M82" i="22"/>
  <c r="N81" i="22"/>
  <c r="J27" i="22"/>
  <c r="J26" i="22"/>
  <c r="F22" i="22"/>
  <c r="J31" i="22"/>
  <c r="J27" i="21"/>
  <c r="D104" i="21"/>
  <c r="N21" i="22"/>
  <c r="N97" i="22" s="1"/>
  <c r="L97" i="22"/>
  <c r="M97" i="22" s="1"/>
  <c r="F30" i="22"/>
  <c r="D106" i="22"/>
  <c r="M79" i="21"/>
  <c r="N78" i="21"/>
  <c r="P78" i="21"/>
  <c r="N29" i="21"/>
  <c r="F21" i="21"/>
  <c r="P39" i="21"/>
  <c r="H106" i="21"/>
  <c r="N21" i="21"/>
  <c r="L96" i="21"/>
  <c r="N20" i="21"/>
  <c r="I62" i="22"/>
  <c r="I63" i="22" s="1"/>
  <c r="J63" i="22" s="1"/>
  <c r="J61" i="22"/>
  <c r="J80" i="21"/>
  <c r="N29" i="22"/>
  <c r="L100" i="22"/>
  <c r="L96" i="22"/>
  <c r="F26" i="21"/>
  <c r="F20" i="21"/>
  <c r="D105" i="22"/>
  <c r="E105" i="22" s="1"/>
  <c r="F31" i="21"/>
  <c r="J28" i="22"/>
  <c r="F20" i="22"/>
  <c r="E27" i="11"/>
  <c r="E25" i="11"/>
  <c r="F24" i="11"/>
  <c r="AK27" i="2"/>
  <c r="AK26" i="2"/>
  <c r="C36" i="1"/>
  <c r="H34" i="1"/>
  <c r="H36" i="1"/>
  <c r="F34" i="1"/>
  <c r="F36" i="1"/>
  <c r="B16" i="1"/>
  <c r="C16" i="1"/>
  <c r="C18" i="1"/>
  <c r="C22" i="1"/>
  <c r="D39" i="6"/>
  <c r="R12" i="6"/>
  <c r="P49" i="21"/>
  <c r="F106" i="22"/>
  <c r="P48" i="22"/>
  <c r="M50" i="22"/>
  <c r="N49" i="22"/>
  <c r="I29" i="21"/>
  <c r="J28" i="21"/>
  <c r="J62" i="22"/>
  <c r="N101" i="22"/>
  <c r="M101" i="22"/>
  <c r="P47" i="21"/>
  <c r="P44" i="22"/>
  <c r="N96" i="21"/>
  <c r="N100" i="22"/>
  <c r="B33" i="3"/>
  <c r="B34" i="3"/>
  <c r="B32" i="3"/>
  <c r="I30" i="21"/>
  <c r="M100" i="22"/>
  <c r="I31" i="21"/>
  <c r="J31" i="21"/>
  <c r="P31" i="21"/>
  <c r="K17" i="6"/>
  <c r="M101" i="20" l="1"/>
  <c r="P101" i="20"/>
  <c r="J46" i="22"/>
  <c r="H103" i="22"/>
  <c r="K24" i="11"/>
  <c r="O24" i="11" s="1"/>
  <c r="F30" i="11"/>
  <c r="O27" i="3"/>
  <c r="F30" i="21"/>
  <c r="D106" i="21"/>
  <c r="J23" i="22"/>
  <c r="H99" i="22"/>
  <c r="M51" i="20"/>
  <c r="N26" i="22"/>
  <c r="L102" i="22"/>
  <c r="N77" i="22"/>
  <c r="L90" i="22"/>
  <c r="M90" i="22" s="1"/>
  <c r="E60" i="21"/>
  <c r="F59" i="21"/>
  <c r="J24" i="22"/>
  <c r="H100" i="22"/>
  <c r="P50" i="22"/>
  <c r="N107" i="22"/>
  <c r="D34" i="3"/>
  <c r="A36" i="3"/>
  <c r="F27" i="3"/>
  <c r="F23" i="21"/>
  <c r="L105" i="21"/>
  <c r="N48" i="21"/>
  <c r="F46" i="21"/>
  <c r="D103" i="21"/>
  <c r="F60" i="22"/>
  <c r="D71" i="22"/>
  <c r="E71" i="22" s="1"/>
  <c r="I78" i="22"/>
  <c r="J77" i="22"/>
  <c r="F58" i="21"/>
  <c r="D71" i="21"/>
  <c r="E71" i="21" s="1"/>
  <c r="J79" i="21"/>
  <c r="P79" i="21" s="1"/>
  <c r="H90" i="21"/>
  <c r="I90" i="21" s="1"/>
  <c r="N23" i="21"/>
  <c r="L99" i="21"/>
  <c r="E9" i="33"/>
  <c r="C12" i="33"/>
  <c r="B20" i="33"/>
  <c r="C16" i="33" s="1"/>
  <c r="B29" i="33"/>
  <c r="C26" i="33" s="1"/>
  <c r="D26" i="33" s="1"/>
  <c r="F26" i="33" s="1"/>
  <c r="D24" i="12" s="1"/>
  <c r="C25" i="33"/>
  <c r="D25" i="33" s="1"/>
  <c r="F25" i="33" s="1"/>
  <c r="D23" i="12" s="1"/>
  <c r="E40" i="33"/>
  <c r="N21" i="3"/>
  <c r="N27" i="3" s="1"/>
  <c r="E27" i="3"/>
  <c r="L21" i="11"/>
  <c r="E99" i="22"/>
  <c r="D23" i="6"/>
  <c r="C30" i="6"/>
  <c r="F47" i="22"/>
  <c r="F104" i="22" s="1"/>
  <c r="D104" i="22"/>
  <c r="D44" i="22"/>
  <c r="F44" i="22" s="1"/>
  <c r="D44" i="21"/>
  <c r="F44" i="21" s="1"/>
  <c r="D100" i="20"/>
  <c r="E100" i="20" s="1"/>
  <c r="N41" i="21"/>
  <c r="P44" i="20"/>
  <c r="M44" i="20"/>
  <c r="N51" i="20"/>
  <c r="D99" i="20"/>
  <c r="E99" i="20" s="1"/>
  <c r="D43" i="22"/>
  <c r="E42" i="20"/>
  <c r="D43" i="21"/>
  <c r="H106" i="22"/>
  <c r="J30" i="22"/>
  <c r="N20" i="22"/>
  <c r="M63" i="21"/>
  <c r="M64" i="21" s="1"/>
  <c r="N62" i="21"/>
  <c r="M45" i="20"/>
  <c r="L46" i="22"/>
  <c r="L46" i="21"/>
  <c r="N46" i="21" s="1"/>
  <c r="P46" i="21" s="1"/>
  <c r="J47" i="22"/>
  <c r="H104" i="22"/>
  <c r="U15" i="6"/>
  <c r="U17" i="6" s="1"/>
  <c r="G55" i="6"/>
  <c r="J27" i="3"/>
  <c r="F25" i="11"/>
  <c r="D50" i="21"/>
  <c r="F50" i="21" s="1"/>
  <c r="D50" i="22"/>
  <c r="F50" i="22" s="1"/>
  <c r="E49" i="20"/>
  <c r="M80" i="21"/>
  <c r="N79" i="21"/>
  <c r="M83" i="22"/>
  <c r="N82" i="22"/>
  <c r="I64" i="22"/>
  <c r="P31" i="22"/>
  <c r="J107" i="22"/>
  <c r="D33" i="21"/>
  <c r="D97" i="21"/>
  <c r="L30" i="22"/>
  <c r="L105" i="20"/>
  <c r="M105" i="20" s="1"/>
  <c r="M29" i="20"/>
  <c r="L30" i="21"/>
  <c r="N24" i="21"/>
  <c r="L100" i="21"/>
  <c r="J40" i="22"/>
  <c r="H52" i="22"/>
  <c r="E16" i="6"/>
  <c r="N23" i="3"/>
  <c r="M96" i="21"/>
  <c r="E106" i="22"/>
  <c r="F41" i="22"/>
  <c r="F98" i="22" s="1"/>
  <c r="D98" i="22"/>
  <c r="P58" i="21"/>
  <c r="J20" i="21"/>
  <c r="H96" i="22"/>
  <c r="J20" i="22"/>
  <c r="D29" i="21"/>
  <c r="D104" i="20"/>
  <c r="E104" i="20" s="1"/>
  <c r="E28" i="20"/>
  <c r="J104" i="20"/>
  <c r="P104" i="20" s="1"/>
  <c r="P28" i="20"/>
  <c r="L103" i="20"/>
  <c r="M103" i="20" s="1"/>
  <c r="M27" i="20"/>
  <c r="L28" i="22"/>
  <c r="D39" i="22"/>
  <c r="E38" i="20"/>
  <c r="D51" i="20"/>
  <c r="E51" i="20" s="1"/>
  <c r="D39" i="21"/>
  <c r="D95" i="20"/>
  <c r="I45" i="20"/>
  <c r="H102" i="20"/>
  <c r="I102" i="20" s="1"/>
  <c r="P43" i="20"/>
  <c r="P51" i="20" s="1"/>
  <c r="J100" i="20"/>
  <c r="P100" i="20" s="1"/>
  <c r="G38" i="6"/>
  <c r="S15" i="6" s="1"/>
  <c r="G36" i="6"/>
  <c r="G41" i="6"/>
  <c r="S14" i="6" s="1"/>
  <c r="D16" i="6"/>
  <c r="N39" i="22"/>
  <c r="I83" i="21"/>
  <c r="I84" i="21" s="1"/>
  <c r="J82" i="21"/>
  <c r="P103" i="20"/>
  <c r="I103" i="20"/>
  <c r="H40" i="21"/>
  <c r="H51" i="20"/>
  <c r="I51" i="20" s="1"/>
  <c r="I39" i="20"/>
  <c r="N105" i="22"/>
  <c r="J50" i="21"/>
  <c r="P41" i="21"/>
  <c r="L28" i="21"/>
  <c r="D103" i="22"/>
  <c r="F27" i="22"/>
  <c r="F103" i="22" s="1"/>
  <c r="J32" i="20"/>
  <c r="I32" i="20" s="1"/>
  <c r="J95" i="20"/>
  <c r="F98" i="20"/>
  <c r="E98" i="20" s="1"/>
  <c r="E22" i="20"/>
  <c r="H104" i="21"/>
  <c r="P21" i="20"/>
  <c r="P32" i="20" s="1"/>
  <c r="M26" i="20"/>
  <c r="L102" i="20"/>
  <c r="M102" i="20" s="1"/>
  <c r="L27" i="21"/>
  <c r="L22" i="22"/>
  <c r="L33" i="22" s="1"/>
  <c r="M21" i="20"/>
  <c r="L97" i="20"/>
  <c r="L22" i="21"/>
  <c r="P25" i="20"/>
  <c r="M25" i="20"/>
  <c r="C19" i="33"/>
  <c r="G29" i="6"/>
  <c r="Q16" i="6" s="1"/>
  <c r="F30" i="6"/>
  <c r="C17" i="6"/>
  <c r="D13" i="6" s="1"/>
  <c r="J59" i="22"/>
  <c r="H71" i="22"/>
  <c r="I71" i="22" s="1"/>
  <c r="I28" i="20"/>
  <c r="H104" i="20"/>
  <c r="H29" i="22"/>
  <c r="H29" i="21"/>
  <c r="L23" i="22"/>
  <c r="M22" i="20"/>
  <c r="M49" i="20"/>
  <c r="L106" i="20"/>
  <c r="M106" i="20" s="1"/>
  <c r="J99" i="20"/>
  <c r="P99" i="20" s="1"/>
  <c r="P42" i="20"/>
  <c r="H98" i="22"/>
  <c r="I98" i="22" s="1"/>
  <c r="J77" i="21"/>
  <c r="H22" i="21"/>
  <c r="I21" i="20"/>
  <c r="H97" i="20"/>
  <c r="I97" i="20" s="1"/>
  <c r="K22" i="11"/>
  <c r="O22" i="11" s="1"/>
  <c r="C23" i="12" s="1"/>
  <c r="K23" i="11"/>
  <c r="O23" i="11" s="1"/>
  <c r="B40" i="33"/>
  <c r="D48" i="6"/>
  <c r="C55" i="6"/>
  <c r="E21" i="11"/>
  <c r="L33" i="21"/>
  <c r="E60" i="22"/>
  <c r="E61" i="22" s="1"/>
  <c r="E62" i="22" s="1"/>
  <c r="F59" i="22"/>
  <c r="H45" i="22"/>
  <c r="H45" i="21"/>
  <c r="J45" i="21" s="1"/>
  <c r="P45" i="21" s="1"/>
  <c r="I44" i="20"/>
  <c r="H101" i="20"/>
  <c r="I101" i="20" s="1"/>
  <c r="N97" i="21"/>
  <c r="H103" i="21"/>
  <c r="P27" i="22"/>
  <c r="L50" i="21"/>
  <c r="L105" i="22"/>
  <c r="M105" i="22" s="1"/>
  <c r="L32" i="20"/>
  <c r="M32" i="20" s="1"/>
  <c r="E81" i="22"/>
  <c r="F80" i="22"/>
  <c r="F77" i="21"/>
  <c r="E78" i="21"/>
  <c r="I61" i="21"/>
  <c r="J60" i="21"/>
  <c r="F25" i="21"/>
  <c r="D101" i="21"/>
  <c r="R10" i="6"/>
  <c r="R17" i="6" s="1"/>
  <c r="D43" i="6"/>
  <c r="L97" i="21"/>
  <c r="M97" i="21" s="1"/>
  <c r="L107" i="22"/>
  <c r="M107" i="22" s="1"/>
  <c r="F61" i="22"/>
  <c r="I19" i="20"/>
  <c r="H95" i="20"/>
  <c r="D21" i="22"/>
  <c r="D32" i="20"/>
  <c r="E32" i="20" s="1"/>
  <c r="E20" i="20"/>
  <c r="H24" i="21"/>
  <c r="H99" i="20"/>
  <c r="I41" i="20"/>
  <c r="H98" i="20"/>
  <c r="I98" i="20" s="1"/>
  <c r="M60" i="22"/>
  <c r="N59" i="22"/>
  <c r="H90" i="22"/>
  <c r="I90" i="22" s="1"/>
  <c r="N95" i="20"/>
  <c r="N32" i="20"/>
  <c r="D25" i="22"/>
  <c r="E24" i="20"/>
  <c r="H96" i="20"/>
  <c r="I96" i="20" s="1"/>
  <c r="H21" i="21"/>
  <c r="H21" i="22"/>
  <c r="P26" i="20"/>
  <c r="I26" i="20"/>
  <c r="P96" i="20"/>
  <c r="J51" i="20"/>
  <c r="D41" i="21"/>
  <c r="E40" i="20"/>
  <c r="N96" i="20"/>
  <c r="M96" i="20" s="1"/>
  <c r="N63" i="21"/>
  <c r="N61" i="21"/>
  <c r="D106" i="20"/>
  <c r="E106" i="20" s="1"/>
  <c r="D31" i="22"/>
  <c r="H26" i="21"/>
  <c r="I25" i="20"/>
  <c r="M42" i="20"/>
  <c r="L99" i="20"/>
  <c r="M99" i="20" s="1"/>
  <c r="I43" i="20"/>
  <c r="G25" i="6"/>
  <c r="G42" i="6"/>
  <c r="S16" i="6" s="1"/>
  <c r="G28" i="6"/>
  <c r="Q14" i="6" s="1"/>
  <c r="I19" i="3"/>
  <c r="C23" i="11"/>
  <c r="C30" i="11" s="1"/>
  <c r="I106" i="20"/>
  <c r="F95" i="20"/>
  <c r="F108" i="20" s="1"/>
  <c r="D105" i="20"/>
  <c r="E105" i="20" s="1"/>
  <c r="E29" i="20"/>
  <c r="H25" i="21"/>
  <c r="I24" i="20"/>
  <c r="H25" i="22"/>
  <c r="H100" i="20"/>
  <c r="I100" i="20" s="1"/>
  <c r="M41" i="20"/>
  <c r="L42" i="22"/>
  <c r="N42" i="22" s="1"/>
  <c r="P42" i="22" s="1"/>
  <c r="Q9" i="6"/>
  <c r="V9" i="6" s="1"/>
  <c r="N22" i="3"/>
  <c r="L26" i="11" s="1"/>
  <c r="N26" i="11" s="1"/>
  <c r="E15" i="6"/>
  <c r="F17" i="28"/>
  <c r="F22" i="28"/>
  <c r="H20" i="28"/>
  <c r="E121" i="31" s="1"/>
  <c r="H19" i="28"/>
  <c r="I19" i="28" s="1"/>
  <c r="F21" i="28"/>
  <c r="F20" i="28"/>
  <c r="F23" i="28"/>
  <c r="E157" i="31"/>
  <c r="E188" i="31"/>
  <c r="G23" i="28"/>
  <c r="E217" i="31" s="1"/>
  <c r="I23" i="28"/>
  <c r="E87" i="31"/>
  <c r="G20" i="28"/>
  <c r="E120" i="31" s="1"/>
  <c r="F18" i="28"/>
  <c r="G17" i="28"/>
  <c r="E22" i="31" s="1"/>
  <c r="G19" i="28"/>
  <c r="E86" i="31" s="1"/>
  <c r="N13" i="6" l="1"/>
  <c r="J13" i="6"/>
  <c r="M13" i="6"/>
  <c r="F97" i="21"/>
  <c r="E97" i="21" s="1"/>
  <c r="N108" i="20"/>
  <c r="M95" i="20"/>
  <c r="P39" i="22"/>
  <c r="P77" i="22"/>
  <c r="P23" i="22"/>
  <c r="J99" i="22"/>
  <c r="P99" i="22" s="1"/>
  <c r="H101" i="21"/>
  <c r="J25" i="21"/>
  <c r="H12" i="6"/>
  <c r="E23" i="11"/>
  <c r="J26" i="21"/>
  <c r="H102" i="21"/>
  <c r="D101" i="22"/>
  <c r="F25" i="22"/>
  <c r="F101" i="22" s="1"/>
  <c r="D33" i="22"/>
  <c r="F21" i="22"/>
  <c r="D97" i="22"/>
  <c r="C36" i="33"/>
  <c r="D36" i="33" s="1"/>
  <c r="F36" i="33" s="1"/>
  <c r="E25" i="12" s="1"/>
  <c r="E26" i="12" s="1"/>
  <c r="C37" i="33"/>
  <c r="D37" i="33" s="1"/>
  <c r="F37" i="33" s="1"/>
  <c r="E27" i="12" s="1"/>
  <c r="E28" i="12" s="1"/>
  <c r="C35" i="33"/>
  <c r="D35" i="33" s="1"/>
  <c r="F35" i="33" s="1"/>
  <c r="E24" i="12" s="1"/>
  <c r="C38" i="33"/>
  <c r="D38" i="33" s="1"/>
  <c r="F38" i="33" s="1"/>
  <c r="E30" i="12" s="1"/>
  <c r="C33" i="33"/>
  <c r="I85" i="21"/>
  <c r="J84" i="21"/>
  <c r="N16" i="6"/>
  <c r="J16" i="6"/>
  <c r="M16" i="6"/>
  <c r="F39" i="22"/>
  <c r="D96" i="22"/>
  <c r="D52" i="22"/>
  <c r="D105" i="21"/>
  <c r="F29" i="21"/>
  <c r="E98" i="22"/>
  <c r="F43" i="21"/>
  <c r="D100" i="21"/>
  <c r="K25" i="11"/>
  <c r="O25" i="11" s="1"/>
  <c r="F31" i="22"/>
  <c r="F107" i="22" s="1"/>
  <c r="D107" i="22"/>
  <c r="H108" i="20"/>
  <c r="I108" i="20" s="1"/>
  <c r="I95" i="20"/>
  <c r="E82" i="22"/>
  <c r="F81" i="22"/>
  <c r="E63" i="22"/>
  <c r="F62" i="22"/>
  <c r="C25" i="12"/>
  <c r="C26" i="12"/>
  <c r="E103" i="22"/>
  <c r="L52" i="22"/>
  <c r="N28" i="22"/>
  <c r="L104" i="22"/>
  <c r="J96" i="22"/>
  <c r="P20" i="22"/>
  <c r="P40" i="22"/>
  <c r="J52" i="22"/>
  <c r="I52" i="22" s="1"/>
  <c r="I65" i="22"/>
  <c r="J64" i="22"/>
  <c r="I104" i="22"/>
  <c r="D107" i="21"/>
  <c r="P24" i="22"/>
  <c r="J100" i="22"/>
  <c r="P100" i="22" s="1"/>
  <c r="I99" i="22"/>
  <c r="F23" i="12"/>
  <c r="E57" i="31" s="1"/>
  <c r="N96" i="22"/>
  <c r="C27" i="12"/>
  <c r="C28" i="12"/>
  <c r="P60" i="21"/>
  <c r="I27" i="3"/>
  <c r="J40" i="21"/>
  <c r="H52" i="21"/>
  <c r="M84" i="22"/>
  <c r="N83" i="22"/>
  <c r="J61" i="21"/>
  <c r="I62" i="21"/>
  <c r="E30" i="11"/>
  <c r="D10" i="6"/>
  <c r="D15" i="6"/>
  <c r="D14" i="6"/>
  <c r="D12" i="6"/>
  <c r="E95" i="20"/>
  <c r="D108" i="20"/>
  <c r="E108" i="20" s="1"/>
  <c r="N46" i="22"/>
  <c r="N103" i="22" s="1"/>
  <c r="L103" i="22"/>
  <c r="M103" i="22" s="1"/>
  <c r="M61" i="22"/>
  <c r="N60" i="22"/>
  <c r="P60" i="22" s="1"/>
  <c r="E79" i="21"/>
  <c r="F78" i="21"/>
  <c r="H105" i="21"/>
  <c r="J29" i="21"/>
  <c r="D96" i="21"/>
  <c r="D52" i="21"/>
  <c r="F39" i="21"/>
  <c r="P20" i="21"/>
  <c r="J96" i="21"/>
  <c r="J33" i="21"/>
  <c r="P107" i="22"/>
  <c r="I107" i="22"/>
  <c r="N80" i="21"/>
  <c r="N99" i="21" s="1"/>
  <c r="M99" i="21" s="1"/>
  <c r="M81" i="21"/>
  <c r="F33" i="21"/>
  <c r="C17" i="33"/>
  <c r="C20" i="33" s="1"/>
  <c r="J83" i="21"/>
  <c r="P23" i="21"/>
  <c r="L104" i="21"/>
  <c r="N28" i="21"/>
  <c r="I96" i="22"/>
  <c r="J104" i="22"/>
  <c r="P47" i="22"/>
  <c r="F43" i="22"/>
  <c r="F100" i="22" s="1"/>
  <c r="D100" i="22"/>
  <c r="E100" i="22" s="1"/>
  <c r="P10" i="6"/>
  <c r="P17" i="6" s="1"/>
  <c r="D30" i="6"/>
  <c r="I99" i="20"/>
  <c r="L99" i="22"/>
  <c r="M99" i="22" s="1"/>
  <c r="N23" i="22"/>
  <c r="N99" i="22" s="1"/>
  <c r="J24" i="21"/>
  <c r="H100" i="21"/>
  <c r="H101" i="22"/>
  <c r="J25" i="22"/>
  <c r="E17" i="6"/>
  <c r="L107" i="21"/>
  <c r="N50" i="21"/>
  <c r="N52" i="21" s="1"/>
  <c r="T10" i="6"/>
  <c r="T17" i="6" s="1"/>
  <c r="D55" i="6"/>
  <c r="H98" i="21"/>
  <c r="J22" i="21"/>
  <c r="H105" i="22"/>
  <c r="J29" i="22"/>
  <c r="N22" i="22"/>
  <c r="L98" i="22"/>
  <c r="P95" i="20"/>
  <c r="P108" i="20" s="1"/>
  <c r="P112" i="20" s="1"/>
  <c r="J108" i="20"/>
  <c r="C18" i="33"/>
  <c r="N21" i="11"/>
  <c r="N30" i="11" s="1"/>
  <c r="L30" i="11"/>
  <c r="I103" i="22"/>
  <c r="P59" i="22"/>
  <c r="Q15" i="6"/>
  <c r="K26" i="11" s="1"/>
  <c r="O26" i="11" s="1"/>
  <c r="C24" i="12" s="1"/>
  <c r="G30" i="6"/>
  <c r="N22" i="21"/>
  <c r="L98" i="21"/>
  <c r="E33" i="21"/>
  <c r="J106" i="22"/>
  <c r="C24" i="33"/>
  <c r="C28" i="33"/>
  <c r="D28" i="33" s="1"/>
  <c r="F28" i="33" s="1"/>
  <c r="D27" i="12" s="1"/>
  <c r="C27" i="33"/>
  <c r="D27" i="33" s="1"/>
  <c r="F27" i="33" s="1"/>
  <c r="D25" i="12" s="1"/>
  <c r="I79" i="22"/>
  <c r="J78" i="22"/>
  <c r="P78" i="22" s="1"/>
  <c r="E61" i="21"/>
  <c r="F60" i="21"/>
  <c r="J21" i="22"/>
  <c r="H97" i="22"/>
  <c r="H109" i="22" s="1"/>
  <c r="H33" i="22"/>
  <c r="M97" i="20"/>
  <c r="L108" i="20"/>
  <c r="M108" i="20" s="1"/>
  <c r="S10" i="6"/>
  <c r="G43" i="6"/>
  <c r="H33" i="21"/>
  <c r="N30" i="21"/>
  <c r="L106" i="21"/>
  <c r="I106" i="22"/>
  <c r="P48" i="21"/>
  <c r="H97" i="21"/>
  <c r="J21" i="21"/>
  <c r="D11" i="6"/>
  <c r="F41" i="21"/>
  <c r="D98" i="21"/>
  <c r="J45" i="22"/>
  <c r="H102" i="22"/>
  <c r="C34" i="33"/>
  <c r="D34" i="33" s="1"/>
  <c r="F34" i="33" s="1"/>
  <c r="E23" i="12" s="1"/>
  <c r="P77" i="21"/>
  <c r="I104" i="20"/>
  <c r="K27" i="11"/>
  <c r="O27" i="11" s="1"/>
  <c r="C31" i="12" s="1"/>
  <c r="N27" i="21"/>
  <c r="L103" i="21"/>
  <c r="F16" i="6"/>
  <c r="L106" i="22"/>
  <c r="N30" i="22"/>
  <c r="N106" i="22" s="1"/>
  <c r="M65" i="21"/>
  <c r="N64" i="21"/>
  <c r="L52" i="21"/>
  <c r="E104" i="22"/>
  <c r="E12" i="33"/>
  <c r="G9" i="33"/>
  <c r="N102" i="22"/>
  <c r="M102" i="22" s="1"/>
  <c r="P26" i="22"/>
  <c r="J103" i="22"/>
  <c r="C39" i="33"/>
  <c r="D39" i="33" s="1"/>
  <c r="F39" i="33" s="1"/>
  <c r="E31" i="12" s="1"/>
  <c r="I20" i="28"/>
  <c r="L109" i="21" l="1"/>
  <c r="P50" i="21"/>
  <c r="P46" i="22"/>
  <c r="I102" i="22"/>
  <c r="F12" i="6"/>
  <c r="F10" i="6"/>
  <c r="F11" i="6"/>
  <c r="F14" i="6"/>
  <c r="F13" i="6"/>
  <c r="P24" i="21"/>
  <c r="N14" i="6"/>
  <c r="J14" i="6"/>
  <c r="M14" i="6"/>
  <c r="E52" i="22"/>
  <c r="C40" i="33"/>
  <c r="D33" i="33"/>
  <c r="P26" i="21"/>
  <c r="P103" i="22"/>
  <c r="M66" i="21"/>
  <c r="N65" i="21"/>
  <c r="P45" i="22"/>
  <c r="J102" i="22"/>
  <c r="P102" i="22" s="1"/>
  <c r="J101" i="22"/>
  <c r="P101" i="22" s="1"/>
  <c r="P25" i="22"/>
  <c r="P104" i="22"/>
  <c r="M62" i="22"/>
  <c r="N61" i="22"/>
  <c r="P61" i="22" s="1"/>
  <c r="N15" i="6"/>
  <c r="J15" i="6"/>
  <c r="M15" i="6"/>
  <c r="M85" i="22"/>
  <c r="N84" i="22"/>
  <c r="Q17" i="6"/>
  <c r="N104" i="22"/>
  <c r="N109" i="22" s="1"/>
  <c r="P28" i="22"/>
  <c r="E83" i="22"/>
  <c r="F82" i="22"/>
  <c r="C29" i="12"/>
  <c r="F29" i="12" s="1"/>
  <c r="E159" i="31" s="1"/>
  <c r="C30" i="12"/>
  <c r="F30" i="12" s="1"/>
  <c r="E160" i="31" s="1"/>
  <c r="D109" i="22"/>
  <c r="F97" i="22"/>
  <c r="E97" i="22" s="1"/>
  <c r="F33" i="22"/>
  <c r="P27" i="21"/>
  <c r="I80" i="22"/>
  <c r="J79" i="22"/>
  <c r="M106" i="22"/>
  <c r="P30" i="21"/>
  <c r="M98" i="22"/>
  <c r="L109" i="22"/>
  <c r="I52" i="21"/>
  <c r="I63" i="21"/>
  <c r="J62" i="21"/>
  <c r="P62" i="21" s="1"/>
  <c r="F96" i="21"/>
  <c r="E96" i="21" s="1"/>
  <c r="F52" i="21"/>
  <c r="E52" i="21" s="1"/>
  <c r="I97" i="22"/>
  <c r="N10" i="6"/>
  <c r="J10" i="6"/>
  <c r="M10" i="6"/>
  <c r="D17" i="6"/>
  <c r="E33" i="22"/>
  <c r="G12" i="33"/>
  <c r="D17" i="33"/>
  <c r="F17" i="33" s="1"/>
  <c r="D28" i="12" s="1"/>
  <c r="F28" i="12" s="1"/>
  <c r="E125" i="31" s="1"/>
  <c r="D19" i="33"/>
  <c r="F19" i="33" s="1"/>
  <c r="D31" i="12" s="1"/>
  <c r="D16" i="33"/>
  <c r="D18" i="33"/>
  <c r="F18" i="33" s="1"/>
  <c r="D30" i="12" s="1"/>
  <c r="J11" i="6"/>
  <c r="M11" i="6"/>
  <c r="N11" i="6"/>
  <c r="N98" i="21"/>
  <c r="N33" i="21"/>
  <c r="M33" i="21" s="1"/>
  <c r="N98" i="22"/>
  <c r="P98" i="22" s="1"/>
  <c r="P22" i="22"/>
  <c r="P40" i="21"/>
  <c r="J52" i="21"/>
  <c r="P21" i="21"/>
  <c r="P33" i="21" s="1"/>
  <c r="J97" i="21"/>
  <c r="P97" i="21" s="1"/>
  <c r="P28" i="21"/>
  <c r="P61" i="21"/>
  <c r="J99" i="21"/>
  <c r="N33" i="22"/>
  <c r="M33" i="22" s="1"/>
  <c r="F25" i="12"/>
  <c r="E90" i="31" s="1"/>
  <c r="F15" i="6"/>
  <c r="H109" i="21"/>
  <c r="S17" i="6"/>
  <c r="K21" i="11"/>
  <c r="P30" i="22"/>
  <c r="F24" i="12"/>
  <c r="E190" i="31" s="1"/>
  <c r="I105" i="22"/>
  <c r="M82" i="21"/>
  <c r="N81" i="21"/>
  <c r="M96" i="22"/>
  <c r="I100" i="22"/>
  <c r="E101" i="22"/>
  <c r="P52" i="22"/>
  <c r="G24" i="11"/>
  <c r="I24" i="11" s="1"/>
  <c r="C13" i="12" s="1"/>
  <c r="I66" i="22"/>
  <c r="J65" i="22"/>
  <c r="F52" i="22"/>
  <c r="F96" i="22"/>
  <c r="F109" i="22" s="1"/>
  <c r="H17" i="6"/>
  <c r="F31" i="12"/>
  <c r="E220" i="31" s="1"/>
  <c r="J97" i="22"/>
  <c r="P97" i="22" s="1"/>
  <c r="P21" i="22"/>
  <c r="P33" i="22" s="1"/>
  <c r="P96" i="21"/>
  <c r="I96" i="21"/>
  <c r="P25" i="21"/>
  <c r="I33" i="21"/>
  <c r="P29" i="21"/>
  <c r="F27" i="12"/>
  <c r="E124" i="31" s="1"/>
  <c r="G27" i="11"/>
  <c r="I27" i="11" s="1"/>
  <c r="C17" i="12" s="1"/>
  <c r="C29" i="33"/>
  <c r="D24" i="33"/>
  <c r="J105" i="22"/>
  <c r="P105" i="22" s="1"/>
  <c r="P29" i="22"/>
  <c r="J33" i="22"/>
  <c r="I33" i="22" s="1"/>
  <c r="M52" i="21"/>
  <c r="E62" i="21"/>
  <c r="F61" i="21"/>
  <c r="P106" i="22"/>
  <c r="P22" i="21"/>
  <c r="J98" i="21"/>
  <c r="P98" i="21" s="1"/>
  <c r="P80" i="21"/>
  <c r="D109" i="21"/>
  <c r="F79" i="21"/>
  <c r="F98" i="21" s="1"/>
  <c r="E98" i="21" s="1"/>
  <c r="E80" i="21"/>
  <c r="N12" i="6"/>
  <c r="J12" i="6"/>
  <c r="M12" i="6"/>
  <c r="P96" i="22"/>
  <c r="J109" i="22"/>
  <c r="I109" i="22" s="1"/>
  <c r="E64" i="22"/>
  <c r="F63" i="22"/>
  <c r="E107" i="22"/>
  <c r="I86" i="21"/>
  <c r="J85" i="21"/>
  <c r="N52" i="22"/>
  <c r="M52" i="22" s="1"/>
  <c r="F33" i="33" l="1"/>
  <c r="E22" i="12" s="1"/>
  <c r="D40" i="33"/>
  <c r="I13" i="6"/>
  <c r="I14" i="6"/>
  <c r="I10" i="6"/>
  <c r="I15" i="6"/>
  <c r="I16" i="6"/>
  <c r="I11" i="6"/>
  <c r="I67" i="22"/>
  <c r="J66" i="22"/>
  <c r="I97" i="21"/>
  <c r="D20" i="33"/>
  <c r="F16" i="33"/>
  <c r="D26" i="12" s="1"/>
  <c r="F26" i="12" s="1"/>
  <c r="E91" i="31" s="1"/>
  <c r="P79" i="22"/>
  <c r="M63" i="22"/>
  <c r="N62" i="22"/>
  <c r="I98" i="21"/>
  <c r="G23" i="11"/>
  <c r="I23" i="11" s="1"/>
  <c r="C11" i="12" s="1"/>
  <c r="M109" i="22"/>
  <c r="I81" i="22"/>
  <c r="J80" i="22"/>
  <c r="P80" i="22" s="1"/>
  <c r="J100" i="21"/>
  <c r="I101" i="22"/>
  <c r="E81" i="21"/>
  <c r="F80" i="21"/>
  <c r="F99" i="21" s="1"/>
  <c r="E122" i="31"/>
  <c r="C14" i="12"/>
  <c r="M83" i="21"/>
  <c r="N82" i="21"/>
  <c r="M86" i="22"/>
  <c r="N85" i="22"/>
  <c r="N66" i="21"/>
  <c r="M67" i="21"/>
  <c r="I12" i="6"/>
  <c r="M17" i="6"/>
  <c r="H18" i="6" s="1"/>
  <c r="D29" i="33"/>
  <c r="F24" i="33"/>
  <c r="D22" i="12" s="1"/>
  <c r="K30" i="11"/>
  <c r="O21" i="11"/>
  <c r="C22" i="12" s="1"/>
  <c r="G21" i="11"/>
  <c r="J17" i="6"/>
  <c r="E18" i="6" s="1"/>
  <c r="G26" i="11"/>
  <c r="I26" i="11" s="1"/>
  <c r="C10" i="12" s="1"/>
  <c r="M104" i="22"/>
  <c r="E63" i="21"/>
  <c r="F62" i="21"/>
  <c r="P52" i="21"/>
  <c r="G22" i="11"/>
  <c r="I22" i="11" s="1"/>
  <c r="C9" i="12" s="1"/>
  <c r="N17" i="6"/>
  <c r="I18" i="6" s="1"/>
  <c r="E109" i="22"/>
  <c r="F17" i="6"/>
  <c r="P81" i="21"/>
  <c r="N100" i="21"/>
  <c r="M100" i="21" s="1"/>
  <c r="E65" i="22"/>
  <c r="F64" i="22"/>
  <c r="E84" i="22"/>
  <c r="F83" i="22"/>
  <c r="P109" i="22"/>
  <c r="P113" i="22" s="1"/>
  <c r="I99" i="21"/>
  <c r="P99" i="21"/>
  <c r="I87" i="21"/>
  <c r="J86" i="21"/>
  <c r="I64" i="21"/>
  <c r="J63" i="21"/>
  <c r="E96" i="22"/>
  <c r="G25" i="11"/>
  <c r="I25" i="11" s="1"/>
  <c r="C15" i="12" s="1"/>
  <c r="M98" i="21"/>
  <c r="E99" i="21" l="1"/>
  <c r="E85" i="22"/>
  <c r="F84" i="22"/>
  <c r="L14" i="6"/>
  <c r="O14" i="6"/>
  <c r="I65" i="21"/>
  <c r="J64" i="21"/>
  <c r="I88" i="21"/>
  <c r="J88" i="21" s="1"/>
  <c r="J87" i="21"/>
  <c r="E66" i="22"/>
  <c r="F65" i="22"/>
  <c r="L12" i="6"/>
  <c r="O12" i="6"/>
  <c r="M84" i="21"/>
  <c r="N83" i="21"/>
  <c r="P62" i="22"/>
  <c r="L16" i="6"/>
  <c r="O16" i="6"/>
  <c r="I82" i="22"/>
  <c r="J81" i="22"/>
  <c r="M64" i="22"/>
  <c r="N63" i="22"/>
  <c r="P63" i="22" s="1"/>
  <c r="O15" i="6"/>
  <c r="L15" i="6"/>
  <c r="N67" i="21"/>
  <c r="M68" i="21"/>
  <c r="O13" i="6"/>
  <c r="L13" i="6"/>
  <c r="I21" i="11"/>
  <c r="C8" i="12" s="1"/>
  <c r="G30" i="11"/>
  <c r="F22" i="12"/>
  <c r="E26" i="31" s="1"/>
  <c r="E82" i="21"/>
  <c r="F81" i="21"/>
  <c r="F100" i="21" s="1"/>
  <c r="E88" i="31"/>
  <c r="C12" i="12"/>
  <c r="O10" i="6"/>
  <c r="I17" i="6"/>
  <c r="L10" i="6"/>
  <c r="P100" i="21"/>
  <c r="I100" i="21"/>
  <c r="C16" i="12"/>
  <c r="E64" i="21"/>
  <c r="F63" i="21"/>
  <c r="N86" i="22"/>
  <c r="M87" i="22"/>
  <c r="I68" i="22"/>
  <c r="J67" i="22"/>
  <c r="P63" i="21"/>
  <c r="J101" i="21"/>
  <c r="J90" i="21"/>
  <c r="P82" i="21"/>
  <c r="N101" i="21"/>
  <c r="L11" i="6"/>
  <c r="O11" i="6"/>
  <c r="E100" i="21" l="1"/>
  <c r="N68" i="21"/>
  <c r="M69" i="21"/>
  <c r="N69" i="21" s="1"/>
  <c r="I83" i="22"/>
  <c r="J82" i="22"/>
  <c r="P82" i="22" s="1"/>
  <c r="M101" i="21"/>
  <c r="E65" i="21"/>
  <c r="F64" i="21"/>
  <c r="H23" i="11"/>
  <c r="J23" i="11" s="1"/>
  <c r="D11" i="12" s="1"/>
  <c r="V12" i="6"/>
  <c r="I69" i="22"/>
  <c r="J69" i="22" s="1"/>
  <c r="J68" i="22"/>
  <c r="E86" i="22"/>
  <c r="F85" i="22"/>
  <c r="H24" i="11"/>
  <c r="J24" i="11" s="1"/>
  <c r="D13" i="12" s="1"/>
  <c r="V13" i="6"/>
  <c r="H25" i="11"/>
  <c r="J25" i="11" s="1"/>
  <c r="D15" i="12" s="1"/>
  <c r="V14" i="6"/>
  <c r="L17" i="6"/>
  <c r="G18" i="6" s="1"/>
  <c r="H21" i="11"/>
  <c r="V10" i="6"/>
  <c r="V17" i="6" s="1"/>
  <c r="F66" i="22"/>
  <c r="E67" i="22"/>
  <c r="H22" i="11"/>
  <c r="J22" i="11" s="1"/>
  <c r="D9" i="12" s="1"/>
  <c r="E9" i="12" s="1"/>
  <c r="E56" i="31" s="1"/>
  <c r="V11" i="6"/>
  <c r="O17" i="6"/>
  <c r="P101" i="21"/>
  <c r="I101" i="21"/>
  <c r="M88" i="22"/>
  <c r="N88" i="22" s="1"/>
  <c r="N87" i="22"/>
  <c r="M65" i="22"/>
  <c r="N64" i="22"/>
  <c r="N102" i="21"/>
  <c r="M102" i="21" s="1"/>
  <c r="P83" i="21"/>
  <c r="P64" i="21"/>
  <c r="J102" i="21"/>
  <c r="E83" i="21"/>
  <c r="F82" i="21"/>
  <c r="F101" i="21" s="1"/>
  <c r="H26" i="11"/>
  <c r="J26" i="11" s="1"/>
  <c r="D10" i="12" s="1"/>
  <c r="E10" i="12" s="1"/>
  <c r="E189" i="31" s="1"/>
  <c r="V15" i="6"/>
  <c r="H27" i="11"/>
  <c r="J27" i="11" s="1"/>
  <c r="D17" i="12" s="1"/>
  <c r="E17" i="12" s="1"/>
  <c r="E219" i="31" s="1"/>
  <c r="V16" i="6"/>
  <c r="P81" i="22"/>
  <c r="N84" i="21"/>
  <c r="M85" i="21"/>
  <c r="I66" i="21"/>
  <c r="J65" i="21"/>
  <c r="E101" i="21" l="1"/>
  <c r="F67" i="22"/>
  <c r="E68" i="22"/>
  <c r="I84" i="22"/>
  <c r="J83" i="22"/>
  <c r="D12" i="12"/>
  <c r="E12" i="12" s="1"/>
  <c r="E89" i="31"/>
  <c r="E11" i="12"/>
  <c r="N71" i="21"/>
  <c r="D16" i="12"/>
  <c r="E16" i="12" s="1"/>
  <c r="E15" i="12"/>
  <c r="E158" i="31" s="1"/>
  <c r="J21" i="11"/>
  <c r="D8" i="12" s="1"/>
  <c r="E8" i="12" s="1"/>
  <c r="E25" i="31" s="1"/>
  <c r="H30" i="11"/>
  <c r="F102" i="21"/>
  <c r="E102" i="21" s="1"/>
  <c r="E87" i="22"/>
  <c r="F86" i="22"/>
  <c r="E66" i="21"/>
  <c r="F65" i="21"/>
  <c r="N90" i="22"/>
  <c r="P65" i="21"/>
  <c r="J103" i="21"/>
  <c r="F83" i="21"/>
  <c r="E84" i="21"/>
  <c r="I67" i="21"/>
  <c r="J66" i="21"/>
  <c r="M86" i="21"/>
  <c r="N85" i="21"/>
  <c r="P64" i="22"/>
  <c r="E123" i="31"/>
  <c r="D14" i="12"/>
  <c r="E14" i="12" s="1"/>
  <c r="E13" i="12"/>
  <c r="J71" i="22"/>
  <c r="P84" i="21"/>
  <c r="N103" i="21"/>
  <c r="M103" i="21" s="1"/>
  <c r="P102" i="21"/>
  <c r="I102" i="21"/>
  <c r="N65" i="22"/>
  <c r="P65" i="22" s="1"/>
  <c r="M66" i="22"/>
  <c r="P85" i="21" l="1"/>
  <c r="N104" i="21"/>
  <c r="M104" i="21" s="1"/>
  <c r="N66" i="22"/>
  <c r="P66" i="22" s="1"/>
  <c r="M67" i="22"/>
  <c r="N86" i="21"/>
  <c r="M87" i="21"/>
  <c r="E69" i="22"/>
  <c r="F69" i="22" s="1"/>
  <c r="F71" i="22" s="1"/>
  <c r="F68" i="22"/>
  <c r="I68" i="21"/>
  <c r="J67" i="21"/>
  <c r="E85" i="21"/>
  <c r="F84" i="21"/>
  <c r="F103" i="21" s="1"/>
  <c r="E103" i="21" s="1"/>
  <c r="F66" i="21"/>
  <c r="E67" i="21"/>
  <c r="F87" i="22"/>
  <c r="E88" i="22"/>
  <c r="F88" i="22" s="1"/>
  <c r="F90" i="22" s="1"/>
  <c r="P83" i="22"/>
  <c r="P66" i="21"/>
  <c r="J104" i="21"/>
  <c r="P103" i="21"/>
  <c r="I103" i="21"/>
  <c r="I85" i="22"/>
  <c r="J84" i="22"/>
  <c r="P84" i="22" s="1"/>
  <c r="I86" i="22" l="1"/>
  <c r="J85" i="22"/>
  <c r="N87" i="21"/>
  <c r="M88" i="21"/>
  <c r="N88" i="21" s="1"/>
  <c r="N67" i="22"/>
  <c r="P67" i="22" s="1"/>
  <c r="M68" i="22"/>
  <c r="P86" i="21"/>
  <c r="N105" i="21"/>
  <c r="M105" i="21" s="1"/>
  <c r="J68" i="21"/>
  <c r="I69" i="21"/>
  <c r="J69" i="21" s="1"/>
  <c r="E86" i="21"/>
  <c r="F85" i="21"/>
  <c r="P67" i="21"/>
  <c r="J105" i="21"/>
  <c r="F104" i="21"/>
  <c r="E104" i="21" s="1"/>
  <c r="E68" i="21"/>
  <c r="F67" i="21"/>
  <c r="P104" i="21"/>
  <c r="I104" i="21"/>
  <c r="P87" i="21" l="1"/>
  <c r="N106" i="21"/>
  <c r="M106" i="21" s="1"/>
  <c r="F68" i="21"/>
  <c r="E69" i="21"/>
  <c r="F69" i="21" s="1"/>
  <c r="N68" i="22"/>
  <c r="P68" i="22" s="1"/>
  <c r="M69" i="22"/>
  <c r="N69" i="22" s="1"/>
  <c r="P88" i="21"/>
  <c r="P90" i="21" s="1"/>
  <c r="N90" i="21"/>
  <c r="N107" i="21"/>
  <c r="P69" i="21"/>
  <c r="J107" i="21"/>
  <c r="J71" i="21"/>
  <c r="P85" i="22"/>
  <c r="P105" i="21"/>
  <c r="I105" i="21"/>
  <c r="F86" i="21"/>
  <c r="E87" i="21"/>
  <c r="F105" i="21"/>
  <c r="E105" i="21" s="1"/>
  <c r="P68" i="21"/>
  <c r="J106" i="21"/>
  <c r="J86" i="22"/>
  <c r="P86" i="22" s="1"/>
  <c r="I87" i="22"/>
  <c r="F87" i="21" l="1"/>
  <c r="E88" i="21"/>
  <c r="F88" i="21" s="1"/>
  <c r="F90" i="21" s="1"/>
  <c r="P107" i="21"/>
  <c r="I107" i="21"/>
  <c r="F106" i="21"/>
  <c r="E106" i="21" s="1"/>
  <c r="J87" i="22"/>
  <c r="P87" i="22" s="1"/>
  <c r="I88" i="22"/>
  <c r="J88" i="22" s="1"/>
  <c r="P69" i="22"/>
  <c r="P71" i="22" s="1"/>
  <c r="N71" i="22"/>
  <c r="F107" i="21"/>
  <c r="F71" i="21"/>
  <c r="P71" i="21"/>
  <c r="P106" i="21"/>
  <c r="I106" i="21"/>
  <c r="J109" i="21"/>
  <c r="I109" i="21" s="1"/>
  <c r="M107" i="21"/>
  <c r="N109" i="21"/>
  <c r="M109" i="21" s="1"/>
  <c r="P88" i="22" l="1"/>
  <c r="P90" i="22" s="1"/>
  <c r="J90" i="22"/>
  <c r="P109" i="21"/>
  <c r="E107" i="21"/>
  <c r="F109" i="21"/>
  <c r="I24" i="35" l="1"/>
  <c r="J24" i="35" s="1"/>
  <c r="D48" i="35" s="1"/>
  <c r="G48" i="35" s="1"/>
  <c r="H48" i="35" s="1"/>
  <c r="I48" i="35" s="1"/>
  <c r="J48" i="35" s="1"/>
  <c r="E225" i="31" s="1"/>
  <c r="I20" i="35"/>
  <c r="J20" i="35" s="1"/>
  <c r="D44" i="35" s="1"/>
  <c r="G44" i="35" s="1"/>
  <c r="H44" i="35" s="1"/>
  <c r="I44" i="35" s="1"/>
  <c r="J44" i="35" s="1"/>
  <c r="I17" i="35"/>
  <c r="J17" i="35" s="1"/>
  <c r="D41" i="35" s="1"/>
  <c r="G41" i="35" s="1"/>
  <c r="H41" i="35" s="1"/>
  <c r="I41" i="35" s="1"/>
  <c r="J41" i="35" s="1"/>
  <c r="E30" i="31" s="1"/>
  <c r="I18" i="35"/>
  <c r="J18" i="35" s="1"/>
  <c r="D42" i="35" s="1"/>
  <c r="G42" i="35" s="1"/>
  <c r="H42" i="35" s="1"/>
  <c r="I42" i="35" s="1"/>
  <c r="J42" i="35" s="1"/>
  <c r="E62" i="31" s="1"/>
  <c r="I19" i="35"/>
  <c r="J19" i="35" s="1"/>
  <c r="D43" i="35" s="1"/>
  <c r="G43" i="35" s="1"/>
  <c r="H43" i="35" s="1"/>
  <c r="I43" i="35" s="1"/>
  <c r="J43" i="35" s="1"/>
  <c r="E96" i="31" s="1"/>
  <c r="I21" i="35"/>
  <c r="J21" i="35" s="1"/>
  <c r="D45" i="35" s="1"/>
  <c r="G45" i="35" s="1"/>
  <c r="H45" i="35" s="1"/>
  <c r="I45" i="35" s="1"/>
  <c r="J45" i="35" s="1"/>
  <c r="E130" i="31" s="1"/>
  <c r="I23" i="35"/>
  <c r="J23" i="35" s="1"/>
  <c r="D47" i="35" s="1"/>
  <c r="G47" i="35" s="1"/>
  <c r="H47" i="35" s="1"/>
  <c r="I47" i="35" s="1"/>
  <c r="J47" i="35" s="1"/>
  <c r="E195" i="31" s="1"/>
  <c r="I22" i="35"/>
  <c r="J22" i="35" s="1"/>
  <c r="D46" i="35" s="1"/>
  <c r="G46" i="35" s="1"/>
  <c r="H46" i="35" s="1"/>
  <c r="I46" i="35" s="1"/>
  <c r="J46" i="35" s="1"/>
  <c r="E165" i="31" s="1"/>
  <c r="E109" i="21"/>
  <c r="I29" i="35"/>
  <c r="J29" i="35" s="1"/>
  <c r="D53" i="35" s="1"/>
  <c r="G53" i="35" s="1"/>
  <c r="H53" i="35" s="1"/>
  <c r="I53" i="35" s="1"/>
  <c r="J53" i="35" s="1"/>
  <c r="E31" i="31" s="1"/>
  <c r="P113" i="21"/>
  <c r="I34" i="35"/>
  <c r="J34" i="35" s="1"/>
  <c r="D58" i="35" s="1"/>
  <c r="G58" i="35" s="1"/>
  <c r="H58" i="35" s="1"/>
  <c r="I58" i="35" s="1"/>
  <c r="J58" i="35" s="1"/>
  <c r="E166" i="31" s="1"/>
  <c r="I35" i="35"/>
  <c r="J35" i="35" s="1"/>
  <c r="D59" i="35" s="1"/>
  <c r="G59" i="35" s="1"/>
  <c r="H59" i="35" s="1"/>
  <c r="I59" i="35" s="1"/>
  <c r="J59" i="35" s="1"/>
  <c r="E196" i="31" s="1"/>
  <c r="I31" i="35"/>
  <c r="J31" i="35" s="1"/>
  <c r="D55" i="35" s="1"/>
  <c r="G55" i="35" s="1"/>
  <c r="H55" i="35" s="1"/>
  <c r="I55" i="35" s="1"/>
  <c r="J55" i="35" s="1"/>
  <c r="E97" i="31" s="1"/>
  <c r="I36" i="35"/>
  <c r="J36" i="35" s="1"/>
  <c r="D60" i="35" s="1"/>
  <c r="G60" i="35" s="1"/>
  <c r="H60" i="35" s="1"/>
  <c r="I60" i="35" s="1"/>
  <c r="J60" i="35" s="1"/>
  <c r="E226" i="31" s="1"/>
  <c r="I32" i="35"/>
  <c r="J32" i="35" s="1"/>
  <c r="D56" i="35" s="1"/>
  <c r="G56" i="35" s="1"/>
  <c r="H56" i="35" s="1"/>
  <c r="I56" i="35" s="1"/>
  <c r="J56" i="35" s="1"/>
  <c r="I30" i="35"/>
  <c r="J30" i="35" s="1"/>
  <c r="D54" i="35" s="1"/>
  <c r="G54" i="35" s="1"/>
  <c r="H54" i="35" s="1"/>
  <c r="I54" i="35" s="1"/>
  <c r="J54" i="35" s="1"/>
  <c r="E63" i="31" s="1"/>
  <c r="I33" i="35"/>
  <c r="J33" i="35" s="1"/>
  <c r="D57" i="35" s="1"/>
  <c r="G57" i="35" s="1"/>
  <c r="H57" i="35" s="1"/>
  <c r="I57" i="35" s="1"/>
  <c r="J57" i="35" s="1"/>
  <c r="E131" i="31" s="1"/>
</calcChain>
</file>

<file path=xl/comments1.xml><?xml version="1.0" encoding="utf-8"?>
<comments xmlns="http://schemas.openxmlformats.org/spreadsheetml/2006/main">
  <authors>
    <author>Belinda Dhaliwal</author>
  </authors>
  <commentList>
    <comment ref="A20" authorId="0">
      <text>
        <r>
          <rPr>
            <b/>
            <sz val="9"/>
            <color indexed="81"/>
            <rFont val="Tahoma"/>
            <family val="2"/>
          </rPr>
          <t>Belinda Dhaliwal:</t>
        </r>
        <r>
          <rPr>
            <sz val="9"/>
            <color indexed="81"/>
            <rFont val="Tahoma"/>
            <family val="2"/>
          </rPr>
          <t xml:space="preserve">
Chapter 3 of the Filing Requirements
June 22, 2011
PG 21
2009 EDDVAR Report
July 31,2009
EB-2008-0046
PG 16</t>
        </r>
      </text>
    </comment>
  </commentList>
</comments>
</file>

<file path=xl/comments2.xml><?xml version="1.0" encoding="utf-8"?>
<comments xmlns="http://schemas.openxmlformats.org/spreadsheetml/2006/main">
  <authors>
    <author>Belinda Dhaliwal</author>
  </authors>
  <commentList>
    <comment ref="AJ7" authorId="0">
      <text>
        <r>
          <rPr>
            <b/>
            <sz val="9"/>
            <color indexed="81"/>
            <rFont val="Tahoma"/>
            <family val="2"/>
          </rPr>
          <t>Belinda Dhaliwal:</t>
        </r>
        <r>
          <rPr>
            <sz val="9"/>
            <color indexed="81"/>
            <rFont val="Tahoma"/>
            <family val="2"/>
          </rPr>
          <t xml:space="preserve">
weighted average prescribed interest rate:
Q1-2015 - 1.47% x 0.25
Q2-Q4 2015 - 1.10 x 0.75
Equals 1.19</t>
        </r>
      </text>
    </comment>
    <comment ref="Y11" authorId="0">
      <text>
        <r>
          <rPr>
            <b/>
            <sz val="9"/>
            <color indexed="81"/>
            <rFont val="Tahoma"/>
            <family val="2"/>
          </rPr>
          <t>Belinda Dhaliwal:</t>
        </r>
        <r>
          <rPr>
            <sz val="9"/>
            <color indexed="81"/>
            <rFont val="Tahoma"/>
            <family val="2"/>
          </rPr>
          <t xml:space="preserve">
2013 Closing Balance was not 0</t>
        </r>
      </text>
    </comment>
    <comment ref="AD11" authorId="0">
      <text>
        <r>
          <rPr>
            <b/>
            <sz val="9"/>
            <color indexed="81"/>
            <rFont val="Tahoma"/>
            <family val="2"/>
          </rPr>
          <t>Belinda Dhaliwal:</t>
        </r>
        <r>
          <rPr>
            <sz val="9"/>
            <color indexed="81"/>
            <rFont val="Tahoma"/>
            <family val="2"/>
          </rPr>
          <t xml:space="preserve">
2013 Closing Balance was not 0</t>
        </r>
      </text>
    </comment>
    <comment ref="Y12" authorId="0">
      <text>
        <r>
          <rPr>
            <b/>
            <sz val="9"/>
            <color indexed="81"/>
            <rFont val="Tahoma"/>
            <family val="2"/>
          </rPr>
          <t>Belinda Dhaliwal:</t>
        </r>
        <r>
          <rPr>
            <sz val="9"/>
            <color indexed="81"/>
            <rFont val="Tahoma"/>
            <family val="2"/>
          </rPr>
          <t xml:space="preserve">
2013 Closing balance was 14,447,498.21</t>
        </r>
      </text>
    </comment>
    <comment ref="AD12" authorId="0">
      <text>
        <r>
          <rPr>
            <b/>
            <sz val="9"/>
            <color indexed="81"/>
            <rFont val="Tahoma"/>
            <family val="2"/>
          </rPr>
          <t>Belinda Dhaliwal:</t>
        </r>
        <r>
          <rPr>
            <sz val="9"/>
            <color indexed="81"/>
            <rFont val="Tahoma"/>
            <family val="2"/>
          </rPr>
          <t xml:space="preserve">
2013 Closing balance was 303,050.35
</t>
        </r>
      </text>
    </comment>
  </commentList>
</comments>
</file>

<file path=xl/comments3.xml><?xml version="1.0" encoding="utf-8"?>
<comments xmlns="http://schemas.openxmlformats.org/spreadsheetml/2006/main">
  <authors>
    <author>Belinda Dhaliwal</author>
  </authors>
  <commentList>
    <comment ref="O25" authorId="0">
      <text>
        <r>
          <rPr>
            <b/>
            <sz val="9"/>
            <color indexed="81"/>
            <rFont val="Tahoma"/>
            <family val="2"/>
          </rPr>
          <t>Belinda Dhaliwal:</t>
        </r>
        <r>
          <rPr>
            <sz val="9"/>
            <color indexed="81"/>
            <rFont val="Tahoma"/>
            <family val="2"/>
          </rPr>
          <t xml:space="preserve">
The GA variance created in 2010 was by all Large Users because they were all Class B at that time.  So the related credit should be given back to all Large Users, not just Square One.</t>
        </r>
      </text>
    </comment>
  </commentList>
</comments>
</file>

<file path=xl/comments4.xml><?xml version="1.0" encoding="utf-8"?>
<comments xmlns="http://schemas.openxmlformats.org/spreadsheetml/2006/main">
  <authors>
    <author>Belinda Dhaliwal</author>
  </authors>
  <commentList>
    <comment ref="E15" authorId="0">
      <text>
        <r>
          <rPr>
            <b/>
            <sz val="9"/>
            <color indexed="81"/>
            <rFont val="Tahoma"/>
            <family val="2"/>
          </rPr>
          <t>Belinda Dhaliwal:</t>
        </r>
        <r>
          <rPr>
            <sz val="9"/>
            <color indexed="81"/>
            <rFont val="Tahoma"/>
            <family val="2"/>
          </rPr>
          <t xml:space="preserve">
Per 2014 Annual RRR Filing</t>
        </r>
      </text>
    </comment>
    <comment ref="E18" authorId="0">
      <text>
        <r>
          <rPr>
            <b/>
            <sz val="9"/>
            <color indexed="81"/>
            <rFont val="Tahoma"/>
            <family val="2"/>
          </rPr>
          <t>Belinda Dhaliwal:</t>
        </r>
        <r>
          <rPr>
            <sz val="9"/>
            <color indexed="81"/>
            <rFont val="Tahoma"/>
            <family val="2"/>
          </rPr>
          <t xml:space="preserve">
Square One Only</t>
        </r>
      </text>
    </comment>
    <comment ref="E23" authorId="0">
      <text>
        <r>
          <rPr>
            <b/>
            <sz val="9"/>
            <color indexed="81"/>
            <rFont val="Tahoma"/>
            <family val="2"/>
          </rPr>
          <t>Belinda Dhaliwal:</t>
        </r>
        <r>
          <rPr>
            <sz val="9"/>
            <color indexed="81"/>
            <rFont val="Tahoma"/>
            <family val="2"/>
          </rPr>
          <t xml:space="preserve">
Per 2014 Annual RRR Filing</t>
        </r>
      </text>
    </comment>
    <comment ref="E38" authorId="0">
      <text>
        <r>
          <rPr>
            <b/>
            <sz val="9"/>
            <color indexed="81"/>
            <rFont val="Tahoma"/>
            <family val="2"/>
          </rPr>
          <t>Belinda Dhaliwal:</t>
        </r>
        <r>
          <rPr>
            <sz val="9"/>
            <color indexed="81"/>
            <rFont val="Tahoma"/>
            <family val="2"/>
          </rPr>
          <t xml:space="preserve">
Square One Only</t>
        </r>
      </text>
    </comment>
  </commentList>
</comments>
</file>

<file path=xl/sharedStrings.xml><?xml version="1.0" encoding="utf-8"?>
<sst xmlns="http://schemas.openxmlformats.org/spreadsheetml/2006/main" count="2214" uniqueCount="702">
  <si>
    <t>Enersource Hydro Mississauga</t>
  </si>
  <si>
    <t xml:space="preserve">Variance and Deferral Accounts (Group 1) Proposed Refund </t>
  </si>
  <si>
    <t>Calculation of Threshold</t>
  </si>
  <si>
    <t>Balances as at December 31, 2014</t>
  </si>
  <si>
    <t>Rate Class</t>
  </si>
  <si>
    <t xml:space="preserve"> 2014 Metered Billed kWh</t>
  </si>
  <si>
    <t xml:space="preserve"> 2013 COS Metered Billed kWh</t>
  </si>
  <si>
    <t>Residential</t>
  </si>
  <si>
    <t>USL</t>
  </si>
  <si>
    <t>General Service Less Than 50 kW</t>
  </si>
  <si>
    <t>General Service 50 to 499 kW</t>
  </si>
  <si>
    <t>General Service 500 to 4,999 kW</t>
  </si>
  <si>
    <t>Large Use &gt; 5000 kW</t>
  </si>
  <si>
    <t>Street Lighting</t>
  </si>
  <si>
    <t>TOTAL</t>
  </si>
  <si>
    <t>Total Claim as at December 31, 2014 plus projected interest to December 31, 2015</t>
  </si>
  <si>
    <t xml:space="preserve">Total Claim per kWh </t>
  </si>
  <si>
    <t>Threshold Group 1 - $0.001/kWh (Dr or Cr)</t>
  </si>
  <si>
    <t>Result</t>
  </si>
  <si>
    <t>Summary of Group 1 Accounts</t>
  </si>
  <si>
    <t>USoA</t>
  </si>
  <si>
    <t>Principal</t>
  </si>
  <si>
    <t>Interest</t>
  </si>
  <si>
    <t>Projected Interest</t>
  </si>
  <si>
    <t>Total</t>
  </si>
  <si>
    <t>RRR Filing</t>
  </si>
  <si>
    <t>Variance</t>
  </si>
  <si>
    <t>LV Variance Account</t>
  </si>
  <si>
    <t>Smart Meter Entity Charge Variane Account</t>
  </si>
  <si>
    <t>RSVA - Wholesale Market Service Charge</t>
  </si>
  <si>
    <t>RSVA - Retail Transmission Network Charge</t>
  </si>
  <si>
    <t>RSVA - Retail Transmission Connection Charge</t>
  </si>
  <si>
    <t>RSVA - Power (excluding Global Adjustment)</t>
  </si>
  <si>
    <t>RSVA - Power - Sub-Account - Global Adjustment</t>
  </si>
  <si>
    <t>Disposition and Recovery of Regulatory Balances (2010)</t>
  </si>
  <si>
    <t>Disposition and Recovery of Regulatory Balances (2011)</t>
  </si>
  <si>
    <t>Disposition and Recovery of Regulatory Balances (2012)</t>
  </si>
  <si>
    <t>TOTAL Group 1 Accounts</t>
  </si>
  <si>
    <r>
      <t xml:space="preserve">Transactions Debit / (Credit) during 2012 excluding interest and adjustments </t>
    </r>
    <r>
      <rPr>
        <b/>
        <vertAlign val="superscript"/>
        <sz val="10"/>
        <rFont val="Arial"/>
        <family val="2"/>
      </rPr>
      <t>2</t>
    </r>
  </si>
  <si>
    <t>Board-Approved Disposition during 2012</t>
  </si>
  <si>
    <t>Closing Principal Balance as of Dec-31-12</t>
  </si>
  <si>
    <t>Opening Interest Amounts as of Jan-1-12</t>
  </si>
  <si>
    <t>Interest Jan-1 to Dec-31-12</t>
  </si>
  <si>
    <t>Adjustments during 2012 - other 1</t>
  </si>
  <si>
    <t>Closing Interest Amounts as of Dec-31-12</t>
  </si>
  <si>
    <t>Account Number</t>
  </si>
  <si>
    <t>Smart Metering Entity Charge Variance</t>
  </si>
  <si>
    <t>RSVA - Global Adjustment</t>
  </si>
  <si>
    <t>Recovery of Regulatory Asset Balances</t>
  </si>
  <si>
    <t>Group 1 Account Descriptions</t>
  </si>
  <si>
    <t>Opening Principal Amounts as of 
Jan-1-12</t>
  </si>
  <si>
    <r>
      <t>Disposition and Recovery/Refund of Regulatory Balances (2008)</t>
    </r>
    <r>
      <rPr>
        <vertAlign val="superscript"/>
        <sz val="10"/>
        <rFont val="Arial"/>
        <family val="2"/>
      </rPr>
      <t>4</t>
    </r>
  </si>
  <si>
    <r>
      <t>Disposition and Recovery/Refund of Regulatory Balances (2009)</t>
    </r>
    <r>
      <rPr>
        <vertAlign val="superscript"/>
        <sz val="10"/>
        <rFont val="Arial"/>
        <family val="2"/>
      </rPr>
      <t>4</t>
    </r>
  </si>
  <si>
    <r>
      <t>Disposition and Recovery/Refund of Regulatory Balances (2010)</t>
    </r>
    <r>
      <rPr>
        <vertAlign val="superscript"/>
        <sz val="10"/>
        <rFont val="Arial"/>
        <family val="2"/>
      </rPr>
      <t>4</t>
    </r>
  </si>
  <si>
    <r>
      <t>Disposition and Recovery/Refund of Regulatory Balances (2011)</t>
    </r>
    <r>
      <rPr>
        <vertAlign val="superscript"/>
        <sz val="10"/>
        <rFont val="Arial"/>
        <family val="2"/>
      </rPr>
      <t>4</t>
    </r>
  </si>
  <si>
    <r>
      <t>Disposition and Recovery/Refund of Regulatory Balances (2012)</t>
    </r>
    <r>
      <rPr>
        <vertAlign val="superscript"/>
        <sz val="10"/>
        <rFont val="Arial"/>
        <family val="2"/>
      </rPr>
      <t>4</t>
    </r>
  </si>
  <si>
    <r>
      <t>Disposition and Recovery/Refund of Regulatory Balances (2014)</t>
    </r>
    <r>
      <rPr>
        <vertAlign val="superscript"/>
        <sz val="10"/>
        <rFont val="Arial"/>
        <family val="2"/>
      </rPr>
      <t>4</t>
    </r>
  </si>
  <si>
    <t>Opening Principal Amounts as of Jan-1-13</t>
  </si>
  <si>
    <r>
      <t>Transactions Debit / (Credit) during 2013 excluding interest and adjustments</t>
    </r>
    <r>
      <rPr>
        <b/>
        <vertAlign val="superscript"/>
        <sz val="10"/>
        <rFont val="Arial"/>
        <family val="2"/>
      </rPr>
      <t xml:space="preserve"> 2</t>
    </r>
  </si>
  <si>
    <t>Board-Approved Disposition during 2013</t>
  </si>
  <si>
    <t>Other 1 Adjustments during Q1 2013</t>
  </si>
  <si>
    <t>Closing Principal Balance as of Dec-31-13</t>
  </si>
  <si>
    <t>Opening Interest Amounts as of Jan-1-13</t>
  </si>
  <si>
    <t>Interest Jan-1 to Dec-31-13</t>
  </si>
  <si>
    <t>Adjustments during 2013 - other 1</t>
  </si>
  <si>
    <t>Closing Interest Amounts as of Dec-31-13</t>
  </si>
  <si>
    <t>Opening Principal Amounts as of Jan-1-14</t>
  </si>
  <si>
    <r>
      <t>Transactions Debit / (Credit) during 2014 excluding interest and adjustments</t>
    </r>
    <r>
      <rPr>
        <b/>
        <vertAlign val="superscript"/>
        <sz val="10"/>
        <rFont val="Arial"/>
        <family val="2"/>
      </rPr>
      <t xml:space="preserve"> 2</t>
    </r>
  </si>
  <si>
    <t>Board-Approved Disposition during 2014</t>
  </si>
  <si>
    <t>Closing Principal Balance as of Dec-31-14</t>
  </si>
  <si>
    <t>Opening Interest Amounts as of Jan-1-14</t>
  </si>
  <si>
    <t>Interest Jan-1 to Dec-31-14</t>
  </si>
  <si>
    <t>Closing Interest Amounts as of Dec-31-14</t>
  </si>
  <si>
    <t>RSVA Global Adjustment</t>
  </si>
  <si>
    <t>Total Group 1 Excluding GA</t>
  </si>
  <si>
    <t>Total Group 1 Balances</t>
  </si>
  <si>
    <t>LRAM Variance Account</t>
  </si>
  <si>
    <t>Total Including 1568</t>
  </si>
  <si>
    <t>Principal Disposition during 2015 - instructed by Board</t>
  </si>
  <si>
    <t>Interest Disposition during 2015 - instructed by Board</t>
  </si>
  <si>
    <t>Closing Principal Balances as of Dec 31-14 Adjusted for Dispositions during 2015</t>
  </si>
  <si>
    <t>Closing Interest Balances as of Dec 31-14 Adjusted for Dispositions during 2015</t>
  </si>
  <si>
    <t>Projected Interest from Jan 1, 2015 to December 31, 2015 on Dec 31 -14 balance adjusted for disposition during 2015</t>
  </si>
  <si>
    <t>Total Claim</t>
  </si>
  <si>
    <t>Claim before Forecasted Transactions</t>
  </si>
  <si>
    <t>Check</t>
  </si>
  <si>
    <t>Per RRR Filing</t>
  </si>
  <si>
    <t>N/A</t>
  </si>
  <si>
    <r>
      <t xml:space="preserve">1595 Recovery Share Proportion (2008) </t>
    </r>
    <r>
      <rPr>
        <b/>
        <vertAlign val="superscript"/>
        <sz val="10"/>
        <rFont val="Arial"/>
        <family val="2"/>
      </rPr>
      <t>1</t>
    </r>
  </si>
  <si>
    <r>
      <t xml:space="preserve">1595 Recovery Share Proportion (2009) </t>
    </r>
    <r>
      <rPr>
        <b/>
        <vertAlign val="superscript"/>
        <sz val="10"/>
        <rFont val="Arial"/>
        <family val="2"/>
      </rPr>
      <t>1</t>
    </r>
  </si>
  <si>
    <r>
      <t xml:space="preserve">1595 Recovery Share Proportion (2010) </t>
    </r>
    <r>
      <rPr>
        <b/>
        <vertAlign val="superscript"/>
        <sz val="10"/>
        <rFont val="Arial"/>
        <family val="2"/>
      </rPr>
      <t>1</t>
    </r>
  </si>
  <si>
    <r>
      <t xml:space="preserve">1595 Recovery Share Proportion (2011) </t>
    </r>
    <r>
      <rPr>
        <b/>
        <vertAlign val="superscript"/>
        <sz val="10"/>
        <rFont val="Arial"/>
        <family val="2"/>
      </rPr>
      <t>1</t>
    </r>
  </si>
  <si>
    <r>
      <t xml:space="preserve">1595 Recovery Share Proportion (2012) </t>
    </r>
    <r>
      <rPr>
        <b/>
        <vertAlign val="superscript"/>
        <sz val="10"/>
        <rFont val="Arial"/>
        <family val="2"/>
      </rPr>
      <t>1</t>
    </r>
  </si>
  <si>
    <r>
      <t xml:space="preserve">1568 LRAM Variance Account Class Allocation                           </t>
    </r>
    <r>
      <rPr>
        <b/>
        <sz val="10"/>
        <color rgb="FFFF0000"/>
        <rFont val="Arial"/>
        <family val="2"/>
      </rPr>
      <t>($ amounts)</t>
    </r>
  </si>
  <si>
    <r>
      <t>Number of Customers for Residential and GS&lt;50 classes</t>
    </r>
    <r>
      <rPr>
        <b/>
        <vertAlign val="superscript"/>
        <sz val="10"/>
        <rFont val="Arial"/>
        <family val="2"/>
      </rPr>
      <t>3</t>
    </r>
  </si>
  <si>
    <t>Unit</t>
  </si>
  <si>
    <t>RESIDENTIAL</t>
  </si>
  <si>
    <t>$/kWh</t>
  </si>
  <si>
    <t>GENERAL SERVICE LESS THAN 50 KW</t>
  </si>
  <si>
    <t>UNMETERED SCATTERED LOAD</t>
  </si>
  <si>
    <t>GENERAL SERVICE 50 TO 499 KW</t>
  </si>
  <si>
    <t>$/kW</t>
  </si>
  <si>
    <t>GENERAL SERVICE 500 TO 4,999 KW</t>
  </si>
  <si>
    <t>LARGE USE &gt; 5000 KW</t>
  </si>
  <si>
    <t>STREET LIGHTING</t>
  </si>
  <si>
    <t>STANDBY DISTRIBUTION SERVICE</t>
  </si>
  <si>
    <t>microFIT</t>
  </si>
  <si>
    <t>Threshold Test</t>
  </si>
  <si>
    <t>Total Claim (including Account 1568)</t>
  </si>
  <si>
    <t>Total Claim for Threshold Test (All Group 1 Accounts)</t>
  </si>
  <si>
    <r>
      <t xml:space="preserve">Threshold Test (Total claim per kWh) </t>
    </r>
    <r>
      <rPr>
        <b/>
        <vertAlign val="superscript"/>
        <sz val="11"/>
        <color rgb="FFFF0000"/>
        <rFont val="Calibri"/>
        <family val="2"/>
        <scheme val="minor"/>
      </rPr>
      <t>2</t>
    </r>
  </si>
  <si>
    <t>YES</t>
  </si>
  <si>
    <t>Global Adjustment Rate Rider</t>
  </si>
  <si>
    <t>Enersource Hydro Mississauga Inc.</t>
  </si>
  <si>
    <t>Allocation of Deferral/Variance Accounts</t>
  </si>
  <si>
    <t>TABLE 1 - Allocation of Deferral/Variance Excluding GA</t>
  </si>
  <si>
    <t>1550</t>
  </si>
  <si>
    <t>1580</t>
  </si>
  <si>
    <t>1584</t>
  </si>
  <si>
    <t>1586</t>
  </si>
  <si>
    <t>1588</t>
  </si>
  <si>
    <t>LARGE USE</t>
  </si>
  <si>
    <t>1595 (Excl. GA) Recovery Share Proportion (2010)</t>
  </si>
  <si>
    <t>1595 (GA) Recovery Share Proportion (2010)</t>
  </si>
  <si>
    <t>January</t>
  </si>
  <si>
    <t>February</t>
  </si>
  <si>
    <t>March</t>
  </si>
  <si>
    <t>April</t>
  </si>
  <si>
    <t>May</t>
  </si>
  <si>
    <t>June</t>
  </si>
  <si>
    <t>July</t>
  </si>
  <si>
    <t>August</t>
  </si>
  <si>
    <t>September</t>
  </si>
  <si>
    <t>October</t>
  </si>
  <si>
    <t>November</t>
  </si>
  <si>
    <t>December</t>
  </si>
  <si>
    <t>1595 (GA) Recovery Share Proportion (2011)</t>
  </si>
  <si>
    <t>Incentive Regulation Model for 2016 Filers</t>
  </si>
  <si>
    <t>1595 (GA) Recovery Share Proportion (2012)</t>
  </si>
  <si>
    <t>1595 (Excl. GA) Recovery Share Proportion (2011)</t>
  </si>
  <si>
    <t>1595 (Excl. GA) Recovery Share Proportion (2012)</t>
  </si>
  <si>
    <t>TABLE 2 - Allocation of Account 1595 (2010)</t>
  </si>
  <si>
    <t>TABLE 2 - Allocation of Account 1595 (2011)</t>
  </si>
  <si>
    <t>TABLE 2 - Allocation of Account 1595 (2012)</t>
  </si>
  <si>
    <r>
      <rPr>
        <b/>
        <sz val="11"/>
        <color theme="1"/>
        <rFont val="Arial"/>
        <family val="2"/>
      </rPr>
      <t>Input required at cell C15 only.</t>
    </r>
    <r>
      <rPr>
        <sz val="11"/>
        <color theme="1"/>
        <rFont val="Arial"/>
        <family val="2"/>
      </rPr>
      <t xml:space="preserve">  This workshseet calculates rate riders related to the Deferral/Variance Account Disposition (if applicable), associated rate riders for the global adjustment account (1589) and Account 1568.  Rate Riders will not be generated for the microFIT class.</t>
    </r>
  </si>
  <si>
    <t>Deferral/Variance Account Rate Rider</t>
  </si>
  <si>
    <t>Billed kWh or Estimated kW for Non-RPP Customers</t>
  </si>
  <si>
    <t>Summary of Deferral/Variance Rate Riders</t>
  </si>
  <si>
    <t>TABLE 1 - Summary of Deferral/Variance Rate Riders Excluding GA (Applicable to All Customers)</t>
  </si>
  <si>
    <t>TABLE 2 - Summary of GA Deferral/Variance Rate Riders (Applicable to Non-RPP Customers)</t>
  </si>
  <si>
    <t>Global Adjustment
(Non-RPP only)</t>
  </si>
  <si>
    <t>GENERAL SERVICE 50 TO 499 KW (N0N-INTERVAL)</t>
  </si>
  <si>
    <t>GENERAL SERVICE 50 TO 499 KW (INTERVAL)</t>
  </si>
  <si>
    <t>GENERAL SERVICE 500 TO 4,999 KW (NON-INTERVAL)</t>
  </si>
  <si>
    <t>GENERAL SERVICE 500 TO 4,999 KW (INTERVAL)</t>
  </si>
  <si>
    <t>LARGE USE (CLASS B)</t>
  </si>
  <si>
    <t>EB-2015-0065</t>
  </si>
  <si>
    <t>Allocation of Balance in Account 1595 GA</t>
  </si>
  <si>
    <t>1595 GA Portion</t>
  </si>
  <si>
    <t>Re-based Billed kWh</t>
  </si>
  <si>
    <t>Re-based Billed Customers or Connections</t>
  </si>
  <si>
    <t>Re-based Billed kW</t>
  </si>
  <si>
    <t>Service Charge Revenue</t>
  </si>
  <si>
    <t>Distribution Volumetric Rate Revenue 
kWh</t>
  </si>
  <si>
    <t>Distribution Volumetric Rate Revenue 
kW</t>
  </si>
  <si>
    <t>Revenue Requirement from Rates</t>
  </si>
  <si>
    <t>Total % Revenue</t>
  </si>
  <si>
    <t>A</t>
  </si>
  <si>
    <t>B</t>
  </si>
  <si>
    <t>C</t>
  </si>
  <si>
    <t>D</t>
  </si>
  <si>
    <t>E</t>
  </si>
  <si>
    <t>F</t>
  </si>
  <si>
    <t>G = A * D *12</t>
  </si>
  <si>
    <t>H = B * E</t>
  </si>
  <si>
    <t>I = C * F</t>
  </si>
  <si>
    <t>J = G + H + I</t>
  </si>
  <si>
    <t>K = G / J</t>
  </si>
  <si>
    <t>L = H / J</t>
  </si>
  <si>
    <t>M = I / J</t>
  </si>
  <si>
    <t>N = J / R</t>
  </si>
  <si>
    <t>Rate Base</t>
  </si>
  <si>
    <t>Federal Tax Rate</t>
  </si>
  <si>
    <t>Summary - Sharing of Tax Change Forecast Amounts</t>
  </si>
  <si>
    <t xml:space="preserve">1. Tax Related Amounts Forecast from Capital Tax Rate Changes </t>
  </si>
  <si>
    <r>
      <t xml:space="preserve">Taxable Capital </t>
    </r>
    <r>
      <rPr>
        <b/>
        <sz val="12"/>
        <color rgb="FFFF0000"/>
        <rFont val="Calibri"/>
        <family val="2"/>
        <scheme val="minor"/>
      </rPr>
      <t>(if you are not claiming capital tax, please enter your Board-Approved Rate Base)</t>
    </r>
  </si>
  <si>
    <t>Deduction from taxable capital up to $15,000,000</t>
  </si>
  <si>
    <t xml:space="preserve">Net Taxable Capital </t>
  </si>
  <si>
    <t>Rate</t>
  </si>
  <si>
    <t>Ontario Capital Tax (Deductible, not grossed-up)</t>
  </si>
  <si>
    <t xml:space="preserve">2. Tax Related Amounts Forecast from lncome Tax Rate Changes </t>
  </si>
  <si>
    <t>Regulatory Taxable Income</t>
  </si>
  <si>
    <t>Corporate Tax Rate</t>
  </si>
  <si>
    <t xml:space="preserve">Tax Impact </t>
  </si>
  <si>
    <t>Grossed-up Tax Amount</t>
  </si>
  <si>
    <t xml:space="preserve">Tax Related Amounts Forecast from Capital Tax Rate Changes </t>
  </si>
  <si>
    <t xml:space="preserve">Tax Related Amounts Forecast from lncome Tax Rate Changes </t>
  </si>
  <si>
    <t>Total Tax Related Amounts</t>
  </si>
  <si>
    <t>Incremental Tax Savings</t>
  </si>
  <si>
    <t>Sharing of Tax Savings (50%)</t>
  </si>
  <si>
    <t>Allocation of Tax Savings by Rate Class</t>
  </si>
  <si>
    <t>Billed kW</t>
  </si>
  <si>
    <t>No input required.  This sheet consolidates all Current Retail Transmission Rates entered on Sheet 4.</t>
  </si>
  <si>
    <t>Rate Description</t>
  </si>
  <si>
    <t>Retail Transmission Rate - Network Service Rate</t>
  </si>
  <si>
    <t>Retail Transmission Rate - Line and Transformation Connection Service Rate</t>
  </si>
  <si>
    <t>Retail Transmission Rate - Network Service Rate - Interval Metered</t>
  </si>
  <si>
    <t>Retail Transmission Rate - Line and Transformation Connection Service Rate - Interval Metered</t>
  </si>
  <si>
    <t>Non-Loss Adjusted Metered kWh</t>
  </si>
  <si>
    <t>Non-Loss Adjusted Metered kW</t>
  </si>
  <si>
    <t>Applicable Loss Factor</t>
  </si>
  <si>
    <t>Loss Adjusted Billed kWh</t>
  </si>
  <si>
    <t>Uniform Transmission Rates</t>
  </si>
  <si>
    <t>Network Service Rate</t>
  </si>
  <si>
    <t>kW</t>
  </si>
  <si>
    <t>Line Connection Service Rate</t>
  </si>
  <si>
    <t>Transformation Connection Service Rate</t>
  </si>
  <si>
    <t>Hydro One Sub-Transmission Rates</t>
  </si>
  <si>
    <t>Both Line and Transformation Connection Service Rate</t>
  </si>
  <si>
    <t>If needed , add extra host here (I)</t>
  </si>
  <si>
    <t>If needed , add extra host here (II)</t>
  </si>
  <si>
    <t>Hydro One Sub-Transmission Rate Rider 9A</t>
  </si>
  <si>
    <t>RSVA Transmission network – 4714 – which affects 1584</t>
  </si>
  <si>
    <t>RSVA Transmission connection – 4716 – which affects 1586</t>
  </si>
  <si>
    <t>RSVA LV – 4750 – which affects 1550</t>
  </si>
  <si>
    <t xml:space="preserve">RARA 1 – 2252 – which affects 1590 </t>
  </si>
  <si>
    <t>RARA 1 – 2252 – which affects 1590 (2008)</t>
  </si>
  <si>
    <t>RARA 1 – 2252 – which affects 1590 (2009)</t>
  </si>
  <si>
    <t>Low Voltage Switchgear Credit (if applicable, enter as a negative value)</t>
  </si>
  <si>
    <t>$</t>
  </si>
  <si>
    <t xml:space="preserve">In the green shaded cells, enter billing detail for wholesale transmission for the same reporting period as the billing determinants on Sheet "14. RTSR RRR Data".  For Hydro One Sub-transmission Rates, if you are charged a combined Line and Transformer connection rate, please ensure that both the line connection and transformer connection columns are completed.
</t>
  </si>
  <si>
    <t>IESO</t>
  </si>
  <si>
    <t>Network</t>
  </si>
  <si>
    <t>Line Connection</t>
  </si>
  <si>
    <t>Transformation Connection</t>
  </si>
  <si>
    <t>Total Line</t>
  </si>
  <si>
    <t>Month</t>
  </si>
  <si>
    <t>Units Billed</t>
  </si>
  <si>
    <t>Amount</t>
  </si>
  <si>
    <t>Hydro One</t>
  </si>
  <si>
    <t>Add Extra Host Here (I)</t>
  </si>
  <si>
    <t>(if needed)</t>
  </si>
  <si>
    <t>Add Extra Host Here (II)</t>
  </si>
  <si>
    <t>Transformer Allowance Credit (if applicable)</t>
  </si>
  <si>
    <t>Total including deduction for Transformer Allowance Credit</t>
  </si>
  <si>
    <t>The purpose of this sheet is to calculate the expected billing when current 2014 Uniform Transmission Rates are applied against historical 2013 transmission units.</t>
  </si>
  <si>
    <t>The purpose of this sheet is to calculate the expected billing when forecasted 2015 Uniform Transmission Rates are applied against historical 2013 transmission units.</t>
  </si>
  <si>
    <t>Current RTSR-Network</t>
  </si>
  <si>
    <t>Billed Amount</t>
  </si>
  <si>
    <t>Billed Amount %</t>
  </si>
  <si>
    <t>Current Wholesale Billing</t>
  </si>
  <si>
    <t>Current RTSR-Connection</t>
  </si>
  <si>
    <t>Adjusted RTSR-Network</t>
  </si>
  <si>
    <t>Adjusted RTSR-Connection</t>
  </si>
  <si>
    <t>NO</t>
  </si>
  <si>
    <t>Price Escalator</t>
  </si>
  <si>
    <t>Choose Stretch Factor Group</t>
  </si>
  <si>
    <t>II</t>
  </si>
  <si>
    <t>Productivity Factor</t>
  </si>
  <si>
    <t>Associated Stretch Factor Value</t>
  </si>
  <si>
    <t>Price Cap Index</t>
  </si>
  <si>
    <t>Current MFC</t>
  </si>
  <si>
    <t>MFC Adjustment from R/C Model</t>
  </si>
  <si>
    <t>Current  Volumetric Charge</t>
  </si>
  <si>
    <t>DVR Adjustment from R/C Model</t>
  </si>
  <si>
    <t>Price Cap Index to be Applied to MFC and DVR</t>
  </si>
  <si>
    <t>Proposed MFC</t>
  </si>
  <si>
    <t>Proposed Volumetric Charge</t>
  </si>
  <si>
    <t>ALLOWANCES</t>
  </si>
  <si>
    <t>Transformer Allowance for Ownership - per kW of billing demand/month</t>
  </si>
  <si>
    <t>%</t>
  </si>
  <si>
    <t>SPECIFIC SERVICE CHARGES</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</si>
  <si>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</si>
  <si>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</si>
  <si>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</si>
  <si>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</si>
  <si>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Arrears certificate</t>
  </si>
  <si>
    <t>Request for other billing information</t>
  </si>
  <si>
    <t>Credit Reference/credit check (plus credit agency costs)</t>
  </si>
  <si>
    <t>Income Tax Letter</t>
  </si>
  <si>
    <t>Returned cheque (plus bank charges)</t>
  </si>
  <si>
    <t>Account set up charge/change of occupancy charge (plus credit agency costs if applicable)</t>
  </si>
  <si>
    <t>Meter dispute charge plus Measurement Canada fees (if meter found correct)</t>
  </si>
  <si>
    <t>Special meter reads</t>
  </si>
  <si>
    <t>Interval meter request change</t>
  </si>
  <si>
    <t>Non-Payment of Account</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</si>
  <si>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</si>
  <si>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</si>
  <si>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</si>
  <si>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</si>
  <si>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</si>
  <si>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</si>
  <si>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</si>
  <si>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</si>
  <si>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</si>
  <si>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</si>
  <si>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</si>
  <si>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</si>
  <si>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</si>
  <si>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</si>
  <si>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</si>
  <si>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</si>
  <si>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</si>
  <si>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</si>
  <si>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RESIDENTIAL SERVICE CLASSIFICATION</t>
  </si>
  <si>
    <t>GENERAL SERVICE LESS THAN 50 KW SERVICE CLASSIFICATION</t>
  </si>
  <si>
    <t>UNMETERED SCATTERED LOAD SERVICE CLASSIFICATION</t>
  </si>
  <si>
    <t>GENERAL SERVICE 50 TO 499 KW SERVICE CLASSIFICATION</t>
  </si>
  <si>
    <t>GENERAL SERVICE 500 TO 4,999 KW SERVICE CLASSIFICATION</t>
  </si>
  <si>
    <t>STREET LIGHTING SERVICE CLASSIFICATION</t>
  </si>
  <si>
    <t>microFIT SERVICE CLASSIFICATION</t>
  </si>
  <si>
    <t>Wholesale Market Service Rate</t>
  </si>
  <si>
    <t>Rural or Remote Electricity Rate Protection Charge (RRRP)</t>
  </si>
  <si>
    <t>Standard Supply Service - Administrative Charge (if applicable)</t>
  </si>
  <si>
    <t>TARIFF OF RATES AND CHARGES</t>
  </si>
  <si>
    <t>This schedule supersedes and replaces all previously</t>
  </si>
  <si>
    <t>approved schedules of Rates, Charges and Loss Factors</t>
  </si>
  <si>
    <t>This classification refers to all residential services including, without limitation, single family or single unit dwellings, multi-family dwellings, row-type dwellings and subdivision developments. Energy is supplied in single phase, 3-wire, or three phase, 4-wire, having a nominal voltage of 120/240 Volts. There shall be only one delivery point to a dwelling.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</si>
  <si>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</si>
  <si>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MONTHLY RATES AND CHARGES - Delivery Component</t>
  </si>
  <si>
    <t>Service Charge</t>
  </si>
  <si>
    <t>Rate Rider for Smart Metering Entity Charge - effective until October 31, 2018</t>
  </si>
  <si>
    <t>Distribution Volumetric Rate</t>
  </si>
  <si>
    <t>Low Voltage Service Rate</t>
  </si>
  <si>
    <t>MONTHLY RATES AND CHARGES - Regulatory Component</t>
  </si>
  <si>
    <t>This classification refers to a non-residential account whose monthly average peak demand is less than, or is forecast to be less than, 50 kW. Further servicing details are available in the distributor’s Conditions of Service.</t>
  </si>
  <si>
    <t>Service Charge (per connection)</t>
  </si>
  <si>
    <t>This classification refers to a non-residential account whose monthly average peak demand is equal to or greater than, or is forecast to be equal to or greater than, 50 kW but less than 500 kW. Further servicing details are available in the distributor’s Conditions of Service.</t>
  </si>
  <si>
    <t>This classification refers to a non-residential account whose monthly average peak demand is equal to or greater than, or is forecast to be equal to or greater than, 500 kW but less than 5,000 kW. Further servicing details are available in the distributor’s Conditions of Service.</t>
  </si>
  <si>
    <t>This classification refers to an account whose monthly average peak demand is equal to or greater than, or is forecast to be equal to or greater than, 5,000 kW. Further servicing details are available in the distributor’s Conditions of Service.</t>
  </si>
  <si>
    <t>This classification refers to an account for roadway lighting. Street Lighting is unmetered where energy consumption is estimated based on the connected wattage and calculated hours of use using methods established by the Ontario Energy Board. Further servicing details are available in the distributor’s Conditions of Service.</t>
  </si>
  <si>
    <t>Service Charge (per light)</t>
  </si>
  <si>
    <t>This classification refers to an account that requires Enersource Hydro Mississauga to provide distribution service on a standby basis as a back-up supply to an on-site generator. Further servicing details are available in the distributor’s Conditions of Service.</t>
  </si>
  <si>
    <t>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t>
  </si>
  <si>
    <t>MICROFIT SERVICE CLASSIFICATION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</si>
  <si>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</si>
  <si>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Loss Factor</t>
  </si>
  <si>
    <t>Consumption</t>
  </si>
  <si>
    <t xml:space="preserve"> kWh</t>
  </si>
  <si>
    <t>If Billed on a kW basis:</t>
  </si>
  <si>
    <t>Demand</t>
  </si>
  <si>
    <t>Current Board-Approved</t>
  </si>
  <si>
    <t>Proposed</t>
  </si>
  <si>
    <t>Impact</t>
  </si>
  <si>
    <t>Volume</t>
  </si>
  <si>
    <t>Charge</t>
  </si>
  <si>
    <t>$ Change</t>
  </si>
  <si>
    <t>% Change</t>
  </si>
  <si>
    <t>($)</t>
  </si>
  <si>
    <t>Monthly Service Charge</t>
  </si>
  <si>
    <t>Fixed Rate Riders</t>
  </si>
  <si>
    <t>Volumetric Rate Riders</t>
  </si>
  <si>
    <t>Sub-Total A (excluding pass through)</t>
  </si>
  <si>
    <t>Line Losses on Cost of Power</t>
  </si>
  <si>
    <t>Total Deferral/Variance Account Rate Riders</t>
  </si>
  <si>
    <t>Low Voltage Service Charge</t>
  </si>
  <si>
    <t>Smart Meter Entity Charge</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</si>
  <si>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</si>
  <si>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</si>
  <si>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</si>
  <si>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</si>
  <si>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</si>
  <si>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</si>
  <si>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</si>
  <si>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Debt Retirement Charge (DRC)</t>
  </si>
  <si>
    <t>TOU - Off Peak</t>
  </si>
  <si>
    <t>TOU - Mid Peak</t>
  </si>
  <si>
    <t>TOU - On Peak</t>
  </si>
  <si>
    <t>Total Bill on TOU (before Taxes)</t>
  </si>
  <si>
    <t>HST</t>
  </si>
  <si>
    <r>
      <t xml:space="preserve">Total Bill </t>
    </r>
    <r>
      <rPr>
        <sz val="10"/>
        <rFont val="Arial"/>
        <family val="2"/>
      </rPr>
      <t>(including HST)</t>
    </r>
  </si>
  <si>
    <r>
      <t xml:space="preserve">Ontario Clean Energy Benefit </t>
    </r>
    <r>
      <rPr>
        <b/>
        <i/>
        <vertAlign val="superscript"/>
        <sz val="10"/>
        <rFont val="Arial"/>
        <family val="2"/>
      </rPr>
      <t>1</t>
    </r>
  </si>
  <si>
    <t>Total Bill on TOU (including OCEB)</t>
  </si>
  <si>
    <t>Note:  For distributors who have a majority of customers on Tiered pricing, please provide a separate bill impact for such customers.</t>
  </si>
  <si>
    <t>1589 GA (2013)</t>
  </si>
  <si>
    <t>1589 GA (2014)</t>
  </si>
  <si>
    <t>TOTAL GA</t>
  </si>
  <si>
    <r>
      <t xml:space="preserve">Billed </t>
    </r>
    <r>
      <rPr>
        <b/>
        <sz val="11"/>
        <color rgb="FFFF0000"/>
        <rFont val="Arial"/>
        <family val="2"/>
      </rPr>
      <t>kWh</t>
    </r>
    <r>
      <rPr>
        <b/>
        <sz val="10"/>
        <rFont val="Arial"/>
        <family val="2"/>
      </rPr>
      <t xml:space="preserve"> for Wholesale Market Participants (WMP)</t>
    </r>
  </si>
  <si>
    <r>
      <t xml:space="preserve">Billed </t>
    </r>
    <r>
      <rPr>
        <b/>
        <sz val="11"/>
        <color rgb="FFFF0000"/>
        <rFont val="Arial"/>
        <family val="2"/>
      </rPr>
      <t>kW</t>
    </r>
    <r>
      <rPr>
        <b/>
        <sz val="10"/>
        <rFont val="Arial"/>
        <family val="2"/>
      </rPr>
      <t xml:space="preserve"> for Wholesale Market Participants (WMP)</t>
    </r>
  </si>
  <si>
    <r>
      <t xml:space="preserve">Total Metered </t>
    </r>
    <r>
      <rPr>
        <b/>
        <sz val="10"/>
        <color rgb="FFFF0000"/>
        <rFont val="Arial"/>
        <family val="2"/>
      </rPr>
      <t xml:space="preserve">kWh </t>
    </r>
    <r>
      <rPr>
        <b/>
        <sz val="10"/>
        <rFont val="Arial"/>
        <family val="2"/>
      </rPr>
      <t xml:space="preserve">less WMP consumption
</t>
    </r>
    <r>
      <rPr>
        <b/>
        <i/>
        <sz val="10"/>
        <rFont val="Arial"/>
        <family val="2"/>
      </rPr>
      <t>(if applicable)</t>
    </r>
  </si>
  <si>
    <r>
      <t xml:space="preserve">Total Metered </t>
    </r>
    <r>
      <rPr>
        <b/>
        <sz val="10"/>
        <color rgb="FFFF0000"/>
        <rFont val="Arial"/>
        <family val="2"/>
      </rPr>
      <t xml:space="preserve">kW </t>
    </r>
    <r>
      <rPr>
        <b/>
        <sz val="10"/>
        <rFont val="Arial"/>
        <family val="2"/>
      </rPr>
      <t xml:space="preserve">less WMP consumption 
</t>
    </r>
    <r>
      <rPr>
        <b/>
        <i/>
        <sz val="10"/>
        <rFont val="Arial"/>
        <family val="2"/>
      </rPr>
      <t>(if applicable)</t>
    </r>
  </si>
  <si>
    <r>
      <t xml:space="preserve">1595 Recovery Share Proportion (2013) </t>
    </r>
    <r>
      <rPr>
        <b/>
        <vertAlign val="superscript"/>
        <sz val="10"/>
        <rFont val="Arial"/>
        <family val="2"/>
      </rPr>
      <t>1</t>
    </r>
  </si>
  <si>
    <r>
      <t xml:space="preserve">1595 Recovery Share Proportion (2014) </t>
    </r>
    <r>
      <rPr>
        <b/>
        <vertAlign val="superscript"/>
        <sz val="10"/>
        <rFont val="Arial"/>
        <family val="2"/>
      </rPr>
      <t>1</t>
    </r>
  </si>
  <si>
    <r>
      <t xml:space="preserve">Billed </t>
    </r>
    <r>
      <rPr>
        <b/>
        <sz val="10"/>
        <color rgb="FFFF0000"/>
        <rFont val="Arial"/>
        <family val="2"/>
      </rPr>
      <t>kWh</t>
    </r>
    <r>
      <rPr>
        <b/>
        <sz val="10"/>
        <rFont val="Arial"/>
        <family val="2"/>
      </rPr>
      <t xml:space="preserve"> for Class A, Non-WMP Customers 
(if applicable)</t>
    </r>
  </si>
  <si>
    <r>
      <t xml:space="preserve">Billed </t>
    </r>
    <r>
      <rPr>
        <b/>
        <sz val="10"/>
        <color rgb="FFFF0000"/>
        <rFont val="Arial"/>
        <family val="2"/>
      </rPr>
      <t>kW</t>
    </r>
    <r>
      <rPr>
        <b/>
        <sz val="10"/>
        <rFont val="Arial"/>
        <family val="2"/>
      </rPr>
      <t xml:space="preserve"> for 
Class A, Non-WMP Customers 
(if applicable)</t>
    </r>
  </si>
  <si>
    <r>
      <t xml:space="preserve">Billed </t>
    </r>
    <r>
      <rPr>
        <b/>
        <sz val="10"/>
        <color rgb="FFFF0000"/>
        <rFont val="Arial"/>
        <family val="2"/>
      </rPr>
      <t>kWh</t>
    </r>
    <r>
      <rPr>
        <b/>
        <sz val="10"/>
        <rFont val="Arial"/>
        <family val="2"/>
      </rPr>
      <t xml:space="preserve"> for Non-RPP Customers LESS Class A Consumption</t>
    </r>
  </si>
  <si>
    <r>
      <t xml:space="preserve">Billed </t>
    </r>
    <r>
      <rPr>
        <b/>
        <sz val="10"/>
        <color rgb="FFFF0000"/>
        <rFont val="Arial"/>
        <family val="2"/>
      </rPr>
      <t>kW</t>
    </r>
    <r>
      <rPr>
        <b/>
        <sz val="10"/>
        <rFont val="Arial"/>
        <family val="2"/>
      </rPr>
      <t xml:space="preserve"> for Non-RPP Customers LESS Class A Demand</t>
    </r>
  </si>
  <si>
    <t>Enersource Hydro Mississauga Inc</t>
  </si>
  <si>
    <t>EB - 2015-0065</t>
  </si>
  <si>
    <t>Appendix 1</t>
  </si>
  <si>
    <t>Global Adjustment  - Variance Account  1589</t>
  </si>
  <si>
    <t>Breakdown between Interval and Non-Interval Customers</t>
  </si>
  <si>
    <t>Table 1 - Variance Allocation Between Interval &amp; Non-Interval</t>
  </si>
  <si>
    <t>Meter Type</t>
  </si>
  <si>
    <t>Global Adjustment Billing Methodology</t>
  </si>
  <si>
    <t>Revenue</t>
  </si>
  <si>
    <t>Cost</t>
  </si>
  <si>
    <t>Subtotal</t>
  </si>
  <si>
    <t>Total Variance Claim</t>
  </si>
  <si>
    <t>Interval</t>
  </si>
  <si>
    <t>2013 - (2nd Estimate)</t>
  </si>
  <si>
    <t>Non-Interval</t>
  </si>
  <si>
    <t>2013 - (1st Estimate)</t>
  </si>
  <si>
    <t>Interval &amp; Non Interval</t>
  </si>
  <si>
    <t>2014 - (1st Estimate)</t>
  </si>
  <si>
    <t>Table 2 - Allocation of 2013 Variance to Interval Customers</t>
  </si>
  <si>
    <t>Allocation (%)</t>
  </si>
  <si>
    <t>$ Allocation</t>
  </si>
  <si>
    <t>Actual 2014 kW for Non-RPP Customers</t>
  </si>
  <si>
    <t>$/Unit</t>
  </si>
  <si>
    <t>General Service 50 to 499 KW</t>
  </si>
  <si>
    <t>General Service 500 to 4999 KW</t>
  </si>
  <si>
    <t>Large Use</t>
  </si>
  <si>
    <t>Streetlight</t>
  </si>
  <si>
    <t>Table 3 - Allocation of 2013 Variance to Non Interval Customers</t>
  </si>
  <si>
    <t>Actual 2014 Billed kWh or kW for Non-RPP Customers</t>
  </si>
  <si>
    <t>General Service Less Than 50 KW</t>
  </si>
  <si>
    <t>Unmetered Scattered Load</t>
  </si>
  <si>
    <t>Table 4 - Allocation of 2014 Variance to Interval &amp; Non Interval Customers</t>
  </si>
  <si>
    <t>2014 GA Billed kWh for Non-RPP Customers</t>
  </si>
  <si>
    <t>Residential Service Classification</t>
  </si>
  <si>
    <t>General Service Less Than 50 kW Service Classification</t>
  </si>
  <si>
    <t>General Service 50 To 499 kW Service Classification</t>
  </si>
  <si>
    <t>General Service 500 To 4,999 kW Service Classification</t>
  </si>
  <si>
    <t>Large Use Service Classification</t>
  </si>
  <si>
    <t>Unmetered Scattered Load Service Classification</t>
  </si>
  <si>
    <t>Street Lighting Service Classification</t>
  </si>
  <si>
    <t>Effective 
January 1, 2014</t>
  </si>
  <si>
    <t>Effective 
January 1, 2015</t>
  </si>
  <si>
    <t>Effective 
January 1, 2016</t>
  </si>
  <si>
    <t>Historical 2014</t>
  </si>
  <si>
    <t>Current 2015</t>
  </si>
  <si>
    <t>Forecast 2016</t>
  </si>
  <si>
    <t>The purpose of this table is to re-align the current RTS Network Rates to recover current wholesale network costs.</t>
  </si>
  <si>
    <t>Adjusted RTSR Network</t>
  </si>
  <si>
    <t>The purpose of this table is to re-align the current RTS Connection Rates to recover current wholesale connection costs.</t>
  </si>
  <si>
    <t>The purpose of this table is to update the re-aligned RTS Network Rates to recover future wholesale network costs.</t>
  </si>
  <si>
    <t>Proposed RTSR-Network</t>
  </si>
  <si>
    <t>The purpose of this table is to update the re-aligned RTS Connection Rates to recover future wholesale connection costs.</t>
  </si>
  <si>
    <t>Proposed RTSR-Connection</t>
  </si>
  <si>
    <t>If applicable, please enter any adjustments related to the revenue to cost ratio model into columns C and E.  The Price Escalator and Stretch Factor have been set at the 2015 values and will be updated by Board staff at a later date.</t>
  </si>
  <si>
    <t xml:space="preserve"># of Residential Customers </t>
  </si>
  <si>
    <t xml:space="preserve">Billed kWh </t>
  </si>
  <si>
    <t>Rate Design Transition Years Left</t>
  </si>
  <si>
    <t>LARGE USE SERVICE CLASSIFICATION</t>
  </si>
  <si>
    <t>Rate Design Transition</t>
  </si>
  <si>
    <t>Revenue from Rates</t>
  </si>
  <si>
    <t>Current F/V Split</t>
  </si>
  <si>
    <t>Decoupling MFC Split</t>
  </si>
  <si>
    <t>Incremental Fixed Charge ($/month/year)</t>
  </si>
  <si>
    <t>New F/V Split</t>
  </si>
  <si>
    <r>
      <t>Adjusted Rates</t>
    </r>
    <r>
      <rPr>
        <b/>
        <vertAlign val="superscript"/>
        <sz val="10"/>
        <color theme="1"/>
        <rFont val="Arial"/>
        <family val="2"/>
      </rPr>
      <t>1</t>
    </r>
  </si>
  <si>
    <t xml:space="preserve">Revenue at New F/V Split </t>
  </si>
  <si>
    <t>Current Residential Fixed Rate (inclusive of R/C adj.)</t>
  </si>
  <si>
    <t>Current Residential Variable Rate (inclusive of R/C adj.)</t>
  </si>
  <si>
    <r>
      <t>1</t>
    </r>
    <r>
      <rPr>
        <sz val="11"/>
        <color theme="1"/>
        <rFont val="Calibri"/>
        <family val="2"/>
        <scheme val="minor"/>
      </rPr>
      <t xml:space="preserve"> These are the residential rates to which the Price Cap Index will be applied to.</t>
    </r>
  </si>
  <si>
    <t>Update the following rates if a Board Decision has been issued at the time of completing this application</t>
  </si>
  <si>
    <t>Ontario Electricity Support Program (OESP)</t>
  </si>
  <si>
    <r>
      <t xml:space="preserve">In the Green Cells below, enter any proposed rate riders that are not already included in this model (e.g:  proposed ICM rate riders).  Please note that existing SMIRR and SM Entity Charge do not need to be included below.
In column A, the rate rider descriptions must begin with </t>
    </r>
    <r>
      <rPr>
        <b/>
        <sz val="10"/>
        <color theme="1"/>
        <rFont val="Arial"/>
        <family val="2"/>
      </rPr>
      <t>"Rate Rider for".</t>
    </r>
    <r>
      <rPr>
        <sz val="10"/>
        <color theme="1"/>
        <rFont val="Arial"/>
        <family val="2"/>
      </rPr>
      <t xml:space="preserve">  
In column B, choose the associated unit from the drop-down menu.
In column C, enter the rate.  All rate riders with a "$" unit should be rounded to 2 decimal places and all others rounded to 4 decimal places.</t>
    </r>
  </si>
  <si>
    <t>STANDBY POWER SERVICE CLASSIFICATION</t>
  </si>
  <si>
    <t>X</t>
  </si>
  <si>
    <t>Enersource Hydro Mississauga Inc._Start</t>
  </si>
  <si>
    <t>EB-2014-0068</t>
  </si>
  <si>
    <t>1_RESIDENTIAL SERVICE CLASSIFICATION</t>
  </si>
  <si>
    <t>1_APPLICATION</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</si>
  <si>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
</t>
  </si>
  <si>
    <t>1_MRC_Del</t>
  </si>
  <si>
    <t>1_RESIDENTIAL SERVICE CLASSIFICATION_MSC</t>
  </si>
  <si>
    <t>1_RESIDENTIAL SERVICE CLASSIFICATION_SME</t>
  </si>
  <si>
    <t>1_RESIDENTIAL SERVICE CLASSIFICATION_DVC</t>
  </si>
  <si>
    <t>1_RESIDENTIAL SERVICE CLASSIFICATION_DEFVAR_ALL</t>
  </si>
  <si>
    <t>1_RESIDENTIAL SERVICE CLASSIFICATION_DVA_RR_2016</t>
  </si>
  <si>
    <t>1_RESIDENTIAL SERVICE CLASSIFICATION_LV</t>
  </si>
  <si>
    <t>1_RESIDENTIAL SERVICE CLASSIFICATION_LRAM</t>
  </si>
  <si>
    <t>1_RESIDENTIAL SERVICE CLASSIFICATION_DVA_RR_2016_1568</t>
  </si>
  <si>
    <t>1_RESIDENTIAL SERVICE CLASSIFICATION_Retail Transmission Rate - Network Service Rate</t>
  </si>
  <si>
    <t>RESIDENTIAL SERVICE CLASSIFICATION_Retail Transmission Rate - Network Service Rate</t>
  </si>
  <si>
    <t>1_RESIDENTIAL SERVICE CLASSIFICATION_Retail Transmission Rate - Line and Transformation Connection Service Rate</t>
  </si>
  <si>
    <t>RESIDENTIAL SERVICE CLASSIFICATION_Retail Transmission Rate - Line and Transformation Connection Service Rate</t>
  </si>
  <si>
    <t>1_MRC_Reg</t>
  </si>
  <si>
    <t>1_RESIDENTIAL SERVICE CLASSIFICATION_WMSR</t>
  </si>
  <si>
    <t>1_RESIDENTIAL SERVICE CLASSIFICATION_RRRP</t>
  </si>
  <si>
    <t>1_RESIDENTIAL SERVICE CLASSIFICATION_SSS</t>
  </si>
  <si>
    <t>2_GENERAL SERVICE LESS THAN 50 KW SERVICE CLASSIFICATION</t>
  </si>
  <si>
    <t>2_APPLICATION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</si>
  <si>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</si>
  <si>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2_MRC_Del</t>
  </si>
  <si>
    <t>2_GENERAL SERVICE LESS THAN 50 KW SERVICE CLASSIFICATION_MSC</t>
  </si>
  <si>
    <t>2_GENERAL SERVICE LESS THAN 50 KW SERVICE CLASSIFICATION_SME</t>
  </si>
  <si>
    <t>2_GENERAL SERVICE LESS THAN 50 KW SERVICE CLASSIFICATION_DVC</t>
  </si>
  <si>
    <t>2_GENERAL SERVICE LESS THAN 50 KW SERVICE CLASSIFICATION_DEFVAR_ALL</t>
  </si>
  <si>
    <t>2_GENERAL SERVICE LESS THAN 50 KW SERVICE CLASSIFICATION_DVA_RR_2016</t>
  </si>
  <si>
    <t>2_GENERAL SERVICE LESS THAN 50 KW SERVICE CLASSIFICATION_GA_kwh</t>
  </si>
  <si>
    <t>2_GENERAL SERVICE LESS THAN 50 KW SERVICE CLASSIFICATION_DVA_RR_2016_1589</t>
  </si>
  <si>
    <t>2_GENERAL SERVICE LESS THAN 50 KW SERVICE CLASSIFICATION_LV</t>
  </si>
  <si>
    <t>2_GENERAL SERVICE LESS THAN 50 KW SERVICE CLASSIFICATION_Retail Transmission Rate - Network Service Rate</t>
  </si>
  <si>
    <t>GENERAL SERVICE LESS THAN 50 KW SERVICE CLASSIFICATION_Retail Transmission Rate - Network Service Rate</t>
  </si>
  <si>
    <t>2_GENERAL SERVICE LESS THAN 50 KW SERVICE CLASSIFICATION_Retail Transmission Rate - Line and Transformation Connection Service Rate</t>
  </si>
  <si>
    <t>GENERAL SERVICE LESS THAN 50 KW SERVICE CLASSIFICATION_Retail Transmission Rate - Line and Transformation Connection Service Rate</t>
  </si>
  <si>
    <t>2_MRC_Reg</t>
  </si>
  <si>
    <t>2_GENERAL SERVICE LESS THAN 50 KW SERVICE CLASSIFICATION_WMSR</t>
  </si>
  <si>
    <t>2_GENERAL SERVICE LESS THAN 50 KW SERVICE CLASSIFICATION_RRRP</t>
  </si>
  <si>
    <t>2_GENERAL SERVICE LESS THAN 50 KW SERVICE CLASSIFICATION_SSS</t>
  </si>
  <si>
    <t>3_GENERAL SERVICE 50 TO 499 KW SERVICE CLASSIFICATION</t>
  </si>
  <si>
    <t>3_APPLICATION</t>
  </si>
  <si>
    <t>Billing demands are established at the greater of 100% of the kW, or 90% of the kVa amounts.</t>
  </si>
  <si>
    <t>3_MRC_Del</t>
  </si>
  <si>
    <t>3_GENERAL SERVICE 50 TO 499 KW SERVICE CLASSIFICATION_MSC</t>
  </si>
  <si>
    <t>3_GENERAL SERVICE 50 TO 499 KW SERVICE CLASSIFICATION_DVC</t>
  </si>
  <si>
    <t>3_GENERAL SERVICE 50 TO 499 KW SERVICE CLASSIFICATION_DEFVAR_ALL</t>
  </si>
  <si>
    <t>3_GENERAL SERVICE 50 TO 499 KW SERVICE CLASSIFICATION_DVA_RR_2016</t>
  </si>
  <si>
    <t>3_GENERAL SERVICE 50 TO 499 KW SERVICE CLASSIFICATION_GA_kw</t>
  </si>
  <si>
    <t>3_GENERAL SERVICE 50 TO 499 KW SERVICE CLASSIFICATION_DVA_RR_2016_1589</t>
  </si>
  <si>
    <t>3_GENERAL SERVICE 50 TO 499 KW SERVICE CLASSIFICATION_LV</t>
  </si>
  <si>
    <t>3_GENERAL SERVICE 50 TO 499 KW SERVICE CLASSIFICATION_LRAM</t>
  </si>
  <si>
    <t>3_GENERAL SERVICE 50 TO 499 KW SERVICE CLASSIFICATION_DVA_RR_2016_1568</t>
  </si>
  <si>
    <t>3_GENERAL SERVICE 50 TO 499 KW SERVICE CLASSIFICATION_Retail Transmission Rate - Network Service Rate</t>
  </si>
  <si>
    <t>GENERAL SERVICE 50 TO 499 KW SERVICE CLASSIFICATION_Retail Transmission Rate - Network Service Rate</t>
  </si>
  <si>
    <t>3_GENERAL SERVICE 50 TO 499 KW SERVICE CLASSIFICATION_Retail Transmission Rate - Line and Transformation Connection Service Rate</t>
  </si>
  <si>
    <t>GENERAL SERVICE 50 TO 499 KW SERVICE CLASSIFICATION_Retail Transmission Rate - Line and Transformation Connection Service Rate</t>
  </si>
  <si>
    <t>3_MRC_Reg</t>
  </si>
  <si>
    <t>3_GENERAL SERVICE 50 TO 499 KW SERVICE CLASSIFICATION_WMSR</t>
  </si>
  <si>
    <t>3_GENERAL SERVICE 50 TO 499 KW SERVICE CLASSIFICATION_RRRP</t>
  </si>
  <si>
    <t>3_GENERAL SERVICE 50 TO 499 KW SERVICE CLASSIFICATION_SSS</t>
  </si>
  <si>
    <t>4_GENERAL SERVICE 500 TO 4,999 KW SERVICE CLASSIFICATION</t>
  </si>
  <si>
    <t>4_APPLICATION</t>
  </si>
  <si>
    <t>4_MRC_Del</t>
  </si>
  <si>
    <t>4_GENERAL SERVICE 500 TO 4,999 KW SERVICE CLASSIFICATION_MSC</t>
  </si>
  <si>
    <t>4_GENERAL SERVICE 500 TO 4,999 KW SERVICE CLASSIFICATION_DVC</t>
  </si>
  <si>
    <t>4_GENERAL SERVICE 500 TO 4,999 KW SERVICE CLASSIFICATION_DEFVAR_ALL</t>
  </si>
  <si>
    <t>4_GENERAL SERVICE 500 TO 4,999 KW SERVICE CLASSIFICATION_DVA_RR_2016</t>
  </si>
  <si>
    <t>4_GENERAL SERVICE 500 TO 4,999 KW SERVICE CLASSIFICATION_GA_kw</t>
  </si>
  <si>
    <t>4_GENERAL SERVICE 500 TO 4,999 KW SERVICE CLASSIFICATION_DVA_RR_2016_1589</t>
  </si>
  <si>
    <t>4_GENERAL SERVICE 500 TO 4,999 KW SERVICE CLASSIFICATION_LV</t>
  </si>
  <si>
    <t>4_GENERAL SERVICE 500 TO 4,999 KW SERVICE CLASSIFICATION_LRAM</t>
  </si>
  <si>
    <t>4_GENERAL SERVICE 500 TO 4,999 KW SERVICE CLASSIFICATION_DVA_RR_2016_1568</t>
  </si>
  <si>
    <t>4_GENERAL SERVICE 500 TO 4,999 KW SERVICE CLASSIFICATION_Retail Transmission Rate - Network Service Rate - Interval Metered</t>
  </si>
  <si>
    <t>GENERAL SERVICE 500 TO 4,999 KW SERVICE CLASSIFICATION_Retail Transmission Rate - Network Service Rate - Interval Metered</t>
  </si>
  <si>
    <t>4_GENERAL SERVICE 500 TO 4,999 KW SERVICE CLASSIFICATION_Retail Transmission Rate - Line and Transformation Connection Service Rate - Interval Metered</t>
  </si>
  <si>
    <t>GENERAL SERVICE 500 TO 4,999 KW SERVICE CLASSIFICATION_Retail Transmission Rate - Line and Transformation Connection Service Rate - Interval Metered</t>
  </si>
  <si>
    <t>4_MRC_Reg</t>
  </si>
  <si>
    <t>4_GENERAL SERVICE 500 TO 4,999 KW SERVICE CLASSIFICATION_WMSR</t>
  </si>
  <si>
    <t>4_GENERAL SERVICE 500 TO 4,999 KW SERVICE CLASSIFICATION_RRRP</t>
  </si>
  <si>
    <t>4_GENERAL SERVICE 500 TO 4,999 KW SERVICE CLASSIFICATION_SSS</t>
  </si>
  <si>
    <t>5_LARGE USE SERVICE CLASSIFICATION</t>
  </si>
  <si>
    <t>5_APPLICATION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</si>
  <si>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</si>
  <si>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5_MRC_Del</t>
  </si>
  <si>
    <t>5_LARGE USE SERVICE CLASSIFICATION_MSC</t>
  </si>
  <si>
    <t>5_LARGE USE SERVICE CLASSIFICATION_DVC</t>
  </si>
  <si>
    <t>5_LARGE USE SERVICE CLASSIFICATION_DEFVAR_ALL</t>
  </si>
  <si>
    <t>5_LARGE USE SERVICE CLASSIFICATION_DVA_RR_2016</t>
  </si>
  <si>
    <t>5_LARGE USE SERVICE CLASSIFICATION_GA_kw</t>
  </si>
  <si>
    <t>5_LARGE USE SERVICE CLASSIFICATION_DVA_RR_2016_1589</t>
  </si>
  <si>
    <t>5_LARGE USE SERVICE CLASSIFICATION_LV</t>
  </si>
  <si>
    <t>5_LARGE USE SERVICE CLASSIFICATION_LRAM</t>
  </si>
  <si>
    <t>5_LARGE USE SERVICE CLASSIFICATION_DVA_RR_2016_1568</t>
  </si>
  <si>
    <t>5_LARGE USE SERVICE CLASSIFICATION_Retail Transmission Rate - Network Service Rate - Interval Metered</t>
  </si>
  <si>
    <t>LARGE USE SERVICE CLASSIFICATION_Retail Transmission Rate - Network Service Rate - Interval Metered</t>
  </si>
  <si>
    <t>5_LARGE USE SERVICE CLASSIFICATION_Retail Transmission Rate - Line and Transformation Connection Service Rate - Interval Metered</t>
  </si>
  <si>
    <t>LARGE USE SERVICE CLASSIFICATION_Retail Transmission Rate - Line and Transformation Connection Service Rate - Interval Metered</t>
  </si>
  <si>
    <t>5_MRC_Reg</t>
  </si>
  <si>
    <t>5_LARGE USE SERVICE CLASSIFICATION_WMSR</t>
  </si>
  <si>
    <t>5_LARGE USE SERVICE CLASSIFICATION_RRRP</t>
  </si>
  <si>
    <t>5_LARGE USE SERVICE CLASSIFICATION_SSS</t>
  </si>
  <si>
    <t>6_UNMETERED SCATTERED LOAD SERVICE CLASSIFICATION</t>
  </si>
  <si>
    <t>This classification applies to an account taking electricity at 750 volts or less whose average monthly maximum demand is less than, or is forecast to be less than, 50 kW and the consumption is unmetered. The amount of electricity consumed by unmetered connections will be based on detailed information/documentation provided by the device’s manufacturer and will be agreed to by Enersource Hydro Mississauga Inc. and the customer and may be subject to periodic monitoring of actual consumption. Eligible unmetered loads include cable TV power packs, bus shelters, telephone booths, traffic lights, railway crossings. Further servicing details are available in the distributor’s Conditions of Service.</t>
  </si>
  <si>
    <t>6_APPLICATION</t>
  </si>
  <si>
    <t>6_MRC_Del</t>
  </si>
  <si>
    <t>6_UNMETERED SCATTERED LOAD SERVICE CLASSIFICATION_MSC</t>
  </si>
  <si>
    <t>6_UNMETERED SCATTERED LOAD SERVICE CLASSIFICATION_DVC</t>
  </si>
  <si>
    <t>6_UNMETERED SCATTERED LOAD SERVICE CLASSIFICATION_DEFVAR_ALL</t>
  </si>
  <si>
    <t>6_UNMETERED SCATTERED LOAD SERVICE CLASSIFICATION_DVA_RR_2016</t>
  </si>
  <si>
    <t>6_UNMETERED SCATTERED LOAD SERVICE CLASSIFICATION_GA_kwh</t>
  </si>
  <si>
    <t>6_UNMETERED SCATTERED LOAD SERVICE CLASSIFICATION_DVA_RR_2016_1589</t>
  </si>
  <si>
    <t>6_UNMETERED SCATTERED LOAD SERVICE CLASSIFICATION_LV</t>
  </si>
  <si>
    <t>6_UNMETERED SCATTERED LOAD SERVICE CLASSIFICATION_Retail Transmission Rate - Network Service Rate</t>
  </si>
  <si>
    <t>UNMETERED SCATTERED LOAD SERVICE CLASSIFICATION_Retail Transmission Rate - Network Service Rate</t>
  </si>
  <si>
    <t>6_UNMETERED SCATTERED LOAD SERVICE CLASSIFICATION_Retail Transmission Rate - Line and Transformation Connection Service Rate</t>
  </si>
  <si>
    <t>UNMETERED SCATTERED LOAD SERVICE CLASSIFICATION_Retail Transmission Rate - Line and Transformation Connection Service Rate</t>
  </si>
  <si>
    <t>6_MRC_Reg</t>
  </si>
  <si>
    <t>6_UNMETERED SCATTERED LOAD SERVICE CLASSIFICATION_WMSR</t>
  </si>
  <si>
    <t>6_UNMETERED SCATTERED LOAD SERVICE CLASSIFICATION_RRRP</t>
  </si>
  <si>
    <t>6_UNMETERED SCATTERED LOAD SERVICE CLASSIFICATION_SSS</t>
  </si>
  <si>
    <t>7_STREET LIGHTING SERVICE CLASSIFICATION</t>
  </si>
  <si>
    <t>7_APPLICATION</t>
  </si>
  <si>
    <t>7_MRC_Del</t>
  </si>
  <si>
    <t>7_STREET LIGHTING SERVICE CLASSIFICATION_MSC</t>
  </si>
  <si>
    <t>7_STREET LIGHTING SERVICE CLASSIFICATION_DVC</t>
  </si>
  <si>
    <t>$/Total</t>
  </si>
  <si>
    <t>7_STREET LIGHTING SERVICE CLASSIFICATION_DEFVAR_ALL</t>
  </si>
  <si>
    <t>7_STREET LIGHTING SERVICE CLASSIFICATION_DVA_RR_2016</t>
  </si>
  <si>
    <t>7_STREET LIGHTING SERVICE CLASSIFICATION_DVA_RR_2016_1589</t>
  </si>
  <si>
    <t>7_STREET LIGHTING SERVICE CLASSIFICATION_LV</t>
  </si>
  <si>
    <t>7_STREET LIGHTING SERVICE CLASSIFICATION_LRAM</t>
  </si>
  <si>
    <t>7_STREET LIGHTING SERVICE CLASSIFICATION_DVA_RR_2016_1568</t>
  </si>
  <si>
    <t>7_STREET LIGHTING SERVICE CLASSIFICATION_Retail Transmission Rate - Network Service Rate</t>
  </si>
  <si>
    <t>STREET LIGHTING SERVICE CLASSIFICATION_Retail Transmission Rate - Network Service Rate</t>
  </si>
  <si>
    <t>7_STREET LIGHTING SERVICE CLASSIFICATION_Retail Transmission Rate - Line and Transformation Connection Service Rate</t>
  </si>
  <si>
    <t>STREET LIGHTING SERVICE CLASSIFICATION_Retail Transmission Rate - Line and Transformation Connection Service Rate</t>
  </si>
  <si>
    <t>7_MRC_Reg</t>
  </si>
  <si>
    <t>7_STREET LIGHTING SERVICE CLASSIFICATION_WMSR</t>
  </si>
  <si>
    <t>7_STREET LIGHTING SERVICE CLASSIFICATION_RRRP</t>
  </si>
  <si>
    <t>7_STREET LIGHTING SERVICE CLASSIFICATION_SSS</t>
  </si>
  <si>
    <t>8_STANDBY POWER SERVICE CLASSIFICATION</t>
  </si>
  <si>
    <t>8_APPLICATION</t>
  </si>
  <si>
    <t>8_MRC_Del</t>
  </si>
  <si>
    <t>9_microFIT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</si>
  <si>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</si>
  <si>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9_APPLICATION</t>
  </si>
  <si>
    <t>9_MRC_Del</t>
  </si>
  <si>
    <t>9_microFIT SERVICE CLASSIFICATION_MSC</t>
  </si>
  <si>
    <t>Enersource Hydro Mississauga Inc._ALLOWANCES</t>
  </si>
  <si>
    <t>Primary Metering Allowance for transformer losses - applied to measured demand and energy</t>
  </si>
  <si>
    <t>Enersource Hydro Mississauga Inc._SSC</t>
  </si>
  <si>
    <t>Enersource Hydro Mississauga Inc._CA</t>
  </si>
  <si>
    <t>Credit reference/credit check (plus credit agency costs - General Service)</t>
  </si>
  <si>
    <t>Account set up charge/change of occupancy charge (plus credit agency costs if applicable - Residential)</t>
  </si>
  <si>
    <t>Enersource Hydro Mississauga Inc._NPoA</t>
  </si>
  <si>
    <t>Late Payment - per month</t>
  </si>
  <si>
    <t>Late Payment - per annum</t>
  </si>
  <si>
    <t>Collection of account charge - no disconnection</t>
  </si>
  <si>
    <t>Disconnect/Reconnect at meter - during regular hours</t>
  </si>
  <si>
    <t>Disconnect/Reconnect at pole - during regular hours</t>
  </si>
  <si>
    <t>Disconnect/Reconnect at pole - after regular hours</t>
  </si>
  <si>
    <t>Other</t>
  </si>
  <si>
    <t xml:space="preserve">       Temporary service install &amp; remove - overhead - no transformer</t>
  </si>
  <si>
    <t xml:space="preserve">       Specific Charge for Access to the Power Poles - $/pole/year</t>
  </si>
  <si>
    <t>Enersource Hydro Mississauga Inc._RSC</t>
  </si>
  <si>
    <t>Service Transaction Requests (STR)</t>
  </si>
  <si>
    <t>Electronic Business Transaction (EBT) system, applied to the requesting party</t>
  </si>
  <si>
    <t>Enersource Hydro Mississauga Inc._LFs</t>
  </si>
  <si>
    <t>Total Loss Factor - Secondary Metered Customer &lt; 5,000 kW</t>
  </si>
  <si>
    <t>Total Loss Factor - Secondary Metered Customer &gt; 5,000 kW</t>
  </si>
  <si>
    <t>Total Loss Factor - Primary Metered Customer &lt; 5,000 kW</t>
  </si>
  <si>
    <t>Total Loss Factor - Primary Metered Customer &gt; 5,000 kW</t>
  </si>
  <si>
    <t>Enersource Hydro Mississauga Inc._End</t>
  </si>
  <si>
    <t>Calculation of Rebased Revenue Requirement and Allocation of Tax Sharing Amount.  Enter data from the last Board-Approved Cost of Service application in columns C through H.</t>
  </si>
  <si>
    <r>
      <t>As per the Chapter 3 Filing Guidelines, shared tax rate riders are based on a</t>
    </r>
    <r>
      <rPr>
        <b/>
        <sz val="12"/>
        <color rgb="FFFF0000"/>
        <rFont val="Arial"/>
        <family val="2"/>
      </rPr>
      <t xml:space="preserve"> </t>
    </r>
    <r>
      <rPr>
        <b/>
        <u/>
        <sz val="12"/>
        <color rgb="FFFF0000"/>
        <rFont val="Arial"/>
        <family val="2"/>
      </rPr>
      <t>1 year</t>
    </r>
    <r>
      <rPr>
        <b/>
        <sz val="12"/>
        <color rgb="FFFF0000"/>
        <rFont val="Arial"/>
        <family val="2"/>
      </rPr>
      <t xml:space="preserve"> </t>
    </r>
    <r>
      <rPr>
        <b/>
        <sz val="12"/>
        <rFont val="Arial"/>
        <family val="2"/>
      </rPr>
      <t>disposition.</t>
    </r>
  </si>
  <si>
    <t>Re-baed Service Charge</t>
  </si>
  <si>
    <t>Re-based Distribution Volumetric Rate kWh</t>
  </si>
  <si>
    <t>Re-based Distribution Volumetric Rate kW</t>
  </si>
  <si>
    <t>Service Charge 
% Revenue</t>
  </si>
  <si>
    <t>Distribution Volumetric Rate 
% Revenue 
kWh</t>
  </si>
  <si>
    <t>Distribution Volumetric Rate 
% Revenue 
kW</t>
  </si>
  <si>
    <t>kWh</t>
  </si>
  <si>
    <t>Total kWh
(most recent RRR filing)</t>
  </si>
  <si>
    <t>Total kW
(most recent RRR filing)</t>
  </si>
  <si>
    <t>Distribution Rate Rider</t>
  </si>
  <si>
    <t>$/customer</t>
  </si>
  <si>
    <r>
      <t xml:space="preserve">Total Metered </t>
    </r>
    <r>
      <rPr>
        <b/>
        <sz val="10"/>
        <color rgb="FFFF0000"/>
        <rFont val="Arial"/>
        <family val="2"/>
      </rPr>
      <t xml:space="preserve">kWh </t>
    </r>
    <r>
      <rPr>
        <b/>
        <sz val="10"/>
        <rFont val="Arial"/>
        <family val="2"/>
      </rPr>
      <t xml:space="preserve">less WMP consumption </t>
    </r>
  </si>
  <si>
    <r>
      <t xml:space="preserve">Total Metered </t>
    </r>
    <r>
      <rPr>
        <b/>
        <sz val="10"/>
        <color rgb="FFFF0000"/>
        <rFont val="Arial"/>
        <family val="2"/>
      </rPr>
      <t xml:space="preserve">kW </t>
    </r>
    <r>
      <rPr>
        <b/>
        <sz val="10"/>
        <rFont val="Arial"/>
        <family val="2"/>
      </rPr>
      <t xml:space="preserve">less WMP consumption </t>
    </r>
  </si>
  <si>
    <t>Allocation of Group 1 Account Balances to All Classes</t>
  </si>
  <si>
    <t>Total Metered kWh</t>
  </si>
  <si>
    <t>Metered kW 
or kVA</t>
  </si>
  <si>
    <t>Allocation of Group 1 Account Balances to Non-WMP Classes Only (If Applicable)</t>
  </si>
  <si>
    <t>Deferral/Variance Account Rate Rider for Non-WMP 
(if applicable)</t>
  </si>
  <si>
    <t>Deferral/Variance Account Disposition (2016) Rate Rider for Non-WMP</t>
  </si>
  <si>
    <t>Deferral/Variance Account Disposition (2016) Rate Rider for all Classes</t>
  </si>
  <si>
    <t>1595 Global Adjustment Rate Rider</t>
  </si>
  <si>
    <t>Total Deferral/Variance Account Disposition (2016) Rate Rider for Non -WMP</t>
  </si>
  <si>
    <t>Current</t>
  </si>
  <si>
    <t xml:space="preserve">Change </t>
  </si>
  <si>
    <t>Network Charges</t>
  </si>
  <si>
    <t>Connection Charges</t>
  </si>
  <si>
    <r>
      <t xml:space="preserve">Total Metered </t>
    </r>
    <r>
      <rPr>
        <b/>
        <sz val="10"/>
        <color rgb="FFFF0000"/>
        <rFont val="Arial"/>
        <family val="2"/>
      </rPr>
      <t>kWh</t>
    </r>
  </si>
  <si>
    <r>
      <t xml:space="preserve">Total Metered </t>
    </r>
    <r>
      <rPr>
        <b/>
        <sz val="10"/>
        <color rgb="FFFF0000"/>
        <rFont val="Arial"/>
        <family val="2"/>
      </rPr>
      <t>kW</t>
    </r>
  </si>
  <si>
    <r>
      <t xml:space="preserve">Billed </t>
    </r>
    <r>
      <rPr>
        <b/>
        <sz val="10"/>
        <color rgb="FFFF0000"/>
        <rFont val="Arial"/>
        <family val="2"/>
      </rPr>
      <t>kWh</t>
    </r>
    <r>
      <rPr>
        <b/>
        <sz val="10"/>
        <rFont val="Arial"/>
        <family val="2"/>
      </rPr>
      <t xml:space="preserve"> for Non-RPP Customers</t>
    </r>
  </si>
  <si>
    <r>
      <t xml:space="preserve">Estimated </t>
    </r>
    <r>
      <rPr>
        <b/>
        <sz val="10"/>
        <color rgb="FFFF0000"/>
        <rFont val="Arial"/>
        <family val="2"/>
      </rPr>
      <t>kW</t>
    </r>
    <r>
      <rPr>
        <b/>
        <sz val="10"/>
        <rFont val="Arial"/>
        <family val="2"/>
      </rPr>
      <t xml:space="preserve"> for Non-RPP Customers</t>
    </r>
  </si>
  <si>
    <r>
      <t>GA Allocator for Class A, Non-WMP Customers 
(if applicable)</t>
    </r>
    <r>
      <rPr>
        <b/>
        <vertAlign val="superscript"/>
        <sz val="10"/>
        <rFont val="Arial"/>
        <family val="2"/>
      </rPr>
      <t>4</t>
    </r>
  </si>
  <si>
    <r>
      <t xml:space="preserve">% of  Total </t>
    </r>
    <r>
      <rPr>
        <b/>
        <sz val="10"/>
        <color theme="3"/>
        <rFont val="Arial"/>
        <family val="2"/>
      </rPr>
      <t xml:space="preserve">kWh </t>
    </r>
    <r>
      <rPr>
        <b/>
        <sz val="10"/>
        <rFont val="Arial"/>
        <family val="2"/>
      </rPr>
      <t>adjusted for WMP</t>
    </r>
  </si>
  <si>
    <r>
      <t xml:space="preserve">Total Metered </t>
    </r>
    <r>
      <rPr>
        <b/>
        <sz val="10"/>
        <color rgb="FFFF0000"/>
        <rFont val="Arial"/>
        <family val="2"/>
      </rPr>
      <t xml:space="preserve">kWh </t>
    </r>
    <r>
      <rPr>
        <b/>
        <sz val="10"/>
        <rFont val="Arial"/>
        <family val="2"/>
      </rPr>
      <t xml:space="preserve">less WMP consumption
</t>
    </r>
  </si>
  <si>
    <r>
      <t xml:space="preserve">% of  Total </t>
    </r>
    <r>
      <rPr>
        <b/>
        <sz val="10"/>
        <color theme="3"/>
        <rFont val="Arial"/>
        <family val="2"/>
      </rPr>
      <t>kWh</t>
    </r>
  </si>
  <si>
    <t>% of Customer Numbers **</t>
  </si>
  <si>
    <t>1595 (2010) Excluding GA</t>
  </si>
  <si>
    <t>1595 (2010)
GA</t>
  </si>
  <si>
    <t>1595 (2011) Excluding GA</t>
  </si>
  <si>
    <t>1595 (2011)
GA</t>
  </si>
  <si>
    <t>1595 (2012) Excluding GA</t>
  </si>
  <si>
    <t>1595 (2012)
GA</t>
  </si>
  <si>
    <t>Total Metered kWh or kW Less Class A and WMP</t>
  </si>
  <si>
    <r>
      <t xml:space="preserve">Metered </t>
    </r>
    <r>
      <rPr>
        <b/>
        <sz val="10"/>
        <color rgb="FFFF0000"/>
        <rFont val="Arial"/>
        <family val="2"/>
      </rPr>
      <t>kWh</t>
    </r>
    <r>
      <rPr>
        <b/>
        <sz val="10"/>
        <rFont val="Arial"/>
        <family val="2"/>
      </rPr>
      <t xml:space="preserve"> or </t>
    </r>
    <r>
      <rPr>
        <b/>
        <sz val="10"/>
        <color rgb="FFFF0000"/>
        <rFont val="Arial"/>
        <family val="2"/>
      </rPr>
      <t>kW</t>
    </r>
    <r>
      <rPr>
        <b/>
        <sz val="10"/>
        <rFont val="Arial"/>
        <family val="2"/>
      </rPr>
      <t xml:space="preserve"> for Class A Customers and WMP</t>
    </r>
  </si>
  <si>
    <t>Default Rate Rider Recovery Period (in months)</t>
  </si>
  <si>
    <t>Proposed Rate Rider Recovery Period (in months)</t>
  </si>
  <si>
    <r>
      <t xml:space="preserve">% of  Total </t>
    </r>
    <r>
      <rPr>
        <b/>
        <sz val="10"/>
        <color theme="3"/>
        <rFont val="Arial"/>
        <family val="2"/>
      </rPr>
      <t>non-RPP kWh</t>
    </r>
  </si>
  <si>
    <t>LARGE USE (CLASS A)</t>
  </si>
  <si>
    <t>Effective and Implementation Date January 1, 2016</t>
  </si>
  <si>
    <t>Rate Rider for Disposition of Deferral/Variance Accounts (2016) - effective until Dec 31, 2016</t>
  </si>
  <si>
    <t>Rate Rider for Disposition of Deferral/Variance Accounts (2016) - effective until Dec 31, 2016
     Applicable only for Non-Wholesale Market Participants</t>
  </si>
  <si>
    <t>Rate Rider for Disposition of Global Adjustment Account (2016) - effective until Dec 31, 2016
      Applicable only for Non-RPP Customers</t>
  </si>
  <si>
    <t>Rate Rider for Disposition of Global Adjustment Account (2016) - effective until Dec 31, 2016
      Applicable only for Non-RPP Customers - Non Interval Metered</t>
  </si>
  <si>
    <t>Rate Rider for Disposition of Global Adjustment Account (2016) - effective until Dec 31, 2016
      Applicable only for Non-RPP Customers - Interval Metered</t>
  </si>
  <si>
    <t>Rate Rider for Disposition of Global Adjustment Account (2016) - effective until Dec 31, 2016
      Applicable only for Non-RPP Customers - Class A Customers</t>
  </si>
  <si>
    <t>Rate Rider for Disposition of Global Adjustment Account (2016) - effective until Dec 31, 2016
      Applicable only for Non-RPP Customers - Class B Customers</t>
  </si>
  <si>
    <t>Rate Rider for Application of Tax Change (2016) – effective until Dec 31, 2016</t>
  </si>
  <si>
    <t>Rate Rider for Application of Tax Change (2015) – effective until Dec 31, 2016</t>
  </si>
  <si>
    <t>Rate Rider for Recovery of Incremental Capital Module Costs (2016) - in effect until the effective date of the next cost of service-based rate order</t>
  </si>
  <si>
    <t xml:space="preserve">Retail Transmission Rate - Network Service Rate </t>
  </si>
  <si>
    <t xml:space="preserve">Retail Transmission Rate - Line and Transformation Connection Service Rate </t>
  </si>
  <si>
    <r>
      <t xml:space="preserve">Rate Rider for Disposition of Global Adjustment Account (2016) - effective until Dec 31, 2016
      Applicable only for Non-RPP Customers - Interval Metered </t>
    </r>
    <r>
      <rPr>
        <vertAlign val="superscript"/>
        <sz val="8"/>
        <color theme="1"/>
        <rFont val="Arial"/>
        <family val="2"/>
      </rPr>
      <t>1</t>
    </r>
  </si>
  <si>
    <t>1. Participants of the Industrial Conservation Initiative (ICI), who opted in on or after July 1, 2015 will be charged the Rate Rider for Disposition of Global Adjustment Account (2016) - effective until December 31, 2016, Applicable only for Non-RPP, Interval Metered customers, as this rate was derived from the disposition of balances as at December 31, 2014.</t>
  </si>
  <si>
    <t>It should be noted that this schedule does not list any charges, assessments, or credits that are required by law to be invoiced by a distributor and that are not subject to Board approval, such as the Debt Retirement Charge, the Global Adjustment, the Ontario Electricity Support Program Charge and the HST.</t>
  </si>
</sst>
</file>

<file path=xl/styles.xml><?xml version="1.0" encoding="utf-8"?>
<styleSheet xmlns="http://schemas.openxmlformats.org/spreadsheetml/2006/main" xmlns:mc="http://schemas.openxmlformats.org/markup-compatibility/2006" xmlns:x14ac="http://schemas.microsoft.com/office/spreadsheetml/2009/9/ac" mc:Ignorable="x14ac">
  <numFmts count="38">
    <numFmt numFmtId="6" formatCode="&quot;$&quot;#,##0;[Red]\-&quot;$&quot;#,##0"/>
    <numFmt numFmtId="7" formatCode="&quot;$&quot;#,##0.00;\-&quot;$&quot;#,##0.00"/>
    <numFmt numFmtId="44" formatCode="_-&quot;$&quot;* #,##0.00_-;\-&quot;$&quot;* #,##0.00_-;_-&quot;$&quot;* &quot;-&quot;??_-;_-@_-"/>
    <numFmt numFmtId="43" formatCode="_-* #,##0.00_-;\-* #,##0.00_-;_-* &quot;-&quot;??_-;_-@_-"/>
    <numFmt numFmtId="164" formatCode="_(* #,##0.00_);_(* \(#,##0.00\);_(* &quot;-&quot;??_);_(@_)"/>
    <numFmt numFmtId="165" formatCode="_(* #,##0_);_(* \(#,##0\);_(* &quot;-&quot;??_);_(@_)"/>
    <numFmt numFmtId="166" formatCode="_-* #,##0_-;\-* #,##0_-;_-* &quot;-&quot;??_-;_-@_-"/>
    <numFmt numFmtId="167" formatCode="0.000000"/>
    <numFmt numFmtId="168" formatCode="_ #,##0;[Red]\(#,##0\)"/>
    <numFmt numFmtId="169" formatCode="#,##0;[Red]\(#,##0\)"/>
    <numFmt numFmtId="170" formatCode="#,##0;\-&quot;$&quot;#,##0"/>
    <numFmt numFmtId="171" formatCode="#,000"/>
    <numFmt numFmtId="172" formatCode="&quot;$&quot;#,##0;[Red]\(&quot;$&quot;#,##0\)"/>
    <numFmt numFmtId="173" formatCode="#,##0.000000;[Red]\(#,##0.000000\)"/>
    <numFmt numFmtId="174" formatCode="0.0%"/>
    <numFmt numFmtId="175" formatCode="#,##0;\(&quot;$&quot;#,##0\)"/>
    <numFmt numFmtId="176" formatCode="&quot;$&quot;#,##0.00;[Red]&quot;$&quot;#,##0.00"/>
    <numFmt numFmtId="177" formatCode="_(&quot;$&quot;* #,##0_);_(&quot;$&quot;* \(#,##0\);_(&quot;$&quot;* &quot;-&quot;??_);_(@_)"/>
    <numFmt numFmtId="178" formatCode="_(&quot;$&quot;* #,##0.00_);_(&quot;$&quot;* \(#,##0.00\);_(&quot;$&quot;* &quot;-&quot;??_);_(@_)"/>
    <numFmt numFmtId="179" formatCode="#,##0.0000;[Red]\(#,##0.0000\)"/>
    <numFmt numFmtId="180" formatCode="#,###"/>
    <numFmt numFmtId="181" formatCode="0.0000"/>
    <numFmt numFmtId="182" formatCode="_-&quot;$&quot;* #,##0_-;\-&quot;$&quot;* #,##0_-;_-&quot;$&quot;* &quot;-&quot;??_-;_-@_-"/>
    <numFmt numFmtId="183" formatCode="_-&quot;$&quot;* #,##0_-;\-&quot;$&quot;* #,##0_-;_-&quot;$&quot;* &quot;-&quot;?_-;_-@_-"/>
    <numFmt numFmtId="184" formatCode="0.0000;[Red]\-0.0000"/>
    <numFmt numFmtId="185" formatCode="_-* #,##0.0000_-;\-* #,##0.0000_-;_-* &quot;-&quot;??_-;_-@_-"/>
    <numFmt numFmtId="186" formatCode="_-&quot;$&quot;* #,##0.0000_-;\-&quot;$&quot;* #,##0.0000_-;_-&quot;$&quot;* &quot;-&quot;??_-;_-@_-"/>
    <numFmt numFmtId="187" formatCode="&quot;$&quot;#,##0.0000"/>
    <numFmt numFmtId="188" formatCode="0.00;\(0.00\)"/>
    <numFmt numFmtId="189" formatCode="#,##0.00;[Red]\(#,##0.00\)"/>
    <numFmt numFmtId="190" formatCode="0.00;\ \(0.00\)"/>
    <numFmt numFmtId="191" formatCode="#,##0.0000_ ;\-#,##0.0000\ "/>
    <numFmt numFmtId="192" formatCode="_(* #,##0.0000_);_(* \(#,##0.0000\);_(* &quot;-&quot;??_);_(@_)"/>
    <numFmt numFmtId="193" formatCode="#,##0.0000"/>
    <numFmt numFmtId="194" formatCode="_-* #,##0.000_-;\-* #,##0.000_-;_-* &quot;-&quot;??_-;_-@_-"/>
    <numFmt numFmtId="195" formatCode="0.000%"/>
    <numFmt numFmtId="196" formatCode="0.00;[Red]\-0.00"/>
    <numFmt numFmtId="197" formatCode="0.00000"/>
  </numFmts>
  <fonts count="80"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9"/>
      <color indexed="81"/>
      <name val="Tahoma"/>
      <family val="2"/>
    </font>
    <font>
      <sz val="9"/>
      <color indexed="81"/>
      <name val="Tahoma"/>
      <family val="2"/>
    </font>
    <font>
      <sz val="10"/>
      <name val="Arial"/>
      <family val="2"/>
    </font>
    <font>
      <b/>
      <sz val="10"/>
      <name val="Arial"/>
      <family val="2"/>
    </font>
    <font>
      <b/>
      <vertAlign val="superscript"/>
      <sz val="10"/>
      <name val="Arial"/>
      <family val="2"/>
    </font>
    <font>
      <b/>
      <sz val="12"/>
      <name val="Arial"/>
      <family val="2"/>
    </font>
    <font>
      <sz val="10"/>
      <color theme="1"/>
      <name val="Calibri"/>
      <family val="2"/>
      <scheme val="minor"/>
    </font>
    <font>
      <vertAlign val="superscript"/>
      <sz val="10"/>
      <name val="Arial"/>
      <family val="2"/>
    </font>
    <font>
      <b/>
      <sz val="10"/>
      <color theme="1"/>
      <name val="Calibri"/>
      <family val="2"/>
      <scheme val="minor"/>
    </font>
    <font>
      <sz val="10"/>
      <color theme="1"/>
      <name val="Arial"/>
      <family val="2"/>
    </font>
    <font>
      <b/>
      <sz val="10"/>
      <color rgb="FFFF0000"/>
      <name val="Arial"/>
      <family val="2"/>
    </font>
    <font>
      <b/>
      <sz val="11"/>
      <color rgb="FFFF0000"/>
      <name val="Calibri"/>
      <family val="2"/>
      <scheme val="minor"/>
    </font>
    <font>
      <sz val="8"/>
      <color theme="1"/>
      <name val="Calibri"/>
      <family val="2"/>
      <scheme val="minor"/>
    </font>
    <font>
      <u/>
      <sz val="16"/>
      <color theme="1"/>
      <name val="Calibri"/>
      <family val="2"/>
      <scheme val="minor"/>
    </font>
    <font>
      <b/>
      <vertAlign val="superscript"/>
      <sz val="11"/>
      <color rgb="FFFF0000"/>
      <name val="Calibri"/>
      <family val="2"/>
      <scheme val="minor"/>
    </font>
    <font>
      <b/>
      <sz val="11"/>
      <color theme="1"/>
      <name val="Arial"/>
      <family val="2"/>
    </font>
    <font>
      <sz val="11"/>
      <color theme="1"/>
      <name val="Arial"/>
      <family val="2"/>
    </font>
    <font>
      <b/>
      <sz val="16"/>
      <color theme="1"/>
      <name val="Arial"/>
      <family val="2"/>
    </font>
    <font>
      <b/>
      <sz val="14"/>
      <color theme="1"/>
      <name val="Calibri"/>
      <family val="2"/>
      <scheme val="minor"/>
    </font>
    <font>
      <b/>
      <sz val="14"/>
      <color theme="1"/>
      <name val="Arial"/>
      <family val="2"/>
    </font>
    <font>
      <b/>
      <u val="singleAccounting"/>
      <sz val="11"/>
      <color theme="1"/>
      <name val="Calibri"/>
      <family val="2"/>
      <scheme val="minor"/>
    </font>
    <font>
      <b/>
      <sz val="11"/>
      <name val="Calibri"/>
      <family val="2"/>
      <scheme val="minor"/>
    </font>
    <font>
      <sz val="10"/>
      <name val="Arial"/>
      <family val="2"/>
    </font>
    <font>
      <b/>
      <sz val="11"/>
      <name val="Arial"/>
      <family val="2"/>
    </font>
    <font>
      <sz val="11"/>
      <name val="Arial"/>
      <family val="2"/>
    </font>
    <font>
      <b/>
      <sz val="12"/>
      <color theme="1"/>
      <name val="Arial"/>
      <family val="2"/>
    </font>
    <font>
      <b/>
      <sz val="12"/>
      <name val="Calibri"/>
      <family val="2"/>
      <scheme val="minor"/>
    </font>
    <font>
      <b/>
      <sz val="10"/>
      <name val="Calibri"/>
      <family val="2"/>
      <scheme val="minor"/>
    </font>
    <font>
      <b/>
      <sz val="14"/>
      <name val="Arial"/>
      <family val="2"/>
    </font>
    <font>
      <b/>
      <sz val="11"/>
      <color indexed="12"/>
      <name val="Arial"/>
      <family val="2"/>
    </font>
    <font>
      <sz val="12"/>
      <color theme="1"/>
      <name val="Calibri"/>
      <family val="2"/>
      <scheme val="minor"/>
    </font>
    <font>
      <b/>
      <sz val="14"/>
      <color indexed="10"/>
      <name val="Calibri"/>
      <family val="2"/>
      <scheme val="minor"/>
    </font>
    <font>
      <b/>
      <sz val="14"/>
      <name val="Calibri"/>
      <family val="2"/>
      <scheme val="minor"/>
    </font>
    <font>
      <b/>
      <sz val="12"/>
      <color rgb="FFFF0000"/>
      <name val="Calibri"/>
      <family val="2"/>
      <scheme val="minor"/>
    </font>
    <font>
      <sz val="12"/>
      <color theme="1"/>
      <name val="Arial"/>
      <family val="2"/>
    </font>
    <font>
      <b/>
      <sz val="12"/>
      <color theme="1"/>
      <name val="Calibri"/>
      <family val="2"/>
      <scheme val="minor"/>
    </font>
    <font>
      <sz val="14"/>
      <color theme="1"/>
      <name val="Calibri"/>
      <family val="2"/>
      <scheme val="minor"/>
    </font>
    <font>
      <b/>
      <sz val="8"/>
      <color theme="1"/>
      <name val="Arial"/>
      <family val="2"/>
    </font>
    <font>
      <b/>
      <sz val="10"/>
      <color theme="0"/>
      <name val="Arial"/>
      <family val="2"/>
    </font>
    <font>
      <b/>
      <sz val="12"/>
      <name val="Book Antiqua"/>
      <family val="1"/>
    </font>
    <font>
      <sz val="10"/>
      <name val="Book Antiqua"/>
      <family val="1"/>
    </font>
    <font>
      <sz val="13"/>
      <color indexed="8"/>
      <name val="Book Antiqua"/>
      <family val="1"/>
    </font>
    <font>
      <sz val="13"/>
      <name val="Book Antiqua"/>
      <family val="1"/>
    </font>
    <font>
      <b/>
      <sz val="13"/>
      <name val="Book Antiqua"/>
      <family val="1"/>
    </font>
    <font>
      <b/>
      <sz val="12"/>
      <color theme="0"/>
      <name val="Arial"/>
      <family val="2"/>
    </font>
    <font>
      <sz val="12"/>
      <name val="Book Antiqua"/>
      <family val="1"/>
    </font>
    <font>
      <b/>
      <sz val="14"/>
      <name val="Book Antiqua"/>
      <family val="1"/>
    </font>
    <font>
      <b/>
      <sz val="12"/>
      <color rgb="FFFF0000"/>
      <name val="Book Antiqua"/>
      <family val="1"/>
    </font>
    <font>
      <b/>
      <sz val="12"/>
      <color rgb="FF000000"/>
      <name val="Calibri"/>
      <family val="2"/>
      <scheme val="minor"/>
    </font>
    <font>
      <b/>
      <sz val="11"/>
      <color theme="0"/>
      <name val="Calibri"/>
      <family val="2"/>
      <scheme val="minor"/>
    </font>
    <font>
      <sz val="11"/>
      <name val="Calibri"/>
      <family val="2"/>
      <scheme val="minor"/>
    </font>
    <font>
      <sz val="9"/>
      <color theme="1"/>
      <name val="Arial"/>
      <family val="2"/>
    </font>
    <font>
      <sz val="8"/>
      <name val="Arial"/>
      <family val="2"/>
    </font>
    <font>
      <sz val="8"/>
      <color theme="1"/>
      <name val="Arial"/>
      <family val="2"/>
    </font>
    <font>
      <b/>
      <sz val="10"/>
      <color theme="1"/>
      <name val="Arial"/>
      <family val="2"/>
    </font>
    <font>
      <sz val="9"/>
      <color theme="1"/>
      <name val="Calibri"/>
      <family val="2"/>
      <scheme val="minor"/>
    </font>
    <font>
      <sz val="11"/>
      <color rgb="FF000000"/>
      <name val="Calibri"/>
      <family val="2"/>
    </font>
    <font>
      <b/>
      <sz val="18"/>
      <color theme="1"/>
      <name val="Arial"/>
      <family val="2"/>
    </font>
    <font>
      <sz val="16"/>
      <color indexed="12"/>
      <name val="Algerian"/>
      <family val="5"/>
    </font>
    <font>
      <sz val="14"/>
      <name val="Arial"/>
      <family val="2"/>
    </font>
    <font>
      <b/>
      <sz val="12"/>
      <color rgb="FFFF0000"/>
      <name val="Arial"/>
      <family val="2"/>
    </font>
    <font>
      <b/>
      <u/>
      <sz val="10"/>
      <color rgb="FFFF0000"/>
      <name val="Arial"/>
      <family val="2"/>
    </font>
    <font>
      <b/>
      <i/>
      <sz val="10"/>
      <name val="Arial"/>
      <family val="2"/>
    </font>
    <font>
      <b/>
      <i/>
      <vertAlign val="superscript"/>
      <sz val="10"/>
      <name val="Arial"/>
      <family val="2"/>
    </font>
    <font>
      <sz val="11"/>
      <color rgb="FFFF0000"/>
      <name val="Arial"/>
      <family val="2"/>
    </font>
    <font>
      <b/>
      <sz val="11"/>
      <color rgb="FFFF0000"/>
      <name val="Arial"/>
      <family val="2"/>
    </font>
    <font>
      <sz val="12"/>
      <name val="Arial"/>
      <family val="2"/>
    </font>
    <font>
      <b/>
      <sz val="12"/>
      <color indexed="8"/>
      <name val="Arial"/>
      <family val="2"/>
    </font>
    <font>
      <b/>
      <u/>
      <sz val="12"/>
      <color theme="1"/>
      <name val="Arial"/>
      <family val="2"/>
    </font>
    <font>
      <b/>
      <vertAlign val="superscript"/>
      <sz val="10"/>
      <color theme="1"/>
      <name val="Arial"/>
      <family val="2"/>
    </font>
    <font>
      <vertAlign val="superscript"/>
      <sz val="11"/>
      <color theme="1"/>
      <name val="Calibri"/>
      <family val="2"/>
      <scheme val="minor"/>
    </font>
    <font>
      <b/>
      <i/>
      <sz val="10"/>
      <color theme="1"/>
      <name val="Arial"/>
      <family val="2"/>
    </font>
    <font>
      <sz val="14"/>
      <color theme="1"/>
      <name val="Arial"/>
      <family val="2"/>
    </font>
    <font>
      <b/>
      <u/>
      <sz val="12"/>
      <color rgb="FFFF0000"/>
      <name val="Arial"/>
      <family val="2"/>
    </font>
    <font>
      <b/>
      <sz val="10"/>
      <color theme="3"/>
      <name val="Arial"/>
      <family val="2"/>
    </font>
    <font>
      <vertAlign val="superscript"/>
      <sz val="8"/>
      <color theme="1"/>
      <name val="Arial"/>
      <family val="2"/>
    </font>
  </fonts>
  <fills count="22">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3"/>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8DB5EF"/>
        <bgColor indexed="64"/>
      </patternFill>
    </fill>
    <fill>
      <patternFill patternType="solid">
        <fgColor theme="9" tint="0.79995117038483843"/>
        <bgColor indexed="64"/>
      </patternFill>
    </fill>
    <fill>
      <patternFill patternType="solid">
        <fgColor theme="2"/>
        <bgColor indexed="64"/>
      </patternFill>
    </fill>
    <fill>
      <patternFill patternType="solid">
        <fgColor theme="3" tint="0.59999389629810485"/>
        <bgColor indexed="64"/>
      </patternFill>
    </fill>
  </fills>
  <borders count="76">
    <border>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64"/>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9"/>
      </left>
      <right style="medium">
        <color indexed="9"/>
      </right>
      <top/>
      <bottom/>
      <diagonal/>
    </border>
    <border>
      <left style="medium">
        <color indexed="64"/>
      </left>
      <right style="medium">
        <color indexed="64"/>
      </right>
      <top/>
      <bottom style="medium">
        <color indexed="64"/>
      </bottom>
      <diagonal/>
    </border>
    <border>
      <left style="medium">
        <color indexed="64"/>
      </left>
      <right style="medium">
        <color indexed="9"/>
      </right>
      <top/>
      <bottom/>
      <diagonal/>
    </border>
    <border>
      <left style="medium">
        <color indexed="9"/>
      </left>
      <right style="medium">
        <color indexed="64"/>
      </right>
      <top/>
      <bottom/>
      <diagonal/>
    </border>
    <border>
      <left style="medium">
        <color indexed="9"/>
      </left>
      <right style="medium">
        <color indexed="64"/>
      </right>
      <top style="medium">
        <color indexed="9"/>
      </top>
      <bottom style="medium">
        <color indexed="9"/>
      </bottom>
      <diagonal/>
    </border>
    <border>
      <left style="medium">
        <color indexed="9"/>
      </left>
      <right style="medium">
        <color indexed="64"/>
      </right>
      <top style="medium">
        <color indexed="9"/>
      </top>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theme="0"/>
      </right>
      <top/>
      <bottom style="thin">
        <color indexed="64"/>
      </bottom>
      <diagonal/>
    </border>
    <border>
      <left style="medium">
        <color theme="0"/>
      </left>
      <right style="medium">
        <color theme="0"/>
      </right>
      <top style="medium">
        <color theme="0"/>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9"/>
      </left>
      <right style="thin">
        <color indexed="9"/>
      </right>
      <top style="thin">
        <color indexed="9"/>
      </top>
      <bottom style="thin">
        <color indexed="9"/>
      </bottom>
      <diagonal/>
    </border>
    <border>
      <left/>
      <right/>
      <top style="thin">
        <color theme="0"/>
      </top>
      <bottom/>
      <diagonal/>
    </border>
    <border>
      <left/>
      <right/>
      <top style="thin">
        <color theme="0"/>
      </top>
      <bottom style="thin">
        <color theme="0"/>
      </bottom>
      <diagonal/>
    </border>
    <border>
      <left/>
      <right/>
      <top/>
      <bottom style="thin">
        <color theme="0"/>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theme="0" tint="-4.9989318521683403E-2"/>
      </right>
      <top/>
      <bottom style="medium">
        <color theme="0" tint="-4.9989318521683403E-2"/>
      </bottom>
      <diagonal/>
    </border>
    <border>
      <left style="medium">
        <color theme="0" tint="-4.9989318521683403E-2"/>
      </left>
      <right style="medium">
        <color theme="0" tint="-4.9989318521683403E-2"/>
      </right>
      <top/>
      <bottom style="medium">
        <color theme="0" tint="-4.9989318521683403E-2"/>
      </bottom>
      <diagonal/>
    </border>
    <border>
      <left style="medium">
        <color theme="0" tint="-4.9989318521683403E-2"/>
      </left>
      <right/>
      <top/>
      <bottom style="medium">
        <color theme="0" tint="-4.9989318521683403E-2"/>
      </bottom>
      <diagonal/>
    </border>
    <border>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style="medium">
        <color theme="0" tint="-4.9989318521683403E-2"/>
      </left>
      <right/>
      <top style="medium">
        <color theme="0" tint="-4.9989318521683403E-2"/>
      </top>
      <bottom style="medium">
        <color theme="0" tint="-4.9989318521683403E-2"/>
      </bottom>
      <diagonal/>
    </border>
    <border>
      <left/>
      <right style="medium">
        <color theme="0" tint="-4.9989318521683403E-2"/>
      </right>
      <top style="medium">
        <color theme="0" tint="-4.9989318521683403E-2"/>
      </top>
      <bottom style="medium">
        <color indexed="64"/>
      </bottom>
      <diagonal/>
    </border>
    <border>
      <left style="medium">
        <color theme="0" tint="-4.9989318521683403E-2"/>
      </left>
      <right style="medium">
        <color theme="0" tint="-4.9989318521683403E-2"/>
      </right>
      <top style="medium">
        <color theme="0" tint="-4.9989318521683403E-2"/>
      </top>
      <bottom style="medium">
        <color indexed="64"/>
      </bottom>
      <diagonal/>
    </border>
    <border>
      <left style="medium">
        <color theme="0" tint="-4.9989318521683403E-2"/>
      </left>
      <right/>
      <top style="medium">
        <color theme="0" tint="-4.9989318521683403E-2"/>
      </top>
      <bottom style="medium">
        <color indexed="64"/>
      </bottom>
      <diagonal/>
    </border>
  </borders>
  <cellStyleXfs count="23">
    <xf numFmtId="0" fontId="0" fillId="0" borderId="0"/>
    <xf numFmtId="43" fontId="1" fillId="0" borderId="0" applyFont="0" applyFill="0" applyBorder="0" applyAlignment="0" applyProtection="0"/>
    <xf numFmtId="0" fontId="6" fillId="0" borderId="0"/>
    <xf numFmtId="0" fontId="6" fillId="0" borderId="0"/>
    <xf numFmtId="0" fontId="6" fillId="0" borderId="0"/>
    <xf numFmtId="44" fontId="1" fillId="0" borderId="0" applyFont="0" applyFill="0" applyBorder="0" applyAlignment="0" applyProtection="0"/>
    <xf numFmtId="9" fontId="1" fillId="0" borderId="0" applyFont="0" applyFill="0" applyBorder="0" applyAlignment="0" applyProtection="0"/>
    <xf numFmtId="0" fontId="26" fillId="0" borderId="0"/>
    <xf numFmtId="43" fontId="6" fillId="0" borderId="0" applyFont="0" applyFill="0" applyBorder="0" applyAlignment="0" applyProtection="0"/>
    <xf numFmtId="164" fontId="26" fillId="0" borderId="0" applyFont="0" applyFill="0" applyBorder="0" applyAlignment="0" applyProtection="0"/>
    <xf numFmtId="178" fontId="26" fillId="0" borderId="0" applyFont="0" applyFill="0" applyBorder="0" applyAlignment="0" applyProtection="0"/>
    <xf numFmtId="178" fontId="6" fillId="0" borderId="0" applyFont="0" applyFill="0" applyBorder="0" applyAlignment="0" applyProtection="0"/>
    <xf numFmtId="0" fontId="6" fillId="0" borderId="0"/>
    <xf numFmtId="164" fontId="6" fillId="0" borderId="0" applyFont="0" applyFill="0" applyBorder="0" applyAlignment="0" applyProtection="0"/>
    <xf numFmtId="0" fontId="6" fillId="0" borderId="0"/>
    <xf numFmtId="178"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cellStyleXfs>
  <cellXfs count="784">
    <xf numFmtId="0" fontId="0" fillId="0" borderId="0" xfId="0"/>
    <xf numFmtId="0" fontId="2" fillId="0" borderId="0" xfId="0" applyFont="1"/>
    <xf numFmtId="0" fontId="0" fillId="0" borderId="0" xfId="0" applyAlignment="1">
      <alignment wrapText="1"/>
    </xf>
    <xf numFmtId="165" fontId="3" fillId="0" borderId="0" xfId="1" applyNumberFormat="1" applyFont="1"/>
    <xf numFmtId="0" fontId="2" fillId="0" borderId="1" xfId="0" applyFont="1" applyBorder="1"/>
    <xf numFmtId="166" fontId="2" fillId="0" borderId="1" xfId="1" applyNumberFormat="1" applyFont="1" applyBorder="1"/>
    <xf numFmtId="167" fontId="0" fillId="0" borderId="0" xfId="0" applyNumberFormat="1"/>
    <xf numFmtId="164" fontId="0" fillId="0" borderId="0" xfId="1" applyNumberFormat="1" applyFont="1"/>
    <xf numFmtId="164" fontId="2" fillId="0" borderId="1" xfId="1" applyNumberFormat="1" applyFont="1" applyBorder="1"/>
    <xf numFmtId="0" fontId="0" fillId="0" borderId="0" xfId="0" applyAlignment="1">
      <alignment horizontal="center"/>
    </xf>
    <xf numFmtId="0" fontId="2" fillId="0" borderId="1" xfId="0" applyFont="1" applyBorder="1" applyAlignment="1">
      <alignment horizontal="center"/>
    </xf>
    <xf numFmtId="0" fontId="2" fillId="0" borderId="1" xfId="0" applyFont="1" applyBorder="1" applyAlignment="1">
      <alignment horizontal="right"/>
    </xf>
    <xf numFmtId="0" fontId="2" fillId="0" borderId="1" xfId="0" applyFont="1" applyBorder="1" applyAlignment="1">
      <alignment horizontal="right" wrapText="1"/>
    </xf>
    <xf numFmtId="0" fontId="2" fillId="2" borderId="0" xfId="0" applyFont="1" applyFill="1"/>
    <xf numFmtId="0" fontId="2" fillId="2" borderId="0" xfId="0" applyFont="1" applyFill="1" applyAlignment="1">
      <alignment horizontal="center"/>
    </xf>
    <xf numFmtId="168" fontId="0" fillId="0" borderId="0" xfId="0" applyNumberFormat="1"/>
    <xf numFmtId="0" fontId="10" fillId="0" borderId="0" xfId="0" applyFont="1"/>
    <xf numFmtId="168" fontId="6" fillId="3" borderId="19" xfId="2" applyNumberFormat="1" applyFont="1" applyFill="1" applyBorder="1" applyProtection="1">
      <protection locked="0"/>
    </xf>
    <xf numFmtId="168" fontId="6" fillId="3" borderId="12" xfId="2" applyNumberFormat="1" applyFont="1" applyFill="1" applyBorder="1" applyProtection="1">
      <protection locked="0"/>
    </xf>
    <xf numFmtId="168" fontId="6" fillId="3" borderId="10" xfId="2" applyNumberFormat="1" applyFont="1" applyFill="1" applyBorder="1" applyProtection="1">
      <protection locked="0"/>
    </xf>
    <xf numFmtId="168" fontId="6" fillId="3" borderId="8" xfId="2" applyNumberFormat="1" applyFont="1" applyFill="1" applyBorder="1" applyProtection="1">
      <protection locked="0"/>
    </xf>
    <xf numFmtId="168" fontId="6" fillId="0" borderId="0" xfId="2" applyNumberFormat="1" applyFont="1" applyFill="1" applyBorder="1" applyProtection="1"/>
    <xf numFmtId="168" fontId="10" fillId="0" borderId="0" xfId="0" applyNumberFormat="1" applyFont="1"/>
    <xf numFmtId="168" fontId="6" fillId="3" borderId="21" xfId="2" applyNumberFormat="1" applyFont="1" applyFill="1" applyBorder="1" applyProtection="1">
      <protection locked="0"/>
    </xf>
    <xf numFmtId="168" fontId="6" fillId="3" borderId="22" xfId="2" applyNumberFormat="1" applyFont="1" applyFill="1" applyBorder="1" applyProtection="1">
      <protection locked="0"/>
    </xf>
    <xf numFmtId="168" fontId="6" fillId="3" borderId="11" xfId="2" applyNumberFormat="1" applyFont="1" applyFill="1" applyBorder="1" applyProtection="1">
      <protection locked="0"/>
    </xf>
    <xf numFmtId="168" fontId="6" fillId="3" borderId="23" xfId="2" applyNumberFormat="1" applyFont="1" applyFill="1" applyBorder="1" applyProtection="1">
      <protection locked="0"/>
    </xf>
    <xf numFmtId="168" fontId="6" fillId="3" borderId="9" xfId="2" applyNumberFormat="1" applyFont="1" applyFill="1" applyBorder="1" applyProtection="1">
      <protection locked="0"/>
    </xf>
    <xf numFmtId="168" fontId="6" fillId="3" borderId="24" xfId="2" applyNumberFormat="1" applyFont="1" applyFill="1" applyBorder="1" applyProtection="1">
      <protection locked="0"/>
    </xf>
    <xf numFmtId="168" fontId="6" fillId="0" borderId="5" xfId="2" applyNumberFormat="1" applyFont="1" applyFill="1" applyBorder="1" applyProtection="1"/>
    <xf numFmtId="168" fontId="6" fillId="0" borderId="6" xfId="2" applyNumberFormat="1" applyFont="1" applyFill="1" applyBorder="1" applyProtection="1"/>
    <xf numFmtId="0" fontId="6" fillId="0" borderId="17" xfId="2" applyFont="1" applyBorder="1" applyAlignment="1" applyProtection="1">
      <alignment horizontal="center"/>
    </xf>
    <xf numFmtId="0" fontId="6" fillId="0" borderId="17" xfId="2" applyFont="1" applyBorder="1" applyProtection="1"/>
    <xf numFmtId="0" fontId="6" fillId="0" borderId="17" xfId="2" applyFont="1" applyBorder="1" applyAlignment="1" applyProtection="1"/>
    <xf numFmtId="0" fontId="6" fillId="0" borderId="17" xfId="2" applyFont="1" applyBorder="1" applyAlignment="1" applyProtection="1">
      <alignment horizontal="left"/>
    </xf>
    <xf numFmtId="0" fontId="7" fillId="0" borderId="17" xfId="2" applyFont="1" applyBorder="1" applyAlignment="1" applyProtection="1">
      <alignment horizontal="left"/>
    </xf>
    <xf numFmtId="0" fontId="7" fillId="0" borderId="17" xfId="2" applyFont="1" applyBorder="1" applyAlignment="1" applyProtection="1">
      <alignment horizontal="center"/>
    </xf>
    <xf numFmtId="0" fontId="12" fillId="0" borderId="0" xfId="0" applyFont="1"/>
    <xf numFmtId="0" fontId="7" fillId="0" borderId="20" xfId="2" applyFont="1" applyBorder="1" applyAlignment="1" applyProtection="1">
      <alignment horizontal="left"/>
    </xf>
    <xf numFmtId="0" fontId="7" fillId="0" borderId="20" xfId="2" applyFont="1" applyBorder="1" applyAlignment="1" applyProtection="1">
      <alignment horizontal="center"/>
    </xf>
    <xf numFmtId="168" fontId="7" fillId="0" borderId="13" xfId="2" applyNumberFormat="1" applyFont="1" applyFill="1" applyBorder="1" applyProtection="1"/>
    <xf numFmtId="168" fontId="7" fillId="0" borderId="14" xfId="2" applyNumberFormat="1" applyFont="1" applyFill="1" applyBorder="1" applyProtection="1"/>
    <xf numFmtId="168" fontId="7" fillId="0" borderId="15" xfId="2" applyNumberFormat="1" applyFont="1" applyFill="1" applyBorder="1" applyProtection="1"/>
    <xf numFmtId="168" fontId="6" fillId="3" borderId="7" xfId="2" applyNumberFormat="1" applyFont="1" applyFill="1" applyBorder="1" applyProtection="1">
      <protection locked="0"/>
    </xf>
    <xf numFmtId="168" fontId="7" fillId="3" borderId="11" xfId="2" applyNumberFormat="1" applyFont="1" applyFill="1" applyBorder="1" applyProtection="1">
      <protection locked="0"/>
    </xf>
    <xf numFmtId="168" fontId="7" fillId="3" borderId="12" xfId="2" applyNumberFormat="1" applyFont="1" applyFill="1" applyBorder="1" applyProtection="1">
      <protection locked="0"/>
    </xf>
    <xf numFmtId="168" fontId="7" fillId="3" borderId="8" xfId="2" applyNumberFormat="1" applyFont="1" applyFill="1" applyBorder="1" applyProtection="1">
      <protection locked="0"/>
    </xf>
    <xf numFmtId="168" fontId="7" fillId="3" borderId="24" xfId="2" applyNumberFormat="1" applyFont="1" applyFill="1" applyBorder="1" applyProtection="1">
      <protection locked="0"/>
    </xf>
    <xf numFmtId="168" fontId="7" fillId="3" borderId="7" xfId="2" applyNumberFormat="1" applyFont="1" applyFill="1" applyBorder="1" applyProtection="1">
      <protection locked="0"/>
    </xf>
    <xf numFmtId="168" fontId="7" fillId="3" borderId="22" xfId="2" applyNumberFormat="1" applyFont="1" applyFill="1" applyBorder="1" applyProtection="1">
      <protection locked="0"/>
    </xf>
    <xf numFmtId="0" fontId="10" fillId="0" borderId="5" xfId="0" applyFont="1" applyBorder="1"/>
    <xf numFmtId="0" fontId="10" fillId="0" borderId="0" xfId="0" applyFont="1" applyBorder="1"/>
    <xf numFmtId="0" fontId="10" fillId="0" borderId="6" xfId="0" applyFont="1" applyBorder="1"/>
    <xf numFmtId="0" fontId="12" fillId="0" borderId="13" xfId="0" applyFont="1" applyBorder="1"/>
    <xf numFmtId="0" fontId="12" fillId="0" borderId="14" xfId="0" applyFont="1" applyBorder="1"/>
    <xf numFmtId="0" fontId="10" fillId="0" borderId="15" xfId="0" applyFont="1" applyBorder="1"/>
    <xf numFmtId="0" fontId="12" fillId="0" borderId="15" xfId="0" applyFont="1" applyBorder="1"/>
    <xf numFmtId="168" fontId="6" fillId="3" borderId="7" xfId="2" applyNumberFormat="1" applyFont="1" applyFill="1" applyBorder="1" applyAlignment="1" applyProtection="1">
      <alignment horizontal="center"/>
      <protection locked="0"/>
    </xf>
    <xf numFmtId="168" fontId="6" fillId="3" borderId="24" xfId="2" applyNumberFormat="1" applyFont="1" applyFill="1" applyBorder="1" applyAlignment="1" applyProtection="1">
      <alignment horizontal="center"/>
      <protection locked="0"/>
    </xf>
    <xf numFmtId="0" fontId="0" fillId="0" borderId="0" xfId="0" applyProtection="1"/>
    <xf numFmtId="0" fontId="0" fillId="0" borderId="0" xfId="0" applyAlignment="1" applyProtection="1">
      <alignment vertical="top" wrapText="1"/>
    </xf>
    <xf numFmtId="0" fontId="0" fillId="4" borderId="0" xfId="0" applyFill="1" applyProtection="1"/>
    <xf numFmtId="0" fontId="0" fillId="4" borderId="0" xfId="0" applyFill="1" applyAlignment="1" applyProtection="1">
      <alignment vertical="top" wrapText="1"/>
    </xf>
    <xf numFmtId="0" fontId="13" fillId="0" borderId="0" xfId="0" applyFont="1" applyProtection="1"/>
    <xf numFmtId="0" fontId="13" fillId="0" borderId="0" xfId="0" applyFont="1" applyFill="1" applyAlignment="1" applyProtection="1">
      <alignment vertical="top" wrapText="1"/>
    </xf>
    <xf numFmtId="0" fontId="7" fillId="0" borderId="0" xfId="3" applyFont="1" applyAlignment="1" applyProtection="1">
      <alignment horizontal="left" vertical="center"/>
    </xf>
    <xf numFmtId="0" fontId="7" fillId="4" borderId="27" xfId="3" applyFont="1" applyFill="1" applyBorder="1" applyAlignment="1" applyProtection="1">
      <alignment horizontal="center" vertical="center"/>
    </xf>
    <xf numFmtId="0" fontId="0" fillId="4" borderId="0" xfId="0" applyFill="1" applyAlignment="1" applyProtection="1">
      <alignment horizontal="center" vertical="center" wrapText="1"/>
    </xf>
    <xf numFmtId="0" fontId="0" fillId="4" borderId="0" xfId="0" applyFill="1" applyAlignment="1" applyProtection="1">
      <alignment horizontal="center" vertical="center"/>
    </xf>
    <xf numFmtId="0" fontId="0" fillId="6" borderId="30" xfId="0" applyFill="1" applyBorder="1" applyAlignment="1" applyProtection="1">
      <alignment horizontal="center" vertical="center"/>
      <protection locked="0"/>
    </xf>
    <xf numFmtId="169" fontId="0" fillId="5" borderId="25" xfId="0" applyNumberFormat="1" applyFill="1" applyBorder="1" applyAlignment="1" applyProtection="1">
      <alignment horizontal="center" vertical="center"/>
      <protection locked="0"/>
    </xf>
    <xf numFmtId="171" fontId="0" fillId="5" borderId="0" xfId="0" applyNumberFormat="1"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169" fontId="0" fillId="5" borderId="32" xfId="0" applyNumberFormat="1" applyFill="1" applyBorder="1" applyAlignment="1" applyProtection="1">
      <alignment horizontal="center" vertical="center"/>
      <protection locked="0"/>
    </xf>
    <xf numFmtId="10" fontId="0" fillId="5" borderId="32" xfId="0" applyNumberFormat="1" applyFill="1" applyBorder="1" applyAlignment="1" applyProtection="1">
      <alignment horizontal="center" vertical="center"/>
      <protection locked="0"/>
    </xf>
    <xf numFmtId="170" fontId="0" fillId="5" borderId="33" xfId="0" applyNumberFormat="1" applyFill="1" applyBorder="1" applyAlignment="1" applyProtection="1">
      <alignment horizontal="center" vertical="center"/>
      <protection locked="0"/>
    </xf>
    <xf numFmtId="0" fontId="0" fillId="6" borderId="34" xfId="0" applyFill="1" applyBorder="1" applyAlignment="1" applyProtection="1">
      <alignment horizontal="center" vertical="center"/>
      <protection locked="0"/>
    </xf>
    <xf numFmtId="169" fontId="0" fillId="5" borderId="28" xfId="0" applyNumberFormat="1" applyFill="1" applyBorder="1" applyAlignment="1" applyProtection="1">
      <alignment horizontal="center" vertical="center"/>
      <protection locked="0"/>
    </xf>
    <xf numFmtId="10" fontId="0" fillId="5" borderId="28" xfId="0" applyNumberFormat="1" applyFill="1" applyBorder="1" applyAlignment="1" applyProtection="1">
      <alignment horizontal="center" vertical="center"/>
      <protection locked="0"/>
    </xf>
    <xf numFmtId="0" fontId="0" fillId="7" borderId="0" xfId="0" applyFill="1" applyBorder="1" applyAlignment="1" applyProtection="1">
      <alignment horizontal="center" vertical="center"/>
    </xf>
    <xf numFmtId="169" fontId="0" fillId="7" borderId="0" xfId="0" applyNumberFormat="1" applyFill="1" applyBorder="1" applyAlignment="1" applyProtection="1">
      <alignment horizontal="center" vertical="center"/>
    </xf>
    <xf numFmtId="10" fontId="0" fillId="7" borderId="0" xfId="0" applyNumberFormat="1" applyFill="1" applyBorder="1" applyAlignment="1" applyProtection="1">
      <alignment horizontal="center" vertical="center"/>
    </xf>
    <xf numFmtId="170" fontId="0" fillId="7" borderId="34" xfId="0" applyNumberFormat="1" applyFill="1" applyBorder="1" applyAlignment="1" applyProtection="1">
      <alignment horizontal="center" vertical="center"/>
    </xf>
    <xf numFmtId="0" fontId="0" fillId="7" borderId="0" xfId="0" applyFill="1" applyProtection="1"/>
    <xf numFmtId="0" fontId="15" fillId="0" borderId="0" xfId="0" applyFont="1" applyAlignment="1" applyProtection="1">
      <alignment horizontal="center" vertical="center"/>
    </xf>
    <xf numFmtId="170" fontId="2" fillId="0" borderId="35" xfId="0" applyNumberFormat="1" applyFont="1" applyBorder="1" applyAlignment="1" applyProtection="1">
      <alignment horizontal="center" vertical="center"/>
    </xf>
    <xf numFmtId="10" fontId="2" fillId="0" borderId="35" xfId="0" applyNumberFormat="1" applyFont="1" applyBorder="1" applyAlignment="1" applyProtection="1">
      <alignment horizontal="center" vertical="center"/>
    </xf>
    <xf numFmtId="0" fontId="16" fillId="0" borderId="0" xfId="0" applyFont="1" applyAlignment="1" applyProtection="1">
      <alignment horizontal="center"/>
    </xf>
    <xf numFmtId="169" fontId="16" fillId="0" borderId="0" xfId="0" applyNumberFormat="1" applyFont="1" applyAlignment="1" applyProtection="1">
      <alignment horizontal="center"/>
    </xf>
    <xf numFmtId="0" fontId="17" fillId="0" borderId="0" xfId="0" applyFont="1" applyAlignment="1" applyProtection="1">
      <alignment horizontal="left" vertical="top"/>
    </xf>
    <xf numFmtId="0" fontId="15" fillId="0" borderId="0" xfId="0" applyFont="1" applyAlignment="1" applyProtection="1">
      <alignment horizontal="left" vertical="top" wrapText="1"/>
    </xf>
    <xf numFmtId="0" fontId="15" fillId="0" borderId="0" xfId="0" applyFont="1" applyAlignment="1" applyProtection="1">
      <alignment vertical="center" wrapText="1"/>
    </xf>
    <xf numFmtId="0" fontId="19" fillId="4" borderId="18" xfId="0" applyFont="1" applyFill="1" applyBorder="1" applyAlignment="1" applyProtection="1">
      <alignment horizontal="left" vertical="top" wrapText="1"/>
    </xf>
    <xf numFmtId="0" fontId="19" fillId="4" borderId="18" xfId="0" applyFont="1" applyFill="1" applyBorder="1" applyAlignment="1" applyProtection="1">
      <alignment horizontal="center" vertical="center"/>
      <protection locked="0"/>
    </xf>
    <xf numFmtId="175" fontId="0" fillId="5" borderId="33" xfId="0" applyNumberFormat="1" applyFill="1" applyBorder="1" applyAlignment="1" applyProtection="1">
      <alignment horizontal="center" vertical="center"/>
      <protection locked="0"/>
    </xf>
    <xf numFmtId="176" fontId="0" fillId="0" borderId="0" xfId="0" applyNumberFormat="1" applyProtection="1"/>
    <xf numFmtId="0" fontId="21" fillId="0" borderId="0" xfId="0" applyFont="1" applyFill="1" applyBorder="1" applyAlignment="1" applyProtection="1">
      <alignment vertical="center"/>
      <protection locked="0"/>
    </xf>
    <xf numFmtId="0" fontId="22" fillId="0" borderId="0" xfId="0" applyFont="1" applyProtection="1"/>
    <xf numFmtId="165" fontId="1" fillId="0" borderId="0" xfId="1" applyNumberFormat="1" applyFont="1"/>
    <xf numFmtId="0" fontId="23" fillId="0" borderId="0" xfId="0" applyFont="1" applyFill="1" applyBorder="1" applyAlignment="1" applyProtection="1">
      <alignment vertical="center"/>
      <protection locked="0"/>
    </xf>
    <xf numFmtId="0" fontId="21" fillId="0" borderId="0" xfId="0" applyFont="1" applyProtection="1"/>
    <xf numFmtId="165" fontId="1" fillId="0" borderId="0" xfId="1" applyNumberFormat="1" applyFont="1" applyFill="1"/>
    <xf numFmtId="0" fontId="22" fillId="0" borderId="0" xfId="0" applyFont="1" applyFill="1" applyProtection="1"/>
    <xf numFmtId="165" fontId="24" fillId="0" borderId="0" xfId="1" quotePrefix="1" applyNumberFormat="1" applyFont="1" applyBorder="1" applyAlignment="1">
      <alignment horizontal="center"/>
    </xf>
    <xf numFmtId="165" fontId="1" fillId="0" borderId="36" xfId="1" applyNumberFormat="1" applyFont="1" applyBorder="1"/>
    <xf numFmtId="0" fontId="7" fillId="0" borderId="39" xfId="3" applyFont="1" applyFill="1" applyBorder="1" applyAlignment="1" applyProtection="1">
      <alignment horizontal="center" vertical="center"/>
    </xf>
    <xf numFmtId="177" fontId="2" fillId="0" borderId="36" xfId="1" applyNumberFormat="1" applyFont="1" applyBorder="1"/>
    <xf numFmtId="174" fontId="0" fillId="5" borderId="25" xfId="6" applyNumberFormat="1" applyFont="1" applyFill="1" applyBorder="1" applyAlignment="1" applyProtection="1">
      <alignment vertical="center"/>
      <protection locked="0"/>
    </xf>
    <xf numFmtId="169" fontId="0" fillId="5" borderId="25" xfId="0" applyNumberFormat="1" applyFill="1" applyBorder="1" applyAlignment="1" applyProtection="1">
      <alignment horizontal="right" vertical="center"/>
      <protection locked="0"/>
    </xf>
    <xf numFmtId="169" fontId="0" fillId="5" borderId="40" xfId="0" applyNumberFormat="1" applyFill="1" applyBorder="1" applyAlignment="1" applyProtection="1">
      <alignment horizontal="right" vertical="center"/>
      <protection locked="0"/>
    </xf>
    <xf numFmtId="174" fontId="1" fillId="0" borderId="41" xfId="6" applyNumberFormat="1" applyFont="1" applyBorder="1" applyAlignment="1"/>
    <xf numFmtId="177" fontId="1" fillId="0" borderId="41" xfId="1" applyNumberFormat="1" applyFont="1" applyBorder="1" applyAlignment="1">
      <alignment horizontal="right"/>
    </xf>
    <xf numFmtId="165" fontId="1" fillId="0" borderId="1" xfId="1" applyNumberFormat="1" applyFont="1" applyBorder="1"/>
    <xf numFmtId="177" fontId="2" fillId="0" borderId="36" xfId="5" applyNumberFormat="1" applyFont="1" applyBorder="1"/>
    <xf numFmtId="177" fontId="2" fillId="0" borderId="0" xfId="5" applyNumberFormat="1" applyFont="1" applyFill="1" applyBorder="1"/>
    <xf numFmtId="174" fontId="0" fillId="5" borderId="25" xfId="6" applyNumberFormat="1" applyFont="1" applyFill="1" applyBorder="1" applyAlignment="1" applyProtection="1">
      <alignment horizontal="right" vertical="center"/>
      <protection locked="0"/>
    </xf>
    <xf numFmtId="169" fontId="0" fillId="5" borderId="26" xfId="0" applyNumberFormat="1" applyFill="1" applyBorder="1" applyAlignment="1" applyProtection="1">
      <alignment horizontal="right" vertical="center"/>
      <protection locked="0"/>
    </xf>
    <xf numFmtId="169" fontId="0" fillId="0" borderId="0" xfId="0" applyNumberFormat="1" applyFill="1" applyBorder="1" applyAlignment="1" applyProtection="1">
      <alignment horizontal="right" vertical="center"/>
      <protection locked="0"/>
    </xf>
    <xf numFmtId="10" fontId="1" fillId="0" borderId="35" xfId="6" applyNumberFormat="1" applyFont="1" applyBorder="1"/>
    <xf numFmtId="177" fontId="1" fillId="0" borderId="35" xfId="6" applyNumberFormat="1" applyFont="1" applyBorder="1" applyAlignment="1">
      <alignment wrapText="1"/>
    </xf>
    <xf numFmtId="177" fontId="1" fillId="0" borderId="0" xfId="6" applyNumberFormat="1" applyFont="1" applyFill="1" applyBorder="1" applyAlignment="1">
      <alignment wrapText="1"/>
    </xf>
    <xf numFmtId="165" fontId="1" fillId="0" borderId="0" xfId="1" applyNumberFormat="1" applyFont="1" applyBorder="1"/>
    <xf numFmtId="177" fontId="0" fillId="0" borderId="0" xfId="0" applyNumberFormat="1"/>
    <xf numFmtId="0" fontId="0" fillId="0" borderId="0" xfId="0" applyFill="1"/>
    <xf numFmtId="177" fontId="2" fillId="0" borderId="0" xfId="0" applyNumberFormat="1" applyFont="1"/>
    <xf numFmtId="0" fontId="2" fillId="0" borderId="0" xfId="0" applyFont="1" applyAlignment="1">
      <alignment horizontal="center" vertical="center"/>
    </xf>
    <xf numFmtId="0" fontId="0" fillId="0" borderId="0" xfId="0" applyAlignment="1" applyProtection="1">
      <alignment vertical="top"/>
    </xf>
    <xf numFmtId="0" fontId="7" fillId="0" borderId="0" xfId="16" applyFont="1" applyAlignment="1" applyProtection="1">
      <alignment vertical="top" wrapText="1"/>
    </xf>
    <xf numFmtId="0" fontId="0" fillId="0" borderId="0" xfId="0" applyAlignment="1" applyProtection="1"/>
    <xf numFmtId="0" fontId="10" fillId="0" borderId="0" xfId="0" applyFont="1" applyAlignment="1" applyProtection="1"/>
    <xf numFmtId="0" fontId="7" fillId="0" borderId="0" xfId="16" applyFont="1" applyAlignment="1" applyProtection="1"/>
    <xf numFmtId="0" fontId="7" fillId="0" borderId="0" xfId="16" applyFont="1" applyFill="1" applyAlignment="1" applyProtection="1">
      <alignment horizontal="right"/>
    </xf>
    <xf numFmtId="169" fontId="0" fillId="0" borderId="0" xfId="0" applyNumberFormat="1" applyAlignment="1" applyProtection="1">
      <alignment horizontal="right" vertical="center"/>
    </xf>
    <xf numFmtId="0" fontId="0" fillId="11" borderId="0" xfId="0" applyFill="1" applyProtection="1"/>
    <xf numFmtId="0" fontId="0" fillId="0" borderId="0" xfId="0" applyBorder="1" applyProtection="1"/>
    <xf numFmtId="169" fontId="0" fillId="0" borderId="0" xfId="0" applyNumberFormat="1" applyBorder="1" applyAlignment="1" applyProtection="1">
      <alignment horizontal="right" vertical="center"/>
    </xf>
    <xf numFmtId="169" fontId="0" fillId="0" borderId="0" xfId="0" applyNumberFormat="1" applyBorder="1" applyAlignment="1" applyProtection="1">
      <alignment horizontal="center" vertical="center"/>
    </xf>
    <xf numFmtId="179" fontId="0" fillId="11" borderId="0" xfId="0" applyNumberFormat="1" applyFill="1" applyBorder="1" applyAlignment="1" applyProtection="1">
      <alignment horizontal="center" vertical="center"/>
    </xf>
    <xf numFmtId="0" fontId="0" fillId="0" borderId="38" xfId="0" applyBorder="1" applyProtection="1"/>
    <xf numFmtId="169" fontId="0" fillId="0" borderId="38" xfId="0" applyNumberFormat="1" applyBorder="1" applyAlignment="1" applyProtection="1">
      <alignment horizontal="right" vertical="center"/>
    </xf>
    <xf numFmtId="169" fontId="0" fillId="0" borderId="38" xfId="0" applyNumberFormat="1" applyBorder="1" applyAlignment="1" applyProtection="1">
      <alignment horizontal="center" vertical="center"/>
    </xf>
    <xf numFmtId="179" fontId="0" fillId="11" borderId="38" xfId="0" applyNumberFormat="1" applyFill="1" applyBorder="1" applyAlignment="1" applyProtection="1">
      <alignment horizontal="center" vertical="center"/>
    </xf>
    <xf numFmtId="0" fontId="0" fillId="11" borderId="38" xfId="0" applyFill="1" applyBorder="1" applyProtection="1"/>
    <xf numFmtId="0" fontId="0" fillId="0" borderId="1" xfId="0" applyBorder="1" applyProtection="1"/>
    <xf numFmtId="169" fontId="0" fillId="0" borderId="1" xfId="0" applyNumberFormat="1" applyBorder="1" applyAlignment="1" applyProtection="1">
      <alignment horizontal="right" vertical="center"/>
    </xf>
    <xf numFmtId="169" fontId="0" fillId="0" borderId="1" xfId="0" applyNumberFormat="1" applyBorder="1" applyAlignment="1" applyProtection="1">
      <alignment horizontal="center" vertical="center"/>
    </xf>
    <xf numFmtId="0" fontId="0" fillId="11" borderId="1" xfId="0" applyFill="1" applyBorder="1" applyProtection="1"/>
    <xf numFmtId="0" fontId="2" fillId="0" borderId="0" xfId="0" applyFont="1" applyProtection="1"/>
    <xf numFmtId="169" fontId="2" fillId="0" borderId="0" xfId="0" applyNumberFormat="1" applyFont="1" applyAlignment="1" applyProtection="1">
      <alignment horizontal="center"/>
    </xf>
    <xf numFmtId="0" fontId="0" fillId="0" borderId="0" xfId="0" applyAlignment="1" applyProtection="1">
      <alignment horizontal="center"/>
    </xf>
    <xf numFmtId="169" fontId="0" fillId="0" borderId="36" xfId="0" applyNumberFormat="1" applyBorder="1" applyAlignment="1" applyProtection="1">
      <alignment horizontal="center" vertical="center"/>
    </xf>
    <xf numFmtId="0" fontId="25" fillId="0" borderId="44" xfId="16" applyFont="1" applyFill="1" applyBorder="1" applyAlignment="1" applyProtection="1">
      <alignment horizontal="center"/>
    </xf>
    <xf numFmtId="0" fontId="2" fillId="0" borderId="45" xfId="0" applyFont="1" applyBorder="1" applyAlignment="1">
      <alignment horizontal="center" wrapText="1"/>
    </xf>
    <xf numFmtId="0" fontId="0" fillId="0" borderId="5" xfId="0" applyFont="1" applyBorder="1" applyProtection="1"/>
    <xf numFmtId="169" fontId="0" fillId="0" borderId="17" xfId="0" applyNumberFormat="1" applyFont="1" applyBorder="1" applyAlignment="1" applyProtection="1">
      <alignment horizontal="center" vertical="center"/>
    </xf>
    <xf numFmtId="179" fontId="0" fillId="0" borderId="6" xfId="0" applyNumberFormat="1" applyFont="1" applyBorder="1" applyAlignment="1" applyProtection="1">
      <alignment horizontal="center" vertical="center"/>
    </xf>
    <xf numFmtId="0" fontId="0" fillId="0" borderId="17" xfId="0" applyBorder="1" applyAlignment="1">
      <alignment horizontal="center"/>
    </xf>
    <xf numFmtId="0" fontId="0" fillId="0" borderId="13" xfId="0" applyFont="1" applyBorder="1" applyProtection="1"/>
    <xf numFmtId="0" fontId="2" fillId="0" borderId="2" xfId="0" applyFont="1" applyFill="1" applyBorder="1"/>
    <xf numFmtId="0" fontId="2" fillId="0" borderId="18" xfId="0" applyFont="1" applyFill="1" applyBorder="1"/>
    <xf numFmtId="0" fontId="2" fillId="0" borderId="2" xfId="0" applyFont="1" applyFill="1" applyBorder="1" applyAlignment="1">
      <alignment horizontal="center"/>
    </xf>
    <xf numFmtId="0" fontId="2" fillId="0" borderId="18" xfId="0" applyFont="1" applyFill="1" applyBorder="1" applyAlignment="1">
      <alignment horizontal="center"/>
    </xf>
    <xf numFmtId="0" fontId="2" fillId="0" borderId="44" xfId="0" applyFont="1" applyBorder="1" applyAlignment="1">
      <alignment horizontal="center" wrapText="1"/>
    </xf>
    <xf numFmtId="179" fontId="0" fillId="0" borderId="17" xfId="0" applyNumberFormat="1" applyFont="1" applyBorder="1" applyAlignment="1" applyProtection="1">
      <alignment horizontal="center" vertical="center"/>
    </xf>
    <xf numFmtId="179" fontId="0" fillId="0" borderId="0" xfId="0" applyNumberFormat="1" applyFont="1" applyAlignment="1" applyProtection="1">
      <alignment horizontal="center" vertical="center"/>
    </xf>
    <xf numFmtId="169" fontId="0" fillId="0" borderId="20" xfId="0" applyNumberFormat="1" applyFont="1" applyBorder="1" applyAlignment="1" applyProtection="1">
      <alignment horizontal="center" vertical="center"/>
    </xf>
    <xf numFmtId="179" fontId="0" fillId="0" borderId="20" xfId="0" applyNumberFormat="1" applyFont="1" applyBorder="1" applyAlignment="1" applyProtection="1">
      <alignment horizontal="center" vertical="center"/>
    </xf>
    <xf numFmtId="179" fontId="0" fillId="0" borderId="15" xfId="0" applyNumberFormat="1" applyFont="1" applyBorder="1" applyAlignment="1" applyProtection="1">
      <alignment horizontal="center" vertical="center"/>
    </xf>
    <xf numFmtId="0" fontId="25" fillId="0" borderId="18" xfId="16" applyFont="1" applyBorder="1" applyAlignment="1" applyProtection="1"/>
    <xf numFmtId="0" fontId="29" fillId="0" borderId="0" xfId="0" applyFont="1" applyProtection="1"/>
    <xf numFmtId="0" fontId="30" fillId="0" borderId="0" xfId="0" applyFont="1" applyAlignment="1" applyProtection="1">
      <alignment horizontal="center" wrapText="1"/>
    </xf>
    <xf numFmtId="0" fontId="31" fillId="12" borderId="0" xfId="17" applyFont="1" applyFill="1" applyAlignment="1" applyProtection="1">
      <alignment horizontal="center"/>
    </xf>
    <xf numFmtId="182" fontId="0" fillId="0" borderId="0" xfId="5" applyNumberFormat="1" applyFont="1"/>
    <xf numFmtId="10" fontId="0" fillId="0" borderId="0" xfId="0" applyNumberFormat="1"/>
    <xf numFmtId="182" fontId="0" fillId="0" borderId="0" xfId="0" applyNumberFormat="1"/>
    <xf numFmtId="0" fontId="32" fillId="0" borderId="0" xfId="0" applyFont="1" applyAlignment="1" applyProtection="1">
      <alignment horizontal="left"/>
    </xf>
    <xf numFmtId="3" fontId="34" fillId="3" borderId="0" xfId="0" applyNumberFormat="1" applyFont="1" applyFill="1" applyProtection="1">
      <protection locked="0"/>
    </xf>
    <xf numFmtId="0" fontId="35" fillId="0" borderId="0" xfId="0" applyFont="1" applyAlignment="1" applyProtection="1">
      <alignment horizontal="left" vertical="top"/>
    </xf>
    <xf numFmtId="0" fontId="0" fillId="0" borderId="0" xfId="0" applyAlignment="1">
      <alignment vertical="top"/>
    </xf>
    <xf numFmtId="0" fontId="36" fillId="0" borderId="0" xfId="0" applyFont="1" applyAlignment="1" applyProtection="1">
      <alignment horizontal="center" vertical="top"/>
    </xf>
    <xf numFmtId="0" fontId="0" fillId="0" borderId="0" xfId="0" applyFont="1" applyAlignment="1">
      <alignment vertical="top"/>
    </xf>
    <xf numFmtId="0" fontId="38" fillId="0" borderId="0" xfId="0" applyFont="1"/>
    <xf numFmtId="0" fontId="34" fillId="0" borderId="0" xfId="0" applyFont="1"/>
    <xf numFmtId="0" fontId="34" fillId="0" borderId="0" xfId="0" applyFont="1" applyProtection="1"/>
    <xf numFmtId="0" fontId="34" fillId="0" borderId="0" xfId="0" applyFont="1" applyAlignment="1" applyProtection="1">
      <alignment horizontal="left" indent="1"/>
    </xf>
    <xf numFmtId="0" fontId="35" fillId="0" borderId="0" xfId="0" applyFont="1" applyAlignment="1" applyProtection="1">
      <alignment horizontal="left"/>
    </xf>
    <xf numFmtId="0" fontId="34" fillId="0" borderId="0" xfId="0" applyFont="1" applyAlignment="1" applyProtection="1">
      <alignment horizontal="left" vertical="top"/>
    </xf>
    <xf numFmtId="0" fontId="38" fillId="0" borderId="0" xfId="0" applyFont="1" applyAlignment="1">
      <alignment horizontal="left"/>
    </xf>
    <xf numFmtId="0" fontId="30" fillId="0" borderId="0" xfId="0" applyFont="1" applyProtection="1"/>
    <xf numFmtId="0" fontId="0" fillId="0" borderId="0" xfId="0" applyFont="1" applyProtection="1"/>
    <xf numFmtId="0" fontId="34" fillId="0" borderId="0" xfId="0" applyFont="1" applyAlignment="1" applyProtection="1">
      <alignment horizontal="left"/>
    </xf>
    <xf numFmtId="0" fontId="39" fillId="10" borderId="0" xfId="0" applyFont="1" applyFill="1" applyAlignment="1" applyProtection="1">
      <alignment horizontal="left"/>
    </xf>
    <xf numFmtId="0" fontId="29" fillId="10" borderId="0" xfId="0" applyFont="1" applyFill="1"/>
    <xf numFmtId="0" fontId="40" fillId="0" borderId="0" xfId="0" applyFont="1"/>
    <xf numFmtId="0" fontId="9" fillId="0" borderId="0" xfId="2" applyFont="1"/>
    <xf numFmtId="0" fontId="6" fillId="0" borderId="0" xfId="2"/>
    <xf numFmtId="0" fontId="9" fillId="0" borderId="0" xfId="2" applyFont="1" applyAlignment="1">
      <alignment horizontal="center" vertical="center"/>
    </xf>
    <xf numFmtId="0" fontId="6" fillId="0" borderId="0" xfId="2" applyAlignment="1">
      <alignment horizontal="center" vertical="center"/>
    </xf>
    <xf numFmtId="181" fontId="6" fillId="0" borderId="0" xfId="2" applyNumberFormat="1" applyAlignment="1">
      <alignment horizontal="center" vertical="center"/>
    </xf>
    <xf numFmtId="0" fontId="6" fillId="0" borderId="0" xfId="2" applyProtection="1"/>
    <xf numFmtId="0" fontId="42" fillId="0" borderId="0" xfId="2" applyFont="1" applyFill="1" applyAlignment="1">
      <alignment horizontal="left" vertical="center"/>
    </xf>
    <xf numFmtId="0" fontId="42" fillId="0" borderId="0" xfId="2" applyFont="1" applyFill="1" applyAlignment="1">
      <alignment horizontal="center" vertical="center" wrapText="1"/>
    </xf>
    <xf numFmtId="0" fontId="6" fillId="0" borderId="0" xfId="2" applyFill="1"/>
    <xf numFmtId="0" fontId="6" fillId="12" borderId="0" xfId="2" applyFill="1" applyProtection="1"/>
    <xf numFmtId="0" fontId="6" fillId="12" borderId="0" xfId="2" applyFill="1" applyAlignment="1" applyProtection="1">
      <alignment horizontal="center"/>
    </xf>
    <xf numFmtId="0" fontId="9" fillId="12" borderId="0" xfId="2" applyFont="1" applyFill="1" applyAlignment="1" applyProtection="1">
      <alignment horizontal="center" wrapText="1"/>
    </xf>
    <xf numFmtId="0" fontId="42" fillId="14" borderId="0" xfId="0" applyFont="1" applyFill="1" applyAlignment="1">
      <alignment horizontal="left" vertical="center"/>
    </xf>
    <xf numFmtId="0" fontId="42" fillId="14" borderId="0" xfId="0" applyFont="1" applyFill="1" applyAlignment="1">
      <alignment horizontal="center" vertical="center" wrapText="1"/>
    </xf>
    <xf numFmtId="0" fontId="43" fillId="0" borderId="0" xfId="0" applyFont="1" applyProtection="1"/>
    <xf numFmtId="0" fontId="44" fillId="0" borderId="0" xfId="0" applyFont="1"/>
    <xf numFmtId="0" fontId="43" fillId="0" borderId="0" xfId="0" applyFont="1" applyAlignment="1" applyProtection="1">
      <alignment horizontal="center"/>
    </xf>
    <xf numFmtId="0" fontId="44" fillId="0" borderId="0" xfId="0" applyFont="1" applyProtection="1"/>
    <xf numFmtId="0" fontId="45" fillId="12" borderId="0" xfId="0" applyFont="1" applyFill="1" applyAlignment="1" applyProtection="1">
      <alignment horizontal="left"/>
    </xf>
    <xf numFmtId="0" fontId="46" fillId="12" borderId="0" xfId="0" applyFont="1" applyFill="1" applyAlignment="1" applyProtection="1">
      <alignment horizontal="center"/>
    </xf>
    <xf numFmtId="0" fontId="46" fillId="12" borderId="0" xfId="0" applyFont="1" applyFill="1"/>
    <xf numFmtId="44" fontId="47" fillId="12" borderId="0" xfId="18" applyFont="1" applyFill="1" applyProtection="1"/>
    <xf numFmtId="0" fontId="46" fillId="12" borderId="0" xfId="0" applyFont="1" applyFill="1" applyProtection="1"/>
    <xf numFmtId="44" fontId="47" fillId="3" borderId="0" xfId="18" applyFont="1" applyFill="1" applyProtection="1">
      <protection locked="0"/>
    </xf>
    <xf numFmtId="0" fontId="9" fillId="12" borderId="0" xfId="0" applyFont="1" applyFill="1" applyProtection="1"/>
    <xf numFmtId="0" fontId="0" fillId="12" borderId="0" xfId="0" applyFill="1" applyAlignment="1" applyProtection="1">
      <alignment horizontal="center"/>
    </xf>
    <xf numFmtId="0" fontId="0" fillId="12" borderId="0" xfId="0" applyFill="1" applyProtection="1"/>
    <xf numFmtId="0" fontId="9" fillId="12" borderId="0" xfId="0" applyFont="1" applyFill="1" applyAlignment="1" applyProtection="1">
      <alignment horizontal="center" wrapText="1"/>
    </xf>
    <xf numFmtId="0" fontId="0" fillId="12" borderId="0" xfId="0" applyFill="1"/>
    <xf numFmtId="44" fontId="9" fillId="12" borderId="0" xfId="18" applyFont="1" applyFill="1" applyProtection="1"/>
    <xf numFmtId="0" fontId="48" fillId="15" borderId="0" xfId="0" applyFont="1" applyFill="1" applyAlignment="1">
      <alignment horizontal="left" vertical="center"/>
    </xf>
    <xf numFmtId="0" fontId="42" fillId="15" borderId="0" xfId="0" applyFont="1" applyFill="1" applyAlignment="1">
      <alignment horizontal="center" vertical="center" wrapText="1"/>
    </xf>
    <xf numFmtId="186" fontId="47" fillId="12" borderId="0" xfId="18" applyNumberFormat="1" applyFont="1" applyFill="1" applyProtection="1"/>
    <xf numFmtId="186" fontId="0" fillId="0" borderId="0" xfId="0" applyNumberFormat="1" applyProtection="1"/>
    <xf numFmtId="186" fontId="47" fillId="3" borderId="0" xfId="18" applyNumberFormat="1" applyFont="1" applyFill="1" applyProtection="1">
      <protection locked="0"/>
    </xf>
    <xf numFmtId="186" fontId="9" fillId="12" borderId="0" xfId="18" applyNumberFormat="1" applyFont="1" applyFill="1" applyProtection="1"/>
    <xf numFmtId="186" fontId="0" fillId="12" borderId="0" xfId="0" applyNumberFormat="1" applyFill="1" applyProtection="1"/>
    <xf numFmtId="187" fontId="9" fillId="12" borderId="0" xfId="18" applyNumberFormat="1" applyFont="1" applyFill="1" applyProtection="1"/>
    <xf numFmtId="186" fontId="46" fillId="12" borderId="0" xfId="0" applyNumberFormat="1" applyFont="1" applyFill="1" applyProtection="1"/>
    <xf numFmtId="186" fontId="47" fillId="12" borderId="46" xfId="18" applyNumberFormat="1" applyFont="1" applyFill="1" applyBorder="1" applyProtection="1"/>
    <xf numFmtId="0" fontId="45" fillId="12" borderId="0" xfId="0" applyFont="1" applyFill="1" applyAlignment="1" applyProtection="1">
      <alignment horizontal="left" wrapText="1"/>
    </xf>
    <xf numFmtId="182" fontId="47" fillId="3" borderId="0" xfId="18" applyNumberFormat="1" applyFont="1" applyFill="1" applyProtection="1">
      <protection locked="0"/>
    </xf>
    <xf numFmtId="0" fontId="48" fillId="14" borderId="0" xfId="2" applyFont="1" applyFill="1" applyAlignment="1" applyProtection="1">
      <alignment horizontal="center" vertical="center"/>
    </xf>
    <xf numFmtId="0" fontId="9" fillId="0" borderId="0" xfId="2" applyFont="1" applyAlignment="1" applyProtection="1">
      <alignment horizontal="center" vertical="center"/>
    </xf>
    <xf numFmtId="0" fontId="48" fillId="14" borderId="0" xfId="2" applyFont="1" applyFill="1" applyAlignment="1" applyProtection="1">
      <alignment horizontal="center" vertical="center"/>
    </xf>
    <xf numFmtId="0" fontId="9" fillId="12" borderId="0" xfId="2" applyFont="1" applyFill="1" applyBorder="1" applyAlignment="1" applyProtection="1">
      <alignment wrapText="1"/>
    </xf>
    <xf numFmtId="0" fontId="43" fillId="0" borderId="0" xfId="2" applyFont="1" applyAlignment="1" applyProtection="1">
      <alignment horizontal="center" wrapText="1"/>
    </xf>
    <xf numFmtId="0" fontId="44" fillId="12" borderId="0" xfId="2" applyFont="1" applyFill="1" applyProtection="1"/>
    <xf numFmtId="0" fontId="43" fillId="12" borderId="0" xfId="2" applyFont="1" applyFill="1" applyAlignment="1" applyProtection="1">
      <alignment horizontal="center" wrapText="1"/>
    </xf>
    <xf numFmtId="0" fontId="49" fillId="12" borderId="0" xfId="2" applyFont="1" applyFill="1" applyAlignment="1" applyProtection="1">
      <alignment horizontal="center"/>
    </xf>
    <xf numFmtId="166" fontId="6" fillId="3" borderId="47" xfId="19" applyNumberFormat="1" applyFont="1" applyFill="1" applyBorder="1" applyProtection="1">
      <protection locked="0"/>
    </xf>
    <xf numFmtId="7" fontId="6" fillId="3" borderId="47" xfId="18" applyNumberFormat="1" applyFont="1" applyFill="1" applyBorder="1" applyAlignment="1" applyProtection="1">
      <alignment horizontal="center"/>
      <protection locked="0"/>
    </xf>
    <xf numFmtId="182" fontId="6" fillId="3" borderId="47" xfId="18" applyNumberFormat="1" applyFont="1" applyFill="1" applyBorder="1" applyProtection="1">
      <protection locked="0"/>
    </xf>
    <xf numFmtId="182" fontId="0" fillId="3" borderId="47" xfId="18" applyNumberFormat="1" applyFont="1" applyFill="1" applyBorder="1" applyProtection="1">
      <protection locked="0"/>
    </xf>
    <xf numFmtId="182" fontId="6" fillId="12" borderId="0" xfId="18" applyNumberFormat="1" applyFont="1" applyFill="1" applyProtection="1"/>
    <xf numFmtId="0" fontId="50" fillId="0" borderId="0" xfId="2" applyFont="1" applyAlignment="1" applyProtection="1">
      <alignment horizontal="center" wrapText="1"/>
    </xf>
    <xf numFmtId="166" fontId="6" fillId="12" borderId="46" xfId="19" applyNumberFormat="1" applyFont="1" applyFill="1" applyBorder="1" applyProtection="1"/>
    <xf numFmtId="44" fontId="6" fillId="12" borderId="46" xfId="18" applyFont="1" applyFill="1" applyBorder="1" applyProtection="1"/>
    <xf numFmtId="182" fontId="6" fillId="12" borderId="46" xfId="18" applyNumberFormat="1" applyFont="1" applyFill="1" applyBorder="1" applyProtection="1"/>
    <xf numFmtId="0" fontId="48" fillId="14" borderId="0" xfId="2" applyNumberFormat="1" applyFont="1" applyFill="1" applyAlignment="1" applyProtection="1">
      <alignment horizontal="center" vertical="center"/>
      <protection locked="0"/>
    </xf>
    <xf numFmtId="0" fontId="51" fillId="0" borderId="0" xfId="2" applyFont="1" applyAlignment="1" applyProtection="1">
      <alignment horizontal="center" wrapText="1"/>
    </xf>
    <xf numFmtId="0" fontId="6" fillId="12" borderId="0" xfId="2" applyFill="1" applyBorder="1" applyProtection="1"/>
    <xf numFmtId="0" fontId="9" fillId="12" borderId="0" xfId="2" applyFont="1" applyFill="1" applyBorder="1" applyAlignment="1" applyProtection="1">
      <alignment horizontal="center" wrapText="1"/>
    </xf>
    <xf numFmtId="0" fontId="9" fillId="0" borderId="0" xfId="2" applyFont="1" applyAlignment="1" applyProtection="1">
      <alignment horizontal="center" wrapText="1"/>
    </xf>
    <xf numFmtId="166" fontId="6" fillId="12" borderId="0" xfId="19" applyNumberFormat="1" applyFont="1" applyFill="1" applyProtection="1"/>
    <xf numFmtId="7" fontId="6" fillId="12" borderId="47" xfId="18" applyNumberFormat="1" applyFont="1" applyFill="1" applyBorder="1" applyAlignment="1" applyProtection="1">
      <alignment horizontal="center"/>
    </xf>
    <xf numFmtId="0" fontId="6" fillId="0" borderId="0" xfId="2" applyAlignment="1" applyProtection="1">
      <alignment vertical="top"/>
    </xf>
    <xf numFmtId="0" fontId="7" fillId="0" borderId="0" xfId="2" applyFont="1" applyAlignment="1" applyProtection="1">
      <alignment horizontal="right" vertical="top"/>
    </xf>
    <xf numFmtId="182" fontId="6" fillId="4" borderId="0" xfId="18" applyNumberFormat="1" applyFont="1" applyFill="1" applyProtection="1"/>
    <xf numFmtId="0" fontId="7" fillId="0" borderId="0" xfId="2" applyFont="1" applyAlignment="1" applyProtection="1">
      <alignment horizontal="right"/>
    </xf>
    <xf numFmtId="0" fontId="52" fillId="0" borderId="0" xfId="2" applyFont="1" applyAlignment="1">
      <alignment vertical="center" wrapText="1"/>
    </xf>
    <xf numFmtId="166" fontId="6" fillId="12" borderId="47" xfId="19" applyNumberFormat="1" applyFont="1" applyFill="1" applyBorder="1" applyProtection="1"/>
    <xf numFmtId="186" fontId="6" fillId="12" borderId="47" xfId="18" applyNumberFormat="1" applyFont="1" applyFill="1" applyBorder="1" applyProtection="1"/>
    <xf numFmtId="182" fontId="6" fillId="12" borderId="47" xfId="18" applyNumberFormat="1" applyFont="1" applyFill="1" applyBorder="1" applyProtection="1"/>
    <xf numFmtId="44" fontId="6" fillId="12" borderId="0" xfId="18" applyFont="1" applyFill="1" applyProtection="1"/>
    <xf numFmtId="174" fontId="0" fillId="5" borderId="40" xfId="6" applyNumberFormat="1" applyFont="1" applyFill="1" applyBorder="1" applyAlignment="1" applyProtection="1">
      <alignment vertical="center"/>
      <protection locked="0"/>
    </xf>
    <xf numFmtId="0" fontId="34" fillId="0" borderId="0" xfId="0" applyFont="1" applyAlignment="1">
      <alignment vertical="center"/>
    </xf>
    <xf numFmtId="182" fontId="34" fillId="3" borderId="0" xfId="5" applyNumberFormat="1" applyFont="1" applyFill="1" applyAlignment="1" applyProtection="1">
      <protection locked="0"/>
    </xf>
    <xf numFmtId="0" fontId="34" fillId="0" borderId="0" xfId="0" applyFont="1" applyAlignment="1"/>
    <xf numFmtId="182" fontId="34" fillId="0" borderId="0" xfId="0" applyNumberFormat="1" applyFont="1" applyAlignment="1"/>
    <xf numFmtId="182" fontId="34" fillId="0" borderId="0" xfId="5" applyNumberFormat="1" applyFont="1" applyAlignment="1"/>
    <xf numFmtId="10" fontId="34" fillId="3" borderId="0" xfId="6" applyNumberFormat="1" applyFont="1" applyFill="1" applyAlignment="1" applyProtection="1">
      <alignment horizontal="center"/>
      <protection locked="0"/>
    </xf>
    <xf numFmtId="10" fontId="34" fillId="0" borderId="0" xfId="6" applyNumberFormat="1" applyFont="1" applyAlignment="1">
      <alignment horizontal="center"/>
    </xf>
    <xf numFmtId="182" fontId="34" fillId="0" borderId="0" xfId="5" applyNumberFormat="1" applyFont="1" applyAlignment="1">
      <alignment horizontal="center"/>
    </xf>
    <xf numFmtId="10" fontId="34" fillId="3" borderId="0" xfId="6" applyNumberFormat="1" applyFont="1" applyFill="1" applyAlignment="1" applyProtection="1">
      <protection locked="0"/>
    </xf>
    <xf numFmtId="0" fontId="39" fillId="10" borderId="0" xfId="0" applyFont="1" applyFill="1" applyAlignment="1"/>
    <xf numFmtId="183" fontId="39" fillId="10" borderId="0" xfId="0" applyNumberFormat="1" applyFont="1" applyFill="1" applyAlignment="1"/>
    <xf numFmtId="2" fontId="6" fillId="0" borderId="0" xfId="2" applyNumberFormat="1"/>
    <xf numFmtId="0" fontId="25" fillId="0" borderId="0" xfId="16" applyFont="1" applyFill="1" applyBorder="1" applyAlignment="1" applyProtection="1">
      <alignment horizontal="center"/>
    </xf>
    <xf numFmtId="0" fontId="25" fillId="0" borderId="0" xfId="16" applyFont="1" applyAlignment="1" applyProtection="1"/>
    <xf numFmtId="0" fontId="0" fillId="5" borderId="0" xfId="0" applyFill="1" applyBorder="1" applyProtection="1">
      <protection locked="0"/>
    </xf>
    <xf numFmtId="0" fontId="23" fillId="0" borderId="0" xfId="0" applyFont="1" applyProtection="1"/>
    <xf numFmtId="0" fontId="58" fillId="0" borderId="0" xfId="0" applyFont="1" applyProtection="1"/>
    <xf numFmtId="0" fontId="59" fillId="0" borderId="0" xfId="0" applyFont="1" applyAlignment="1" applyProtection="1">
      <alignment vertical="top" wrapText="1"/>
    </xf>
    <xf numFmtId="179" fontId="57" fillId="0" borderId="0" xfId="0" applyNumberFormat="1" applyFont="1" applyAlignment="1">
      <alignment horizontal="right"/>
    </xf>
    <xf numFmtId="0" fontId="62" fillId="12" borderId="0" xfId="2" applyFont="1" applyFill="1" applyAlignment="1" applyProtection="1">
      <alignment vertical="top" wrapText="1"/>
      <protection locked="0"/>
    </xf>
    <xf numFmtId="0" fontId="6" fillId="12" borderId="0" xfId="2" applyFill="1" applyBorder="1" applyProtection="1">
      <protection locked="0"/>
    </xf>
    <xf numFmtId="0" fontId="6" fillId="0" borderId="0" xfId="2" applyFill="1" applyBorder="1" applyProtection="1">
      <protection locked="0"/>
    </xf>
    <xf numFmtId="0" fontId="7" fillId="0" borderId="0" xfId="2" applyFont="1" applyFill="1" applyProtection="1">
      <protection locked="0"/>
    </xf>
    <xf numFmtId="0" fontId="56" fillId="0" borderId="0" xfId="2" applyFont="1" applyFill="1" applyAlignment="1" applyProtection="1">
      <alignment horizontal="right" vertical="top"/>
      <protection locked="0"/>
    </xf>
    <xf numFmtId="0" fontId="57" fillId="0" borderId="0" xfId="0" applyFont="1" applyAlignment="1" applyProtection="1">
      <alignment horizontal="center" vertical="top"/>
    </xf>
    <xf numFmtId="0" fontId="6" fillId="0" borderId="0" xfId="21" applyFont="1" applyProtection="1"/>
    <xf numFmtId="0" fontId="63" fillId="12" borderId="0" xfId="2" applyFont="1" applyFill="1" applyBorder="1" applyAlignment="1" applyProtection="1">
      <protection locked="0"/>
    </xf>
    <xf numFmtId="0" fontId="56" fillId="0" borderId="50" xfId="2" applyFont="1" applyFill="1" applyBorder="1" applyAlignment="1" applyProtection="1">
      <alignment horizontal="right" vertical="top"/>
      <protection locked="0"/>
    </xf>
    <xf numFmtId="0" fontId="6" fillId="12" borderId="0" xfId="2" applyFill="1" applyBorder="1" applyAlignment="1" applyProtection="1">
      <alignment horizontal="left" indent="1"/>
      <protection locked="0"/>
    </xf>
    <xf numFmtId="0" fontId="9" fillId="12" borderId="0" xfId="2" applyFont="1" applyFill="1" applyBorder="1" applyAlignment="1" applyProtection="1">
      <protection locked="0"/>
    </xf>
    <xf numFmtId="0" fontId="6" fillId="0" borderId="0" xfId="2" applyProtection="1">
      <protection locked="0"/>
    </xf>
    <xf numFmtId="0" fontId="7" fillId="0" borderId="0" xfId="2" applyFont="1" applyAlignment="1" applyProtection="1">
      <alignment horizontal="right"/>
      <protection locked="0"/>
    </xf>
    <xf numFmtId="0" fontId="9" fillId="4" borderId="0" xfId="2" applyFont="1" applyFill="1" applyAlignment="1" applyProtection="1">
      <alignment vertical="center"/>
      <protection locked="0"/>
    </xf>
    <xf numFmtId="0" fontId="6" fillId="0" borderId="0" xfId="2" applyFont="1" applyAlignment="1" applyProtection="1">
      <alignment horizontal="right"/>
    </xf>
    <xf numFmtId="0" fontId="64" fillId="0" borderId="0" xfId="2" applyFont="1" applyAlignment="1" applyProtection="1">
      <alignment horizontal="left"/>
    </xf>
    <xf numFmtId="0" fontId="9" fillId="0" borderId="0" xfId="2" applyFont="1" applyAlignment="1" applyProtection="1">
      <alignment horizontal="center"/>
    </xf>
    <xf numFmtId="0" fontId="9" fillId="0" borderId="0" xfId="2" applyFont="1" applyAlignment="1" applyProtection="1">
      <alignment horizontal="center"/>
      <protection locked="0"/>
    </xf>
    <xf numFmtId="185" fontId="7" fillId="4" borderId="0" xfId="1" applyNumberFormat="1" applyFont="1" applyFill="1" applyBorder="1" applyProtection="1">
      <protection locked="0"/>
    </xf>
    <xf numFmtId="0" fontId="7" fillId="0" borderId="0" xfId="2" applyFont="1" applyAlignment="1" applyProtection="1">
      <alignment horizontal="center" vertical="center"/>
      <protection locked="0"/>
    </xf>
    <xf numFmtId="0" fontId="7" fillId="0" borderId="0" xfId="2" applyFont="1" applyProtection="1">
      <protection locked="0"/>
    </xf>
    <xf numFmtId="166" fontId="7" fillId="5" borderId="0" xfId="1" applyNumberFormat="1" applyFont="1" applyFill="1" applyBorder="1" applyProtection="1">
      <protection locked="0"/>
    </xf>
    <xf numFmtId="0" fontId="7" fillId="0" borderId="0" xfId="2" applyFont="1" applyProtection="1"/>
    <xf numFmtId="0" fontId="65" fillId="0" borderId="0" xfId="2" applyFont="1" applyFill="1" applyAlignment="1" applyProtection="1">
      <alignment horizontal="right"/>
      <protection locked="0"/>
    </xf>
    <xf numFmtId="0" fontId="7" fillId="0" borderId="36" xfId="2" applyFont="1" applyBorder="1" applyAlignment="1" applyProtection="1">
      <alignment horizontal="right"/>
      <protection locked="0"/>
    </xf>
    <xf numFmtId="0" fontId="6" fillId="0" borderId="36" xfId="2" applyBorder="1" applyProtection="1">
      <protection locked="0"/>
    </xf>
    <xf numFmtId="0" fontId="7" fillId="0" borderId="36" xfId="2" applyFont="1" applyBorder="1" applyAlignment="1" applyProtection="1">
      <alignment horizontal="center" vertical="center"/>
      <protection locked="0"/>
    </xf>
    <xf numFmtId="0" fontId="7" fillId="0" borderId="36" xfId="2" applyFont="1" applyBorder="1" applyProtection="1">
      <protection locked="0"/>
    </xf>
    <xf numFmtId="0" fontId="7" fillId="5" borderId="36" xfId="2" applyFont="1" applyFill="1" applyBorder="1" applyProtection="1">
      <protection locked="0"/>
    </xf>
    <xf numFmtId="0" fontId="7" fillId="4" borderId="38" xfId="2" applyFont="1" applyFill="1" applyBorder="1" applyAlignment="1" applyProtection="1">
      <alignment horizontal="right"/>
      <protection locked="0"/>
    </xf>
    <xf numFmtId="0" fontId="6" fillId="4" borderId="38" xfId="2" applyFill="1" applyBorder="1" applyProtection="1">
      <protection locked="0"/>
    </xf>
    <xf numFmtId="0" fontId="7" fillId="4" borderId="38" xfId="2" applyFont="1" applyFill="1" applyBorder="1" applyAlignment="1" applyProtection="1">
      <alignment horizontal="center" vertical="center"/>
      <protection locked="0"/>
    </xf>
    <xf numFmtId="0" fontId="7" fillId="4" borderId="38" xfId="2" applyFont="1" applyFill="1" applyBorder="1" applyProtection="1">
      <protection locked="0"/>
    </xf>
    <xf numFmtId="9" fontId="7" fillId="4" borderId="38" xfId="6" applyFont="1" applyFill="1" applyBorder="1" applyProtection="1">
      <protection locked="0"/>
    </xf>
    <xf numFmtId="0" fontId="6" fillId="4" borderId="0" xfId="2" applyFill="1" applyProtection="1">
      <protection locked="0"/>
    </xf>
    <xf numFmtId="0" fontId="7" fillId="4" borderId="0" xfId="2" applyFont="1" applyFill="1" applyAlignment="1" applyProtection="1">
      <alignment horizontal="right"/>
    </xf>
    <xf numFmtId="0" fontId="6" fillId="4" borderId="0" xfId="2" applyFill="1" applyProtection="1"/>
    <xf numFmtId="0" fontId="7" fillId="4" borderId="0" xfId="2" applyFont="1" applyFill="1" applyAlignment="1" applyProtection="1">
      <alignment horizontal="center" vertical="center"/>
    </xf>
    <xf numFmtId="0" fontId="7" fillId="4" borderId="0" xfId="2" applyFont="1" applyFill="1" applyProtection="1"/>
    <xf numFmtId="0" fontId="6" fillId="0" borderId="0" xfId="2" applyFont="1" applyProtection="1"/>
    <xf numFmtId="0" fontId="7" fillId="0" borderId="0" xfId="2" applyFont="1" applyAlignment="1" applyProtection="1"/>
    <xf numFmtId="0" fontId="7" fillId="0" borderId="0" xfId="2" applyFont="1" applyAlignment="1" applyProtection="1">
      <alignment horizontal="center"/>
    </xf>
    <xf numFmtId="0" fontId="7" fillId="0" borderId="51" xfId="2" applyFont="1" applyBorder="1" applyAlignment="1" applyProtection="1">
      <alignment horizontal="center"/>
    </xf>
    <xf numFmtId="0" fontId="7" fillId="0" borderId="52" xfId="2" applyFont="1" applyBorder="1" applyAlignment="1" applyProtection="1">
      <alignment horizontal="center"/>
    </xf>
    <xf numFmtId="0" fontId="7" fillId="0" borderId="53" xfId="2" applyFont="1" applyBorder="1" applyAlignment="1" applyProtection="1">
      <alignment horizontal="center"/>
    </xf>
    <xf numFmtId="0" fontId="7" fillId="0" borderId="55" xfId="2" quotePrefix="1" applyFont="1" applyBorder="1" applyAlignment="1" applyProtection="1">
      <alignment horizontal="center"/>
    </xf>
    <xf numFmtId="0" fontId="7" fillId="0" borderId="56" xfId="2" quotePrefix="1" applyFont="1" applyBorder="1" applyAlignment="1" applyProtection="1">
      <alignment horizontal="center"/>
    </xf>
    <xf numFmtId="0" fontId="6" fillId="0" borderId="0" xfId="2" applyBorder="1" applyAlignment="1" applyProtection="1">
      <alignment vertical="top"/>
    </xf>
    <xf numFmtId="0" fontId="6" fillId="4" borderId="0" xfId="2" applyFill="1" applyBorder="1" applyAlignment="1" applyProtection="1">
      <alignment vertical="top"/>
    </xf>
    <xf numFmtId="0" fontId="6" fillId="0" borderId="0" xfId="2" applyFill="1" applyBorder="1" applyAlignment="1" applyProtection="1">
      <alignment vertical="top"/>
      <protection locked="0"/>
    </xf>
    <xf numFmtId="44" fontId="20" fillId="4" borderId="54" xfId="5" applyFont="1" applyFill="1" applyBorder="1" applyAlignment="1" applyProtection="1">
      <alignment horizontal="right" vertical="center"/>
      <protection locked="0"/>
    </xf>
    <xf numFmtId="0" fontId="28" fillId="0" borderId="54" xfId="2" applyFont="1" applyFill="1" applyBorder="1" applyAlignment="1" applyProtection="1">
      <alignment horizontal="right" vertical="center"/>
      <protection locked="0"/>
    </xf>
    <xf numFmtId="44" fontId="20" fillId="0" borderId="52" xfId="18" applyFont="1" applyBorder="1" applyAlignment="1" applyProtection="1">
      <alignment horizontal="right" vertical="center"/>
    </xf>
    <xf numFmtId="0" fontId="28" fillId="0" borderId="0" xfId="2" applyFont="1" applyBorder="1" applyAlignment="1" applyProtection="1">
      <alignment horizontal="right" vertical="center"/>
      <protection locked="0"/>
    </xf>
    <xf numFmtId="0" fontId="28" fillId="0" borderId="52" xfId="2" applyFont="1" applyFill="1" applyBorder="1" applyAlignment="1" applyProtection="1">
      <alignment horizontal="right" vertical="center"/>
      <protection locked="0"/>
    </xf>
    <xf numFmtId="44" fontId="20" fillId="0" borderId="52" xfId="18" applyNumberFormat="1" applyFont="1" applyBorder="1" applyAlignment="1" applyProtection="1">
      <alignment horizontal="right" vertical="center"/>
    </xf>
    <xf numFmtId="44" fontId="28" fillId="0" borderId="54" xfId="2" applyNumberFormat="1" applyFont="1" applyBorder="1" applyAlignment="1" applyProtection="1">
      <alignment horizontal="right" vertical="center"/>
    </xf>
    <xf numFmtId="10" fontId="20" fillId="0" borderId="52" xfId="22" applyNumberFormat="1" applyFont="1" applyBorder="1" applyAlignment="1" applyProtection="1">
      <alignment horizontal="right" vertical="center"/>
    </xf>
    <xf numFmtId="186" fontId="20" fillId="4" borderId="54" xfId="18" applyNumberFormat="1" applyFont="1" applyFill="1" applyBorder="1" applyAlignment="1" applyProtection="1">
      <alignment horizontal="right" vertical="center"/>
      <protection locked="0"/>
    </xf>
    <xf numFmtId="166" fontId="28" fillId="0" borderId="54" xfId="2" applyNumberFormat="1" applyFont="1" applyFill="1" applyBorder="1" applyAlignment="1" applyProtection="1">
      <alignment horizontal="right" vertical="center"/>
      <protection locked="0"/>
    </xf>
    <xf numFmtId="166" fontId="28" fillId="0" borderId="52" xfId="2" applyNumberFormat="1" applyFont="1" applyFill="1" applyBorder="1" applyAlignment="1" applyProtection="1">
      <alignment horizontal="right" vertical="center"/>
      <protection locked="0"/>
    </xf>
    <xf numFmtId="0" fontId="6" fillId="0" borderId="0" xfId="2" applyFill="1" applyBorder="1" applyAlignment="1" applyProtection="1">
      <alignment vertical="top"/>
    </xf>
    <xf numFmtId="44" fontId="20" fillId="4" borderId="54" xfId="18" applyNumberFormat="1" applyFont="1" applyFill="1" applyBorder="1" applyAlignment="1" applyProtection="1">
      <alignment horizontal="right" vertical="center"/>
      <protection locked="0"/>
    </xf>
    <xf numFmtId="0" fontId="6" fillId="0" borderId="36" xfId="2" applyBorder="1" applyAlignment="1" applyProtection="1">
      <alignment vertical="top"/>
    </xf>
    <xf numFmtId="0" fontId="6" fillId="0" borderId="36" xfId="2" applyFill="1" applyBorder="1" applyAlignment="1" applyProtection="1">
      <alignment vertical="top"/>
    </xf>
    <xf numFmtId="0" fontId="6" fillId="4" borderId="36" xfId="2" applyFill="1" applyBorder="1" applyAlignment="1" applyProtection="1">
      <alignment vertical="top"/>
    </xf>
    <xf numFmtId="0" fontId="6" fillId="0" borderId="36" xfId="2" applyFill="1" applyBorder="1" applyAlignment="1" applyProtection="1">
      <alignment vertical="top"/>
      <protection locked="0"/>
    </xf>
    <xf numFmtId="191" fontId="20" fillId="4" borderId="55" xfId="18" applyNumberFormat="1" applyFont="1" applyFill="1" applyBorder="1" applyAlignment="1" applyProtection="1">
      <alignment horizontal="right" vertical="center"/>
      <protection locked="0"/>
    </xf>
    <xf numFmtId="166" fontId="28" fillId="0" borderId="55" xfId="2" applyNumberFormat="1" applyFont="1" applyFill="1" applyBorder="1" applyAlignment="1" applyProtection="1">
      <alignment horizontal="right" vertical="center"/>
      <protection locked="0"/>
    </xf>
    <xf numFmtId="44" fontId="20" fillId="0" borderId="56" xfId="18" applyFont="1" applyBorder="1" applyAlignment="1" applyProtection="1">
      <alignment horizontal="right" vertical="center"/>
    </xf>
    <xf numFmtId="0" fontId="28" fillId="0" borderId="36" xfId="2" applyFont="1" applyBorder="1" applyAlignment="1" applyProtection="1">
      <alignment horizontal="right" vertical="center"/>
      <protection locked="0"/>
    </xf>
    <xf numFmtId="166" fontId="28" fillId="0" borderId="56" xfId="2" applyNumberFormat="1" applyFont="1" applyFill="1" applyBorder="1" applyAlignment="1" applyProtection="1">
      <alignment horizontal="right" vertical="center"/>
      <protection locked="0"/>
    </xf>
    <xf numFmtId="44" fontId="28" fillId="0" borderId="55" xfId="2" applyNumberFormat="1" applyFont="1" applyBorder="1" applyAlignment="1" applyProtection="1">
      <alignment horizontal="right" vertical="center"/>
    </xf>
    <xf numFmtId="10" fontId="20" fillId="0" borderId="56" xfId="22" applyNumberFormat="1" applyFont="1" applyBorder="1" applyAlignment="1" applyProtection="1">
      <alignment horizontal="right" vertical="center"/>
    </xf>
    <xf numFmtId="0" fontId="7" fillId="16" borderId="57" xfId="2" applyFont="1" applyFill="1" applyBorder="1" applyAlignment="1" applyProtection="1">
      <alignment vertical="top"/>
    </xf>
    <xf numFmtId="0" fontId="6" fillId="16" borderId="36" xfId="2" applyFill="1" applyBorder="1" applyAlignment="1" applyProtection="1">
      <alignment vertical="top"/>
    </xf>
    <xf numFmtId="0" fontId="6" fillId="16" borderId="36" xfId="2" applyFill="1" applyBorder="1" applyAlignment="1" applyProtection="1">
      <alignment vertical="top"/>
      <protection locked="0"/>
    </xf>
    <xf numFmtId="186" fontId="20" fillId="16" borderId="55" xfId="18" applyNumberFormat="1" applyFont="1" applyFill="1" applyBorder="1" applyAlignment="1" applyProtection="1">
      <alignment horizontal="right" vertical="center"/>
      <protection locked="0"/>
    </xf>
    <xf numFmtId="0" fontId="28" fillId="16" borderId="55" xfId="2" applyFont="1" applyFill="1" applyBorder="1" applyAlignment="1" applyProtection="1">
      <alignment horizontal="right" vertical="center"/>
      <protection locked="0"/>
    </xf>
    <xf numFmtId="44" fontId="20" fillId="16" borderId="56" xfId="18" applyFont="1" applyFill="1" applyBorder="1" applyAlignment="1" applyProtection="1">
      <alignment horizontal="right" vertical="center"/>
    </xf>
    <xf numFmtId="0" fontId="28" fillId="4" borderId="0" xfId="2" applyFont="1" applyFill="1" applyAlignment="1" applyProtection="1">
      <alignment horizontal="right" vertical="center"/>
      <protection locked="0"/>
    </xf>
    <xf numFmtId="0" fontId="28" fillId="16" borderId="56" xfId="2" applyFont="1" applyFill="1" applyBorder="1" applyAlignment="1" applyProtection="1">
      <alignment horizontal="right" vertical="center"/>
      <protection locked="0"/>
    </xf>
    <xf numFmtId="0" fontId="28" fillId="16" borderId="0" xfId="2" applyFont="1" applyFill="1" applyAlignment="1" applyProtection="1">
      <alignment horizontal="right" vertical="center"/>
      <protection locked="0"/>
    </xf>
    <xf numFmtId="44" fontId="27" fillId="16" borderId="55" xfId="2" applyNumberFormat="1" applyFont="1" applyFill="1" applyBorder="1" applyAlignment="1" applyProtection="1">
      <alignment horizontal="right" vertical="center"/>
    </xf>
    <xf numFmtId="10" fontId="27" fillId="16" borderId="56" xfId="22" applyNumberFormat="1" applyFont="1" applyFill="1" applyBorder="1" applyAlignment="1" applyProtection="1">
      <alignment horizontal="right" vertical="center"/>
    </xf>
    <xf numFmtId="0" fontId="6" fillId="0" borderId="0" xfId="2" applyFill="1" applyProtection="1"/>
    <xf numFmtId="0" fontId="6" fillId="0" borderId="0" xfId="2" applyFill="1" applyProtection="1">
      <protection locked="0"/>
    </xf>
    <xf numFmtId="0" fontId="6" fillId="0" borderId="0" xfId="2" applyFont="1" applyFill="1" applyAlignment="1" applyProtection="1">
      <alignment vertical="top" wrapText="1"/>
    </xf>
    <xf numFmtId="0" fontId="6" fillId="4" borderId="0" xfId="2" applyFill="1" applyAlignment="1" applyProtection="1">
      <alignment vertical="top"/>
    </xf>
    <xf numFmtId="0" fontId="6" fillId="0" borderId="0" xfId="2" applyFill="1" applyAlignment="1" applyProtection="1">
      <alignment vertical="top"/>
      <protection locked="0"/>
    </xf>
    <xf numFmtId="166" fontId="28" fillId="0" borderId="54" xfId="1" applyNumberFormat="1" applyFont="1" applyFill="1" applyBorder="1" applyAlignment="1" applyProtection="1">
      <alignment horizontal="right" vertical="center"/>
      <protection locked="0"/>
    </xf>
    <xf numFmtId="0" fontId="28" fillId="0" borderId="0" xfId="2" applyFont="1" applyAlignment="1" applyProtection="1">
      <alignment horizontal="right" vertical="center"/>
      <protection locked="0"/>
    </xf>
    <xf numFmtId="191" fontId="20" fillId="4" borderId="54" xfId="18" applyNumberFormat="1" applyFont="1" applyFill="1" applyBorder="1" applyAlignment="1" applyProtection="1">
      <alignment horizontal="right" vertical="center"/>
      <protection locked="0"/>
    </xf>
    <xf numFmtId="0" fontId="6" fillId="0" borderId="0" xfId="2" applyFont="1" applyAlignment="1" applyProtection="1">
      <alignment vertical="top"/>
    </xf>
    <xf numFmtId="0" fontId="7" fillId="16" borderId="42" xfId="2" applyFont="1" applyFill="1" applyBorder="1" applyAlignment="1" applyProtection="1">
      <alignment vertical="top" wrapText="1"/>
    </xf>
    <xf numFmtId="0" fontId="6" fillId="16" borderId="1" xfId="2" applyFill="1" applyBorder="1" applyProtection="1"/>
    <xf numFmtId="0" fontId="6" fillId="16" borderId="1" xfId="2" applyFill="1" applyBorder="1" applyProtection="1">
      <protection locked="0"/>
    </xf>
    <xf numFmtId="0" fontId="28" fillId="16" borderId="37" xfId="2" applyFont="1" applyFill="1" applyBorder="1" applyAlignment="1" applyProtection="1">
      <alignment horizontal="right" vertical="center"/>
      <protection locked="0"/>
    </xf>
    <xf numFmtId="44" fontId="27" fillId="16" borderId="43" xfId="2" applyNumberFormat="1" applyFont="1" applyFill="1" applyBorder="1" applyAlignment="1" applyProtection="1">
      <alignment horizontal="right" vertical="center"/>
    </xf>
    <xf numFmtId="0" fontId="28" fillId="16" borderId="43" xfId="2" applyFont="1" applyFill="1" applyBorder="1" applyAlignment="1" applyProtection="1">
      <alignment horizontal="right" vertical="center"/>
      <protection locked="0"/>
    </xf>
    <xf numFmtId="44" fontId="27" fillId="16" borderId="37" xfId="2" applyNumberFormat="1" applyFont="1" applyFill="1" applyBorder="1" applyAlignment="1" applyProtection="1">
      <alignment horizontal="right" vertical="center"/>
    </xf>
    <xf numFmtId="10" fontId="27" fillId="16" borderId="43" xfId="22" applyNumberFormat="1" applyFont="1" applyFill="1" applyBorder="1" applyAlignment="1" applyProtection="1">
      <alignment horizontal="right" vertical="center"/>
    </xf>
    <xf numFmtId="0" fontId="6" fillId="0" borderId="0" xfId="2" applyAlignment="1" applyProtection="1">
      <alignment vertical="center"/>
    </xf>
    <xf numFmtId="0" fontId="6" fillId="4" borderId="0" xfId="2" applyFill="1" applyAlignment="1" applyProtection="1">
      <alignment vertical="center"/>
    </xf>
    <xf numFmtId="0" fontId="6" fillId="0" borderId="0" xfId="2" applyFill="1" applyAlignment="1" applyProtection="1">
      <alignment vertical="center"/>
      <protection locked="0"/>
    </xf>
    <xf numFmtId="166" fontId="28" fillId="4" borderId="54" xfId="1" applyNumberFormat="1" applyFont="1" applyFill="1" applyBorder="1" applyAlignment="1" applyProtection="1">
      <alignment horizontal="right" vertical="center"/>
      <protection locked="0"/>
    </xf>
    <xf numFmtId="166" fontId="28" fillId="4" borderId="52" xfId="1" applyNumberFormat="1" applyFont="1" applyFill="1" applyBorder="1" applyAlignment="1" applyProtection="1">
      <alignment horizontal="right" vertical="center"/>
      <protection locked="0"/>
    </xf>
    <xf numFmtId="0" fontId="6" fillId="16" borderId="1" xfId="2" applyFill="1" applyBorder="1" applyAlignment="1" applyProtection="1">
      <alignment vertical="top"/>
    </xf>
    <xf numFmtId="0" fontId="6" fillId="16" borderId="1" xfId="2" applyFill="1" applyBorder="1" applyAlignment="1" applyProtection="1">
      <alignment vertical="top"/>
      <protection locked="0"/>
    </xf>
    <xf numFmtId="0" fontId="27" fillId="4" borderId="0" xfId="2" applyFont="1" applyFill="1" applyAlignment="1" applyProtection="1">
      <alignment horizontal="right" vertical="center"/>
      <protection locked="0"/>
    </xf>
    <xf numFmtId="0" fontId="27" fillId="16" borderId="37" xfId="2" applyFont="1" applyFill="1" applyBorder="1" applyAlignment="1" applyProtection="1">
      <alignment horizontal="right" vertical="center"/>
      <protection locked="0"/>
    </xf>
    <xf numFmtId="0" fontId="27" fillId="16" borderId="43" xfId="2" applyFont="1" applyFill="1" applyBorder="1" applyAlignment="1" applyProtection="1">
      <alignment horizontal="right" vertical="center"/>
      <protection locked="0"/>
    </xf>
    <xf numFmtId="0" fontId="27" fillId="16" borderId="0" xfId="2" applyFont="1" applyFill="1" applyAlignment="1" applyProtection="1">
      <alignment horizontal="right" vertical="center"/>
      <protection locked="0"/>
    </xf>
    <xf numFmtId="0" fontId="6" fillId="0" borderId="0" xfId="2" applyAlignment="1" applyProtection="1">
      <alignment vertical="top" wrapText="1"/>
    </xf>
    <xf numFmtId="186" fontId="28" fillId="4" borderId="54" xfId="18" applyNumberFormat="1" applyFont="1" applyFill="1" applyBorder="1" applyAlignment="1" applyProtection="1">
      <alignment horizontal="right" vertical="center"/>
      <protection locked="0"/>
    </xf>
    <xf numFmtId="44" fontId="28" fillId="0" borderId="52" xfId="18" applyFont="1" applyBorder="1" applyAlignment="1" applyProtection="1">
      <alignment horizontal="right" vertical="center"/>
    </xf>
    <xf numFmtId="10" fontId="28" fillId="0" borderId="52" xfId="22" applyNumberFormat="1" applyFont="1" applyBorder="1" applyAlignment="1" applyProtection="1">
      <alignment horizontal="right" vertical="center"/>
    </xf>
    <xf numFmtId="186" fontId="28" fillId="0" borderId="54" xfId="18" applyNumberFormat="1" applyFont="1" applyFill="1" applyBorder="1" applyAlignment="1" applyProtection="1">
      <alignment horizontal="right" vertical="center"/>
      <protection locked="0"/>
    </xf>
    <xf numFmtId="0" fontId="6" fillId="17" borderId="2" xfId="2" applyFont="1" applyFill="1" applyBorder="1" applyProtection="1"/>
    <xf numFmtId="0" fontId="6" fillId="17" borderId="3" xfId="2" applyFill="1" applyBorder="1" applyAlignment="1" applyProtection="1">
      <alignment vertical="top"/>
    </xf>
    <xf numFmtId="0" fontId="6" fillId="17" borderId="3" xfId="2" applyFill="1" applyBorder="1" applyAlignment="1" applyProtection="1">
      <alignment vertical="top"/>
      <protection locked="0"/>
    </xf>
    <xf numFmtId="186" fontId="28" fillId="17" borderId="58" xfId="18" applyNumberFormat="1" applyFont="1" applyFill="1" applyBorder="1" applyAlignment="1" applyProtection="1">
      <alignment horizontal="right" vertical="center"/>
      <protection locked="0"/>
    </xf>
    <xf numFmtId="0" fontId="28" fillId="17" borderId="59" xfId="2" applyFont="1" applyFill="1" applyBorder="1" applyAlignment="1" applyProtection="1">
      <alignment horizontal="right" vertical="center"/>
      <protection locked="0"/>
    </xf>
    <xf numFmtId="44" fontId="28" fillId="17" borderId="3" xfId="18" applyFont="1" applyFill="1" applyBorder="1" applyAlignment="1" applyProtection="1">
      <alignment horizontal="right" vertical="center"/>
    </xf>
    <xf numFmtId="0" fontId="28" fillId="17" borderId="3" xfId="2" applyFont="1" applyFill="1" applyBorder="1" applyAlignment="1" applyProtection="1">
      <alignment horizontal="right" vertical="center"/>
      <protection locked="0"/>
    </xf>
    <xf numFmtId="0" fontId="28" fillId="17" borderId="58" xfId="2" applyFont="1" applyFill="1" applyBorder="1" applyAlignment="1" applyProtection="1">
      <alignment horizontal="right" vertical="center"/>
      <protection locked="0"/>
    </xf>
    <xf numFmtId="44" fontId="28" fillId="17" borderId="58" xfId="2" applyNumberFormat="1" applyFont="1" applyFill="1" applyBorder="1" applyAlignment="1" applyProtection="1">
      <alignment horizontal="right" vertical="center"/>
    </xf>
    <xf numFmtId="10" fontId="28" fillId="17" borderId="4" xfId="22" applyNumberFormat="1" applyFont="1" applyFill="1" applyBorder="1" applyAlignment="1" applyProtection="1">
      <alignment horizontal="right" vertical="center"/>
    </xf>
    <xf numFmtId="0" fontId="7" fillId="0" borderId="0" xfId="2" applyFont="1" applyFill="1" applyAlignment="1" applyProtection="1">
      <alignment vertical="top"/>
    </xf>
    <xf numFmtId="0" fontId="6" fillId="0" borderId="0" xfId="2" applyAlignment="1" applyProtection="1">
      <alignment vertical="top"/>
      <protection locked="0"/>
    </xf>
    <xf numFmtId="9" fontId="28" fillId="0" borderId="54" xfId="2" applyNumberFormat="1" applyFont="1" applyFill="1" applyBorder="1" applyAlignment="1" applyProtection="1">
      <alignment horizontal="right" vertical="center"/>
    </xf>
    <xf numFmtId="9" fontId="28" fillId="0" borderId="0" xfId="2" applyNumberFormat="1" applyFont="1" applyFill="1" applyBorder="1" applyAlignment="1" applyProtection="1">
      <alignment horizontal="right" vertical="center"/>
    </xf>
    <xf numFmtId="44" fontId="27" fillId="0" borderId="60" xfId="2" applyNumberFormat="1" applyFont="1" applyFill="1" applyBorder="1" applyAlignment="1" applyProtection="1">
      <alignment horizontal="right" vertical="center"/>
    </xf>
    <xf numFmtId="0" fontId="27" fillId="0" borderId="54" xfId="2" applyFont="1" applyFill="1" applyBorder="1" applyAlignment="1" applyProtection="1">
      <alignment horizontal="right" vertical="center"/>
    </xf>
    <xf numFmtId="9" fontId="27" fillId="0" borderId="54" xfId="2" applyNumberFormat="1" applyFont="1" applyFill="1" applyBorder="1" applyAlignment="1" applyProtection="1">
      <alignment horizontal="right" vertical="center"/>
    </xf>
    <xf numFmtId="44" fontId="27" fillId="0" borderId="61" xfId="2" applyNumberFormat="1" applyFont="1" applyFill="1" applyBorder="1" applyAlignment="1" applyProtection="1">
      <alignment horizontal="right" vertical="center"/>
    </xf>
    <xf numFmtId="0" fontId="27" fillId="0" borderId="0" xfId="2" applyFont="1" applyFill="1" applyBorder="1" applyAlignment="1" applyProtection="1">
      <alignment horizontal="right" vertical="center"/>
      <protection locked="0"/>
    </xf>
    <xf numFmtId="44" fontId="27" fillId="0" borderId="54" xfId="2" applyNumberFormat="1" applyFont="1" applyFill="1" applyBorder="1" applyAlignment="1" applyProtection="1">
      <alignment horizontal="right" vertical="center"/>
    </xf>
    <xf numFmtId="10" fontId="27" fillId="0" borderId="52" xfId="22" applyNumberFormat="1" applyFont="1" applyFill="1" applyBorder="1" applyAlignment="1" applyProtection="1">
      <alignment horizontal="right" vertical="center"/>
    </xf>
    <xf numFmtId="0" fontId="6" fillId="0" borderId="0" xfId="2" applyFont="1" applyFill="1" applyAlignment="1" applyProtection="1">
      <alignment horizontal="left" vertical="top" indent="1"/>
    </xf>
    <xf numFmtId="0" fontId="28" fillId="0" borderId="0" xfId="2" applyFont="1" applyFill="1" applyBorder="1" applyAlignment="1" applyProtection="1">
      <alignment horizontal="right" vertical="center"/>
    </xf>
    <xf numFmtId="44" fontId="28" fillId="0" borderId="60" xfId="2" applyNumberFormat="1" applyFont="1" applyFill="1" applyBorder="1" applyAlignment="1" applyProtection="1">
      <alignment horizontal="right" vertical="center"/>
    </xf>
    <xf numFmtId="0" fontId="28" fillId="0" borderId="54" xfId="2" applyFont="1" applyFill="1" applyBorder="1" applyAlignment="1" applyProtection="1">
      <alignment horizontal="right" vertical="center"/>
    </xf>
    <xf numFmtId="44" fontId="28" fillId="0" borderId="52" xfId="2" applyNumberFormat="1" applyFont="1" applyFill="1" applyBorder="1" applyAlignment="1" applyProtection="1">
      <alignment horizontal="right" vertical="center"/>
    </xf>
    <xf numFmtId="0" fontId="28" fillId="0" borderId="0" xfId="2" applyFont="1" applyFill="1" applyBorder="1" applyAlignment="1" applyProtection="1">
      <alignment horizontal="right" vertical="center"/>
      <protection locked="0"/>
    </xf>
    <xf numFmtId="44" fontId="28" fillId="0" borderId="54" xfId="2" applyNumberFormat="1" applyFont="1" applyFill="1" applyBorder="1" applyAlignment="1" applyProtection="1">
      <alignment horizontal="right" vertical="center"/>
    </xf>
    <xf numFmtId="10" fontId="28" fillId="0" borderId="52" xfId="22" applyNumberFormat="1" applyFont="1" applyFill="1" applyBorder="1" applyAlignment="1" applyProtection="1">
      <alignment horizontal="right" vertical="center"/>
    </xf>
    <xf numFmtId="0" fontId="7" fillId="0" borderId="0" xfId="2" applyFont="1" applyAlignment="1" applyProtection="1">
      <alignment horizontal="left" vertical="top" wrapText="1" indent="1"/>
    </xf>
    <xf numFmtId="44" fontId="68" fillId="0" borderId="60" xfId="2" applyNumberFormat="1" applyFont="1" applyFill="1" applyBorder="1" applyAlignment="1" applyProtection="1">
      <alignment horizontal="right" vertical="center"/>
    </xf>
    <xf numFmtId="44" fontId="68" fillId="0" borderId="52" xfId="2" applyNumberFormat="1" applyFont="1" applyFill="1" applyBorder="1" applyAlignment="1" applyProtection="1">
      <alignment horizontal="right" vertical="center"/>
    </xf>
    <xf numFmtId="44" fontId="68" fillId="0" borderId="54" xfId="2" applyNumberFormat="1" applyFont="1" applyFill="1" applyBorder="1" applyAlignment="1" applyProtection="1">
      <alignment horizontal="right" vertical="center"/>
    </xf>
    <xf numFmtId="10" fontId="68" fillId="0" borderId="52" xfId="22" applyNumberFormat="1" applyFont="1" applyFill="1" applyBorder="1" applyAlignment="1" applyProtection="1">
      <alignment horizontal="right" vertical="center"/>
    </xf>
    <xf numFmtId="0" fontId="6" fillId="16" borderId="0" xfId="2" applyFill="1" applyAlignment="1" applyProtection="1">
      <alignment vertical="top"/>
      <protection locked="0"/>
    </xf>
    <xf numFmtId="0" fontId="28" fillId="16" borderId="55" xfId="2" applyFont="1" applyFill="1" applyBorder="1" applyAlignment="1" applyProtection="1">
      <alignment horizontal="right" vertical="center"/>
    </xf>
    <xf numFmtId="0" fontId="28" fillId="16" borderId="36" xfId="2" applyFont="1" applyFill="1" applyBorder="1" applyAlignment="1" applyProtection="1">
      <alignment horizontal="right" vertical="center"/>
    </xf>
    <xf numFmtId="44" fontId="27" fillId="16" borderId="57" xfId="2" applyNumberFormat="1" applyFont="1" applyFill="1" applyBorder="1" applyAlignment="1" applyProtection="1">
      <alignment horizontal="right" vertical="center"/>
    </xf>
    <xf numFmtId="0" fontId="27" fillId="16" borderId="55" xfId="2" applyFont="1" applyFill="1" applyBorder="1" applyAlignment="1" applyProtection="1">
      <alignment horizontal="right" vertical="center"/>
    </xf>
    <xf numFmtId="44" fontId="27" fillId="16" borderId="56" xfId="2" applyNumberFormat="1" applyFont="1" applyFill="1" applyBorder="1" applyAlignment="1" applyProtection="1">
      <alignment horizontal="right" vertical="center"/>
    </xf>
    <xf numFmtId="0" fontId="27" fillId="16" borderId="36" xfId="2" applyFont="1" applyFill="1" applyBorder="1" applyAlignment="1" applyProtection="1">
      <alignment horizontal="right" vertical="center"/>
      <protection locked="0"/>
    </xf>
    <xf numFmtId="186" fontId="6" fillId="17" borderId="59" xfId="18" applyNumberFormat="1" applyFill="1" applyBorder="1" applyAlignment="1" applyProtection="1">
      <alignment vertical="top"/>
      <protection locked="0"/>
    </xf>
    <xf numFmtId="0" fontId="6" fillId="17" borderId="3" xfId="2" applyFill="1" applyBorder="1" applyAlignment="1" applyProtection="1">
      <alignment vertical="center"/>
      <protection locked="0"/>
    </xf>
    <xf numFmtId="44" fontId="6" fillId="17" borderId="62" xfId="18" applyFill="1" applyBorder="1" applyAlignment="1" applyProtection="1">
      <alignment vertical="center"/>
      <protection locked="0"/>
    </xf>
    <xf numFmtId="0" fontId="6" fillId="17" borderId="59" xfId="2" applyFill="1" applyBorder="1" applyAlignment="1" applyProtection="1">
      <alignment vertical="center"/>
      <protection locked="0"/>
    </xf>
    <xf numFmtId="44" fontId="6" fillId="17" borderId="58" xfId="18" applyFill="1" applyBorder="1" applyAlignment="1" applyProtection="1">
      <alignment vertical="center"/>
      <protection locked="0"/>
    </xf>
    <xf numFmtId="44" fontId="6" fillId="17" borderId="59" xfId="2" applyNumberFormat="1" applyFill="1" applyBorder="1" applyAlignment="1" applyProtection="1">
      <alignment vertical="center"/>
      <protection locked="0"/>
    </xf>
    <xf numFmtId="10" fontId="6" fillId="17" borderId="4" xfId="22" applyNumberFormat="1" applyFill="1" applyBorder="1" applyAlignment="1" applyProtection="1">
      <alignment vertical="center"/>
      <protection locked="0"/>
    </xf>
    <xf numFmtId="44" fontId="6" fillId="0" borderId="0" xfId="2" applyNumberFormat="1" applyProtection="1">
      <protection locked="0"/>
    </xf>
    <xf numFmtId="0" fontId="23" fillId="0" borderId="0" xfId="0" applyFont="1" applyFill="1" applyProtection="1"/>
    <xf numFmtId="0" fontId="0" fillId="0" borderId="0" xfId="0" applyAlignment="1" applyProtection="1">
      <alignment horizontal="left" vertical="top" wrapText="1"/>
    </xf>
    <xf numFmtId="0" fontId="15" fillId="0" borderId="0" xfId="0" applyFont="1" applyAlignment="1" applyProtection="1">
      <alignment horizontal="left" vertical="top" wrapText="1"/>
    </xf>
    <xf numFmtId="0" fontId="9" fillId="0" borderId="0" xfId="2" applyFont="1" applyAlignment="1" applyProtection="1">
      <alignment horizontal="left" vertical="center" wrapText="1"/>
    </xf>
    <xf numFmtId="0" fontId="55" fillId="0" borderId="0" xfId="0" applyFont="1" applyAlignment="1">
      <alignment horizontal="left" vertical="top" wrapText="1"/>
    </xf>
    <xf numFmtId="0" fontId="55" fillId="0" borderId="0" xfId="0" applyFont="1" applyFill="1" applyAlignment="1">
      <alignment horizontal="left" vertical="top" wrapText="1"/>
    </xf>
    <xf numFmtId="0" fontId="57" fillId="0" borderId="0" xfId="0" applyFont="1" applyAlignment="1">
      <alignment horizontal="left" vertical="top" wrapText="1"/>
    </xf>
    <xf numFmtId="169" fontId="0" fillId="5" borderId="32" xfId="0" applyNumberFormat="1" applyFill="1" applyBorder="1" applyProtection="1">
      <protection locked="0"/>
    </xf>
    <xf numFmtId="10" fontId="0" fillId="5" borderId="33" xfId="0" applyNumberFormat="1" applyFill="1" applyBorder="1" applyAlignment="1" applyProtection="1">
      <alignment horizontal="center" vertical="center"/>
      <protection locked="0"/>
    </xf>
    <xf numFmtId="165" fontId="0" fillId="0" borderId="0" xfId="0" applyNumberFormat="1"/>
    <xf numFmtId="43" fontId="0" fillId="0" borderId="0" xfId="1" applyFont="1"/>
    <xf numFmtId="0" fontId="2" fillId="0" borderId="37" xfId="0" applyFont="1" applyBorder="1" applyAlignment="1">
      <alignment horizontal="center" wrapText="1"/>
    </xf>
    <xf numFmtId="0" fontId="2" fillId="0" borderId="1" xfId="0" applyFont="1" applyBorder="1" applyAlignment="1">
      <alignment horizontal="center" wrapText="1"/>
    </xf>
    <xf numFmtId="0" fontId="0" fillId="0" borderId="54" xfId="0" applyBorder="1"/>
    <xf numFmtId="165" fontId="0" fillId="0" borderId="54" xfId="1" applyNumberFormat="1" applyFont="1" applyBorder="1"/>
    <xf numFmtId="0" fontId="0" fillId="0" borderId="55" xfId="0" applyBorder="1"/>
    <xf numFmtId="165" fontId="0" fillId="0" borderId="0" xfId="1" applyNumberFormat="1" applyFont="1"/>
    <xf numFmtId="165" fontId="2" fillId="0" borderId="63" xfId="0" applyNumberFormat="1" applyFont="1" applyBorder="1"/>
    <xf numFmtId="165" fontId="2" fillId="0" borderId="63" xfId="1" applyNumberFormat="1" applyFont="1" applyBorder="1"/>
    <xf numFmtId="165" fontId="2" fillId="0" borderId="64" xfId="1" applyNumberFormat="1" applyFont="1" applyBorder="1"/>
    <xf numFmtId="0" fontId="2" fillId="0" borderId="42" xfId="0" quotePrefix="1" applyFont="1" applyBorder="1" applyAlignment="1">
      <alignment horizontal="center" wrapText="1"/>
    </xf>
    <xf numFmtId="0" fontId="2" fillId="0" borderId="37" xfId="0" applyFont="1" applyBorder="1" applyAlignment="1">
      <alignment horizontal="center"/>
    </xf>
    <xf numFmtId="0" fontId="2" fillId="0" borderId="42" xfId="0" applyFont="1" applyBorder="1" applyAlignment="1">
      <alignment horizontal="center" wrapText="1"/>
    </xf>
    <xf numFmtId="165" fontId="0" fillId="0" borderId="54" xfId="1" applyNumberFormat="1" applyFont="1" applyFill="1" applyBorder="1"/>
    <xf numFmtId="174" fontId="0" fillId="0" borderId="54" xfId="6" applyNumberFormat="1" applyFont="1" applyBorder="1"/>
    <xf numFmtId="165" fontId="0" fillId="0" borderId="0" xfId="1" applyNumberFormat="1" applyFont="1" applyBorder="1"/>
    <xf numFmtId="165" fontId="54" fillId="0" borderId="54" xfId="1" applyNumberFormat="1" applyFont="1" applyFill="1" applyBorder="1"/>
    <xf numFmtId="192" fontId="0" fillId="0" borderId="52" xfId="0" applyNumberFormat="1" applyBorder="1"/>
    <xf numFmtId="192" fontId="0" fillId="0" borderId="52" xfId="0" applyNumberFormat="1" applyBorder="1" applyAlignment="1">
      <alignment horizontal="center"/>
    </xf>
    <xf numFmtId="174" fontId="0" fillId="0" borderId="55" xfId="6" applyNumberFormat="1" applyFont="1" applyBorder="1"/>
    <xf numFmtId="165" fontId="0" fillId="0" borderId="36" xfId="1" applyNumberFormat="1" applyFont="1" applyBorder="1"/>
    <xf numFmtId="174" fontId="2" fillId="0" borderId="63" xfId="0" applyNumberFormat="1" applyFont="1" applyBorder="1"/>
    <xf numFmtId="165" fontId="2" fillId="0" borderId="64" xfId="0" applyNumberFormat="1" applyFont="1" applyBorder="1"/>
    <xf numFmtId="165" fontId="0" fillId="0" borderId="0" xfId="0" applyNumberFormat="1" applyBorder="1"/>
    <xf numFmtId="0" fontId="0" fillId="0" borderId="0" xfId="0" applyBorder="1"/>
    <xf numFmtId="165" fontId="0" fillId="0" borderId="54" xfId="0" applyNumberFormat="1" applyFill="1" applyBorder="1"/>
    <xf numFmtId="165" fontId="0" fillId="0" borderId="54" xfId="0" applyNumberFormat="1" applyFill="1" applyBorder="1" applyAlignment="1">
      <alignment horizontal="center"/>
    </xf>
    <xf numFmtId="165" fontId="0" fillId="0" borderId="55" xfId="1" applyNumberFormat="1" applyFont="1" applyBorder="1"/>
    <xf numFmtId="174" fontId="2" fillId="0" borderId="35" xfId="0" applyNumberFormat="1" applyFont="1" applyBorder="1"/>
    <xf numFmtId="0" fontId="0" fillId="0" borderId="54" xfId="0" applyFont="1" applyBorder="1"/>
    <xf numFmtId="0" fontId="0" fillId="0" borderId="54" xfId="0" applyBorder="1" applyAlignment="1">
      <alignment horizontal="center"/>
    </xf>
    <xf numFmtId="0" fontId="2" fillId="18" borderId="37" xfId="0" applyFont="1" applyFill="1" applyBorder="1" applyAlignment="1"/>
    <xf numFmtId="3" fontId="27" fillId="0" borderId="0" xfId="2" applyNumberFormat="1" applyFont="1" applyAlignment="1" applyProtection="1">
      <alignment horizontal="center" vertical="center" wrapText="1"/>
    </xf>
    <xf numFmtId="181" fontId="27" fillId="0" borderId="0" xfId="2" applyNumberFormat="1" applyFont="1" applyAlignment="1" applyProtection="1">
      <alignment horizontal="center" vertical="center" wrapText="1"/>
    </xf>
    <xf numFmtId="0" fontId="27" fillId="0" borderId="0" xfId="2" applyFont="1" applyAlignment="1" applyProtection="1">
      <alignment horizontal="center" vertical="center" wrapText="1"/>
    </xf>
    <xf numFmtId="3" fontId="6" fillId="0" borderId="0" xfId="2" applyNumberFormat="1" applyProtection="1"/>
    <xf numFmtId="0" fontId="9" fillId="0" borderId="0" xfId="2" applyFont="1" applyAlignment="1">
      <alignment horizontal="center"/>
    </xf>
    <xf numFmtId="166" fontId="6" fillId="0" borderId="0" xfId="1" applyNumberFormat="1" applyFont="1" applyAlignment="1">
      <alignment horizontal="center" vertical="center"/>
    </xf>
    <xf numFmtId="166" fontId="6" fillId="0" borderId="0" xfId="1" applyNumberFormat="1" applyFont="1"/>
    <xf numFmtId="0" fontId="48" fillId="14" borderId="0" xfId="0" applyFont="1" applyFill="1" applyAlignment="1" applyProtection="1">
      <alignment horizontal="center" vertical="center" wrapText="1"/>
    </xf>
    <xf numFmtId="0" fontId="42" fillId="15" borderId="0" xfId="0" applyFont="1" applyFill="1" applyAlignment="1" applyProtection="1">
      <alignment horizontal="center" vertical="center" wrapText="1"/>
    </xf>
    <xf numFmtId="0" fontId="42" fillId="14" borderId="0" xfId="0" applyFont="1" applyFill="1" applyAlignment="1" applyProtection="1">
      <alignment horizontal="center" vertical="center" wrapText="1"/>
    </xf>
    <xf numFmtId="0" fontId="70" fillId="12" borderId="0" xfId="0" applyFont="1" applyFill="1" applyProtection="1"/>
    <xf numFmtId="0" fontId="70" fillId="0" borderId="0" xfId="0" applyFont="1" applyProtection="1"/>
    <xf numFmtId="44" fontId="9" fillId="3" borderId="0" xfId="18" applyFont="1" applyFill="1" applyProtection="1">
      <protection locked="0"/>
    </xf>
    <xf numFmtId="0" fontId="38" fillId="12" borderId="0" xfId="0" applyFont="1" applyFill="1" applyProtection="1"/>
    <xf numFmtId="186" fontId="9" fillId="3" borderId="0" xfId="18" applyNumberFormat="1" applyFont="1" applyFill="1" applyProtection="1">
      <protection locked="0"/>
    </xf>
    <xf numFmtId="186" fontId="70" fillId="12" borderId="0" xfId="0" applyNumberFormat="1" applyFont="1" applyFill="1" applyProtection="1"/>
    <xf numFmtId="186" fontId="9" fillId="12" borderId="46" xfId="18" applyNumberFormat="1" applyFont="1" applyFill="1" applyBorder="1" applyProtection="1"/>
    <xf numFmtId="0" fontId="71" fillId="12" borderId="0" xfId="0" applyFont="1" applyFill="1" applyAlignment="1" applyProtection="1">
      <alignment horizontal="center" vertical="center"/>
    </xf>
    <xf numFmtId="0" fontId="6" fillId="0" borderId="0" xfId="2" applyAlignment="1" applyProtection="1">
      <alignment horizontal="center" vertical="center"/>
    </xf>
    <xf numFmtId="181" fontId="6" fillId="0" borderId="0" xfId="2" applyNumberFormat="1" applyAlignment="1" applyProtection="1">
      <alignment horizontal="center" vertical="center"/>
    </xf>
    <xf numFmtId="166" fontId="6" fillId="0" borderId="0" xfId="2" applyNumberFormat="1" applyAlignment="1" applyProtection="1">
      <alignment horizontal="center" vertical="center"/>
    </xf>
    <xf numFmtId="174" fontId="6" fillId="0" borderId="0" xfId="2" applyNumberFormat="1" applyAlignment="1" applyProtection="1">
      <alignment horizontal="center" vertical="center"/>
    </xf>
    <xf numFmtId="0" fontId="9" fillId="0" borderId="0" xfId="2" applyFont="1" applyProtection="1"/>
    <xf numFmtId="0" fontId="9" fillId="0" borderId="0" xfId="2" applyFont="1" applyAlignment="1" applyProtection="1">
      <alignment horizontal="center" vertical="center" wrapText="1"/>
    </xf>
    <xf numFmtId="181" fontId="9" fillId="0" borderId="0" xfId="2" applyNumberFormat="1" applyFont="1" applyAlignment="1" applyProtection="1">
      <alignment horizontal="center" vertical="center" wrapText="1"/>
    </xf>
    <xf numFmtId="166" fontId="9" fillId="0" borderId="0" xfId="2" applyNumberFormat="1" applyFont="1" applyAlignment="1" applyProtection="1">
      <alignment horizontal="center" vertical="center" wrapText="1"/>
    </xf>
    <xf numFmtId="174" fontId="9" fillId="0" borderId="0" xfId="2" applyNumberFormat="1" applyFont="1" applyAlignment="1" applyProtection="1">
      <alignment horizontal="center" vertical="center" wrapText="1"/>
    </xf>
    <xf numFmtId="3" fontId="6" fillId="0" borderId="0" xfId="2" applyNumberFormat="1" applyAlignment="1" applyProtection="1">
      <alignment horizontal="center" vertical="center"/>
    </xf>
    <xf numFmtId="174" fontId="6" fillId="0" borderId="0" xfId="6" applyNumberFormat="1" applyFont="1" applyAlignment="1" applyProtection="1">
      <alignment horizontal="center" vertical="center"/>
    </xf>
    <xf numFmtId="181" fontId="7" fillId="0" borderId="0" xfId="2" applyNumberFormat="1" applyFont="1" applyAlignment="1" applyProtection="1">
      <alignment horizontal="center" vertical="center"/>
    </xf>
    <xf numFmtId="44" fontId="6" fillId="0" borderId="0" xfId="2" applyNumberFormat="1" applyProtection="1"/>
    <xf numFmtId="10" fontId="6" fillId="0" borderId="0" xfId="6" applyNumberFormat="1" applyFont="1" applyAlignment="1" applyProtection="1">
      <alignment horizontal="center" vertical="center"/>
    </xf>
    <xf numFmtId="0" fontId="53" fillId="4" borderId="0" xfId="20" applyFont="1" applyFill="1" applyAlignment="1" applyProtection="1">
      <alignment horizontal="center" vertical="center"/>
    </xf>
    <xf numFmtId="0" fontId="25" fillId="0" borderId="0" xfId="20" applyFont="1" applyBorder="1" applyAlignment="1" applyProtection="1">
      <alignment horizontal="right" vertical="center" wrapText="1"/>
    </xf>
    <xf numFmtId="10" fontId="25" fillId="0" borderId="0" xfId="6" applyNumberFormat="1" applyFont="1" applyBorder="1" applyAlignment="1" applyProtection="1">
      <alignment horizontal="center" vertical="center"/>
    </xf>
    <xf numFmtId="0" fontId="25" fillId="0" borderId="0" xfId="20" applyFont="1" applyBorder="1" applyAlignment="1" applyProtection="1">
      <alignment horizontal="center" vertical="center" wrapText="1"/>
    </xf>
    <xf numFmtId="10" fontId="25" fillId="0" borderId="0" xfId="20" applyNumberFormat="1" applyFont="1" applyFill="1" applyBorder="1" applyAlignment="1" applyProtection="1">
      <alignment horizontal="center" vertical="center" wrapText="1"/>
    </xf>
    <xf numFmtId="0" fontId="2" fillId="0" borderId="0" xfId="0" applyFont="1" applyAlignment="1" applyProtection="1">
      <alignment horizontal="right" vertical="center" wrapText="1"/>
    </xf>
    <xf numFmtId="166" fontId="0" fillId="5" borderId="30" xfId="1" applyNumberFormat="1" applyFont="1" applyFill="1" applyBorder="1" applyAlignment="1" applyProtection="1">
      <alignment vertical="center"/>
      <protection locked="0"/>
    </xf>
    <xf numFmtId="0" fontId="15" fillId="0" borderId="0" xfId="20" applyFont="1" applyBorder="1" applyAlignment="1" applyProtection="1">
      <alignment horizontal="right" vertical="center" wrapText="1"/>
    </xf>
    <xf numFmtId="0" fontId="54" fillId="10" borderId="0" xfId="20" applyFont="1" applyFill="1" applyBorder="1" applyAlignment="1" applyProtection="1">
      <alignment horizontal="center" vertical="center"/>
      <protection locked="0"/>
    </xf>
    <xf numFmtId="10" fontId="25" fillId="9" borderId="0" xfId="20" applyNumberFormat="1" applyFont="1" applyFill="1" applyBorder="1" applyAlignment="1" applyProtection="1">
      <alignment horizontal="center" vertical="center"/>
    </xf>
    <xf numFmtId="10" fontId="25" fillId="0" borderId="0" xfId="6" applyNumberFormat="1" applyFont="1" applyFill="1" applyBorder="1" applyAlignment="1" applyProtection="1">
      <alignment horizontal="center" vertical="center"/>
    </xf>
    <xf numFmtId="0" fontId="0" fillId="0" borderId="0" xfId="0" applyFont="1" applyBorder="1" applyProtection="1"/>
    <xf numFmtId="0" fontId="25" fillId="0" borderId="0" xfId="16" applyFont="1" applyFill="1" applyBorder="1" applyAlignment="1" applyProtection="1">
      <alignment horizontal="right" wrapText="1"/>
    </xf>
    <xf numFmtId="166" fontId="0" fillId="5" borderId="0" xfId="1" applyNumberFormat="1" applyFont="1" applyFill="1" applyBorder="1" applyAlignment="1" applyProtection="1">
      <alignment vertical="center"/>
      <protection locked="0"/>
    </xf>
    <xf numFmtId="0" fontId="7" fillId="0" borderId="0" xfId="20" applyFont="1" applyAlignment="1" applyProtection="1">
      <alignment horizontal="center" wrapText="1"/>
    </xf>
    <xf numFmtId="0" fontId="0" fillId="0" borderId="0" xfId="0" applyFill="1" applyAlignment="1" applyProtection="1">
      <alignment horizontal="center"/>
    </xf>
    <xf numFmtId="0" fontId="7" fillId="0" borderId="0" xfId="16" applyFont="1" applyFill="1" applyAlignment="1" applyProtection="1">
      <alignment horizontal="center" vertical="top"/>
    </xf>
    <xf numFmtId="0" fontId="6" fillId="0" borderId="0" xfId="16" applyFont="1" applyFill="1" applyAlignment="1" applyProtection="1">
      <alignment horizontal="center"/>
    </xf>
    <xf numFmtId="4" fontId="0" fillId="0" borderId="0" xfId="0" applyNumberFormat="1" applyAlignment="1" applyProtection="1">
      <alignment horizontal="center"/>
    </xf>
    <xf numFmtId="193" fontId="0" fillId="5" borderId="0" xfId="0" applyNumberFormat="1" applyFill="1" applyBorder="1" applyAlignment="1" applyProtection="1">
      <alignment horizontal="center"/>
      <protection locked="0"/>
    </xf>
    <xf numFmtId="193" fontId="0" fillId="0" borderId="0" xfId="0" applyNumberFormat="1" applyAlignment="1" applyProtection="1">
      <alignment horizontal="center"/>
    </xf>
    <xf numFmtId="10" fontId="0" fillId="0" borderId="0" xfId="0" applyNumberFormat="1" applyAlignment="1" applyProtection="1">
      <alignment horizontal="center"/>
    </xf>
    <xf numFmtId="4" fontId="0" fillId="19" borderId="0" xfId="0" applyNumberFormat="1" applyFill="1" applyAlignment="1" applyProtection="1">
      <alignment horizontal="center"/>
    </xf>
    <xf numFmtId="193" fontId="0" fillId="19" borderId="0" xfId="0" applyNumberFormat="1" applyFill="1" applyAlignment="1" applyProtection="1">
      <alignment horizontal="center"/>
    </xf>
    <xf numFmtId="193" fontId="0" fillId="5" borderId="48" xfId="0" applyNumberFormat="1" applyFill="1" applyBorder="1" applyAlignment="1" applyProtection="1">
      <alignment horizontal="center"/>
      <protection locked="0"/>
    </xf>
    <xf numFmtId="193" fontId="0" fillId="5" borderId="49" xfId="0" applyNumberFormat="1" applyFill="1" applyBorder="1" applyAlignment="1" applyProtection="1">
      <alignment horizontal="center"/>
      <protection locked="0"/>
    </xf>
    <xf numFmtId="0" fontId="0" fillId="0" borderId="0" xfId="0" applyAlignment="1" applyProtection="1">
      <alignment horizontal="center"/>
      <protection locked="0"/>
    </xf>
    <xf numFmtId="0" fontId="72" fillId="0" borderId="0" xfId="0" applyFont="1" applyProtection="1"/>
    <xf numFmtId="0" fontId="58" fillId="0" borderId="0" xfId="0" applyFont="1" applyAlignment="1" applyProtection="1">
      <alignment horizontal="center" vertical="center" wrapText="1"/>
    </xf>
    <xf numFmtId="3" fontId="0" fillId="0" borderId="0" xfId="0" applyNumberFormat="1" applyAlignment="1" applyProtection="1">
      <alignment horizontal="center"/>
    </xf>
    <xf numFmtId="174" fontId="0" fillId="0" borderId="0" xfId="0" applyNumberFormat="1" applyAlignment="1" applyProtection="1">
      <alignment horizontal="center"/>
    </xf>
    <xf numFmtId="2" fontId="0" fillId="0" borderId="0" xfId="0" applyNumberFormat="1" applyAlignment="1" applyProtection="1">
      <alignment horizontal="center"/>
    </xf>
    <xf numFmtId="2" fontId="0" fillId="19" borderId="0" xfId="0" applyNumberFormat="1" applyFill="1" applyAlignment="1" applyProtection="1">
      <alignment horizontal="center"/>
    </xf>
    <xf numFmtId="3" fontId="0" fillId="0" borderId="14" xfId="0" applyNumberFormat="1" applyBorder="1" applyAlignment="1" applyProtection="1">
      <alignment horizontal="center"/>
    </xf>
    <xf numFmtId="181" fontId="0" fillId="19" borderId="0" xfId="0" applyNumberFormat="1" applyFill="1" applyAlignment="1" applyProtection="1">
      <alignment horizontal="center"/>
    </xf>
    <xf numFmtId="0" fontId="69" fillId="0" borderId="0" xfId="0" applyFont="1" applyProtection="1"/>
    <xf numFmtId="0" fontId="74" fillId="0" borderId="0" xfId="0" applyFont="1" applyProtection="1"/>
    <xf numFmtId="0" fontId="0" fillId="4" borderId="0" xfId="0" applyFill="1" applyBorder="1" applyAlignment="1" applyProtection="1">
      <alignment horizontal="left"/>
    </xf>
    <xf numFmtId="0" fontId="0" fillId="0" borderId="65" xfId="0" applyBorder="1" applyAlignment="1" applyProtection="1">
      <alignment wrapText="1"/>
    </xf>
    <xf numFmtId="0" fontId="0" fillId="0" borderId="59" xfId="0" applyBorder="1" applyProtection="1"/>
    <xf numFmtId="179" fontId="0" fillId="5" borderId="66" xfId="0" applyNumberFormat="1" applyFill="1" applyBorder="1" applyProtection="1"/>
    <xf numFmtId="189" fontId="0" fillId="5" borderId="66" xfId="0" applyNumberFormat="1" applyFill="1" applyBorder="1" applyProtection="1"/>
    <xf numFmtId="179" fontId="0" fillId="5" borderId="66" xfId="0" applyNumberFormat="1" applyFill="1" applyBorder="1" applyAlignment="1" applyProtection="1">
      <alignment horizontal="right"/>
    </xf>
    <xf numFmtId="0" fontId="13" fillId="0" borderId="0" xfId="0" applyFont="1" applyAlignment="1" applyProtection="1">
      <alignment vertical="top" wrapText="1"/>
    </xf>
    <xf numFmtId="0" fontId="0" fillId="6" borderId="0" xfId="0" applyFill="1" applyBorder="1" applyAlignment="1" applyProtection="1">
      <alignment horizontal="center" vertical="center"/>
      <protection locked="0"/>
    </xf>
    <xf numFmtId="0" fontId="0" fillId="5" borderId="34" xfId="0" applyFill="1" applyBorder="1" applyProtection="1">
      <protection locked="0"/>
    </xf>
    <xf numFmtId="0" fontId="0" fillId="5" borderId="31" xfId="0" applyFill="1" applyBorder="1" applyProtection="1">
      <protection locked="0"/>
    </xf>
    <xf numFmtId="0" fontId="0" fillId="0" borderId="0" xfId="0" applyFill="1" applyAlignment="1">
      <alignment horizontal="center" vertical="center"/>
    </xf>
    <xf numFmtId="0" fontId="0" fillId="0" borderId="0" xfId="0" applyFill="1" applyAlignment="1"/>
    <xf numFmtId="0" fontId="0" fillId="0" borderId="0" xfId="0" applyFill="1" applyBorder="1" applyAlignment="1">
      <alignment horizontal="left"/>
    </xf>
    <xf numFmtId="15" fontId="0" fillId="0" borderId="0" xfId="0" applyNumberFormat="1" applyFill="1"/>
    <xf numFmtId="0" fontId="76" fillId="0" borderId="0" xfId="0" applyFont="1" applyAlignment="1">
      <alignment horizontal="left" vertical="top" wrapText="1"/>
    </xf>
    <xf numFmtId="0" fontId="55" fillId="0" borderId="0" xfId="0" applyFont="1" applyAlignment="1">
      <alignment horizontal="left" vertical="top"/>
    </xf>
    <xf numFmtId="0" fontId="13" fillId="0" borderId="0" xfId="0" applyFont="1" applyAlignment="1">
      <alignment horizontal="left" vertical="top" wrapText="1"/>
    </xf>
    <xf numFmtId="0" fontId="13" fillId="0" borderId="0" xfId="0" applyFont="1" applyFill="1" applyAlignment="1">
      <alignment horizontal="left" vertical="top" wrapText="1"/>
    </xf>
    <xf numFmtId="0" fontId="13" fillId="0" borderId="0" xfId="0" applyFont="1" applyFill="1" applyAlignment="1">
      <alignment horizontal="left" wrapText="1"/>
    </xf>
    <xf numFmtId="0" fontId="55" fillId="0" borderId="0" xfId="0" applyFont="1" applyAlignment="1">
      <alignment horizontal="left" wrapText="1"/>
    </xf>
    <xf numFmtId="0" fontId="57" fillId="0" borderId="0" xfId="0" applyFont="1" applyFill="1" applyAlignment="1">
      <alignment horizontal="left"/>
    </xf>
    <xf numFmtId="4" fontId="57" fillId="0" borderId="0" xfId="0" applyNumberFormat="1" applyFont="1" applyAlignment="1">
      <alignment horizontal="right"/>
    </xf>
    <xf numFmtId="189" fontId="57" fillId="0" borderId="0" xfId="0" applyNumberFormat="1" applyFont="1" applyFill="1" applyAlignment="1">
      <alignment horizontal="right"/>
    </xf>
    <xf numFmtId="193" fontId="57" fillId="0" borderId="0" xfId="0" applyNumberFormat="1" applyFont="1" applyAlignment="1">
      <alignment horizontal="right"/>
    </xf>
    <xf numFmtId="179" fontId="57" fillId="0" borderId="0" xfId="0" applyNumberFormat="1" applyFont="1" applyFill="1" applyAlignment="1">
      <alignment horizontal="right"/>
    </xf>
    <xf numFmtId="0" fontId="57" fillId="0" borderId="0" xfId="0" applyFont="1" applyFill="1" applyAlignment="1">
      <alignment horizontal="left" wrapText="1"/>
    </xf>
    <xf numFmtId="0" fontId="57" fillId="0" borderId="0" xfId="0" applyFont="1" applyAlignment="1">
      <alignment horizontal="left" wrapText="1"/>
    </xf>
    <xf numFmtId="0" fontId="57" fillId="0" borderId="0" xfId="0" applyFont="1" applyFill="1" applyAlignment="1">
      <alignment horizontal="right"/>
    </xf>
    <xf numFmtId="0" fontId="23" fillId="0" borderId="0" xfId="0" applyFont="1" applyFill="1" applyAlignment="1">
      <alignment horizontal="left" wrapText="1"/>
    </xf>
    <xf numFmtId="0" fontId="10" fillId="0" borderId="0" xfId="0" applyFont="1" applyFill="1" applyAlignment="1">
      <alignment horizontal="left" vertical="top"/>
    </xf>
    <xf numFmtId="0" fontId="10" fillId="0" borderId="0" xfId="0" applyFont="1" applyFill="1" applyAlignment="1">
      <alignment horizontal="right" vertical="top"/>
    </xf>
    <xf numFmtId="188" fontId="57" fillId="0" borderId="0" xfId="0" applyNumberFormat="1" applyFont="1" applyFill="1" applyAlignment="1">
      <alignment horizontal="right"/>
    </xf>
    <xf numFmtId="0" fontId="76" fillId="0" borderId="0" xfId="0" applyFont="1" applyFill="1" applyAlignment="1">
      <alignment horizontal="left" wrapText="1"/>
    </xf>
    <xf numFmtId="0" fontId="13" fillId="0" borderId="0" xfId="0" applyFont="1" applyFill="1" applyAlignment="1">
      <alignment vertical="top" wrapText="1"/>
    </xf>
    <xf numFmtId="0" fontId="10" fillId="0" borderId="0" xfId="0" applyFont="1" applyFill="1" applyAlignment="1">
      <alignment vertical="top"/>
    </xf>
    <xf numFmtId="0" fontId="57" fillId="0" borderId="0" xfId="0" applyFont="1" applyFill="1" applyAlignment="1">
      <alignment horizontal="left" wrapText="1" indent="2"/>
    </xf>
    <xf numFmtId="0" fontId="57" fillId="0" borderId="0" xfId="0" applyFont="1" applyAlignment="1">
      <alignment horizontal="left" wrapText="1" indent="2"/>
    </xf>
    <xf numFmtId="0" fontId="13" fillId="0" borderId="0" xfId="0" applyFont="1" applyFill="1" applyAlignment="1">
      <alignment horizontal="left" vertical="top"/>
    </xf>
    <xf numFmtId="189" fontId="13" fillId="0" borderId="0" xfId="0" applyNumberFormat="1" applyFont="1" applyFill="1" applyAlignment="1">
      <alignment horizontal="right" vertical="top"/>
    </xf>
    <xf numFmtId="190" fontId="13" fillId="0" borderId="0" xfId="0" applyNumberFormat="1" applyFont="1" applyFill="1" applyAlignment="1">
      <alignment horizontal="right" vertical="top"/>
    </xf>
    <xf numFmtId="0" fontId="57" fillId="0" borderId="0" xfId="0" applyFont="1" applyFill="1" applyAlignment="1">
      <alignment horizontal="left" wrapText="1" indent="6"/>
    </xf>
    <xf numFmtId="0" fontId="57" fillId="0" borderId="0" xfId="0" applyFont="1" applyAlignment="1">
      <alignment horizontal="left" wrapText="1" indent="6"/>
    </xf>
    <xf numFmtId="0" fontId="0" fillId="4" borderId="0" xfId="0" applyFill="1"/>
    <xf numFmtId="9" fontId="0" fillId="0" borderId="0" xfId="6" applyFont="1" applyProtection="1"/>
    <xf numFmtId="179" fontId="0" fillId="0" borderId="17" xfId="0" applyNumberFormat="1" applyFont="1" applyFill="1" applyBorder="1" applyAlignment="1" applyProtection="1">
      <alignment horizontal="center" vertical="center"/>
    </xf>
    <xf numFmtId="179" fontId="0" fillId="0" borderId="20" xfId="0" applyNumberFormat="1" applyFont="1" applyFill="1" applyBorder="1" applyAlignment="1" applyProtection="1">
      <alignment horizontal="center" vertical="center"/>
    </xf>
    <xf numFmtId="179" fontId="0" fillId="0" borderId="0" xfId="0" applyNumberFormat="1" applyFont="1" applyFill="1" applyAlignment="1" applyProtection="1">
      <alignment horizontal="center" vertical="center"/>
    </xf>
    <xf numFmtId="0" fontId="55" fillId="0" borderId="0" xfId="0" applyFont="1" applyFill="1" applyAlignment="1">
      <alignment horizontal="left" wrapText="1"/>
    </xf>
    <xf numFmtId="4" fontId="57" fillId="0" borderId="0" xfId="0" applyNumberFormat="1" applyFont="1" applyFill="1" applyAlignment="1">
      <alignment horizontal="right"/>
    </xf>
    <xf numFmtId="193" fontId="57" fillId="0" borderId="0" xfId="0" applyNumberFormat="1" applyFont="1" applyFill="1" applyAlignment="1">
      <alignment horizontal="right"/>
    </xf>
    <xf numFmtId="194" fontId="0" fillId="0" borderId="0" xfId="1" applyNumberFormat="1" applyFont="1" applyBorder="1"/>
    <xf numFmtId="195" fontId="34" fillId="0" borderId="0" xfId="6" applyNumberFormat="1" applyFont="1" applyAlignment="1" applyProtection="1">
      <alignment horizontal="right" vertical="center"/>
    </xf>
    <xf numFmtId="0" fontId="9" fillId="0" borderId="0" xfId="0" applyFont="1" applyProtection="1"/>
    <xf numFmtId="0" fontId="7" fillId="12" borderId="0" xfId="0" applyFont="1" applyFill="1" applyAlignment="1" applyProtection="1">
      <alignment horizontal="left" wrapText="1"/>
    </xf>
    <xf numFmtId="0" fontId="7" fillId="0" borderId="0" xfId="0" applyFont="1" applyAlignment="1" applyProtection="1">
      <alignment horizontal="center" wrapText="1"/>
    </xf>
    <xf numFmtId="0" fontId="13" fillId="0" borderId="0" xfId="0" applyFont="1" applyAlignment="1" applyProtection="1">
      <alignment horizontal="center"/>
    </xf>
    <xf numFmtId="0" fontId="0" fillId="0" borderId="0" xfId="0" applyFont="1" applyAlignment="1" applyProtection="1">
      <alignment horizontal="center"/>
    </xf>
    <xf numFmtId="0" fontId="0" fillId="0" borderId="0" xfId="0" applyAlignment="1" applyProtection="1">
      <alignment wrapText="1"/>
    </xf>
    <xf numFmtId="3" fontId="0" fillId="5" borderId="67" xfId="0" applyNumberFormat="1" applyFill="1" applyBorder="1" applyProtection="1">
      <protection locked="0"/>
    </xf>
    <xf numFmtId="3" fontId="0" fillId="5" borderId="68" xfId="0" applyNumberFormat="1" applyFill="1" applyBorder="1" applyProtection="1">
      <protection locked="0"/>
    </xf>
    <xf numFmtId="2" fontId="0" fillId="5" borderId="68" xfId="0" applyNumberFormat="1" applyFill="1" applyBorder="1" applyProtection="1">
      <protection locked="0"/>
    </xf>
    <xf numFmtId="181" fontId="0" fillId="5" borderId="68" xfId="0" applyNumberFormat="1" applyFill="1" applyBorder="1" applyProtection="1">
      <protection locked="0"/>
    </xf>
    <xf numFmtId="181" fontId="0" fillId="5" borderId="69" xfId="0" applyNumberFormat="1" applyFill="1" applyBorder="1" applyProtection="1">
      <protection locked="0"/>
    </xf>
    <xf numFmtId="174" fontId="0" fillId="0" borderId="0" xfId="6" applyNumberFormat="1" applyFont="1" applyAlignment="1" applyProtection="1">
      <alignment horizontal="center"/>
    </xf>
    <xf numFmtId="3" fontId="0" fillId="5" borderId="70" xfId="0" applyNumberFormat="1" applyFill="1" applyBorder="1" applyProtection="1">
      <protection locked="0"/>
    </xf>
    <xf numFmtId="3" fontId="0" fillId="5" borderId="71" xfId="0" applyNumberFormat="1" applyFill="1" applyBorder="1" applyProtection="1">
      <protection locked="0"/>
    </xf>
    <xf numFmtId="2" fontId="0" fillId="5" borderId="71" xfId="0" applyNumberFormat="1" applyFill="1" applyBorder="1" applyProtection="1">
      <protection locked="0"/>
    </xf>
    <xf numFmtId="181" fontId="0" fillId="5" borderId="71" xfId="0" applyNumberFormat="1" applyFill="1" applyBorder="1" applyProtection="1">
      <protection locked="0"/>
    </xf>
    <xf numFmtId="181" fontId="0" fillId="5" borderId="72" xfId="0" applyNumberFormat="1" applyFill="1" applyBorder="1" applyProtection="1">
      <protection locked="0"/>
    </xf>
    <xf numFmtId="0" fontId="0" fillId="0" borderId="14" xfId="0" applyBorder="1" applyAlignment="1" applyProtection="1">
      <alignment wrapText="1"/>
    </xf>
    <xf numFmtId="0" fontId="0" fillId="0" borderId="14" xfId="0" applyBorder="1" applyProtection="1"/>
    <xf numFmtId="3" fontId="0" fillId="5" borderId="73" xfId="0" applyNumberFormat="1" applyFill="1" applyBorder="1" applyProtection="1">
      <protection locked="0"/>
    </xf>
    <xf numFmtId="3" fontId="0" fillId="5" borderId="74" xfId="0" applyNumberFormat="1" applyFill="1" applyBorder="1" applyProtection="1">
      <protection locked="0"/>
    </xf>
    <xf numFmtId="2" fontId="0" fillId="5" borderId="74" xfId="0" applyNumberFormat="1" applyFill="1" applyBorder="1" applyProtection="1">
      <protection locked="0"/>
    </xf>
    <xf numFmtId="181" fontId="0" fillId="5" borderId="74" xfId="0" applyNumberFormat="1" applyFill="1" applyBorder="1" applyProtection="1">
      <protection locked="0"/>
    </xf>
    <xf numFmtId="181" fontId="0" fillId="5" borderId="75" xfId="0" applyNumberFormat="1" applyFill="1" applyBorder="1" applyProtection="1">
      <protection locked="0"/>
    </xf>
    <xf numFmtId="174" fontId="0" fillId="0" borderId="14" xfId="6" applyNumberFormat="1" applyFont="1" applyBorder="1" applyAlignment="1" applyProtection="1">
      <alignment horizontal="center"/>
    </xf>
    <xf numFmtId="3" fontId="0" fillId="0" borderId="0" xfId="0" applyNumberFormat="1" applyAlignment="1" applyProtection="1">
      <alignment horizontal="right"/>
    </xf>
    <xf numFmtId="0" fontId="58" fillId="0" borderId="0" xfId="0" applyFont="1" applyAlignment="1" applyProtection="1">
      <alignment horizontal="left" vertical="center" wrapText="1"/>
    </xf>
    <xf numFmtId="180" fontId="0" fillId="0" borderId="0" xfId="0" applyNumberFormat="1" applyAlignment="1" applyProtection="1">
      <alignment horizontal="center"/>
    </xf>
    <xf numFmtId="196" fontId="0" fillId="0" borderId="0" xfId="0" applyNumberFormat="1" applyAlignment="1" applyProtection="1">
      <alignment horizontal="center"/>
    </xf>
    <xf numFmtId="184" fontId="0" fillId="0" borderId="0" xfId="0" applyNumberFormat="1" applyAlignment="1" applyProtection="1">
      <alignment horizontal="center"/>
    </xf>
    <xf numFmtId="180" fontId="0" fillId="0" borderId="14" xfId="0" applyNumberFormat="1" applyBorder="1" applyAlignment="1" applyProtection="1">
      <alignment horizontal="center"/>
    </xf>
    <xf numFmtId="184" fontId="0" fillId="0" borderId="14" xfId="0" applyNumberFormat="1" applyBorder="1" applyAlignment="1" applyProtection="1">
      <alignment horizontal="center"/>
    </xf>
    <xf numFmtId="6" fontId="0" fillId="0" borderId="0" xfId="0" applyNumberFormat="1" applyAlignment="1" applyProtection="1">
      <alignment horizontal="center"/>
    </xf>
    <xf numFmtId="0" fontId="20" fillId="0" borderId="0" xfId="0" applyFont="1" applyAlignment="1" applyProtection="1">
      <alignment horizontal="left" vertical="top" wrapText="1"/>
    </xf>
    <xf numFmtId="0" fontId="7" fillId="20" borderId="0" xfId="16" applyFont="1" applyFill="1" applyAlignment="1" applyProtection="1">
      <alignment horizontal="center" wrapText="1"/>
    </xf>
    <xf numFmtId="186" fontId="9" fillId="12" borderId="0" xfId="18" applyNumberFormat="1" applyFont="1" applyFill="1" applyProtection="1">
      <protection locked="0"/>
    </xf>
    <xf numFmtId="186" fontId="70" fillId="12" borderId="0" xfId="0" applyNumberFormat="1" applyFont="1" applyFill="1" applyProtection="1">
      <protection locked="0"/>
    </xf>
    <xf numFmtId="194" fontId="0" fillId="0" borderId="0" xfId="0" applyNumberFormat="1"/>
    <xf numFmtId="181" fontId="0" fillId="0" borderId="0" xfId="0" applyNumberFormat="1"/>
    <xf numFmtId="10" fontId="0" fillId="0" borderId="0" xfId="6" applyNumberFormat="1" applyFont="1"/>
    <xf numFmtId="0" fontId="2" fillId="0" borderId="0" xfId="0" applyFont="1" applyAlignment="1">
      <alignment horizontal="right"/>
    </xf>
    <xf numFmtId="10" fontId="0" fillId="0" borderId="0" xfId="6" applyNumberFormat="1" applyFont="1" applyProtection="1"/>
    <xf numFmtId="3" fontId="0" fillId="0" borderId="0" xfId="0" applyNumberFormat="1" applyProtection="1"/>
    <xf numFmtId="0" fontId="0" fillId="0" borderId="0" xfId="0" applyAlignment="1" applyProtection="1">
      <alignment horizontal="left" vertical="top" wrapText="1"/>
    </xf>
    <xf numFmtId="0" fontId="15" fillId="0" borderId="0" xfId="0" applyFont="1" applyAlignment="1" applyProtection="1">
      <alignment horizontal="left" vertical="top" wrapText="1"/>
    </xf>
    <xf numFmtId="166" fontId="1" fillId="0" borderId="41" xfId="1" applyNumberFormat="1" applyFont="1" applyBorder="1" applyAlignment="1">
      <alignment horizontal="center"/>
    </xf>
    <xf numFmtId="169" fontId="0" fillId="5" borderId="40" xfId="0" applyNumberFormat="1" applyFill="1" applyBorder="1" applyAlignment="1" applyProtection="1">
      <alignment horizontal="center" vertical="center"/>
      <protection locked="0"/>
    </xf>
    <xf numFmtId="165" fontId="24" fillId="21" borderId="0" xfId="1" quotePrefix="1" applyNumberFormat="1" applyFont="1" applyFill="1" applyBorder="1" applyAlignment="1">
      <alignment horizontal="center" wrapText="1"/>
    </xf>
    <xf numFmtId="0" fontId="7" fillId="4" borderId="37" xfId="16" applyFont="1" applyFill="1" applyBorder="1" applyAlignment="1" applyProtection="1">
      <alignment horizontal="center"/>
    </xf>
    <xf numFmtId="0" fontId="7" fillId="3" borderId="37" xfId="16" applyFont="1" applyFill="1" applyBorder="1" applyAlignment="1" applyProtection="1">
      <alignment horizontal="center"/>
      <protection locked="0"/>
    </xf>
    <xf numFmtId="197" fontId="0" fillId="0" borderId="0" xfId="0" applyNumberFormat="1"/>
    <xf numFmtId="0" fontId="2" fillId="0" borderId="0" xfId="0" applyFont="1" applyFill="1" applyAlignment="1">
      <alignment horizontal="center"/>
    </xf>
    <xf numFmtId="177" fontId="2" fillId="0" borderId="0" xfId="0" applyNumberFormat="1" applyFont="1" applyFill="1"/>
    <xf numFmtId="43" fontId="0" fillId="0" borderId="0" xfId="1" applyFont="1" applyFill="1"/>
    <xf numFmtId="0" fontId="57" fillId="0" borderId="0" xfId="0" applyFont="1" applyFill="1" applyAlignment="1">
      <alignment horizontal="left" wrapText="1"/>
    </xf>
    <xf numFmtId="0" fontId="57" fillId="0" borderId="0" xfId="0" applyFont="1" applyAlignment="1">
      <alignment horizontal="left" wrapText="1"/>
    </xf>
    <xf numFmtId="43" fontId="0" fillId="0" borderId="0" xfId="1" applyFont="1" applyProtection="1"/>
    <xf numFmtId="185" fontId="0" fillId="0" borderId="0" xfId="1" applyNumberFormat="1" applyFont="1" applyProtection="1"/>
    <xf numFmtId="43" fontId="0" fillId="0" borderId="0" xfId="0" applyNumberFormat="1" applyProtection="1"/>
    <xf numFmtId="0" fontId="2" fillId="0" borderId="2" xfId="0" applyFont="1" applyBorder="1" applyAlignment="1">
      <alignment horizontal="center"/>
    </xf>
    <xf numFmtId="0" fontId="2" fillId="0" borderId="4" xfId="0" applyFont="1" applyBorder="1" applyAlignment="1">
      <alignment horizontal="center"/>
    </xf>
    <xf numFmtId="0" fontId="7" fillId="0" borderId="16" xfId="2" applyFont="1" applyBorder="1" applyAlignment="1" applyProtection="1">
      <alignment horizontal="center" vertical="center" wrapText="1"/>
    </xf>
    <xf numFmtId="0" fontId="7" fillId="0" borderId="17" xfId="2" applyFont="1" applyBorder="1" applyAlignment="1" applyProtection="1">
      <alignment horizontal="center" vertical="center" wrapText="1"/>
    </xf>
    <xf numFmtId="0" fontId="7" fillId="0" borderId="20" xfId="2" applyFont="1" applyBorder="1" applyAlignment="1" applyProtection="1">
      <alignment horizontal="center" vertical="center" wrapText="1"/>
    </xf>
    <xf numFmtId="0" fontId="2" fillId="0" borderId="3" xfId="0" applyFont="1" applyBorder="1" applyAlignment="1">
      <alignment horizontal="center"/>
    </xf>
    <xf numFmtId="0" fontId="7" fillId="2" borderId="16" xfId="2" applyFont="1" applyFill="1" applyBorder="1" applyAlignment="1" applyProtection="1">
      <alignment horizontal="center" vertical="center" wrapText="1"/>
    </xf>
    <xf numFmtId="0" fontId="7" fillId="2" borderId="17" xfId="2" applyFont="1" applyFill="1" applyBorder="1" applyAlignment="1" applyProtection="1">
      <alignment horizontal="center" vertical="center" wrapText="1"/>
    </xf>
    <xf numFmtId="0" fontId="7" fillId="2" borderId="20" xfId="2" applyFont="1" applyFill="1" applyBorder="1" applyAlignment="1" applyProtection="1">
      <alignment horizontal="center" vertical="center" wrapText="1"/>
    </xf>
    <xf numFmtId="0" fontId="9" fillId="0" borderId="2" xfId="2" applyFont="1" applyFill="1" applyBorder="1" applyAlignment="1" applyProtection="1">
      <alignment horizontal="center" vertical="center"/>
    </xf>
    <xf numFmtId="0" fontId="9" fillId="0" borderId="3"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7" fillId="0" borderId="16" xfId="2" applyFont="1" applyBorder="1" applyAlignment="1" applyProtection="1">
      <alignment horizontal="left" vertical="center"/>
    </xf>
    <xf numFmtId="0" fontId="7" fillId="0" borderId="17" xfId="2" applyFont="1" applyBorder="1" applyAlignment="1" applyProtection="1">
      <alignment horizontal="left" vertical="center"/>
    </xf>
    <xf numFmtId="0" fontId="7" fillId="0" borderId="20" xfId="2" applyFont="1" applyBorder="1" applyAlignment="1" applyProtection="1">
      <alignment horizontal="left" vertical="center"/>
    </xf>
    <xf numFmtId="172" fontId="0" fillId="8" borderId="0" xfId="0" applyNumberFormat="1" applyFill="1" applyAlignment="1" applyProtection="1"/>
    <xf numFmtId="172" fontId="0" fillId="8" borderId="31" xfId="0" applyNumberFormat="1" applyFill="1" applyBorder="1" applyAlignment="1" applyProtection="1"/>
    <xf numFmtId="173" fontId="0" fillId="8" borderId="34" xfId="0" applyNumberFormat="1" applyFill="1" applyBorder="1" applyAlignment="1" applyProtection="1"/>
    <xf numFmtId="0" fontId="15" fillId="0" borderId="0" xfId="0" applyFont="1" applyAlignment="1" applyProtection="1">
      <alignment horizontal="left" vertical="top" wrapText="1"/>
    </xf>
    <xf numFmtId="0" fontId="0" fillId="0" borderId="0" xfId="0" applyAlignment="1" applyProtection="1">
      <alignment horizontal="left" vertical="top" wrapText="1"/>
    </xf>
    <xf numFmtId="10" fontId="7" fillId="4" borderId="25" xfId="3" applyNumberFormat="1" applyFont="1" applyFill="1" applyBorder="1" applyAlignment="1" applyProtection="1">
      <alignment horizontal="center" vertical="center" wrapText="1"/>
    </xf>
    <xf numFmtId="10" fontId="7" fillId="4" borderId="28" xfId="3" applyNumberFormat="1" applyFont="1" applyFill="1" applyBorder="1" applyAlignment="1" applyProtection="1">
      <alignment horizontal="center" vertical="center" wrapText="1"/>
    </xf>
    <xf numFmtId="169" fontId="7" fillId="4" borderId="25" xfId="3" applyNumberFormat="1" applyFont="1" applyFill="1" applyBorder="1" applyAlignment="1" applyProtection="1">
      <alignment horizontal="center" vertical="center" wrapText="1"/>
    </xf>
    <xf numFmtId="169" fontId="7" fillId="4" borderId="28" xfId="3" applyNumberFormat="1" applyFont="1" applyFill="1" applyBorder="1" applyAlignment="1" applyProtection="1">
      <alignment horizontal="center" vertical="center" wrapText="1"/>
    </xf>
    <xf numFmtId="0" fontId="7" fillId="4" borderId="26" xfId="3" applyNumberFormat="1" applyFont="1" applyFill="1" applyBorder="1" applyAlignment="1" applyProtection="1">
      <alignment horizontal="center" vertical="center" wrapText="1"/>
    </xf>
    <xf numFmtId="0" fontId="7" fillId="4" borderId="29" xfId="3" applyNumberFormat="1" applyFont="1" applyFill="1" applyBorder="1" applyAlignment="1" applyProtection="1">
      <alignment horizontal="center" vertical="center" wrapText="1"/>
    </xf>
    <xf numFmtId="0" fontId="7" fillId="4" borderId="25" xfId="3" applyNumberFormat="1" applyFont="1" applyFill="1" applyBorder="1" applyAlignment="1" applyProtection="1">
      <alignment horizontal="center" vertical="center" wrapText="1"/>
    </xf>
    <xf numFmtId="0" fontId="7" fillId="4" borderId="40" xfId="3" applyNumberFormat="1" applyFont="1" applyFill="1" applyBorder="1" applyAlignment="1" applyProtection="1">
      <alignment horizontal="center" vertical="center" wrapText="1"/>
    </xf>
    <xf numFmtId="0" fontId="7" fillId="0" borderId="0" xfId="4" applyFont="1" applyBorder="1" applyAlignment="1" applyProtection="1">
      <alignment horizontal="right" vertical="center" wrapText="1"/>
    </xf>
    <xf numFmtId="0" fontId="7" fillId="0" borderId="36" xfId="4" applyFont="1" applyBorder="1" applyAlignment="1" applyProtection="1">
      <alignment horizontal="right" vertical="center" wrapText="1"/>
    </xf>
    <xf numFmtId="0" fontId="7" fillId="0" borderId="0" xfId="4" applyFont="1" applyBorder="1" applyAlignment="1" applyProtection="1">
      <alignment horizontal="center" vertical="center" wrapText="1"/>
    </xf>
    <xf numFmtId="0" fontId="7" fillId="0" borderId="36" xfId="4" applyFont="1" applyBorder="1" applyAlignment="1" applyProtection="1">
      <alignment horizontal="center" vertical="center" wrapText="1"/>
    </xf>
    <xf numFmtId="10" fontId="25" fillId="0" borderId="42" xfId="3" applyNumberFormat="1" applyFont="1" applyFill="1" applyBorder="1" applyAlignment="1" applyProtection="1">
      <alignment horizontal="center" vertical="center" wrapText="1"/>
    </xf>
    <xf numFmtId="10" fontId="25" fillId="0" borderId="43" xfId="3" applyNumberFormat="1" applyFont="1" applyFill="1" applyBorder="1" applyAlignment="1" applyProtection="1">
      <alignment horizontal="center" vertical="center" wrapText="1"/>
    </xf>
    <xf numFmtId="0" fontId="7" fillId="0" borderId="27" xfId="16" applyFont="1" applyFill="1" applyBorder="1" applyAlignment="1" applyProtection="1">
      <alignment horizontal="center" vertical="center" wrapText="1"/>
    </xf>
    <xf numFmtId="0" fontId="7" fillId="20" borderId="0" xfId="16" applyFont="1" applyFill="1" applyAlignment="1" applyProtection="1">
      <alignment horizontal="center" wrapText="1"/>
    </xf>
    <xf numFmtId="0" fontId="20" fillId="0" borderId="0" xfId="0" applyFont="1" applyAlignment="1" applyProtection="1">
      <alignment horizontal="left" vertical="top" wrapText="1"/>
    </xf>
    <xf numFmtId="0" fontId="7" fillId="0" borderId="0" xfId="16" applyFont="1" applyFill="1" applyAlignment="1" applyProtection="1">
      <alignment horizontal="center" wrapText="1"/>
    </xf>
    <xf numFmtId="0" fontId="7" fillId="0" borderId="27" xfId="16" applyFont="1" applyFill="1" applyBorder="1" applyAlignment="1" applyProtection="1">
      <alignment horizontal="right" wrapText="1"/>
    </xf>
    <xf numFmtId="0" fontId="7" fillId="0" borderId="0" xfId="16" applyFont="1" applyFill="1" applyAlignment="1" applyProtection="1">
      <alignment horizontal="right" wrapText="1"/>
    </xf>
    <xf numFmtId="0" fontId="7" fillId="0" borderId="0" xfId="16" applyFont="1" applyBorder="1" applyAlignment="1" applyProtection="1">
      <alignment horizontal="right" vertical="top" indent="2"/>
    </xf>
    <xf numFmtId="0" fontId="2" fillId="18" borderId="42" xfId="0" applyFont="1" applyFill="1" applyBorder="1" applyAlignment="1">
      <alignment horizontal="center"/>
    </xf>
    <xf numFmtId="0" fontId="2" fillId="18" borderId="1" xfId="0" applyFont="1" applyFill="1" applyBorder="1" applyAlignment="1">
      <alignment horizontal="center"/>
    </xf>
    <xf numFmtId="0" fontId="2" fillId="18" borderId="43" xfId="0" applyFont="1" applyFill="1" applyBorder="1" applyAlignment="1">
      <alignment horizontal="center"/>
    </xf>
    <xf numFmtId="0" fontId="2" fillId="18" borderId="2" xfId="0" applyFont="1" applyFill="1" applyBorder="1" applyAlignment="1">
      <alignment horizontal="center"/>
    </xf>
    <xf numFmtId="0" fontId="2" fillId="18" borderId="3" xfId="0" applyFont="1" applyFill="1" applyBorder="1" applyAlignment="1">
      <alignment horizontal="center"/>
    </xf>
    <xf numFmtId="0" fontId="2" fillId="18" borderId="4" xfId="0" applyFont="1" applyFill="1" applyBorder="1" applyAlignment="1">
      <alignment horizontal="center"/>
    </xf>
    <xf numFmtId="0" fontId="33" fillId="13" borderId="0" xfId="0" applyFont="1" applyFill="1" applyAlignment="1" applyProtection="1">
      <alignment horizontal="left" vertical="top" wrapText="1"/>
    </xf>
    <xf numFmtId="0" fontId="34" fillId="0" borderId="0" xfId="0" applyFont="1" applyAlignment="1" applyProtection="1">
      <alignment horizontal="left" vertical="top" wrapText="1"/>
    </xf>
    <xf numFmtId="0" fontId="7" fillId="0" borderId="0" xfId="2" applyFont="1" applyAlignment="1">
      <alignment horizontal="left" vertical="center" wrapText="1"/>
    </xf>
    <xf numFmtId="0" fontId="48" fillId="14" borderId="0" xfId="2" applyFont="1" applyFill="1" applyAlignment="1" applyProtection="1">
      <alignment horizontal="center" vertical="center"/>
    </xf>
    <xf numFmtId="0" fontId="9" fillId="12" borderId="0" xfId="2" applyFont="1" applyFill="1" applyBorder="1" applyAlignment="1" applyProtection="1">
      <alignment horizontal="center" wrapText="1"/>
    </xf>
    <xf numFmtId="0" fontId="7" fillId="0" borderId="0" xfId="2" applyFont="1" applyAlignment="1" applyProtection="1">
      <alignment horizontal="left" vertical="top" wrapText="1"/>
    </xf>
    <xf numFmtId="0" fontId="52" fillId="0" borderId="0" xfId="2" applyFont="1" applyAlignment="1">
      <alignment horizontal="left" vertical="top" wrapText="1"/>
    </xf>
    <xf numFmtId="0" fontId="30" fillId="0" borderId="0" xfId="2" applyFont="1" applyAlignment="1" applyProtection="1">
      <alignment horizontal="left" vertical="center" wrapText="1"/>
    </xf>
    <xf numFmtId="0" fontId="29" fillId="0" borderId="0" xfId="0" applyFont="1" applyAlignment="1" applyProtection="1">
      <alignment horizontal="left" vertical="top" wrapText="1"/>
    </xf>
    <xf numFmtId="0" fontId="75" fillId="9" borderId="0" xfId="0" applyFont="1" applyFill="1" applyAlignment="1" applyProtection="1">
      <alignment horizontal="center" vertical="center" wrapText="1"/>
    </xf>
    <xf numFmtId="0" fontId="55" fillId="0" borderId="0" xfId="0" applyFont="1" applyAlignment="1" applyProtection="1">
      <alignment horizontal="left" vertical="center" wrapText="1"/>
    </xf>
    <xf numFmtId="0" fontId="0" fillId="0" borderId="0" xfId="0" applyAlignment="1" applyProtection="1">
      <alignment horizontal="left" vertical="center" wrapText="1"/>
    </xf>
    <xf numFmtId="0" fontId="55" fillId="0" borderId="0" xfId="0" applyFont="1" applyAlignment="1" applyProtection="1">
      <alignment horizontal="left" vertical="top" wrapText="1"/>
    </xf>
    <xf numFmtId="0" fontId="13" fillId="0" borderId="0" xfId="0" applyFont="1" applyAlignment="1" applyProtection="1">
      <alignment horizontal="left" vertical="top" wrapText="1"/>
    </xf>
    <xf numFmtId="0" fontId="57" fillId="0" borderId="0" xfId="0" applyFont="1" applyFill="1" applyAlignment="1">
      <alignment horizontal="left" wrapText="1"/>
    </xf>
    <xf numFmtId="0" fontId="57" fillId="0" borderId="0" xfId="0" applyFont="1" applyAlignment="1">
      <alignment horizontal="left" wrapText="1"/>
    </xf>
    <xf numFmtId="0" fontId="13" fillId="0" borderId="0" xfId="0" applyFont="1" applyFill="1" applyAlignment="1">
      <alignment horizontal="left" wrapText="1"/>
    </xf>
    <xf numFmtId="0" fontId="55" fillId="0" borderId="0" xfId="0" applyFont="1" applyFill="1" applyAlignment="1">
      <alignment horizontal="left" vertical="top" wrapText="1"/>
    </xf>
    <xf numFmtId="0" fontId="55" fillId="0" borderId="0" xfId="0" applyFont="1" applyAlignment="1">
      <alignment horizontal="left" vertical="top"/>
    </xf>
    <xf numFmtId="0" fontId="55" fillId="0" borderId="0" xfId="0" applyFont="1" applyAlignment="1">
      <alignment horizontal="left" wrapText="1"/>
    </xf>
    <xf numFmtId="0" fontId="55" fillId="0" borderId="0" xfId="0" applyFont="1" applyAlignment="1">
      <alignment horizontal="left" vertical="top" wrapText="1"/>
    </xf>
    <xf numFmtId="0" fontId="13" fillId="0" borderId="0" xfId="0" applyFont="1" applyFill="1" applyAlignment="1">
      <alignment horizontal="left" vertical="top" wrapText="1"/>
    </xf>
    <xf numFmtId="0" fontId="23" fillId="0" borderId="0" xfId="0" applyFont="1" applyFill="1" applyAlignment="1">
      <alignment horizontal="left" vertical="top" wrapText="1"/>
    </xf>
    <xf numFmtId="0" fontId="57" fillId="0" borderId="0" xfId="0" applyFont="1" applyFill="1" applyAlignment="1">
      <alignment horizontal="left" wrapText="1" indent="2"/>
    </xf>
    <xf numFmtId="0" fontId="57" fillId="0" borderId="0" xfId="0" applyFont="1" applyAlignment="1">
      <alignment horizontal="left" wrapText="1" indent="2"/>
    </xf>
    <xf numFmtId="0" fontId="0" fillId="0" borderId="0" xfId="0" applyAlignment="1">
      <alignment horizontal="left" wrapText="1"/>
    </xf>
    <xf numFmtId="0" fontId="61" fillId="0" borderId="0" xfId="0" applyFont="1" applyFill="1" applyAlignment="1">
      <alignment horizontal="center" vertical="top" wrapText="1"/>
    </xf>
    <xf numFmtId="0" fontId="61" fillId="0" borderId="0" xfId="0" applyFont="1" applyAlignment="1">
      <alignment horizontal="center" vertical="top"/>
    </xf>
    <xf numFmtId="0" fontId="23" fillId="0" borderId="0" xfId="0" applyFont="1" applyFill="1" applyAlignment="1">
      <alignment horizontal="center" vertical="top" wrapText="1"/>
    </xf>
    <xf numFmtId="0" fontId="23" fillId="0" borderId="0" xfId="0" applyFont="1" applyAlignment="1">
      <alignment horizontal="center" vertical="top"/>
    </xf>
    <xf numFmtId="0" fontId="29" fillId="0" borderId="0" xfId="0" applyFont="1" applyFill="1" applyAlignment="1">
      <alignment horizontal="center" vertical="top" wrapText="1"/>
    </xf>
    <xf numFmtId="0" fontId="29" fillId="0" borderId="0" xfId="0" applyFont="1" applyAlignment="1">
      <alignment horizontal="center" vertical="top"/>
    </xf>
    <xf numFmtId="0" fontId="58" fillId="0" borderId="0" xfId="0" applyFont="1" applyFill="1" applyAlignment="1">
      <alignment horizontal="center" vertical="top" wrapText="1"/>
    </xf>
    <xf numFmtId="0" fontId="58" fillId="0" borderId="0" xfId="0" applyFont="1" applyAlignment="1">
      <alignment horizontal="center" vertical="top"/>
    </xf>
    <xf numFmtId="0" fontId="41" fillId="0" borderId="0" xfId="0" applyFont="1" applyFill="1" applyAlignment="1">
      <alignment horizontal="right" vertical="top" wrapText="1"/>
    </xf>
    <xf numFmtId="0" fontId="41" fillId="0" borderId="0" xfId="0" applyFont="1" applyAlignment="1">
      <alignment horizontal="right" vertical="top"/>
    </xf>
    <xf numFmtId="0" fontId="76" fillId="0" borderId="0" xfId="0" applyFont="1" applyFill="1" applyAlignment="1">
      <alignment horizontal="left" vertical="top" wrapText="1"/>
    </xf>
    <xf numFmtId="0" fontId="55" fillId="0" borderId="0" xfId="0" applyFont="1" applyFill="1" applyAlignment="1">
      <alignment horizontal="left" vertical="top"/>
    </xf>
    <xf numFmtId="0" fontId="57" fillId="0" borderId="0" xfId="0" applyFont="1" applyFill="1" applyAlignment="1">
      <alignment horizontal="left" vertical="top" wrapText="1"/>
    </xf>
    <xf numFmtId="0" fontId="0" fillId="0" borderId="0" xfId="0" applyFill="1" applyAlignment="1">
      <alignment horizontal="left" wrapText="1"/>
    </xf>
    <xf numFmtId="0" fontId="57" fillId="0" borderId="0" xfId="0" applyFont="1" applyFill="1" applyAlignment="1">
      <alignment horizontal="left" wrapText="1" indent="6"/>
    </xf>
    <xf numFmtId="0" fontId="57" fillId="0" borderId="0" xfId="0" applyFont="1" applyAlignment="1">
      <alignment horizontal="left" wrapText="1" indent="6"/>
    </xf>
    <xf numFmtId="0" fontId="57" fillId="0" borderId="0" xfId="0" applyFont="1" applyAlignment="1">
      <alignment horizontal="left" vertical="top"/>
    </xf>
    <xf numFmtId="0" fontId="7" fillId="16" borderId="0" xfId="2" applyFont="1" applyFill="1" applyAlignment="1" applyProtection="1">
      <alignment horizontal="left" vertical="top" wrapText="1"/>
    </xf>
    <xf numFmtId="0" fontId="63" fillId="12" borderId="0" xfId="2" applyFont="1" applyFill="1" applyBorder="1" applyAlignment="1" applyProtection="1">
      <alignment horizontal="left" indent="7"/>
      <protection locked="0"/>
    </xf>
    <xf numFmtId="0" fontId="32" fillId="0" borderId="0" xfId="2" applyFont="1" applyAlignment="1" applyProtection="1">
      <alignment horizontal="center"/>
      <protection locked="0"/>
    </xf>
    <xf numFmtId="0" fontId="7" fillId="10" borderId="0" xfId="2" applyFont="1" applyFill="1" applyAlignment="1" applyProtection="1">
      <alignment horizontal="left" vertical="center"/>
      <protection locked="0"/>
    </xf>
    <xf numFmtId="0" fontId="14" fillId="4" borderId="0" xfId="2" applyFont="1" applyFill="1" applyAlignment="1" applyProtection="1">
      <alignment horizontal="left" vertical="top"/>
    </xf>
    <xf numFmtId="0" fontId="7" fillId="0" borderId="42" xfId="2" applyFont="1" applyBorder="1" applyAlignment="1" applyProtection="1">
      <alignment horizontal="center"/>
    </xf>
    <xf numFmtId="0" fontId="7" fillId="0" borderId="1" xfId="2" applyFont="1" applyBorder="1" applyAlignment="1" applyProtection="1">
      <alignment horizontal="center"/>
    </xf>
    <xf numFmtId="0" fontId="7" fillId="0" borderId="43" xfId="2" applyFont="1" applyBorder="1" applyAlignment="1" applyProtection="1">
      <alignment horizontal="center"/>
    </xf>
    <xf numFmtId="0" fontId="7" fillId="0" borderId="0" xfId="2" applyFont="1" applyAlignment="1" applyProtection="1">
      <alignment horizontal="center" wrapText="1"/>
    </xf>
    <xf numFmtId="0" fontId="6" fillId="0" borderId="0" xfId="2" applyAlignment="1" applyProtection="1">
      <alignment horizontal="center" wrapText="1"/>
    </xf>
    <xf numFmtId="0" fontId="7" fillId="0" borderId="54" xfId="2" applyFont="1" applyFill="1" applyBorder="1" applyAlignment="1" applyProtection="1">
      <alignment horizontal="center" wrapText="1"/>
    </xf>
    <xf numFmtId="0" fontId="6" fillId="0" borderId="55" xfId="2" applyBorder="1" applyAlignment="1" applyProtection="1">
      <alignment wrapText="1"/>
    </xf>
    <xf numFmtId="0" fontId="7" fillId="0" borderId="52" xfId="2" applyFont="1" applyFill="1" applyBorder="1" applyAlignment="1" applyProtection="1">
      <alignment horizontal="center" wrapText="1"/>
    </xf>
    <xf numFmtId="0" fontId="6" fillId="0" borderId="56" xfId="2" applyBorder="1" applyAlignment="1" applyProtection="1">
      <alignment wrapText="1"/>
    </xf>
    <xf numFmtId="0" fontId="6" fillId="0" borderId="36" xfId="2" applyBorder="1" applyAlignment="1" applyProtection="1">
      <alignment horizontal="left" vertical="center" wrapText="1"/>
    </xf>
    <xf numFmtId="0" fontId="66" fillId="0" borderId="0" xfId="2" applyFont="1" applyAlignment="1" applyProtection="1">
      <alignment horizontal="left" vertical="top" wrapText="1" indent="1"/>
    </xf>
  </cellXfs>
  <cellStyles count="23">
    <cellStyle name="Comma" xfId="1" builtinId="3"/>
    <cellStyle name="Comma 10 2" xfId="13"/>
    <cellStyle name="Comma 2 2" xfId="8"/>
    <cellStyle name="Comma 28" xfId="9"/>
    <cellStyle name="Comma 4" xfId="19"/>
    <cellStyle name="Currency" xfId="5" builtinId="4"/>
    <cellStyle name="Currency 10 4" xfId="11"/>
    <cellStyle name="Currency 15" xfId="10"/>
    <cellStyle name="Currency 2" xfId="18"/>
    <cellStyle name="Currency 3 3" xfId="15"/>
    <cellStyle name="Normal" xfId="0" builtinId="0"/>
    <cellStyle name="Normal 17" xfId="12"/>
    <cellStyle name="Normal 19" xfId="14"/>
    <cellStyle name="Normal 2" xfId="2"/>
    <cellStyle name="Normal 20" xfId="7"/>
    <cellStyle name="Normal_14. Bill Impacts" xfId="21"/>
    <cellStyle name="Normal_6. Cost Allocation for Def-Var" xfId="3"/>
    <cellStyle name="Normal_9. Rev2Cost_GDPIPI" xfId="20"/>
    <cellStyle name="Normal_Core Model Version 0.1" xfId="17"/>
    <cellStyle name="Normal_Sheet6" xfId="4"/>
    <cellStyle name="Normal_Sheet7" xfId="16"/>
    <cellStyle name="Percent" xfId="6" builtinId="5"/>
    <cellStyle name="Percent 2" xfId="2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1276349</xdr:colOff>
      <xdr:row>10</xdr:row>
      <xdr:rowOff>114300</xdr:rowOff>
    </xdr:to>
    <xdr:grpSp>
      <xdr:nvGrpSpPr>
        <xdr:cNvPr id="2" name="Group 1"/>
        <xdr:cNvGrpSpPr/>
      </xdr:nvGrpSpPr>
      <xdr:grpSpPr>
        <a:xfrm>
          <a:off x="0" y="0"/>
          <a:ext cx="8867774" cy="2019300"/>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3]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6</xdr:col>
      <xdr:colOff>529395</xdr:colOff>
      <xdr:row>10</xdr:row>
      <xdr:rowOff>39341</xdr:rowOff>
    </xdr:to>
    <xdr:grpSp>
      <xdr:nvGrpSpPr>
        <xdr:cNvPr id="2" name="Group 1"/>
        <xdr:cNvGrpSpPr/>
      </xdr:nvGrpSpPr>
      <xdr:grpSpPr>
        <a:xfrm>
          <a:off x="0" y="19050"/>
          <a:ext cx="9701970" cy="1925291"/>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0</xdr:colOff>
      <xdr:row>0</xdr:row>
      <xdr:rowOff>19050</xdr:rowOff>
    </xdr:from>
    <xdr:to>
      <xdr:col>6</xdr:col>
      <xdr:colOff>529395</xdr:colOff>
      <xdr:row>10</xdr:row>
      <xdr:rowOff>39341</xdr:rowOff>
    </xdr:to>
    <xdr:grpSp>
      <xdr:nvGrpSpPr>
        <xdr:cNvPr id="8" name="Group 7"/>
        <xdr:cNvGrpSpPr/>
      </xdr:nvGrpSpPr>
      <xdr:grpSpPr>
        <a:xfrm>
          <a:off x="0" y="19050"/>
          <a:ext cx="9701970" cy="1925291"/>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2]1. Information Sheet'!AA1" fLocksText="0">
        <xdr:nvSpPr>
          <xdr:cNvPr id="10" name="TextBox 9"/>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485776</xdr:colOff>
      <xdr:row>10</xdr:row>
      <xdr:rowOff>409575</xdr:rowOff>
    </xdr:from>
    <xdr:to>
      <xdr:col>6</xdr:col>
      <xdr:colOff>723901</xdr:colOff>
      <xdr:row>13</xdr:row>
      <xdr:rowOff>0</xdr:rowOff>
    </xdr:to>
    <xdr:sp macro="" textlink="">
      <xdr:nvSpPr>
        <xdr:cNvPr id="14" name="Right Brace 13"/>
        <xdr:cNvSpPr/>
      </xdr:nvSpPr>
      <xdr:spPr>
        <a:xfrm>
          <a:off x="8543926" y="2314575"/>
          <a:ext cx="1352550" cy="1000125"/>
        </a:xfrm>
        <a:prstGeom prst="rightBrace">
          <a:avLst>
            <a:gd name="adj1" fmla="val 1723"/>
            <a:gd name="adj2" fmla="val 43333"/>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CA" sz="1100"/>
        </a:p>
      </xdr:txBody>
    </xdr:sp>
    <xdr:clientData/>
  </xdr:twoCellAnchor>
  <xdr:twoCellAnchor>
    <xdr:from>
      <xdr:col>5</xdr:col>
      <xdr:colOff>485776</xdr:colOff>
      <xdr:row>10</xdr:row>
      <xdr:rowOff>409575</xdr:rowOff>
    </xdr:from>
    <xdr:to>
      <xdr:col>6</xdr:col>
      <xdr:colOff>723901</xdr:colOff>
      <xdr:row>13</xdr:row>
      <xdr:rowOff>0</xdr:rowOff>
    </xdr:to>
    <xdr:sp macro="" textlink="">
      <xdr:nvSpPr>
        <xdr:cNvPr id="15" name="Right Brace 14"/>
        <xdr:cNvSpPr/>
      </xdr:nvSpPr>
      <xdr:spPr>
        <a:xfrm>
          <a:off x="8543926" y="2314575"/>
          <a:ext cx="1352550" cy="1000125"/>
        </a:xfrm>
        <a:prstGeom prst="rightBrace">
          <a:avLst>
            <a:gd name="adj1" fmla="val 1723"/>
            <a:gd name="adj2" fmla="val 43333"/>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CA"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919692</xdr:colOff>
      <xdr:row>6</xdr:row>
      <xdr:rowOff>80616</xdr:rowOff>
    </xdr:to>
    <xdr:grpSp>
      <xdr:nvGrpSpPr>
        <xdr:cNvPr id="8" name="Group 7"/>
        <xdr:cNvGrpSpPr/>
      </xdr:nvGrpSpPr>
      <xdr:grpSpPr>
        <a:xfrm>
          <a:off x="0" y="0"/>
          <a:ext cx="9101667" cy="2033241"/>
          <a:chOff x="200024" y="4499942"/>
          <a:chExt cx="9312502"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9312502" cy="1915766"/>
          </a:xfrm>
          <a:prstGeom prst="rect">
            <a:avLst/>
          </a:prstGeom>
          <a:ln>
            <a:noFill/>
          </a:ln>
          <a:effectLst>
            <a:softEdge rad="112500"/>
          </a:effectLst>
        </xdr:spPr>
      </xdr:pic>
      <xdr:sp macro="" textlink="'[2]1. Information Sheet'!AA1" fLocksText="0">
        <xdr:nvSpPr>
          <xdr:cNvPr id="10" name="TextBox 9"/>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2016 Filers</a:t>
            </a:r>
            <a:endParaRPr lang="en-CA" sz="3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533400</xdr:colOff>
          <xdr:row>0</xdr:row>
          <xdr:rowOff>104775</xdr:rowOff>
        </xdr:from>
        <xdr:to>
          <xdr:col>7</xdr:col>
          <xdr:colOff>590550</xdr:colOff>
          <xdr:row>2</xdr:row>
          <xdr:rowOff>9525</xdr:rowOff>
        </xdr:to>
        <xdr:sp macro="" textlink="">
          <xdr:nvSpPr>
            <xdr:cNvPr id="32769" name="Button 1" hidden="1">
              <a:extLst>
                <a:ext uri="{63B3BB69-23CF-44E3-9099-C40C66FF867C}">
                  <a14:compatExt spid="_x0000_s3276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cs typeface="Calibri"/>
                </a:rPr>
                <a:t>Create Tariff in Separate File</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329370</xdr:colOff>
      <xdr:row>10</xdr:row>
      <xdr:rowOff>163166</xdr:rowOff>
    </xdr:to>
    <xdr:grpSp>
      <xdr:nvGrpSpPr>
        <xdr:cNvPr id="2" name="Group 1"/>
        <xdr:cNvGrpSpPr/>
      </xdr:nvGrpSpPr>
      <xdr:grpSpPr>
        <a:xfrm>
          <a:off x="0" y="0"/>
          <a:ext cx="8901870"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605595</xdr:colOff>
      <xdr:row>10</xdr:row>
      <xdr:rowOff>10766</xdr:rowOff>
    </xdr:to>
    <xdr:grpSp>
      <xdr:nvGrpSpPr>
        <xdr:cNvPr id="2" name="Group 1"/>
        <xdr:cNvGrpSpPr/>
      </xdr:nvGrpSpPr>
      <xdr:grpSpPr>
        <a:xfrm>
          <a:off x="0" y="0"/>
          <a:ext cx="10873545"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333374</xdr:colOff>
      <xdr:row>10</xdr:row>
      <xdr:rowOff>10766</xdr:rowOff>
    </xdr:to>
    <xdr:grpSp>
      <xdr:nvGrpSpPr>
        <xdr:cNvPr id="2" name="Group 1"/>
        <xdr:cNvGrpSpPr/>
      </xdr:nvGrpSpPr>
      <xdr:grpSpPr>
        <a:xfrm>
          <a:off x="0" y="0"/>
          <a:ext cx="8143874"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66675</xdr:colOff>
      <xdr:row>11</xdr:row>
      <xdr:rowOff>133350</xdr:rowOff>
    </xdr:to>
    <xdr:grpSp>
      <xdr:nvGrpSpPr>
        <xdr:cNvPr id="4" name="Group 3"/>
        <xdr:cNvGrpSpPr/>
      </xdr:nvGrpSpPr>
      <xdr:grpSpPr>
        <a:xfrm>
          <a:off x="0" y="0"/>
          <a:ext cx="10182225" cy="1914525"/>
          <a:chOff x="200024" y="4499942"/>
          <a:chExt cx="8857420" cy="1915766"/>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6" name="TextBox 5"/>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7" name="Rectangle 6"/>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angle 8"/>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21167</xdr:colOff>
      <xdr:row>0</xdr:row>
      <xdr:rowOff>21167</xdr:rowOff>
    </xdr:from>
    <xdr:to>
      <xdr:col>7</xdr:col>
      <xdr:colOff>3404</xdr:colOff>
      <xdr:row>12</xdr:row>
      <xdr:rowOff>31933</xdr:rowOff>
    </xdr:to>
    <xdr:grpSp>
      <xdr:nvGrpSpPr>
        <xdr:cNvPr id="2" name="Group 1"/>
        <xdr:cNvGrpSpPr/>
      </xdr:nvGrpSpPr>
      <xdr:grpSpPr>
        <a:xfrm>
          <a:off x="814917" y="21167"/>
          <a:ext cx="9274404"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xdr:colOff>
      <xdr:row>0</xdr:row>
      <xdr:rowOff>28575</xdr:rowOff>
    </xdr:from>
    <xdr:to>
      <xdr:col>12</xdr:col>
      <xdr:colOff>161095</xdr:colOff>
      <xdr:row>12</xdr:row>
      <xdr:rowOff>1241</xdr:rowOff>
    </xdr:to>
    <xdr:grpSp>
      <xdr:nvGrpSpPr>
        <xdr:cNvPr id="2" name="Group 1"/>
        <xdr:cNvGrpSpPr/>
      </xdr:nvGrpSpPr>
      <xdr:grpSpPr>
        <a:xfrm>
          <a:off x="38100" y="28575"/>
          <a:ext cx="8857420"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608770</xdr:colOff>
      <xdr:row>11</xdr:row>
      <xdr:rowOff>134591</xdr:rowOff>
    </xdr:to>
    <xdr:grpSp>
      <xdr:nvGrpSpPr>
        <xdr:cNvPr id="2" name="Group 1"/>
        <xdr:cNvGrpSpPr/>
      </xdr:nvGrpSpPr>
      <xdr:grpSpPr>
        <a:xfrm>
          <a:off x="0" y="0"/>
          <a:ext cx="8657395"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0</xdr:colOff>
      <xdr:row>0</xdr:row>
      <xdr:rowOff>0</xdr:rowOff>
    </xdr:from>
    <xdr:to>
      <xdr:col>11</xdr:col>
      <xdr:colOff>808795</xdr:colOff>
      <xdr:row>11</xdr:row>
      <xdr:rowOff>134591</xdr:rowOff>
    </xdr:to>
    <xdr:grpSp>
      <xdr:nvGrpSpPr>
        <xdr:cNvPr id="8" name="Group 7"/>
        <xdr:cNvGrpSpPr/>
      </xdr:nvGrpSpPr>
      <xdr:grpSpPr>
        <a:xfrm>
          <a:off x="0" y="0"/>
          <a:ext cx="8857420" cy="1915766"/>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10" name="TextBox 9"/>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56320</xdr:colOff>
      <xdr:row>11</xdr:row>
      <xdr:rowOff>134591</xdr:rowOff>
    </xdr:to>
    <xdr:grpSp>
      <xdr:nvGrpSpPr>
        <xdr:cNvPr id="2" name="Group 1"/>
        <xdr:cNvGrpSpPr/>
      </xdr:nvGrpSpPr>
      <xdr:grpSpPr>
        <a:xfrm>
          <a:off x="0" y="0"/>
          <a:ext cx="8857420"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11</xdr:row>
      <xdr:rowOff>134591</xdr:rowOff>
    </xdr:to>
    <xdr:grpSp>
      <xdr:nvGrpSpPr>
        <xdr:cNvPr id="2" name="Group 1"/>
        <xdr:cNvGrpSpPr/>
      </xdr:nvGrpSpPr>
      <xdr:grpSpPr>
        <a:xfrm>
          <a:off x="0" y="0"/>
          <a:ext cx="9101667" cy="1880841"/>
          <a:chOff x="200024" y="4499942"/>
          <a:chExt cx="9312502"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9312502" cy="1915766"/>
          </a:xfrm>
          <a:prstGeom prst="rect">
            <a:avLst/>
          </a:prstGeom>
          <a:ln>
            <a:noFill/>
          </a:ln>
          <a:effectLst>
            <a:softEdge rad="112500"/>
          </a:effectLst>
        </xdr:spPr>
      </xdr:pic>
      <xdr:sp macro="" textlink="'[2]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2016 Filers</a:t>
            </a:r>
            <a:endParaRPr lang="en-CA" sz="3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2016%20IRM%20Application/Old/2016_IRM_Rate_Generator_Draft.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nance/2016%20IRM%20Application/3.%20Global%20Adjustment%20Rate%20Rider%20Calc.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nance/2016%20IRM%20Application/Support/RTSR%20Backup/2014%20Historical%20IESO%20%20HI%20Costs_RTS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nance/2016%20IRM%20Application/Final%20Files%20for%20Regulatory/2016_Capital_Module_ACM_Mode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2016%20IRM%20Application/2016_IRM_RateGen_Model.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2016%20IRM%20Application/Enersource_2015%20IRM%20RatGen_Decision_updated%20for%20201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e/Rates/B.%20OEB%20Reporting%20by%20Year/2015/2.%20December%202014%20Annual%20Filing/2.1.5.4%20Demand%20and%20Revenue/Annual%20Consumption%20by%20Rate%20Class%20(kWh)%20-%20RPP%20vs%20SPO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nance/Rates/B.%20OEB%20Reporting%20by%20Year/2015/2.%20December%202014%20Annual%20Filing/2.1.5.4%20Demand%20and%20Revenue/Annual%20Consumption%20by%20Rate%20Class%20(kW)%20-%20RPP%20vs%20SPO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nance/2016%20IRM%20Application/Support/1595%20Recovery%20Share%20Proportion%20(20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nance/2016%20IRM%20Application/Support/1595%20Allocation/1595%20Recovery%20Share%20Proportion%20(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nance/2016%20IRM%20Application/Support/1595%20Allocation/1595%20Recovery%20Share%20Proportion%20(201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nance/2016%20IRM%20Application/Support/1595%20Allocation/1595%20Recovery%20Share%20Proportion%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2016_IRM_Rate_Generator_Draft"/>
    </sheetNames>
    <definedNames>
      <definedName name="copysheettonew"/>
    </definedNames>
    <sheetDataSet>
      <sheetData sheetId="0">
        <row r="32">
          <cell r="F32">
            <v>2013</v>
          </cell>
        </row>
      </sheetData>
      <sheetData sheetId="1"/>
      <sheetData sheetId="2">
        <row r="19">
          <cell r="B19" t="str">
            <v>RESIDENTIAL</v>
          </cell>
        </row>
        <row r="20">
          <cell r="B20" t="str">
            <v>GENERAL SERVICE LESS THAN 50 KW</v>
          </cell>
        </row>
        <row r="21">
          <cell r="B21" t="str">
            <v>UNMETERED SCATTERED LOAD</v>
          </cell>
        </row>
        <row r="22">
          <cell r="B22" t="str">
            <v>GENERAL SERVICE 50 TO 499 KW</v>
          </cell>
        </row>
        <row r="23">
          <cell r="B23" t="str">
            <v>GENERAL SERVICE 500 TO 4,999 KW</v>
          </cell>
        </row>
        <row r="24">
          <cell r="B24" t="str">
            <v>LARGE USE &gt; 5000 KW</v>
          </cell>
        </row>
        <row r="25">
          <cell r="B25" t="str">
            <v>STREET LIGHTING</v>
          </cell>
        </row>
        <row r="26">
          <cell r="B26" t="str">
            <v>STANDBY DISTRIBUTION SERVICE</v>
          </cell>
        </row>
        <row r="27">
          <cell r="B27" t="str">
            <v>microFIT</v>
          </cell>
        </row>
        <row r="28">
          <cell r="B28">
            <v>0</v>
          </cell>
        </row>
        <row r="29">
          <cell r="B29">
            <v>0</v>
          </cell>
        </row>
        <row r="30">
          <cell r="B30">
            <v>0</v>
          </cell>
        </row>
        <row r="31">
          <cell r="B31">
            <v>0</v>
          </cell>
        </row>
        <row r="32">
          <cell r="B32">
            <v>0</v>
          </cell>
        </row>
        <row r="33">
          <cell r="B33">
            <v>0</v>
          </cell>
        </row>
        <row r="34">
          <cell r="B34">
            <v>0</v>
          </cell>
        </row>
        <row r="35">
          <cell r="B35">
            <v>0</v>
          </cell>
        </row>
        <row r="36">
          <cell r="B36">
            <v>0</v>
          </cell>
        </row>
        <row r="37">
          <cell r="B37">
            <v>0</v>
          </cell>
        </row>
        <row r="38">
          <cell r="B38">
            <v>0</v>
          </cell>
        </row>
        <row r="39">
          <cell r="B39">
            <v>0</v>
          </cell>
        </row>
        <row r="40">
          <cell r="B4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0">
          <cell r="G50">
            <v>0</v>
          </cell>
          <cell r="I50">
            <v>0</v>
          </cell>
        </row>
        <row r="52">
          <cell r="G52">
            <v>0</v>
          </cell>
          <cell r="I52">
            <v>0</v>
          </cell>
        </row>
        <row r="54">
          <cell r="G54">
            <v>0</v>
          </cell>
          <cell r="I54">
            <v>0</v>
          </cell>
        </row>
        <row r="65">
          <cell r="G65">
            <v>0</v>
          </cell>
          <cell r="I65">
            <v>0</v>
          </cell>
        </row>
        <row r="67">
          <cell r="G67">
            <v>0</v>
          </cell>
          <cell r="I67">
            <v>0</v>
          </cell>
        </row>
        <row r="69">
          <cell r="G69">
            <v>0</v>
          </cell>
          <cell r="I69">
            <v>0</v>
          </cell>
        </row>
        <row r="95">
          <cell r="E95">
            <v>0</v>
          </cell>
          <cell r="G95">
            <v>0</v>
          </cell>
          <cell r="I95">
            <v>0</v>
          </cell>
        </row>
      </sheetData>
      <sheetData sheetId="19">
        <row r="53">
          <cell r="B53" t="str">
            <v>Add Extra Host Here (I)</v>
          </cell>
        </row>
        <row r="57">
          <cell r="D57">
            <v>0</v>
          </cell>
          <cell r="H57">
            <v>0</v>
          </cell>
          <cell r="L57">
            <v>0</v>
          </cell>
        </row>
        <row r="58">
          <cell r="D58">
            <v>0</v>
          </cell>
          <cell r="H58">
            <v>0</v>
          </cell>
          <cell r="L58">
            <v>0</v>
          </cell>
        </row>
        <row r="59">
          <cell r="D59">
            <v>0</v>
          </cell>
          <cell r="H59">
            <v>0</v>
          </cell>
          <cell r="L59">
            <v>0</v>
          </cell>
        </row>
        <row r="60">
          <cell r="D60">
            <v>0</v>
          </cell>
          <cell r="H60">
            <v>0</v>
          </cell>
          <cell r="L60">
            <v>0</v>
          </cell>
        </row>
        <row r="61">
          <cell r="D61">
            <v>0</v>
          </cell>
          <cell r="H61">
            <v>0</v>
          </cell>
          <cell r="L61">
            <v>0</v>
          </cell>
        </row>
        <row r="62">
          <cell r="D62">
            <v>0</v>
          </cell>
          <cell r="H62">
            <v>0</v>
          </cell>
          <cell r="L62">
            <v>0</v>
          </cell>
        </row>
        <row r="63">
          <cell r="D63">
            <v>0</v>
          </cell>
          <cell r="H63">
            <v>0</v>
          </cell>
          <cell r="L63">
            <v>0</v>
          </cell>
        </row>
        <row r="64">
          <cell r="D64">
            <v>0</v>
          </cell>
          <cell r="H64">
            <v>0</v>
          </cell>
          <cell r="L64">
            <v>0</v>
          </cell>
        </row>
        <row r="65">
          <cell r="D65">
            <v>0</v>
          </cell>
          <cell r="H65">
            <v>0</v>
          </cell>
          <cell r="L65">
            <v>0</v>
          </cell>
        </row>
        <row r="66">
          <cell r="D66">
            <v>0</v>
          </cell>
          <cell r="H66">
            <v>0</v>
          </cell>
          <cell r="L66">
            <v>0</v>
          </cell>
        </row>
        <row r="67">
          <cell r="D67">
            <v>0</v>
          </cell>
          <cell r="H67">
            <v>0</v>
          </cell>
          <cell r="L67">
            <v>0</v>
          </cell>
        </row>
        <row r="68">
          <cell r="D68">
            <v>0</v>
          </cell>
          <cell r="H68">
            <v>0</v>
          </cell>
          <cell r="L68">
            <v>0</v>
          </cell>
        </row>
        <row r="72">
          <cell r="B72" t="str">
            <v>Add Extra Host Here (II)</v>
          </cell>
        </row>
        <row r="76">
          <cell r="D76">
            <v>0</v>
          </cell>
          <cell r="H76">
            <v>0</v>
          </cell>
          <cell r="L76">
            <v>0</v>
          </cell>
        </row>
        <row r="77">
          <cell r="D77">
            <v>0</v>
          </cell>
          <cell r="H77">
            <v>0</v>
          </cell>
          <cell r="L77">
            <v>0</v>
          </cell>
        </row>
        <row r="78">
          <cell r="D78">
            <v>0</v>
          </cell>
          <cell r="H78">
            <v>0</v>
          </cell>
          <cell r="L78">
            <v>0</v>
          </cell>
        </row>
        <row r="79">
          <cell r="D79">
            <v>0</v>
          </cell>
          <cell r="H79">
            <v>0</v>
          </cell>
          <cell r="L79">
            <v>0</v>
          </cell>
        </row>
        <row r="80">
          <cell r="D80">
            <v>0</v>
          </cell>
          <cell r="H80">
            <v>0</v>
          </cell>
          <cell r="L80">
            <v>0</v>
          </cell>
        </row>
        <row r="81">
          <cell r="D81">
            <v>0</v>
          </cell>
          <cell r="H81">
            <v>0</v>
          </cell>
          <cell r="L81">
            <v>0</v>
          </cell>
        </row>
        <row r="82">
          <cell r="D82">
            <v>0</v>
          </cell>
          <cell r="H82">
            <v>0</v>
          </cell>
          <cell r="L82">
            <v>0</v>
          </cell>
        </row>
        <row r="83">
          <cell r="D83">
            <v>0</v>
          </cell>
          <cell r="H83">
            <v>0</v>
          </cell>
          <cell r="L83">
            <v>0</v>
          </cell>
        </row>
        <row r="84">
          <cell r="D84">
            <v>0</v>
          </cell>
          <cell r="H84">
            <v>0</v>
          </cell>
          <cell r="L84">
            <v>0</v>
          </cell>
        </row>
        <row r="85">
          <cell r="D85">
            <v>0</v>
          </cell>
          <cell r="H85">
            <v>0</v>
          </cell>
          <cell r="L85">
            <v>0</v>
          </cell>
        </row>
        <row r="86">
          <cell r="D86">
            <v>0</v>
          </cell>
          <cell r="H86">
            <v>0</v>
          </cell>
          <cell r="L86">
            <v>0</v>
          </cell>
        </row>
        <row r="87">
          <cell r="D87">
            <v>0</v>
          </cell>
          <cell r="H87">
            <v>0</v>
          </cell>
          <cell r="L87">
            <v>0</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Z1" t="str">
            <v>Account History</v>
          </cell>
          <cell r="AA1" t="str">
            <v>Account set up charge/change of occupancy charge (plus credit agency costs if applicable)</v>
          </cell>
          <cell r="AO1" t="str">
            <v>DISTRIBUTED GENERATION [DGEN]</v>
          </cell>
          <cell r="AP1" t="str">
            <v>kW</v>
          </cell>
        </row>
        <row r="2">
          <cell r="L2" t="str">
            <v>Total Loss Factor – Primary Metered Customer</v>
          </cell>
          <cell r="N2" t="str">
            <v>$</v>
          </cell>
          <cell r="P2" t="str">
            <v>$</v>
          </cell>
          <cell r="Z2" t="str">
            <v>Account set up charge/change of occupancy charge</v>
          </cell>
          <cell r="AA2" t="str">
            <v>Administrative Billing Charge</v>
          </cell>
          <cell r="AO2" t="str">
            <v>EMBEDDED DISTRIBUTOR</v>
          </cell>
          <cell r="AP2" t="str">
            <v>kW</v>
          </cell>
        </row>
        <row r="3">
          <cell r="L3" t="str">
            <v>Total Loss Factor – Primary Metered Customer &lt; 5,000 kW</v>
          </cell>
          <cell r="N3" t="str">
            <v>$/kWh</v>
          </cell>
          <cell r="P3" t="str">
            <v>%</v>
          </cell>
          <cell r="Z3" t="str">
            <v>Account set up charge/change of occupancy charge (plus credit agency costs if applicable – Residential)</v>
          </cell>
          <cell r="AA3" t="str">
            <v>Bell Canada Pole Rentals</v>
          </cell>
          <cell r="AO3" t="str">
            <v>EMBEDDED DISTRIBUTOR</v>
          </cell>
          <cell r="AP3" t="str">
            <v>kW</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cell r="AO4" t="str">
            <v>FARMS - SINGLE PHASE ENERGY-BILLED [F1]</v>
          </cell>
          <cell r="AP4" t="str">
            <v>kWh</v>
          </cell>
        </row>
        <row r="5">
          <cell r="L5" t="str">
            <v>Total Loss Factor – Secondary Metered Customer</v>
          </cell>
          <cell r="N5" t="str">
            <v>$/kVA</v>
          </cell>
          <cell r="Z5" t="str">
            <v>Arrears certificate</v>
          </cell>
          <cell r="AA5" t="str">
            <v>Collection of account charge – no disconnection</v>
          </cell>
          <cell r="AO5" t="str">
            <v>FARMS - THREE PHASE ENERGY-BILLED [F3]</v>
          </cell>
          <cell r="AP5" t="str">
            <v>kWh</v>
          </cell>
        </row>
        <row r="6">
          <cell r="L6" t="str">
            <v>Total Loss Factor – Secondary Metered Customer &lt; 5,000 kW</v>
          </cell>
          <cell r="Z6" t="str">
            <v>Arrears certificate (credit reference)</v>
          </cell>
          <cell r="AA6" t="str">
            <v>Collection of account charge – no disconnection – after regular hours</v>
          </cell>
          <cell r="AO6" t="str">
            <v>GENERAL SERVICE - COMMERCIAL</v>
          </cell>
          <cell r="AP6" t="str">
            <v>kW</v>
          </cell>
        </row>
        <row r="7">
          <cell r="L7">
            <v>0</v>
          </cell>
          <cell r="Z7">
            <v>0</v>
          </cell>
          <cell r="AA7">
            <v>0</v>
          </cell>
          <cell r="AO7" t="str">
            <v>GENERAL SERVICE - INSTITUTIONAL</v>
          </cell>
          <cell r="AP7" t="str">
            <v>kW</v>
          </cell>
        </row>
        <row r="8">
          <cell r="L8" t="str">
            <v>Total Loss Factor – Secondary Metered Customer &gt; 5,000 kW</v>
          </cell>
          <cell r="Z8" t="str">
            <v>Charge to certify cheque</v>
          </cell>
          <cell r="AA8" t="str">
            <v>Collection of account charge – no disconnection - during regular business hours</v>
          </cell>
          <cell r="AO8" t="str">
            <v>GENERAL SERVICE 1,000 TO 2,999 KW</v>
          </cell>
          <cell r="AP8" t="str">
            <v>kW</v>
          </cell>
        </row>
        <row r="9">
          <cell r="L9" t="str">
            <v>Distribution Loss Factor - Secondary Metered Customer &lt; 5,000 kW</v>
          </cell>
          <cell r="Z9" t="str">
            <v>Collection of Account Charge – No Disconnection</v>
          </cell>
          <cell r="AA9" t="str">
            <v>Collection of account charge – no disconnection – during regular hours</v>
          </cell>
          <cell r="AO9" t="str">
            <v>GENERAL SERVICE 1,000 TO 4,999 KW</v>
          </cell>
          <cell r="AP9" t="str">
            <v>kW</v>
          </cell>
        </row>
        <row r="10">
          <cell r="L10" t="str">
            <v>Distribution Loss Factor - Secondary Metered Customer &gt; 5,000 kW</v>
          </cell>
          <cell r="Z10" t="str">
            <v>Credit Card Convenience Charge</v>
          </cell>
          <cell r="AA10" t="str">
            <v>Collection/Disconnection/Load Limiter/Reconnection – if in Community</v>
          </cell>
          <cell r="AO10" t="str">
            <v>GENERAL SERVICE 1,000 TO 4,999 KW - INTERVAL METERS</v>
          </cell>
          <cell r="AP10" t="str">
            <v>kW</v>
          </cell>
        </row>
        <row r="11">
          <cell r="L11" t="str">
            <v>Distribution Loss Factor - Primary Metered Customer &lt; 5,000 kW</v>
          </cell>
          <cell r="Z11" t="str">
            <v>Credit check (plus credit agency costs)</v>
          </cell>
          <cell r="AA11" t="str">
            <v>Credit Card Convenience Charge</v>
          </cell>
          <cell r="AO11" t="str">
            <v>GENERAL SERVICE 1,000 TO 4,999 KW (CO-GENERATION)</v>
          </cell>
          <cell r="AP11" t="str">
            <v>kW</v>
          </cell>
        </row>
        <row r="12">
          <cell r="L12" t="str">
            <v>Distribution Loss Factor - Primary Metered Customer &gt; 5,000 kW</v>
          </cell>
          <cell r="Z12" t="str">
            <v>Credit reference Letter</v>
          </cell>
          <cell r="AA12" t="str">
            <v>Disconnect/Reconnect at meter – after regular hours</v>
          </cell>
          <cell r="AO12" t="str">
            <v>GENERAL SERVICE 1,500 TO 4,999 KW</v>
          </cell>
          <cell r="AP12" t="str">
            <v>kW</v>
          </cell>
        </row>
        <row r="13">
          <cell r="L13">
            <v>0</v>
          </cell>
          <cell r="Z13">
            <v>0</v>
          </cell>
          <cell r="AA13">
            <v>0</v>
          </cell>
          <cell r="AO13" t="str">
            <v>GENERAL SERVICE 2,500 TO 4,999 KW</v>
          </cell>
          <cell r="AP13" t="str">
            <v>kW</v>
          </cell>
        </row>
        <row r="14">
          <cell r="L14" t="str">
            <v>Total Loss Factor - Embedded Distributor</v>
          </cell>
          <cell r="Z14" t="str">
            <v>Credit reference/credit check (plus credit agency costs – General Service)</v>
          </cell>
          <cell r="AA14" t="str">
            <v>Disconnect/Reconnect at meter – during regular hours</v>
          </cell>
          <cell r="AO14" t="str">
            <v>GENERAL SERVICE 3,000 TO 4,999 KW</v>
          </cell>
          <cell r="AP14" t="str">
            <v>kW</v>
          </cell>
        </row>
        <row r="15">
          <cell r="L15" t="str">
            <v>Total Loss Factor – Embedded Distributor – Hydro One Networks Inc.</v>
          </cell>
          <cell r="Z15" t="str">
            <v>Credit Reference/credit check (plus credit agency costs)</v>
          </cell>
          <cell r="AA15" t="str">
            <v>Disconnect/Reconnect at pole – after regular hours</v>
          </cell>
          <cell r="AO15" t="str">
            <v>GENERAL SERVICE 3,000 TO 4,999 KW - INTERMEDIATE USE</v>
          </cell>
          <cell r="AP15" t="str">
            <v>kW</v>
          </cell>
        </row>
        <row r="16">
          <cell r="Z16" t="str">
            <v>Dispute Test – Commercial self contained -- MC</v>
          </cell>
          <cell r="AA16" t="str">
            <v>Disconnect/Reconnect at pole – during regular hours</v>
          </cell>
          <cell r="AO16" t="str">
            <v>GENERAL SERVICE 3,000 TO 4,999 KW - INTERVAL METERED</v>
          </cell>
          <cell r="AP16" t="str">
            <v>kW</v>
          </cell>
        </row>
        <row r="17">
          <cell r="Z17" t="str">
            <v>Dispute Test – Commercial TT -- MC</v>
          </cell>
          <cell r="AA17" t="str">
            <v>Disconnect/Reconnect Charge – At Meter – After Hours</v>
          </cell>
          <cell r="AO17" t="str">
            <v>GENERAL SERVICE 3,000 TO 4,999 KW - TIME OF USE</v>
          </cell>
          <cell r="AP17" t="str">
            <v>kW</v>
          </cell>
        </row>
        <row r="18">
          <cell r="Z18" t="str">
            <v>Dispute Test – Residential</v>
          </cell>
          <cell r="AA18" t="str">
            <v>Disconnect/Reconnect Charge – At Meter – During Regular Hours</v>
          </cell>
          <cell r="AO18" t="str">
            <v>GENERAL SERVICE 50 TO 1,000 KW</v>
          </cell>
          <cell r="AP18" t="str">
            <v>kW</v>
          </cell>
        </row>
        <row r="19">
          <cell r="Z19" t="str">
            <v>Duplicate Invoices for previous billing</v>
          </cell>
          <cell r="AA19" t="str">
            <v>Disconnect/Reconnect Charge – At Pole – After Hours</v>
          </cell>
          <cell r="AO19" t="str">
            <v>GENERAL SERVICE 50 TO 1,000 KW - INTERVAL METERS</v>
          </cell>
          <cell r="AP19" t="str">
            <v>kW</v>
          </cell>
        </row>
        <row r="20">
          <cell r="Z20" t="str">
            <v>Easement Letter</v>
          </cell>
          <cell r="AA20" t="str">
            <v>Disconnect/Reconnect Charge – At Pole – During Regular Hours</v>
          </cell>
          <cell r="AO20" t="str">
            <v>GENERAL SERVICE 50 TO 1,000 KW - NON INTERVAL METERS</v>
          </cell>
          <cell r="AP20" t="str">
            <v>kW</v>
          </cell>
        </row>
        <row r="21">
          <cell r="Z21" t="str">
            <v>Income Tax Letter</v>
          </cell>
          <cell r="AA21" t="str">
            <v>Disconnect/Reconnect Charges for non payment of account - At Meter After Hours</v>
          </cell>
          <cell r="AO21" t="str">
            <v>GENERAL SERVICE 50 TO 1,499 KW</v>
          </cell>
          <cell r="AP21" t="str">
            <v>kW</v>
          </cell>
        </row>
        <row r="22">
          <cell r="Z22" t="str">
            <v>Interval Meter Interrogation</v>
          </cell>
          <cell r="AA22" t="str">
            <v>Disconnect/Reconnect charges for non payment of account – at meter after regular hours</v>
          </cell>
          <cell r="AO22" t="str">
            <v>GENERAL SERVICE 50 TO 1,499 KW - INTERVAL METERED</v>
          </cell>
          <cell r="AP22" t="str">
            <v>kW</v>
          </cell>
        </row>
        <row r="23">
          <cell r="Z23" t="str">
            <v>Interval meter request change</v>
          </cell>
          <cell r="AA23" t="str">
            <v>Disconnect/Reconnect Charges for non payment of account - At Meter During Regular Hours</v>
          </cell>
          <cell r="AO23" t="str">
            <v>GENERAL SERVICE 50 TO 2,499 KW</v>
          </cell>
          <cell r="AP23" t="str">
            <v>kW</v>
          </cell>
        </row>
        <row r="24">
          <cell r="Z24" t="str">
            <v>Legal letter</v>
          </cell>
          <cell r="AA24" t="str">
            <v>Disconnect/Reconnect charges for non payment of account – at meter during regular hours</v>
          </cell>
          <cell r="AO24" t="str">
            <v>GENERAL SERVICE 50 TO 2,999 KW</v>
          </cell>
          <cell r="AP24" t="str">
            <v>kW</v>
          </cell>
        </row>
        <row r="25">
          <cell r="Z25" t="str">
            <v>Legal letter charge</v>
          </cell>
          <cell r="AA25" t="str">
            <v>Disconnect/Reconnect charges for non payment of account – at pole after regular hours</v>
          </cell>
          <cell r="AO25" t="str">
            <v>GENERAL SERVICE 50 TO 2,999 KW - INTERVAL METERED</v>
          </cell>
          <cell r="AP25" t="str">
            <v>kW</v>
          </cell>
        </row>
        <row r="26">
          <cell r="Z26" t="str">
            <v>Meter dispute charge plus Measurement Canada fees (if meter found correct)</v>
          </cell>
          <cell r="AA26" t="str">
            <v>Disconnect/Reconnect charges for non payment of account – at pole during regular hours</v>
          </cell>
          <cell r="AO26" t="str">
            <v>GENERAL SERVICE 50 TO 2,999 KW - TIME OF USE</v>
          </cell>
          <cell r="AP26" t="str">
            <v>kW</v>
          </cell>
        </row>
        <row r="27">
          <cell r="Z27" t="str">
            <v>Notification charge</v>
          </cell>
          <cell r="AA27" t="str">
            <v>Disconnect/Reconnection for &gt;300 volts - after regular hours</v>
          </cell>
          <cell r="AO27" t="str">
            <v>GENERAL SERVICE 50 TO 4,999 KW</v>
          </cell>
          <cell r="AP27" t="str">
            <v>kW</v>
          </cell>
        </row>
        <row r="28">
          <cell r="Z28" t="str">
            <v>Pulling Post Dated Cheques</v>
          </cell>
          <cell r="AA28" t="str">
            <v>Disconnect/Reconnection for &gt;300 volts - during regular hours</v>
          </cell>
          <cell r="AO28" t="str">
            <v>GENERAL SERVICE 50 TO 4,999 KW - INTERVAL METERED</v>
          </cell>
          <cell r="AP28" t="str">
            <v>kW</v>
          </cell>
        </row>
        <row r="29">
          <cell r="Z29" t="str">
            <v>Request for other billing information</v>
          </cell>
          <cell r="AA29" t="str">
            <v>Disposal of Concrete Poles</v>
          </cell>
          <cell r="AO29" t="str">
            <v>GENERAL SERVICE 50 TO 4,999 KW - TIME OF USE</v>
          </cell>
          <cell r="AP29" t="str">
            <v>kW</v>
          </cell>
        </row>
        <row r="30">
          <cell r="Z30" t="str">
            <v>Returned cheque (plus bank charges)</v>
          </cell>
          <cell r="AA30" t="str">
            <v>Dispute Test – Commercial TT -- MC</v>
          </cell>
          <cell r="AO30" t="str">
            <v>GENERAL SERVICE 50 TO 4,999 KW (COGENERATION)</v>
          </cell>
          <cell r="AP30" t="str">
            <v>kW</v>
          </cell>
        </row>
        <row r="31">
          <cell r="Z31" t="str">
            <v>Returned cheque charge (plus bank charges)</v>
          </cell>
          <cell r="AA31" t="str">
            <v>Install/Remove load control device – after regular hours</v>
          </cell>
          <cell r="AO31" t="str">
            <v>GENERAL SERVICE 50 TO 4,999 KW (FORMERLY TIME OF USE)</v>
          </cell>
          <cell r="AP31" t="str">
            <v>kW</v>
          </cell>
        </row>
        <row r="32">
          <cell r="Z32" t="str">
            <v>Special Billing Service (aggregation)</v>
          </cell>
          <cell r="AA32" t="str">
            <v>Install/Remove load control device – during regular hours</v>
          </cell>
          <cell r="AO32" t="str">
            <v>GENERAL SERVICE 50 TO 499 KW</v>
          </cell>
          <cell r="AP32" t="str">
            <v>kW</v>
          </cell>
        </row>
        <row r="33">
          <cell r="Z33" t="str">
            <v>Special Billing Service (sub-metering charge per meter)</v>
          </cell>
          <cell r="AA33" t="str">
            <v>Interval Meter Interrogation</v>
          </cell>
          <cell r="AO33" t="str">
            <v>GENERAL SERVICE 50 TO 699 KW</v>
          </cell>
          <cell r="AP33" t="str">
            <v>kW</v>
          </cell>
        </row>
        <row r="34">
          <cell r="Z34" t="str">
            <v>Special meter reads</v>
          </cell>
          <cell r="AA34" t="str">
            <v>Interval Meter Load Management Tool Charge $/month</v>
          </cell>
          <cell r="AO34" t="str">
            <v>GENERAL SERVICE 50 TO 999 KW</v>
          </cell>
          <cell r="AP34" t="str">
            <v>kW</v>
          </cell>
        </row>
        <row r="35">
          <cell r="Z35" t="str">
            <v>Statement of Account</v>
          </cell>
          <cell r="AA35" t="str">
            <v>Interval meter request change</v>
          </cell>
          <cell r="AO35" t="str">
            <v>GENERAL SERVICE 50 TO 999 KW - INTERVAL METERED</v>
          </cell>
          <cell r="AP35" t="str">
            <v>kW</v>
          </cell>
        </row>
        <row r="36">
          <cell r="Z36" t="str">
            <v>Unprocessed Payment Charge (plus bank charges)</v>
          </cell>
          <cell r="AA36" t="str">
            <v>Late Payment – per annum</v>
          </cell>
          <cell r="AO36" t="str">
            <v>GENERAL SERVICE 500 TO 4,999 KW</v>
          </cell>
          <cell r="AP36" t="str">
            <v>kW</v>
          </cell>
        </row>
        <row r="37">
          <cell r="AA37" t="str">
            <v>Late Payment – per month</v>
          </cell>
          <cell r="AO37" t="str">
            <v>GENERAL SERVICE 700 TO 4,999 KW</v>
          </cell>
          <cell r="AP37" t="str">
            <v>kW</v>
          </cell>
        </row>
        <row r="38">
          <cell r="AA38" t="str">
            <v>Layout fees</v>
          </cell>
          <cell r="AO38" t="str">
            <v>GENERAL SERVICE DEMAND BILLED (50 KW AND ABOVE) [GSD]</v>
          </cell>
          <cell r="AP38" t="str">
            <v>kW</v>
          </cell>
        </row>
        <row r="39">
          <cell r="AA39" t="str">
            <v>Meter dispute charge plus Measurement Canada fees (if meter found correct)</v>
          </cell>
          <cell r="AO39" t="str">
            <v>GENERAL SERVICE ENERGY BILLED (LESS THAN 50 KW) [GSE-METERED]</v>
          </cell>
          <cell r="AP39" t="str">
            <v>kWh</v>
          </cell>
        </row>
        <row r="40">
          <cell r="AA40" t="str">
            <v>Meter Interrogation Charge</v>
          </cell>
          <cell r="AO40" t="str">
            <v>GENERAL SERVICE ENERGY BILLED (LESS THAN TO 50 KW) [GSE-UNMETERED]</v>
          </cell>
          <cell r="AP40" t="str">
            <v>kWh</v>
          </cell>
        </row>
        <row r="41">
          <cell r="AA41" t="str">
            <v>Missed Service Appointment</v>
          </cell>
          <cell r="AO41" t="str">
            <v>GENERAL SERVICE EQUAL TO OR GREATER THAN 1,500 KW</v>
          </cell>
          <cell r="AP41" t="str">
            <v>kW</v>
          </cell>
        </row>
        <row r="42">
          <cell r="AA42" t="str">
            <v>Norfolk Pole Rentals – Billed</v>
          </cell>
          <cell r="AO42" t="str">
            <v>GENERAL SERVICE EQUAL TO OR GREATER THAN 1,500 KW - INTERVAL METERED</v>
          </cell>
          <cell r="AP42" t="str">
            <v>kW</v>
          </cell>
        </row>
        <row r="43">
          <cell r="AA43" t="str">
            <v>Optional Interval/TOU Meter charge $/month</v>
          </cell>
          <cell r="AO43" t="str">
            <v>GENERAL SERVICE GREATER THAN 1,000 KW</v>
          </cell>
          <cell r="AP43" t="str">
            <v>kW</v>
          </cell>
        </row>
        <row r="44">
          <cell r="AA44" t="str">
            <v>Overtime Locate</v>
          </cell>
          <cell r="AO44" t="str">
            <v>GENERAL SERVICE GREATER THAN 50 kW - WMP</v>
          </cell>
          <cell r="AP44" t="str">
            <v>kW</v>
          </cell>
        </row>
        <row r="45">
          <cell r="AA45" t="str">
            <v>Owner Requested Disconnection/Reconnection – after regular hours</v>
          </cell>
          <cell r="AO45" t="str">
            <v>GENERAL SERVICE INTERMEDIATE 1,000 TO 4,999 KW</v>
          </cell>
          <cell r="AP45" t="str">
            <v>kW</v>
          </cell>
        </row>
        <row r="46">
          <cell r="AA46" t="str">
            <v>Owner Requested Disconnection/Reconnection – during regular hours</v>
          </cell>
          <cell r="AO46" t="str">
            <v>GENERAL SERVICE INTERMEDIATE RATE CLASS 1,000 TO 4,999 KW (FORMERLY GENERAL SERVICE &gt; 50 KW CUSTOMERS)</v>
          </cell>
          <cell r="AP46" t="str">
            <v>kW</v>
          </cell>
        </row>
        <row r="47">
          <cell r="AA47" t="str">
            <v>Returned cheque (plus bank charges)</v>
          </cell>
          <cell r="AO47" t="str">
            <v>GENERAL SERVICE INTERMEDIATE RATE CLASS 1,000 TO 4,999 KW (FORMERLY LARGE USE CUSTOMERS)</v>
          </cell>
          <cell r="AP47" t="str">
            <v>kW</v>
          </cell>
        </row>
        <row r="48">
          <cell r="AA48" t="str">
            <v>Rural system expansion / line connection fee</v>
          </cell>
          <cell r="AO48" t="str">
            <v>GENERAL SERVICE LESS THAN 50 KW</v>
          </cell>
          <cell r="AP48" t="str">
            <v>kWh</v>
          </cell>
        </row>
        <row r="49">
          <cell r="AA49" t="str">
            <v>Same Day Open Trench</v>
          </cell>
          <cell r="AO49" t="str">
            <v>GENERAL SERVICE LESS THAN 50 KW - SINGLE PHASE ENERGY-BILLED [G1]</v>
          </cell>
          <cell r="AP49" t="str">
            <v>kWh</v>
          </cell>
        </row>
        <row r="50">
          <cell r="AA50" t="str">
            <v>Scheduled Day Open Trench</v>
          </cell>
          <cell r="AO50" t="str">
            <v>GENERAL SERVICE LESS THAN 50 KW - THREE PHASE ENERGY-BILLED [G3]</v>
          </cell>
          <cell r="AP50" t="str">
            <v>kWh</v>
          </cell>
        </row>
        <row r="51">
          <cell r="AA51" t="str">
            <v>Service call – after regular hours</v>
          </cell>
          <cell r="AO51" t="str">
            <v>GENERAL SERVICE LESS THAN 50 KW - TRANSMISSION CLASS ENERGY-BILLED [T]</v>
          </cell>
          <cell r="AP51" t="str">
            <v>kWh</v>
          </cell>
        </row>
        <row r="52">
          <cell r="AA52" t="str">
            <v>Service call – customer owned equipment</v>
          </cell>
          <cell r="AO52" t="str">
            <v>GENERAL SERVICE LESS THAN 50 KW - URBAN ENERGY-BILLED [UG]</v>
          </cell>
          <cell r="AP52" t="str">
            <v>kWh</v>
          </cell>
        </row>
        <row r="53">
          <cell r="AA53" t="str">
            <v>Service Call – Customer-owned Equipment – After Regular Hours</v>
          </cell>
          <cell r="AO53" t="str">
            <v>GENERAL SERVICE SINGLE PHASE - G1</v>
          </cell>
          <cell r="AP53" t="str">
            <v>kW</v>
          </cell>
        </row>
        <row r="54">
          <cell r="AA54" t="str">
            <v>Service Call – Customer-owned Equipment – During Regular Hours</v>
          </cell>
          <cell r="AO54" t="str">
            <v>GENERAL SERVICE THREE PHASE - G3</v>
          </cell>
          <cell r="AP54" t="str">
            <v>kW</v>
          </cell>
        </row>
        <row r="55">
          <cell r="AA55" t="str">
            <v>Service Charge for onsite interrogation of interval meter due to customer phone line failure - required weekly until line repaired $ 6</v>
          </cell>
          <cell r="AO55" t="str">
            <v>INTERMEDIATE USERS</v>
          </cell>
          <cell r="AP55" t="str">
            <v>kW</v>
          </cell>
        </row>
        <row r="56">
          <cell r="AA56" t="str">
            <v>Service Layout - Commercial</v>
          </cell>
          <cell r="AO56" t="str">
            <v>INTERMEDIATE WITH SELF GENERATION</v>
          </cell>
          <cell r="AP56" t="str">
            <v>kW</v>
          </cell>
        </row>
        <row r="57">
          <cell r="AA57" t="str">
            <v>Service Layout - ResidentiaI</v>
          </cell>
          <cell r="AO57" t="str">
            <v>LARGE USE</v>
          </cell>
          <cell r="AP57" t="str">
            <v>kW</v>
          </cell>
        </row>
        <row r="58">
          <cell r="AA58" t="str">
            <v>Special Billing Service (sub-metering charge per meter)</v>
          </cell>
          <cell r="AO58" t="str">
            <v>LARGE USE - 3TS</v>
          </cell>
          <cell r="AP58" t="str">
            <v>kW</v>
          </cell>
        </row>
        <row r="59">
          <cell r="AA59" t="str">
            <v>Special meter reads</v>
          </cell>
          <cell r="AO59" t="str">
            <v>LARGE USE - FORD ANNEX</v>
          </cell>
          <cell r="AP59" t="str">
            <v>kW</v>
          </cell>
        </row>
        <row r="60">
          <cell r="AA60" t="str">
            <v>Specific Charge for Access to the Power Poles - $/pole/year</v>
          </cell>
          <cell r="AO60" t="str">
            <v>LARGE USE - REGULAR</v>
          </cell>
          <cell r="AP60" t="str">
            <v>kW</v>
          </cell>
        </row>
        <row r="61">
          <cell r="AA61" t="str">
            <v>Specific Charge for Bell Canada Access to the Power Poles – per pole/year</v>
          </cell>
          <cell r="AO61" t="str">
            <v>LARGE USE &gt; 5000 KW</v>
          </cell>
          <cell r="AP61" t="str">
            <v>kW</v>
          </cell>
        </row>
        <row r="62">
          <cell r="AA62" t="str">
            <v>Switching for company maintenance – Charge based on Time and Materials</v>
          </cell>
          <cell r="AO62" t="str">
            <v>microFIT</v>
          </cell>
          <cell r="AP62" t="str">
            <v>$</v>
          </cell>
        </row>
        <row r="63">
          <cell r="AA63" t="str">
            <v>Temporary Service – Install &amp; remove – overhead – no transformer</v>
          </cell>
          <cell r="AO63" t="str">
            <v>RESIDENTIAL</v>
          </cell>
          <cell r="AP63" t="str">
            <v>kWh</v>
          </cell>
        </row>
        <row r="64">
          <cell r="AA64" t="str">
            <v>Temporary Service – Install &amp; remove – overhead – with transformer</v>
          </cell>
          <cell r="AO64" t="str">
            <v>RESIDENTIAL - HENSALL</v>
          </cell>
          <cell r="AP64" t="str">
            <v>kWh</v>
          </cell>
        </row>
        <row r="65">
          <cell r="AA65" t="str">
            <v>Temporary Service – Install &amp; remove – underground – no transformer</v>
          </cell>
          <cell r="AO65" t="str">
            <v>RESIDENTIAL - HIGH DENSITY [R1]</v>
          </cell>
          <cell r="AP65" t="str">
            <v>kWh</v>
          </cell>
        </row>
        <row r="66">
          <cell r="AA66" t="str">
            <v>Temporary service install &amp; remove – overhead – no transformer</v>
          </cell>
          <cell r="AO66" t="str">
            <v>RESIDENTIAL - LOW DENSITY [R2]</v>
          </cell>
          <cell r="AP66" t="str">
            <v>kWh</v>
          </cell>
        </row>
        <row r="67">
          <cell r="AA67" t="str">
            <v>Temporary Service Install &amp; Remove – Overhead – With Transformer</v>
          </cell>
          <cell r="AO67" t="str">
            <v>RESIDENTIAL - MEDIUM DENSITY [R1]</v>
          </cell>
          <cell r="AP67" t="str">
            <v>kWh</v>
          </cell>
        </row>
        <row r="68">
          <cell r="AA68" t="str">
            <v>Temporary Service Install &amp; Remove – Underground – No Transformer</v>
          </cell>
          <cell r="AO68" t="str">
            <v>RESIDENTIAL - NORMAL DENSITY [R2]</v>
          </cell>
          <cell r="AP68" t="str">
            <v>kWh</v>
          </cell>
        </row>
        <row r="69">
          <cell r="AA69" t="str">
            <v>Temporary service installation and removal – overhead – no transformer</v>
          </cell>
          <cell r="AO69" t="str">
            <v>RESIDENTIAL - TIME OF USE</v>
          </cell>
          <cell r="AP69" t="str">
            <v>kWh</v>
          </cell>
        </row>
        <row r="70">
          <cell r="AA70" t="str">
            <v>Temporary service installation and removal – overhead – with transformer</v>
          </cell>
          <cell r="AO70" t="str">
            <v>RESIDENTIAL - URBAN [UR]</v>
          </cell>
          <cell r="AP70" t="str">
            <v>kWh</v>
          </cell>
        </row>
        <row r="71">
          <cell r="AA71" t="str">
            <v>Temporary service installation and removal – underground – no transformer</v>
          </cell>
          <cell r="AO71" t="str">
            <v>RESIDENTIAL REGULAR</v>
          </cell>
          <cell r="AP71" t="str">
            <v>kWh</v>
          </cell>
        </row>
        <row r="72">
          <cell r="AO72" t="str">
            <v>RESIDENTIAL SUBURBAN</v>
          </cell>
          <cell r="AP72" t="str">
            <v>kWh</v>
          </cell>
        </row>
        <row r="73">
          <cell r="AO73" t="str">
            <v>RESIDENTIAL SUBURBAN SEASONAL</v>
          </cell>
          <cell r="AP73" t="str">
            <v>kWh</v>
          </cell>
        </row>
        <row r="74">
          <cell r="AO74" t="str">
            <v>RESIDENTIAL SUBURBAN YEAR ROUND</v>
          </cell>
          <cell r="AP74" t="str">
            <v>kWh</v>
          </cell>
        </row>
        <row r="75">
          <cell r="AO75" t="str">
            <v>RESIDENTIAL URBAN</v>
          </cell>
          <cell r="AP75" t="str">
            <v>kWh</v>
          </cell>
        </row>
        <row r="76">
          <cell r="AO76" t="str">
            <v>RESIDENTIAL URBAN YEAR-ROUND</v>
          </cell>
          <cell r="AP76" t="str">
            <v>kWh</v>
          </cell>
        </row>
        <row r="77">
          <cell r="AO77" t="str">
            <v>SEASONAL RESIDENTIAL</v>
          </cell>
          <cell r="AP77" t="str">
            <v>kWh</v>
          </cell>
        </row>
        <row r="78">
          <cell r="AO78" t="str">
            <v>SEASONAL RESIDENTIAL - HIGH DENSITY [R3]</v>
          </cell>
          <cell r="AP78" t="str">
            <v>kWh</v>
          </cell>
        </row>
        <row r="79">
          <cell r="AO79" t="str">
            <v>SEASONAL RESIDENTIAL - NORMAL DENSITY [R4]</v>
          </cell>
          <cell r="AP79" t="str">
            <v>kWh</v>
          </cell>
        </row>
        <row r="80">
          <cell r="AO80" t="str">
            <v>SENTINEL LIGHTING</v>
          </cell>
          <cell r="AP80" t="str">
            <v>kW</v>
          </cell>
        </row>
        <row r="81">
          <cell r="AO81" t="str">
            <v>SMALL COMMERCIAL AND USL - PER CONNECTION</v>
          </cell>
          <cell r="AP81" t="str">
            <v>kWh</v>
          </cell>
        </row>
        <row r="82">
          <cell r="AO82" t="str">
            <v>SMALL COMMERCIAL AND USL - PER METER</v>
          </cell>
          <cell r="AP82" t="str">
            <v>kWh</v>
          </cell>
        </row>
        <row r="83">
          <cell r="AO83" t="str">
            <v>STANDARD A GENERAL SERVICE AIR ACCESS</v>
          </cell>
          <cell r="AP83" t="str">
            <v>kWh</v>
          </cell>
        </row>
        <row r="84">
          <cell r="AO84" t="str">
            <v>STANDARD A GENERAL SERVICE ROAD/RAIL</v>
          </cell>
          <cell r="AP84" t="str">
            <v>kWh</v>
          </cell>
        </row>
        <row r="85">
          <cell r="AO85" t="str">
            <v>STANDARD A GRID CONNECTED</v>
          </cell>
          <cell r="AP85" t="str">
            <v>kWh</v>
          </cell>
        </row>
        <row r="86">
          <cell r="AO86" t="str">
            <v>STANDARD A RESIDENTIAL AIR ACCESS</v>
          </cell>
          <cell r="AP86" t="str">
            <v>kWh</v>
          </cell>
        </row>
        <row r="87">
          <cell r="AO87" t="str">
            <v>STANDARD A RESIDENTIAL ROAD/RAIL</v>
          </cell>
          <cell r="AP87" t="str">
            <v>kWh</v>
          </cell>
        </row>
        <row r="88">
          <cell r="AO88" t="str">
            <v>STANDBY - GENERAL SERVICE 1,000 - 5,000 KW</v>
          </cell>
          <cell r="AP88" t="str">
            <v>kW</v>
          </cell>
        </row>
        <row r="89">
          <cell r="AO89" t="str">
            <v>STANDBY - GENERAL SERVICE 50 - 1,000 KW</v>
          </cell>
          <cell r="AP89" t="str">
            <v>kW</v>
          </cell>
        </row>
        <row r="90">
          <cell r="AO90" t="str">
            <v>STANDBY - LARGE USE</v>
          </cell>
          <cell r="AP90" t="str">
            <v>kW</v>
          </cell>
        </row>
        <row r="91">
          <cell r="AO91" t="str">
            <v>STANDBY DISTRIBUTION SERVICE</v>
          </cell>
          <cell r="AP91" t="str">
            <v>kW</v>
          </cell>
        </row>
        <row r="92">
          <cell r="AO92" t="str">
            <v>STANDBY POWER</v>
          </cell>
          <cell r="AP92" t="str">
            <v>kW</v>
          </cell>
        </row>
        <row r="93">
          <cell r="AO93" t="str">
            <v>STANDBY POWER - APPROVED ON AN INTERIM BASIS</v>
          </cell>
          <cell r="AP93" t="str">
            <v>kW</v>
          </cell>
        </row>
        <row r="94">
          <cell r="AO94" t="str">
            <v>STANDBY POWER GENERAL SERVICE 1,500 TO 4,999 KW</v>
          </cell>
          <cell r="AP94" t="str">
            <v>kW</v>
          </cell>
        </row>
        <row r="95">
          <cell r="AO95" t="str">
            <v>STANDBY POWER GENERAL SERVICE 50 TO 1,499 KW</v>
          </cell>
          <cell r="AP95" t="str">
            <v>kW</v>
          </cell>
        </row>
        <row r="96">
          <cell r="AO96" t="str">
            <v>STANDBY POWER GENERAL SERVICE LARGE USE</v>
          </cell>
          <cell r="AP96" t="str">
            <v>kW</v>
          </cell>
        </row>
        <row r="97">
          <cell r="AO97" t="str">
            <v>STREET LIGHTING</v>
          </cell>
          <cell r="AP97" t="str">
            <v>kW</v>
          </cell>
        </row>
        <row r="98">
          <cell r="AO98" t="str">
            <v>SUB TRANSMISSION [ST]</v>
          </cell>
          <cell r="AP98" t="str">
            <v>kW</v>
          </cell>
        </row>
        <row r="99">
          <cell r="AO99" t="str">
            <v>UNMETERED SCATTERED LOAD</v>
          </cell>
          <cell r="AP99" t="str">
            <v>kWh</v>
          </cell>
        </row>
        <row r="100">
          <cell r="AO100" t="str">
            <v>URBAN GENERAL SERVICE DEMAND BILLED (50 KW AND ABOVE) [UGD]</v>
          </cell>
          <cell r="AP100" t="str">
            <v>kW</v>
          </cell>
        </row>
        <row r="101">
          <cell r="AO101" t="str">
            <v>URBAN GENERAL SERVICE ENERGY BILLED (LESS THAN 50 KW) [UGE]</v>
          </cell>
          <cell r="AP101" t="str">
            <v>kWh</v>
          </cell>
        </row>
        <row r="102">
          <cell r="AO102" t="str">
            <v>WESTPORT SEWAGE TREATMENT PLANT</v>
          </cell>
          <cell r="AP102" t="str">
            <v>kW</v>
          </cell>
        </row>
        <row r="103">
          <cell r="AO103" t="str">
            <v>YEAR-ROUND RESIDENTIAL - R2</v>
          </cell>
          <cell r="AP103" t="str">
            <v>kWh</v>
          </cell>
        </row>
        <row r="109">
          <cell r="AO109">
            <v>0</v>
          </cell>
        </row>
        <row r="110">
          <cell r="AO110">
            <v>0</v>
          </cell>
        </row>
        <row r="111">
          <cell r="AO111">
            <v>0</v>
          </cell>
        </row>
        <row r="112">
          <cell r="AO112">
            <v>0</v>
          </cell>
        </row>
        <row r="113">
          <cell r="AO113">
            <v>0</v>
          </cell>
        </row>
        <row r="114">
          <cell r="AO114">
            <v>0</v>
          </cell>
        </row>
        <row r="115">
          <cell r="AO115">
            <v>0</v>
          </cell>
        </row>
        <row r="116">
          <cell r="AO116">
            <v>0</v>
          </cell>
        </row>
        <row r="117">
          <cell r="AO117">
            <v>0</v>
          </cell>
        </row>
        <row r="118">
          <cell r="AO118">
            <v>0</v>
          </cell>
        </row>
        <row r="119">
          <cell r="AO119">
            <v>0</v>
          </cell>
        </row>
        <row r="120">
          <cell r="AO120">
            <v>0</v>
          </cell>
        </row>
        <row r="121">
          <cell r="AO121">
            <v>0</v>
          </cell>
        </row>
        <row r="122">
          <cell r="AO122">
            <v>0</v>
          </cell>
        </row>
        <row r="123">
          <cell r="AO123">
            <v>0</v>
          </cell>
        </row>
        <row r="124">
          <cell r="AO124">
            <v>0</v>
          </cell>
        </row>
        <row r="125">
          <cell r="AO125">
            <v>0</v>
          </cell>
        </row>
        <row r="126">
          <cell r="AO126">
            <v>0</v>
          </cell>
        </row>
        <row r="127">
          <cell r="AO127">
            <v>0</v>
          </cell>
        </row>
        <row r="128">
          <cell r="AO128">
            <v>0</v>
          </cell>
        </row>
        <row r="129">
          <cell r="AO129">
            <v>0</v>
          </cell>
        </row>
        <row r="130">
          <cell r="AO130">
            <v>0</v>
          </cell>
        </row>
        <row r="131">
          <cell r="AO131">
            <v>0</v>
          </cell>
        </row>
        <row r="132">
          <cell r="AO132">
            <v>0</v>
          </cell>
        </row>
        <row r="133">
          <cell r="AO133">
            <v>0</v>
          </cell>
        </row>
        <row r="134">
          <cell r="AO134">
            <v>0</v>
          </cell>
        </row>
        <row r="135">
          <cell r="AO135">
            <v>0</v>
          </cell>
        </row>
        <row r="136">
          <cell r="AO136">
            <v>0</v>
          </cell>
        </row>
        <row r="137">
          <cell r="AO137">
            <v>0</v>
          </cell>
        </row>
        <row r="138">
          <cell r="AO138">
            <v>0</v>
          </cell>
        </row>
        <row r="139">
          <cell r="AO139">
            <v>0</v>
          </cell>
        </row>
        <row r="140">
          <cell r="AO140">
            <v>0</v>
          </cell>
        </row>
        <row r="141">
          <cell r="AO141">
            <v>0</v>
          </cell>
        </row>
        <row r="142">
          <cell r="AO142">
            <v>0</v>
          </cell>
        </row>
        <row r="143">
          <cell r="AO143">
            <v>0</v>
          </cell>
        </row>
        <row r="144">
          <cell r="AO144">
            <v>0</v>
          </cell>
        </row>
        <row r="145">
          <cell r="AO145">
            <v>0</v>
          </cell>
        </row>
        <row r="146">
          <cell r="AO146">
            <v>0</v>
          </cell>
        </row>
        <row r="147">
          <cell r="AO147">
            <v>0</v>
          </cell>
        </row>
        <row r="148">
          <cell r="AO148">
            <v>0</v>
          </cell>
        </row>
        <row r="149">
          <cell r="AO149">
            <v>0</v>
          </cell>
        </row>
        <row r="150">
          <cell r="AO150">
            <v>0</v>
          </cell>
        </row>
        <row r="151">
          <cell r="AO151">
            <v>0</v>
          </cell>
        </row>
        <row r="152">
          <cell r="AO152">
            <v>0</v>
          </cell>
        </row>
        <row r="153">
          <cell r="AO153">
            <v>0</v>
          </cell>
        </row>
        <row r="154">
          <cell r="AO154">
            <v>0</v>
          </cell>
        </row>
        <row r="155">
          <cell r="AO155">
            <v>0</v>
          </cell>
        </row>
        <row r="156">
          <cell r="AO156">
            <v>0</v>
          </cell>
        </row>
        <row r="157">
          <cell r="AO157">
            <v>0</v>
          </cell>
        </row>
        <row r="158">
          <cell r="AO158">
            <v>0</v>
          </cell>
        </row>
        <row r="159">
          <cell r="AO159">
            <v>0</v>
          </cell>
        </row>
        <row r="160">
          <cell r="AO160">
            <v>0</v>
          </cell>
        </row>
        <row r="161">
          <cell r="AO161">
            <v>0</v>
          </cell>
        </row>
        <row r="162">
          <cell r="AO162">
            <v>0</v>
          </cell>
        </row>
        <row r="163">
          <cell r="AO163">
            <v>0</v>
          </cell>
        </row>
        <row r="164">
          <cell r="AO164">
            <v>0</v>
          </cell>
        </row>
        <row r="165">
          <cell r="AO165">
            <v>0</v>
          </cell>
        </row>
        <row r="166">
          <cell r="AO166">
            <v>0</v>
          </cell>
        </row>
        <row r="167">
          <cell r="AO167">
            <v>0</v>
          </cell>
        </row>
        <row r="168">
          <cell r="AO168">
            <v>0</v>
          </cell>
        </row>
        <row r="169">
          <cell r="AO169">
            <v>0</v>
          </cell>
        </row>
        <row r="170">
          <cell r="AO170">
            <v>0</v>
          </cell>
        </row>
        <row r="171">
          <cell r="AO171">
            <v>0</v>
          </cell>
        </row>
        <row r="172">
          <cell r="AO172">
            <v>0</v>
          </cell>
        </row>
        <row r="173">
          <cell r="AO173">
            <v>0</v>
          </cell>
        </row>
        <row r="174">
          <cell r="AO174">
            <v>0</v>
          </cell>
        </row>
        <row r="175">
          <cell r="AO175">
            <v>0</v>
          </cell>
        </row>
        <row r="176">
          <cell r="AO176">
            <v>0</v>
          </cell>
        </row>
        <row r="177">
          <cell r="AO177">
            <v>0</v>
          </cell>
        </row>
        <row r="178">
          <cell r="AO178">
            <v>0</v>
          </cell>
        </row>
        <row r="179">
          <cell r="AO179">
            <v>0</v>
          </cell>
        </row>
        <row r="180">
          <cell r="AO180">
            <v>0</v>
          </cell>
        </row>
        <row r="181">
          <cell r="AO181">
            <v>0</v>
          </cell>
        </row>
        <row r="182">
          <cell r="AO182">
            <v>0</v>
          </cell>
        </row>
        <row r="183">
          <cell r="AO183">
            <v>0</v>
          </cell>
        </row>
        <row r="184">
          <cell r="AO184">
            <v>0</v>
          </cell>
        </row>
        <row r="185">
          <cell r="AO185">
            <v>0</v>
          </cell>
        </row>
        <row r="186">
          <cell r="AO186">
            <v>0</v>
          </cell>
        </row>
        <row r="187">
          <cell r="AO187">
            <v>0</v>
          </cell>
        </row>
        <row r="188">
          <cell r="AO188">
            <v>0</v>
          </cell>
        </row>
        <row r="189">
          <cell r="AO189">
            <v>0</v>
          </cell>
        </row>
        <row r="190">
          <cell r="AO190">
            <v>0</v>
          </cell>
        </row>
        <row r="191">
          <cell r="AO191">
            <v>0</v>
          </cell>
        </row>
        <row r="192">
          <cell r="AO192">
            <v>0</v>
          </cell>
        </row>
        <row r="193">
          <cell r="AO193">
            <v>0</v>
          </cell>
        </row>
        <row r="194">
          <cell r="AO194">
            <v>0</v>
          </cell>
        </row>
        <row r="195">
          <cell r="AO195">
            <v>0</v>
          </cell>
        </row>
        <row r="196">
          <cell r="AO196">
            <v>0</v>
          </cell>
        </row>
        <row r="197">
          <cell r="AO197">
            <v>0</v>
          </cell>
        </row>
        <row r="198">
          <cell r="AO198">
            <v>0</v>
          </cell>
        </row>
        <row r="199">
          <cell r="AO199">
            <v>0</v>
          </cell>
        </row>
        <row r="200">
          <cell r="AO200">
            <v>0</v>
          </cell>
        </row>
        <row r="201">
          <cell r="AO201">
            <v>0</v>
          </cell>
        </row>
        <row r="202">
          <cell r="AO202">
            <v>0</v>
          </cell>
        </row>
        <row r="203">
          <cell r="AO203">
            <v>0</v>
          </cell>
        </row>
        <row r="204">
          <cell r="AO204">
            <v>0</v>
          </cell>
        </row>
        <row r="205">
          <cell r="AO205">
            <v>0</v>
          </cell>
        </row>
        <row r="206">
          <cell r="AO206">
            <v>0</v>
          </cell>
        </row>
        <row r="207">
          <cell r="AO207">
            <v>0</v>
          </cell>
        </row>
        <row r="208">
          <cell r="AO208">
            <v>0</v>
          </cell>
        </row>
        <row r="209">
          <cell r="AO209">
            <v>0</v>
          </cell>
        </row>
        <row r="210">
          <cell r="AO210">
            <v>0</v>
          </cell>
        </row>
        <row r="211">
          <cell r="AO211">
            <v>0</v>
          </cell>
        </row>
        <row r="212">
          <cell r="AO212">
            <v>0</v>
          </cell>
        </row>
        <row r="213">
          <cell r="AO213">
            <v>0</v>
          </cell>
        </row>
        <row r="214">
          <cell r="AO214">
            <v>0</v>
          </cell>
        </row>
        <row r="215">
          <cell r="AO215">
            <v>0</v>
          </cell>
        </row>
        <row r="216">
          <cell r="AO216">
            <v>0</v>
          </cell>
        </row>
        <row r="217">
          <cell r="AO217">
            <v>0</v>
          </cell>
        </row>
        <row r="218">
          <cell r="AO218">
            <v>0</v>
          </cell>
        </row>
        <row r="219">
          <cell r="AO219">
            <v>0</v>
          </cell>
        </row>
        <row r="220">
          <cell r="AO220">
            <v>0</v>
          </cell>
        </row>
        <row r="221">
          <cell r="AO221">
            <v>0</v>
          </cell>
        </row>
        <row r="222">
          <cell r="AO222">
            <v>0</v>
          </cell>
        </row>
        <row r="223">
          <cell r="AO223">
            <v>0</v>
          </cell>
        </row>
        <row r="224">
          <cell r="AO224">
            <v>0</v>
          </cell>
        </row>
        <row r="225">
          <cell r="AO225">
            <v>0</v>
          </cell>
        </row>
        <row r="226">
          <cell r="AO226">
            <v>0</v>
          </cell>
        </row>
        <row r="227">
          <cell r="AO227">
            <v>0</v>
          </cell>
        </row>
        <row r="228">
          <cell r="AO228">
            <v>0</v>
          </cell>
        </row>
        <row r="229">
          <cell r="AO229">
            <v>0</v>
          </cell>
        </row>
        <row r="230">
          <cell r="AO230">
            <v>0</v>
          </cell>
        </row>
        <row r="231">
          <cell r="AO231">
            <v>0</v>
          </cell>
        </row>
        <row r="232">
          <cell r="AO232">
            <v>0</v>
          </cell>
        </row>
        <row r="233">
          <cell r="AO233">
            <v>0</v>
          </cell>
        </row>
        <row r="234">
          <cell r="AO234">
            <v>0</v>
          </cell>
        </row>
        <row r="235">
          <cell r="AO235">
            <v>0</v>
          </cell>
        </row>
        <row r="236">
          <cell r="AO236">
            <v>0</v>
          </cell>
        </row>
        <row r="237">
          <cell r="AO237">
            <v>0</v>
          </cell>
        </row>
        <row r="238">
          <cell r="AO238">
            <v>0</v>
          </cell>
        </row>
        <row r="239">
          <cell r="AO239">
            <v>0</v>
          </cell>
        </row>
        <row r="240">
          <cell r="AO240">
            <v>0</v>
          </cell>
        </row>
        <row r="241">
          <cell r="AO241">
            <v>0</v>
          </cell>
        </row>
        <row r="242">
          <cell r="AO242">
            <v>0</v>
          </cell>
        </row>
        <row r="243">
          <cell r="AO243">
            <v>0</v>
          </cell>
        </row>
        <row r="244">
          <cell r="AO244">
            <v>0</v>
          </cell>
        </row>
        <row r="245">
          <cell r="AO245">
            <v>0</v>
          </cell>
        </row>
        <row r="246">
          <cell r="AO246">
            <v>0</v>
          </cell>
        </row>
        <row r="247">
          <cell r="AO247">
            <v>0</v>
          </cell>
        </row>
        <row r="248">
          <cell r="AO248">
            <v>0</v>
          </cell>
        </row>
        <row r="249">
          <cell r="AO249">
            <v>0</v>
          </cell>
        </row>
        <row r="250">
          <cell r="AO250">
            <v>0</v>
          </cell>
        </row>
        <row r="251">
          <cell r="AO251">
            <v>0</v>
          </cell>
        </row>
        <row r="252">
          <cell r="AO252">
            <v>0</v>
          </cell>
        </row>
        <row r="253">
          <cell r="AO253">
            <v>0</v>
          </cell>
        </row>
        <row r="254">
          <cell r="AO254">
            <v>0</v>
          </cell>
        </row>
        <row r="255">
          <cell r="AO255">
            <v>0</v>
          </cell>
        </row>
        <row r="256">
          <cell r="AO256">
            <v>0</v>
          </cell>
        </row>
        <row r="257">
          <cell r="AO257">
            <v>0</v>
          </cell>
        </row>
        <row r="258">
          <cell r="AO258">
            <v>0</v>
          </cell>
        </row>
        <row r="259">
          <cell r="AO259">
            <v>0</v>
          </cell>
        </row>
        <row r="260">
          <cell r="AO260">
            <v>0</v>
          </cell>
        </row>
        <row r="261">
          <cell r="AO261">
            <v>0</v>
          </cell>
        </row>
        <row r="262">
          <cell r="AO262">
            <v>0</v>
          </cell>
        </row>
        <row r="263">
          <cell r="AO263">
            <v>0</v>
          </cell>
        </row>
        <row r="264">
          <cell r="AO264">
            <v>0</v>
          </cell>
        </row>
        <row r="265">
          <cell r="AO265">
            <v>0</v>
          </cell>
        </row>
        <row r="266">
          <cell r="AO266">
            <v>0</v>
          </cell>
        </row>
        <row r="267">
          <cell r="AO267">
            <v>0</v>
          </cell>
        </row>
        <row r="268">
          <cell r="AO268">
            <v>0</v>
          </cell>
        </row>
        <row r="269">
          <cell r="AO269">
            <v>0</v>
          </cell>
        </row>
        <row r="270">
          <cell r="AO270">
            <v>0</v>
          </cell>
        </row>
        <row r="271">
          <cell r="AO271">
            <v>0</v>
          </cell>
        </row>
        <row r="272">
          <cell r="AO272">
            <v>0</v>
          </cell>
        </row>
        <row r="273">
          <cell r="AO273">
            <v>0</v>
          </cell>
        </row>
        <row r="274">
          <cell r="AO274">
            <v>0</v>
          </cell>
        </row>
        <row r="275">
          <cell r="AO275">
            <v>0</v>
          </cell>
        </row>
        <row r="276">
          <cell r="AO276">
            <v>0</v>
          </cell>
        </row>
        <row r="277">
          <cell r="AO277">
            <v>0</v>
          </cell>
        </row>
        <row r="278">
          <cell r="AO278">
            <v>0</v>
          </cell>
        </row>
        <row r="279">
          <cell r="AO279">
            <v>0</v>
          </cell>
        </row>
        <row r="280">
          <cell r="AO280">
            <v>0</v>
          </cell>
        </row>
        <row r="281">
          <cell r="AO281">
            <v>0</v>
          </cell>
        </row>
        <row r="282">
          <cell r="AO282">
            <v>0</v>
          </cell>
        </row>
        <row r="283">
          <cell r="AO283">
            <v>0</v>
          </cell>
        </row>
        <row r="284">
          <cell r="AO284">
            <v>0</v>
          </cell>
        </row>
        <row r="285">
          <cell r="AO285">
            <v>0</v>
          </cell>
        </row>
        <row r="286">
          <cell r="AO286">
            <v>0</v>
          </cell>
        </row>
        <row r="287">
          <cell r="AO287">
            <v>0</v>
          </cell>
        </row>
        <row r="288">
          <cell r="AO288">
            <v>0</v>
          </cell>
        </row>
        <row r="289">
          <cell r="AO289">
            <v>0</v>
          </cell>
        </row>
        <row r="290">
          <cell r="AO290">
            <v>0</v>
          </cell>
        </row>
        <row r="291">
          <cell r="AO291">
            <v>0</v>
          </cell>
        </row>
        <row r="292">
          <cell r="AO292">
            <v>0</v>
          </cell>
        </row>
        <row r="293">
          <cell r="AO293">
            <v>0</v>
          </cell>
        </row>
        <row r="294">
          <cell r="AO294">
            <v>0</v>
          </cell>
        </row>
        <row r="295">
          <cell r="AO295">
            <v>0</v>
          </cell>
        </row>
        <row r="296">
          <cell r="AO296">
            <v>0</v>
          </cell>
        </row>
        <row r="297">
          <cell r="AO297">
            <v>0</v>
          </cell>
        </row>
        <row r="298">
          <cell r="AO298">
            <v>0</v>
          </cell>
        </row>
        <row r="299">
          <cell r="AO299">
            <v>0</v>
          </cell>
        </row>
        <row r="300">
          <cell r="AO300">
            <v>0</v>
          </cell>
        </row>
        <row r="301">
          <cell r="AO301">
            <v>0</v>
          </cell>
        </row>
        <row r="302">
          <cell r="AO302">
            <v>0</v>
          </cell>
        </row>
        <row r="303">
          <cell r="AO303">
            <v>0</v>
          </cell>
        </row>
        <row r="304">
          <cell r="AO304">
            <v>0</v>
          </cell>
        </row>
        <row r="305">
          <cell r="AO305">
            <v>0</v>
          </cell>
        </row>
        <row r="306">
          <cell r="AO306">
            <v>0</v>
          </cell>
        </row>
        <row r="307">
          <cell r="AO307">
            <v>0</v>
          </cell>
        </row>
        <row r="308">
          <cell r="AO308">
            <v>0</v>
          </cell>
        </row>
        <row r="309">
          <cell r="AO309">
            <v>0</v>
          </cell>
        </row>
        <row r="310">
          <cell r="AO310">
            <v>0</v>
          </cell>
        </row>
        <row r="311">
          <cell r="AO311">
            <v>0</v>
          </cell>
        </row>
        <row r="312">
          <cell r="AO312">
            <v>0</v>
          </cell>
        </row>
        <row r="313">
          <cell r="AO313">
            <v>0</v>
          </cell>
        </row>
        <row r="314">
          <cell r="AO314">
            <v>0</v>
          </cell>
        </row>
        <row r="315">
          <cell r="AO315">
            <v>0</v>
          </cell>
        </row>
        <row r="316">
          <cell r="AO316">
            <v>0</v>
          </cell>
        </row>
        <row r="317">
          <cell r="AO317">
            <v>0</v>
          </cell>
        </row>
        <row r="318">
          <cell r="AO318">
            <v>0</v>
          </cell>
        </row>
        <row r="319">
          <cell r="AO319">
            <v>0</v>
          </cell>
        </row>
        <row r="320">
          <cell r="AO320">
            <v>0</v>
          </cell>
        </row>
      </sheetData>
      <sheetData sheetId="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 Calc 2012"/>
      <sheetName val="Summary"/>
      <sheetName val="GA Calc 2014"/>
      <sheetName val="GA Calc 2013"/>
      <sheetName val="6.3GA COS COP"/>
      <sheetName val="GA Split"/>
      <sheetName val="6.2.GA 2012 Balances"/>
      <sheetName val="Total GA Rev"/>
      <sheetName val="2013 GA Units Billed"/>
      <sheetName val="2014 GA Units Billed"/>
    </sheetNames>
    <sheetDataSet>
      <sheetData sheetId="0"/>
      <sheetData sheetId="1"/>
      <sheetData sheetId="2">
        <row r="9">
          <cell r="C9">
            <v>-246552828.86000001</v>
          </cell>
          <cell r="D9">
            <v>254552255.52000004</v>
          </cell>
          <cell r="F9">
            <v>147392.43188524409</v>
          </cell>
        </row>
        <row r="28">
          <cell r="B28">
            <v>91130678.730000257</v>
          </cell>
          <cell r="E28">
            <v>91130678.730000257</v>
          </cell>
        </row>
        <row r="29">
          <cell r="B29">
            <v>107176499.05999982</v>
          </cell>
          <cell r="E29">
            <v>107176499.05999982</v>
          </cell>
        </row>
        <row r="30">
          <cell r="B30">
            <v>523144.30000000075</v>
          </cell>
          <cell r="E30">
            <v>523144.30000000075</v>
          </cell>
        </row>
        <row r="31">
          <cell r="B31">
            <v>1752642348.2656724</v>
          </cell>
          <cell r="E31">
            <v>5037410.9099356355</v>
          </cell>
        </row>
        <row r="32">
          <cell r="B32">
            <v>1886579901.8248036</v>
          </cell>
          <cell r="E32">
            <v>4290085.9788892148</v>
          </cell>
        </row>
        <row r="33">
          <cell r="B33">
            <v>81732248.567619562</v>
          </cell>
          <cell r="E33">
            <v>161243.07400000002</v>
          </cell>
        </row>
        <row r="34">
          <cell r="B34">
            <v>31923315.475764602</v>
          </cell>
          <cell r="E34">
            <v>90306.301017051665</v>
          </cell>
        </row>
      </sheetData>
      <sheetData sheetId="3">
        <row r="10">
          <cell r="C10">
            <v>-113105826.73999999</v>
          </cell>
          <cell r="D10">
            <v>113739517.21305354</v>
          </cell>
          <cell r="F10">
            <v>23259.090100681195</v>
          </cell>
        </row>
        <row r="11">
          <cell r="C11">
            <v>-133568329.02</v>
          </cell>
          <cell r="D11">
            <v>136096056.68286884</v>
          </cell>
          <cell r="F11">
            <v>92778.173631719692</v>
          </cell>
        </row>
        <row r="17">
          <cell r="B17">
            <v>206668430.17667073</v>
          </cell>
          <cell r="E17">
            <v>491081.30119971244</v>
          </cell>
        </row>
        <row r="18">
          <cell r="B18">
            <v>1476480255.478559</v>
          </cell>
          <cell r="E18">
            <v>3232315.9599467958</v>
          </cell>
        </row>
        <row r="19">
          <cell r="B19">
            <v>81732248.567619562</v>
          </cell>
          <cell r="E19">
            <v>161243.07400000002</v>
          </cell>
        </row>
        <row r="20">
          <cell r="B20">
            <v>31923315.475764602</v>
          </cell>
          <cell r="E20">
            <v>90306.301017051665</v>
          </cell>
        </row>
        <row r="26">
          <cell r="B26">
            <v>91130678.730000257</v>
          </cell>
          <cell r="E26">
            <v>91130678.730000257</v>
          </cell>
        </row>
        <row r="27">
          <cell r="B27">
            <v>107176499.05999982</v>
          </cell>
          <cell r="E27">
            <v>107176499.05999982</v>
          </cell>
        </row>
        <row r="28">
          <cell r="B28">
            <v>523144.30000000075</v>
          </cell>
          <cell r="E28">
            <v>523144.30000000075</v>
          </cell>
        </row>
        <row r="29">
          <cell r="B29">
            <v>1545973918.0890017</v>
          </cell>
          <cell r="E29">
            <v>4546329.6087359227</v>
          </cell>
        </row>
        <row r="30">
          <cell r="B30">
            <v>410099646.34624451</v>
          </cell>
          <cell r="E30">
            <v>1057770.018942419</v>
          </cell>
        </row>
      </sheetData>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Historical Wholesale"/>
      <sheetName val="Historical Wholesale"/>
      <sheetName val="Notes"/>
      <sheetName val="H1 copy sheet"/>
      <sheetName val="Hydro 1 Details"/>
      <sheetName val="IESO data and rec"/>
      <sheetName val="IESO Jan "/>
      <sheetName val="IESO Feb "/>
      <sheetName val="IESO Mar "/>
      <sheetName val="IESO Apr "/>
      <sheetName val="IESO May"/>
      <sheetName val="IESO June"/>
      <sheetName val="IESO July"/>
      <sheetName val="IESO Aug "/>
      <sheetName val="IESO Sept"/>
      <sheetName val="IESO Oct "/>
      <sheetName val="IESO Nov "/>
      <sheetName val="IESO Dec "/>
    </sheetNames>
    <sheetDataSet>
      <sheetData sheetId="0"/>
      <sheetData sheetId="1">
        <row r="8">
          <cell r="D8">
            <v>1001207</v>
          </cell>
          <cell r="F8">
            <v>3824610.74</v>
          </cell>
          <cell r="H8">
            <v>1082897</v>
          </cell>
          <cell r="J8">
            <v>887975.54</v>
          </cell>
          <cell r="L8">
            <v>1082897</v>
          </cell>
          <cell r="N8">
            <v>2144136.06</v>
          </cell>
        </row>
        <row r="9">
          <cell r="D9">
            <v>979472</v>
          </cell>
          <cell r="F9">
            <v>3741583.04</v>
          </cell>
          <cell r="H9">
            <v>1007682</v>
          </cell>
          <cell r="J9">
            <v>826299.24</v>
          </cell>
          <cell r="L9">
            <v>1007682</v>
          </cell>
          <cell r="N9">
            <v>1995210.36</v>
          </cell>
        </row>
        <row r="10">
          <cell r="D10">
            <v>994433</v>
          </cell>
          <cell r="F10">
            <v>3798734.06</v>
          </cell>
          <cell r="H10">
            <v>1035492</v>
          </cell>
          <cell r="J10">
            <v>849103.44</v>
          </cell>
          <cell r="L10">
            <v>1035492</v>
          </cell>
          <cell r="N10">
            <v>2050274.16</v>
          </cell>
        </row>
        <row r="11">
          <cell r="D11">
            <v>817739</v>
          </cell>
          <cell r="F11">
            <v>3123762.98</v>
          </cell>
          <cell r="H11">
            <v>909948</v>
          </cell>
          <cell r="J11">
            <v>746157.36</v>
          </cell>
          <cell r="L11">
            <v>909948</v>
          </cell>
          <cell r="N11">
            <v>1801697.04</v>
          </cell>
        </row>
        <row r="12">
          <cell r="D12">
            <v>978209</v>
          </cell>
          <cell r="F12">
            <v>3736758.38</v>
          </cell>
          <cell r="H12">
            <v>1011835</v>
          </cell>
          <cell r="J12">
            <v>829704.7</v>
          </cell>
          <cell r="L12">
            <v>1011835</v>
          </cell>
          <cell r="N12">
            <v>2003433.3</v>
          </cell>
        </row>
        <row r="13">
          <cell r="D13">
            <v>1112607</v>
          </cell>
          <cell r="F13">
            <v>4250158.74</v>
          </cell>
          <cell r="H13">
            <v>1148096</v>
          </cell>
          <cell r="J13">
            <v>941438.72</v>
          </cell>
          <cell r="L13">
            <v>1148096</v>
          </cell>
          <cell r="N13">
            <v>2273230.08</v>
          </cell>
        </row>
        <row r="14">
          <cell r="D14">
            <v>1088544</v>
          </cell>
          <cell r="F14">
            <v>4158238.08</v>
          </cell>
          <cell r="H14">
            <v>1170061</v>
          </cell>
          <cell r="J14">
            <v>959450.02</v>
          </cell>
          <cell r="L14">
            <v>1170061</v>
          </cell>
          <cell r="N14">
            <v>2316720.7799999998</v>
          </cell>
        </row>
        <row r="15">
          <cell r="D15">
            <v>1109138</v>
          </cell>
          <cell r="F15">
            <v>4236907.16</v>
          </cell>
          <cell r="H15">
            <v>1172206</v>
          </cell>
          <cell r="J15">
            <v>961208.92</v>
          </cell>
          <cell r="L15">
            <v>1172206</v>
          </cell>
          <cell r="N15">
            <v>2320967.88</v>
          </cell>
        </row>
        <row r="16">
          <cell r="D16">
            <v>1118697</v>
          </cell>
          <cell r="F16">
            <v>4273422.54</v>
          </cell>
          <cell r="H16">
            <v>1191336</v>
          </cell>
          <cell r="J16">
            <v>976895.52</v>
          </cell>
          <cell r="L16">
            <v>1191336</v>
          </cell>
          <cell r="N16">
            <v>2358845.2799999998</v>
          </cell>
        </row>
        <row r="17">
          <cell r="D17">
            <v>779641</v>
          </cell>
          <cell r="F17">
            <v>2978228.62</v>
          </cell>
          <cell r="H17">
            <v>861075</v>
          </cell>
          <cell r="J17">
            <v>706081.5</v>
          </cell>
          <cell r="L17">
            <v>861075</v>
          </cell>
          <cell r="N17">
            <v>1704928.5</v>
          </cell>
        </row>
        <row r="18">
          <cell r="D18">
            <v>883586</v>
          </cell>
          <cell r="F18">
            <v>3375298.52</v>
          </cell>
          <cell r="H18">
            <v>924602</v>
          </cell>
          <cell r="J18">
            <v>758173.64</v>
          </cell>
          <cell r="L18">
            <v>924602</v>
          </cell>
          <cell r="N18">
            <v>1830711.96</v>
          </cell>
        </row>
        <row r="19">
          <cell r="D19">
            <v>898361</v>
          </cell>
          <cell r="F19">
            <v>3431739.02</v>
          </cell>
          <cell r="H19">
            <v>951832</v>
          </cell>
          <cell r="J19">
            <v>780502.24</v>
          </cell>
          <cell r="L19">
            <v>951832</v>
          </cell>
          <cell r="N19">
            <v>1884627.36</v>
          </cell>
        </row>
        <row r="27">
          <cell r="D27">
            <v>181738.76160990712</v>
          </cell>
          <cell r="F27">
            <v>587016.19999999995</v>
          </cell>
          <cell r="H27">
            <v>154698.69162995595</v>
          </cell>
          <cell r="J27">
            <v>100554.14955947135</v>
          </cell>
          <cell r="L27">
            <v>182170.30274106708</v>
          </cell>
          <cell r="N27">
            <v>295115.89044052869</v>
          </cell>
        </row>
        <row r="28">
          <cell r="D28">
            <v>192557.33126934984</v>
          </cell>
          <cell r="F28">
            <v>621960.17999999993</v>
          </cell>
          <cell r="H28">
            <v>165682.74449339206</v>
          </cell>
          <cell r="J28">
            <v>107693.78392070482</v>
          </cell>
          <cell r="L28">
            <v>192652.73214771305</v>
          </cell>
          <cell r="N28">
            <v>312097.42607929523</v>
          </cell>
        </row>
        <row r="29">
          <cell r="D29">
            <v>202602.33126934984</v>
          </cell>
          <cell r="F29">
            <v>654405.53</v>
          </cell>
          <cell r="H29">
            <v>180392.2907488987</v>
          </cell>
          <cell r="J29">
            <v>117254.98898678413</v>
          </cell>
          <cell r="L29">
            <v>206621.5006254419</v>
          </cell>
          <cell r="N29">
            <v>334726.83101321594</v>
          </cell>
        </row>
        <row r="30">
          <cell r="D30">
            <v>166540.60061919506</v>
          </cell>
          <cell r="F30">
            <v>537926.14</v>
          </cell>
          <cell r="H30">
            <v>144559.44052863435</v>
          </cell>
          <cell r="J30">
            <v>93963.636343612321</v>
          </cell>
          <cell r="L30">
            <v>168920.52077554795</v>
          </cell>
          <cell r="N30">
            <v>273651.24365638767</v>
          </cell>
        </row>
        <row r="31">
          <cell r="D31">
            <v>175339.23219814239</v>
          </cell>
          <cell r="F31">
            <v>566345.72</v>
          </cell>
          <cell r="H31">
            <v>149643.2907488987</v>
          </cell>
          <cell r="J31">
            <v>97268.138986784121</v>
          </cell>
          <cell r="L31">
            <v>175339.22902050364</v>
          </cell>
          <cell r="N31">
            <v>284049.55101321585</v>
          </cell>
        </row>
        <row r="32">
          <cell r="D32">
            <v>190788.86068111454</v>
          </cell>
          <cell r="F32">
            <v>616248.02</v>
          </cell>
          <cell r="H32">
            <v>165636.79295154184</v>
          </cell>
          <cell r="J32">
            <v>107663.91541850218</v>
          </cell>
          <cell r="L32">
            <v>191707.29295154184</v>
          </cell>
          <cell r="N32">
            <v>310565.81458149781</v>
          </cell>
        </row>
        <row r="33">
          <cell r="D33">
            <v>204732.9907120743</v>
          </cell>
          <cell r="F33">
            <v>661287.56000000006</v>
          </cell>
          <cell r="H33">
            <v>188738.39647577092</v>
          </cell>
          <cell r="J33">
            <v>122679.95770925109</v>
          </cell>
          <cell r="L33">
            <v>213299.72363626474</v>
          </cell>
          <cell r="N33">
            <v>345545.55229074892</v>
          </cell>
        </row>
        <row r="34">
          <cell r="D34">
            <v>213424.959752322</v>
          </cell>
          <cell r="F34">
            <v>689362.62</v>
          </cell>
          <cell r="H34">
            <v>190968.84140969161</v>
          </cell>
          <cell r="J34">
            <v>124129.74691629954</v>
          </cell>
          <cell r="L34">
            <v>217387.77968129655</v>
          </cell>
          <cell r="N34">
            <v>352168.20308370044</v>
          </cell>
        </row>
        <row r="35">
          <cell r="D35">
            <v>174637.5882352941</v>
          </cell>
          <cell r="F35">
            <v>564079.41</v>
          </cell>
          <cell r="H35">
            <v>182639.75770925111</v>
          </cell>
          <cell r="J35">
            <v>118715.84251101321</v>
          </cell>
          <cell r="L35">
            <v>205793.03548702889</v>
          </cell>
          <cell r="N35">
            <v>333384.71748898679</v>
          </cell>
        </row>
        <row r="36">
          <cell r="D36">
            <v>188731.26315789475</v>
          </cell>
          <cell r="F36">
            <v>609601.98</v>
          </cell>
          <cell r="H36">
            <v>166409.66960352423</v>
          </cell>
          <cell r="J36">
            <v>108166.28524229075</v>
          </cell>
          <cell r="L36">
            <v>189008.65108500572</v>
          </cell>
          <cell r="N36">
            <v>306194.01475770929</v>
          </cell>
        </row>
        <row r="37">
          <cell r="D37">
            <v>185233.22910216718</v>
          </cell>
          <cell r="F37">
            <v>598303.32999999996</v>
          </cell>
          <cell r="H37">
            <v>160720.7488986784</v>
          </cell>
          <cell r="J37">
            <v>104468.48678414096</v>
          </cell>
          <cell r="L37">
            <v>185727.89087398705</v>
          </cell>
          <cell r="N37">
            <v>300879.18321585906</v>
          </cell>
        </row>
        <row r="38">
          <cell r="D38">
            <v>217217.4303405573</v>
          </cell>
          <cell r="F38">
            <v>701612.3</v>
          </cell>
          <cell r="H38">
            <v>191453.65198237885</v>
          </cell>
          <cell r="J38">
            <v>124444.87378854623</v>
          </cell>
          <cell r="L38">
            <v>217217.42976015664</v>
          </cell>
          <cell r="N38">
            <v>351892.2362114538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Hidden"/>
      <sheetName val="6. hidden"/>
      <sheetName val="4. Growth Factor - NUM_CALC1"/>
      <sheetName val="5. Growth Factor - NUM_CALC2"/>
      <sheetName val="9. STS - Billing Det &amp; Rate HID"/>
      <sheetName val="6. Rev_Requ_Check"/>
      <sheetName val="7. Growth Factor - DEN_CALC"/>
      <sheetName val="7. Load Actual - HID"/>
      <sheetName val="8. Revenue Proportions"/>
      <sheetName val="8. Current Revenue - HID"/>
      <sheetName val="9. Threshold Test"/>
      <sheetName val="24. hidden"/>
      <sheetName val="lists"/>
      <sheetName val="Sheet1"/>
      <sheetName val="10a. Proposed ACM Projects"/>
      <sheetName val="10b. Proposed ACM ICM Projects"/>
      <sheetName val="11. Incremental Capital Adj."/>
      <sheetName val="12. Opt 1-Rate Rider Calc F &amp; 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7">
          <cell r="O17">
            <v>1.03</v>
          </cell>
        </row>
        <row r="18">
          <cell r="O18">
            <v>1.88</v>
          </cell>
          <cell r="P18">
            <v>5.0000000000000001E-4</v>
          </cell>
        </row>
        <row r="19">
          <cell r="O19">
            <v>3.31</v>
          </cell>
          <cell r="Q19">
            <v>0.19889999999999999</v>
          </cell>
        </row>
        <row r="20">
          <cell r="O20">
            <v>75.28</v>
          </cell>
          <cell r="Q20">
            <v>0.1024</v>
          </cell>
        </row>
        <row r="21">
          <cell r="O21">
            <v>593.53</v>
          </cell>
          <cell r="Q21">
            <v>0.12709999999999999</v>
          </cell>
        </row>
        <row r="22">
          <cell r="O22">
            <v>0.39</v>
          </cell>
          <cell r="P22">
            <v>6.9999999999999999E-4</v>
          </cell>
        </row>
        <row r="23">
          <cell r="O23">
            <v>7.0000000000000007E-2</v>
          </cell>
          <cell r="Q23">
            <v>0.49709999999999999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2016 List"/>
      <sheetName val="3. 2015 Continuity Schedule"/>
      <sheetName val="4. Billing Det. for Def-Var"/>
      <sheetName val="2.1.5 RetailerConsumptionData"/>
      <sheetName val="2.1.5 DistributrConsumptionData"/>
      <sheetName val="2.1.5 TotalConsumptionData"/>
      <sheetName val="212_Total_Connection_RollUp"/>
      <sheetName val="5. Allocating Def-Var Balances"/>
      <sheetName val="6. Calculation of Def-Var RR"/>
      <sheetName val="7. STS - Tax Change"/>
      <sheetName val="8. Shared Tax - Rate Rider"/>
      <sheetName val="9. RTSR Current Rates"/>
      <sheetName val="10. RTSR - UTRs &amp; Sub-Tx"/>
      <sheetName val="11. RTSR - Historical Wholesale"/>
      <sheetName val="12. RTSR - Current Wholesale"/>
      <sheetName val="13. RTSR - Forecast Wholesale"/>
      <sheetName val="14. RTSR Rates to Forecast"/>
      <sheetName val="15. Rev2Cost_GDPIPI"/>
      <sheetName val="16. Additional Rates"/>
      <sheetName val="17. Final Tariff Schedule"/>
      <sheetName val="18. Bill Impacts"/>
      <sheetName val="18. HIDDEN"/>
      <sheetName val="18. Bill Impacts hidden"/>
      <sheetName val="2.1.7 Filing"/>
      <sheetName val="2015 Database"/>
      <sheetName val="lists"/>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09">
          <cell r="F109">
            <v>52258313.548544593</v>
          </cell>
        </row>
        <row r="113">
          <cell r="P113">
            <v>41308711.481527999</v>
          </cell>
        </row>
      </sheetData>
      <sheetData sheetId="18">
        <row r="109">
          <cell r="F109">
            <v>52284779.97782632</v>
          </cell>
        </row>
        <row r="113">
          <cell r="P113">
            <v>41491075.570280433</v>
          </cell>
        </row>
      </sheetData>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s>
    <sheetDataSet>
      <sheetData sheetId="0"/>
      <sheetData sheetId="1"/>
      <sheetData sheetId="2"/>
      <sheetData sheetId="3"/>
      <sheetData sheetId="4"/>
      <sheetData sheetId="5">
        <row r="24">
          <cell r="BC24">
            <v>1628184.2700000007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O2" t="str">
            <v>$/kWh</v>
          </cell>
        </row>
        <row r="3">
          <cell r="O3" t="str">
            <v>$/kW</v>
          </cell>
        </row>
        <row r="4">
          <cell r="O4" t="str">
            <v>$/kVA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n RPP kwh"/>
      <sheetName val="RPP vs SPOT"/>
      <sheetName val="Summary"/>
      <sheetName val="Export Worksheet"/>
      <sheetName val="SQL"/>
      <sheetName val="Derived Units"/>
      <sheetName val="USL"/>
      <sheetName val="Class B Customers"/>
    </sheetNames>
    <sheetDataSet>
      <sheetData sheetId="0">
        <row r="8">
          <cell r="B8">
            <v>91130678.730000257</v>
          </cell>
        </row>
        <row r="9">
          <cell r="B9">
            <v>107176499.05999982</v>
          </cell>
        </row>
        <row r="10">
          <cell r="B10">
            <v>523144.30000000075</v>
          </cell>
        </row>
        <row r="11">
          <cell r="B11">
            <v>206976350.16917074</v>
          </cell>
        </row>
        <row r="12">
          <cell r="B12">
            <v>1545973918.0890017</v>
          </cell>
        </row>
        <row r="13">
          <cell r="B13">
            <v>1493950130.1724119</v>
          </cell>
        </row>
        <row r="14">
          <cell r="B14">
            <v>410099646.34624451</v>
          </cell>
        </row>
        <row r="15">
          <cell r="B15">
            <v>1002165608.5676196</v>
          </cell>
        </row>
        <row r="16">
          <cell r="B16">
            <v>31923315.475764602</v>
          </cell>
        </row>
        <row r="36">
          <cell r="B36">
            <v>1469096846.7337606</v>
          </cell>
        </row>
        <row r="37">
          <cell r="B37">
            <v>647112057.82811737</v>
          </cell>
        </row>
        <row r="38">
          <cell r="B38">
            <v>11501822.442284448</v>
          </cell>
        </row>
        <row r="39">
          <cell r="B39">
            <v>227899449.19334304</v>
          </cell>
        </row>
        <row r="40">
          <cell r="B40">
            <v>1876260805.4258852</v>
          </cell>
        </row>
        <row r="41">
          <cell r="B41">
            <v>1564221864.6893716</v>
          </cell>
        </row>
        <row r="42">
          <cell r="B42">
            <v>522814384.90648836</v>
          </cell>
        </row>
        <row r="43">
          <cell r="B43">
            <v>1002165608.5676196</v>
          </cell>
        </row>
        <row r="44">
          <cell r="B44">
            <v>31923315.475764602</v>
          </cell>
        </row>
      </sheetData>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2"/>
      <sheetName val="RPP vs SPOT"/>
      <sheetName val="Summary"/>
      <sheetName val="Export Worksheet"/>
      <sheetName val="SQL"/>
      <sheetName val="Derived Units"/>
      <sheetName val="Class B Customers"/>
    </sheetNames>
    <sheetDataSet>
      <sheetData sheetId="0">
        <row r="6">
          <cell r="D6">
            <v>503877.25119971245</v>
          </cell>
          <cell r="F6">
            <v>550626.41568362899</v>
          </cell>
        </row>
        <row r="7">
          <cell r="D7">
            <v>4546329.6087359227</v>
          </cell>
          <cell r="F7">
            <v>5485194.4224946359</v>
          </cell>
        </row>
        <row r="8">
          <cell r="D8">
            <v>3263406.1499467958</v>
          </cell>
          <cell r="F8">
            <v>3412322.0236034454</v>
          </cell>
        </row>
        <row r="9">
          <cell r="D9">
            <v>1057770.018942419</v>
          </cell>
          <cell r="F9">
            <v>1297109.7831117725</v>
          </cell>
        </row>
        <row r="11">
          <cell r="D11">
            <v>1741184.6735238209</v>
          </cell>
          <cell r="F11">
            <v>1741184.6735238209</v>
          </cell>
        </row>
        <row r="12">
          <cell r="D12">
            <v>90306.301017051665</v>
          </cell>
          <cell r="F12">
            <v>90306.301017051665</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95 Continuity Schedule"/>
      <sheetName val="Original Disposition"/>
      <sheetName val="Decision"/>
    </sheetNames>
    <sheetDataSet>
      <sheetData sheetId="0" refreshError="1">
        <row r="9">
          <cell r="AM9">
            <v>-484810.60459557635</v>
          </cell>
        </row>
        <row r="13">
          <cell r="AM13">
            <v>1263.4631770471597</v>
          </cell>
        </row>
        <row r="19">
          <cell r="AM19">
            <v>-1580116.3180812174</v>
          </cell>
        </row>
        <row r="23">
          <cell r="AM23">
            <v>-34018.208660866578</v>
          </cell>
        </row>
        <row r="28">
          <cell r="AM28">
            <v>-3191.1077442250685</v>
          </cell>
        </row>
        <row r="32">
          <cell r="AM32">
            <v>271.20685054368391</v>
          </cell>
        </row>
        <row r="38">
          <cell r="AM38">
            <v>-52044.678979833894</v>
          </cell>
        </row>
        <row r="42">
          <cell r="AM42">
            <v>6132.2680590478949</v>
          </cell>
        </row>
        <row r="49">
          <cell r="AM49">
            <v>2170</v>
          </cell>
        </row>
        <row r="55">
          <cell r="AM55">
            <v>-261347.37264029915</v>
          </cell>
        </row>
        <row r="60">
          <cell r="AM60">
            <v>-363672.88411637617</v>
          </cell>
        </row>
      </sheetData>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95 Continuity Schedule"/>
      <sheetName val="Original Disposition"/>
      <sheetName val="Decision"/>
    </sheetNames>
    <sheetDataSet>
      <sheetData sheetId="0" refreshError="1"/>
      <sheetData sheetId="1">
        <row r="9">
          <cell r="C9">
            <v>0.20753837812209611</v>
          </cell>
          <cell r="E9">
            <v>4.2492429409177496E-2</v>
          </cell>
        </row>
        <row r="10">
          <cell r="C10">
            <v>8.6734675419236476E-2</v>
          </cell>
          <cell r="E10">
            <v>2.4204833512885784E-2</v>
          </cell>
        </row>
        <row r="11">
          <cell r="C11">
            <v>1.5869625638568266E-3</v>
          </cell>
          <cell r="E11">
            <v>9.4154583831375707E-5</v>
          </cell>
        </row>
        <row r="12">
          <cell r="C12">
            <v>0.27703002469256838</v>
          </cell>
          <cell r="E12">
            <v>0.337968063294174</v>
          </cell>
        </row>
        <row r="13">
          <cell r="C13">
            <v>0.28416017721236514</v>
          </cell>
          <cell r="E13">
            <v>0.38819700829702514</v>
          </cell>
        </row>
        <row r="14">
          <cell r="C14">
            <v>0.13781224744632958</v>
          </cell>
          <cell r="E14">
            <v>0.19939718791276362</v>
          </cell>
        </row>
        <row r="15">
          <cell r="C15">
            <v>5.1375345435476314E-3</v>
          </cell>
          <cell r="E15">
            <v>7.6463229901424512E-3</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95 Continuity Schedule"/>
      <sheetName val="Original Disposition"/>
      <sheetName val="COS Application"/>
    </sheetNames>
    <sheetDataSet>
      <sheetData sheetId="0">
        <row r="41">
          <cell r="AA41">
            <v>-118799.60383188442</v>
          </cell>
        </row>
        <row r="42">
          <cell r="AA42">
            <v>116218.09748317776</v>
          </cell>
        </row>
      </sheetData>
      <sheetData sheetId="1">
        <row r="31">
          <cell r="G31">
            <v>3.5751751740337637E-2</v>
          </cell>
          <cell r="J31">
            <v>3.8060064717972623E-2</v>
          </cell>
        </row>
        <row r="32">
          <cell r="G32">
            <v>2.1626177566701064E-2</v>
          </cell>
          <cell r="J32">
            <v>6.3204296678560035E-2</v>
          </cell>
        </row>
        <row r="33">
          <cell r="G33">
            <v>7.9818925067133423E-5</v>
          </cell>
          <cell r="J33">
            <v>-2.2203387591699076E-3</v>
          </cell>
        </row>
        <row r="34">
          <cell r="G34">
            <v>0.34234336961293521</v>
          </cell>
          <cell r="J34">
            <v>0.33808350242436458</v>
          </cell>
        </row>
        <row r="35">
          <cell r="G35">
            <v>0.39908417285738451</v>
          </cell>
          <cell r="J35">
            <v>0.39696718340080761</v>
          </cell>
        </row>
        <row r="36">
          <cell r="G36">
            <v>0.19326394788204282</v>
          </cell>
          <cell r="J36">
            <v>0.20008059922667526</v>
          </cell>
        </row>
        <row r="37">
          <cell r="G37">
            <v>7.8507614155316225E-3</v>
          </cell>
          <cell r="J37">
            <v>-3.4175307689210219E-2</v>
          </cell>
        </row>
      </sheetData>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95 Continuity Schedule"/>
      <sheetName val="Original Disposition"/>
      <sheetName val="1. Billling Det. for Def-Var"/>
      <sheetName val="2. Allocation of Def-Var"/>
      <sheetName val="3. Calculation of Def-Var RR"/>
      <sheetName val="4. GA Calculation of RR"/>
      <sheetName val="5. Summary of Def-Var RR"/>
      <sheetName val="Sheet1"/>
    </sheetNames>
    <sheetDataSet>
      <sheetData sheetId="0">
        <row r="42">
          <cell r="O42">
            <v>432486.7279281271</v>
          </cell>
          <cell r="P42">
            <v>-1.2605972245485211</v>
          </cell>
        </row>
        <row r="43">
          <cell r="O43">
            <v>-775567.54669085355</v>
          </cell>
          <cell r="P43">
            <v>2.2605972245485209</v>
          </cell>
        </row>
      </sheetData>
      <sheetData sheetId="1">
        <row r="8">
          <cell r="C8">
            <v>0.1934303489100542</v>
          </cell>
          <cell r="L8">
            <v>0.13102030769570161</v>
          </cell>
        </row>
        <row r="9">
          <cell r="C9">
            <v>8.3960740637413739E-2</v>
          </cell>
          <cell r="L9">
            <v>0.10582256431463273</v>
          </cell>
        </row>
        <row r="10">
          <cell r="C10">
            <v>1.424752590513009E-3</v>
          </cell>
          <cell r="L10">
            <v>3.4049791290192028E-4</v>
          </cell>
        </row>
        <row r="11">
          <cell r="C11">
            <v>0.28573908870620507</v>
          </cell>
          <cell r="L11">
            <v>1.3805870333619819</v>
          </cell>
        </row>
        <row r="12">
          <cell r="C12">
            <v>0.29865237088531016</v>
          </cell>
          <cell r="L12">
            <v>-0.50711364320740715</v>
          </cell>
        </row>
        <row r="13">
          <cell r="C13">
            <v>0.13315618831486878</v>
          </cell>
          <cell r="L13">
            <v>-8.6860473848734923E-2</v>
          </cell>
        </row>
        <row r="14">
          <cell r="C14">
            <v>3.6365099556351162E-3</v>
          </cell>
          <cell r="L14">
            <v>-2.3796286229076216E-2</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0.bin"/><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H36"/>
  <sheetViews>
    <sheetView workbookViewId="0">
      <selection activeCell="C18" sqref="C18"/>
    </sheetView>
  </sheetViews>
  <sheetFormatPr defaultRowHeight="15" x14ac:dyDescent="0.25"/>
  <cols>
    <col min="1" max="1" width="55.140625" bestFit="1" customWidth="1"/>
    <col min="2" max="2" width="21.42578125" style="2" customWidth="1"/>
    <col min="3" max="3" width="22.42578125" style="2" bestFit="1" customWidth="1"/>
    <col min="4" max="4" width="12.28515625" bestFit="1" customWidth="1"/>
    <col min="5" max="5" width="17.5703125" bestFit="1" customWidth="1"/>
    <col min="6" max="7" width="14.42578125" bestFit="1" customWidth="1"/>
    <col min="8" max="8" width="13" bestFit="1" customWidth="1"/>
  </cols>
  <sheetData>
    <row r="1" spans="1:3" x14ac:dyDescent="0.25">
      <c r="A1" s="1" t="s">
        <v>0</v>
      </c>
    </row>
    <row r="2" spans="1:3" x14ac:dyDescent="0.25">
      <c r="A2" s="1" t="s">
        <v>1</v>
      </c>
    </row>
    <row r="3" spans="1:3" x14ac:dyDescent="0.25">
      <c r="A3" s="1" t="s">
        <v>2</v>
      </c>
    </row>
    <row r="4" spans="1:3" x14ac:dyDescent="0.25">
      <c r="A4" s="1" t="s">
        <v>3</v>
      </c>
    </row>
    <row r="6" spans="1:3" ht="30" x14ac:dyDescent="0.25">
      <c r="A6" s="4" t="s">
        <v>4</v>
      </c>
      <c r="B6" s="12" t="s">
        <v>5</v>
      </c>
      <c r="C6" s="12" t="s">
        <v>6</v>
      </c>
    </row>
    <row r="7" spans="1:3" x14ac:dyDescent="0.25">
      <c r="A7" t="s">
        <v>7</v>
      </c>
      <c r="B7" s="3">
        <f>+'[4]Non RPP kwh'!$B$36</f>
        <v>1469096846.7337606</v>
      </c>
      <c r="C7" s="3">
        <v>1423857474.8200231</v>
      </c>
    </row>
    <row r="8" spans="1:3" x14ac:dyDescent="0.25">
      <c r="A8" t="s">
        <v>8</v>
      </c>
      <c r="B8" s="3">
        <f>+'[4]Non RPP kwh'!$B$38</f>
        <v>11501822.442284448</v>
      </c>
      <c r="C8" s="3">
        <v>10383026.667178314</v>
      </c>
    </row>
    <row r="9" spans="1:3" x14ac:dyDescent="0.25">
      <c r="A9" t="s">
        <v>9</v>
      </c>
      <c r="B9" s="3">
        <f>+'[4]Non RPP kwh'!$B$37</f>
        <v>647112057.82811737</v>
      </c>
      <c r="C9" s="3">
        <v>612188100.8969444</v>
      </c>
    </row>
    <row r="10" spans="1:3" x14ac:dyDescent="0.25">
      <c r="A10" t="s">
        <v>10</v>
      </c>
      <c r="B10" s="3">
        <f>+'[4]Non RPP kwh'!$B$39+'[4]Non RPP kwh'!$B$40</f>
        <v>2104160254.6192284</v>
      </c>
      <c r="C10" s="3">
        <v>2139657426.5894256</v>
      </c>
    </row>
    <row r="11" spans="1:3" x14ac:dyDescent="0.25">
      <c r="A11" t="s">
        <v>11</v>
      </c>
      <c r="B11" s="3">
        <f>+'[4]Non RPP kwh'!$B$41+'[4]Non RPP kwh'!$B$42</f>
        <v>2087036249.59586</v>
      </c>
      <c r="C11" s="3">
        <v>2249538514.3577237</v>
      </c>
    </row>
    <row r="12" spans="1:3" x14ac:dyDescent="0.25">
      <c r="A12" t="s">
        <v>12</v>
      </c>
      <c r="B12" s="3">
        <f>+'[4]Non RPP kwh'!$B$43</f>
        <v>1002165608.5676196</v>
      </c>
      <c r="C12" s="3">
        <v>997124442.83925116</v>
      </c>
    </row>
    <row r="13" spans="1:3" x14ac:dyDescent="0.25">
      <c r="A13" t="s">
        <v>13</v>
      </c>
      <c r="B13" s="3">
        <f>+'[4]Non RPP kwh'!$B$44</f>
        <v>31923315.475764602</v>
      </c>
      <c r="C13" s="3">
        <v>19019720.749106999</v>
      </c>
    </row>
    <row r="14" spans="1:3" x14ac:dyDescent="0.25">
      <c r="A14" s="4" t="s">
        <v>14</v>
      </c>
      <c r="B14" s="5">
        <f>SUM(B7:B13)</f>
        <v>7352996155.2626343</v>
      </c>
      <c r="C14" s="5">
        <f>SUM(C7:C13)</f>
        <v>7451768706.9196539</v>
      </c>
    </row>
    <row r="16" spans="1:3" ht="30" x14ac:dyDescent="0.25">
      <c r="A16" s="2" t="s">
        <v>15</v>
      </c>
      <c r="B16" s="3">
        <f>F36</f>
        <v>10634438.582369998</v>
      </c>
      <c r="C16" s="3">
        <f>B16</f>
        <v>10634438.582369998</v>
      </c>
    </row>
    <row r="18" spans="1:8" x14ac:dyDescent="0.25">
      <c r="A18" t="s">
        <v>16</v>
      </c>
      <c r="B18" s="6">
        <f>B16/B14</f>
        <v>1.4462728332529852E-3</v>
      </c>
      <c r="C18" s="6">
        <f>C16/C14</f>
        <v>1.4271026115578362E-3</v>
      </c>
    </row>
    <row r="20" spans="1:8" x14ac:dyDescent="0.25">
      <c r="A20" t="s">
        <v>17</v>
      </c>
      <c r="B20">
        <v>1E-3</v>
      </c>
      <c r="C20">
        <v>1E-3</v>
      </c>
    </row>
    <row r="22" spans="1:8" x14ac:dyDescent="0.25">
      <c r="A22" s="13" t="s">
        <v>18</v>
      </c>
      <c r="B22" s="14" t="str">
        <f>IF(ABS(B18)&gt;ABS(B20),("Threshold Test Met"), ("Threshold Test Not Met"))</f>
        <v>Threshold Test Met</v>
      </c>
      <c r="C22" s="14" t="str">
        <f>IF(ABS(C18)&gt;ABS(C20),("Threshold Test Met"), ("Threshold Test Not Met"))</f>
        <v>Threshold Test Met</v>
      </c>
    </row>
    <row r="25" spans="1:8" x14ac:dyDescent="0.25">
      <c r="A25" s="4" t="s">
        <v>19</v>
      </c>
      <c r="B25" s="10" t="s">
        <v>20</v>
      </c>
      <c r="C25" s="11" t="s">
        <v>21</v>
      </c>
      <c r="D25" s="11" t="s">
        <v>22</v>
      </c>
      <c r="E25" s="11" t="s">
        <v>23</v>
      </c>
      <c r="F25" s="11" t="s">
        <v>24</v>
      </c>
      <c r="G25" s="11" t="s">
        <v>25</v>
      </c>
      <c r="H25" s="11" t="s">
        <v>26</v>
      </c>
    </row>
    <row r="26" spans="1:8" x14ac:dyDescent="0.25">
      <c r="A26" t="s">
        <v>27</v>
      </c>
      <c r="B26" s="9">
        <v>1550</v>
      </c>
      <c r="C26" s="7">
        <f>'3. Continuity Schedule'!AH10</f>
        <v>1743890.1600000004</v>
      </c>
      <c r="D26" s="7">
        <f>'3. Continuity Schedule'!AI10</f>
        <v>30522.980000000007</v>
      </c>
      <c r="E26" s="7">
        <f>'3. Continuity Schedule'!AJ10</f>
        <v>19182.791760000007</v>
      </c>
      <c r="F26" s="7">
        <f>SUM(C26:E26)</f>
        <v>1793595.9317600003</v>
      </c>
      <c r="G26" s="7">
        <v>1774413.14</v>
      </c>
      <c r="H26" s="7">
        <f>G26-C26-D26</f>
        <v>-4.9112713895738125E-10</v>
      </c>
    </row>
    <row r="27" spans="1:8" x14ac:dyDescent="0.25">
      <c r="A27" t="s">
        <v>28</v>
      </c>
      <c r="B27" s="9">
        <v>1551</v>
      </c>
      <c r="C27" s="7">
        <f>'3. Continuity Schedule'!AH11</f>
        <v>-69616.56</v>
      </c>
      <c r="D27" s="7">
        <f>'3. Continuity Schedule'!AI11</f>
        <v>-815.95999999999981</v>
      </c>
      <c r="E27" s="7">
        <f>'3. Continuity Schedule'!AJ11</f>
        <v>-765.78216000000009</v>
      </c>
      <c r="F27" s="7">
        <f>SUM(C27:E27)</f>
        <v>-71198.302160000007</v>
      </c>
      <c r="G27" s="7">
        <v>-70432.52</v>
      </c>
      <c r="H27" s="7">
        <f t="shared" ref="H27:H35" si="0">G27-C27-D27</f>
        <v>-6.5938365878537297E-12</v>
      </c>
    </row>
    <row r="28" spans="1:8" x14ac:dyDescent="0.25">
      <c r="A28" t="s">
        <v>29</v>
      </c>
      <c r="B28" s="9">
        <v>1580</v>
      </c>
      <c r="C28" s="7">
        <f>'3. Continuity Schedule'!AH12</f>
        <v>-5840806.0600000005</v>
      </c>
      <c r="D28" s="7">
        <f>'3. Continuity Schedule'!AI12</f>
        <v>-102312.40000000005</v>
      </c>
      <c r="E28" s="7">
        <f>'3. Continuity Schedule'!AJ12</f>
        <v>-64248.866660000014</v>
      </c>
      <c r="F28" s="7">
        <f t="shared" ref="F28:F35" si="1">SUM(C28:E28)</f>
        <v>-6007367.3266600007</v>
      </c>
      <c r="G28" s="7">
        <v>-5943118.46</v>
      </c>
      <c r="H28" s="7">
        <f t="shared" si="0"/>
        <v>6.1118043959140778E-10</v>
      </c>
    </row>
    <row r="29" spans="1:8" x14ac:dyDescent="0.25">
      <c r="A29" t="s">
        <v>30</v>
      </c>
      <c r="B29" s="9">
        <v>1584</v>
      </c>
      <c r="C29" s="7">
        <f>'3. Continuity Schedule'!AH13</f>
        <v>5839073.9799999995</v>
      </c>
      <c r="D29" s="7">
        <f>'3. Continuity Schedule'!AI13</f>
        <v>92795.280000000013</v>
      </c>
      <c r="E29" s="7">
        <f>'3. Continuity Schedule'!AJ13</f>
        <v>64229.813780000004</v>
      </c>
      <c r="F29" s="7">
        <f t="shared" si="1"/>
        <v>5996099.0737800002</v>
      </c>
      <c r="G29" s="7">
        <v>5931869.2599999998</v>
      </c>
      <c r="H29" s="7">
        <f t="shared" si="0"/>
        <v>2.4738255888223648E-10</v>
      </c>
    </row>
    <row r="30" spans="1:8" x14ac:dyDescent="0.25">
      <c r="A30" t="s">
        <v>31</v>
      </c>
      <c r="B30" s="9">
        <v>1586</v>
      </c>
      <c r="C30" s="7">
        <f>'3. Continuity Schedule'!AH14</f>
        <v>2979420.24</v>
      </c>
      <c r="D30" s="7">
        <f>'3. Continuity Schedule'!AI14</f>
        <v>31680.829999999984</v>
      </c>
      <c r="E30" s="7">
        <f>'3. Continuity Schedule'!AJ14</f>
        <v>32773.622640000009</v>
      </c>
      <c r="F30" s="7">
        <f t="shared" si="1"/>
        <v>3043874.6926400005</v>
      </c>
      <c r="G30" s="7">
        <v>3011101.07</v>
      </c>
      <c r="H30" s="7">
        <f t="shared" si="0"/>
        <v>-3.7471181713044643E-10</v>
      </c>
    </row>
    <row r="31" spans="1:8" x14ac:dyDescent="0.25">
      <c r="A31" t="s">
        <v>32</v>
      </c>
      <c r="B31" s="9">
        <v>1588</v>
      </c>
      <c r="C31" s="7">
        <f>'3. Continuity Schedule'!AH15</f>
        <v>-2350512.34</v>
      </c>
      <c r="D31" s="7">
        <f>'3. Continuity Schedule'!AI15</f>
        <v>-27203.699999999964</v>
      </c>
      <c r="E31" s="7">
        <f>'3. Continuity Schedule'!AJ15</f>
        <v>-25855.635740000002</v>
      </c>
      <c r="F31" s="7">
        <f t="shared" si="1"/>
        <v>-2403571.6757399999</v>
      </c>
      <c r="G31" s="7">
        <v>-2377716.04</v>
      </c>
      <c r="H31" s="7">
        <f t="shared" si="0"/>
        <v>-2.2191670723259449E-10</v>
      </c>
    </row>
    <row r="32" spans="1:8" x14ac:dyDescent="0.25">
      <c r="A32" t="s">
        <v>33</v>
      </c>
      <c r="B32" s="9">
        <v>1589</v>
      </c>
      <c r="C32" s="7">
        <f>'3. Continuity Schedule'!AH16</f>
        <v>11160843.079999998</v>
      </c>
      <c r="D32" s="7">
        <f>'3. Continuity Schedule'!AI16</f>
        <v>140660.92000000004</v>
      </c>
      <c r="E32" s="7">
        <f>'3. Continuity Schedule'!AJ16</f>
        <v>122769.27387999999</v>
      </c>
      <c r="F32" s="7">
        <f t="shared" si="1"/>
        <v>11424273.273879997</v>
      </c>
      <c r="G32" s="7">
        <v>11301504</v>
      </c>
      <c r="H32" s="7">
        <f t="shared" si="0"/>
        <v>1.7462298274040222E-9</v>
      </c>
    </row>
    <row r="33" spans="1:8" x14ac:dyDescent="0.25">
      <c r="A33" t="s">
        <v>34</v>
      </c>
      <c r="B33" s="9">
        <v>1595</v>
      </c>
      <c r="C33" s="7">
        <f>'3. Continuity Schedule'!AH20</f>
        <v>-2120162.8200000026</v>
      </c>
      <c r="D33" s="7">
        <f>'3. Continuity Schedule'!AI20</f>
        <v>-649202.37</v>
      </c>
      <c r="E33" s="7">
        <f>'3. Continuity Schedule'!AJ20</f>
        <v>-23321.79102000003</v>
      </c>
      <c r="F33" s="7">
        <f t="shared" si="1"/>
        <v>-2792686.9810200026</v>
      </c>
      <c r="G33" s="7">
        <v>-2769365.19</v>
      </c>
      <c r="H33" s="7">
        <f t="shared" si="0"/>
        <v>2.6775524020195007E-9</v>
      </c>
    </row>
    <row r="34" spans="1:8" x14ac:dyDescent="0.25">
      <c r="A34" t="s">
        <v>35</v>
      </c>
      <c r="B34" s="9">
        <v>1595</v>
      </c>
      <c r="C34" s="7">
        <f>'3. Continuity Schedule'!AH22</f>
        <v>3054.01</v>
      </c>
      <c r="D34" s="7">
        <f>'3. Continuity Schedule'!AI22</f>
        <v>-5636</v>
      </c>
      <c r="E34" s="7">
        <f>'3. Continuity Schedule'!AJ22</f>
        <v>33.594110000000008</v>
      </c>
      <c r="F34" s="7">
        <f t="shared" si="1"/>
        <v>-2548.3958899999998</v>
      </c>
      <c r="G34" s="7">
        <v>-2582.37</v>
      </c>
      <c r="H34" s="7">
        <f>G34-C34-D34</f>
        <v>-0.38000000000010914</v>
      </c>
    </row>
    <row r="35" spans="1:8" x14ac:dyDescent="0.25">
      <c r="A35" t="s">
        <v>36</v>
      </c>
      <c r="B35" s="9">
        <v>1595</v>
      </c>
      <c r="C35" s="7">
        <f>'3. Continuity Schedule'!AH23</f>
        <v>-268298.01999999955</v>
      </c>
      <c r="D35" s="7">
        <f>'3. Continuity Schedule'!AI23</f>
        <v>-74782.409999999974</v>
      </c>
      <c r="E35" s="7">
        <f>'3. Continuity Schedule'!AJ23</f>
        <v>-2951.2782199999956</v>
      </c>
      <c r="F35" s="7">
        <f t="shared" si="1"/>
        <v>-346031.70821999951</v>
      </c>
      <c r="G35" s="7">
        <v>-343080.43</v>
      </c>
      <c r="H35" s="7">
        <f t="shared" si="0"/>
        <v>-4.6566128730773926E-10</v>
      </c>
    </row>
    <row r="36" spans="1:8" x14ac:dyDescent="0.25">
      <c r="A36" s="4" t="s">
        <v>37</v>
      </c>
      <c r="B36" s="4"/>
      <c r="C36" s="8">
        <f t="shared" ref="C36:H36" si="2">SUM(C26:C35)</f>
        <v>11076885.669999996</v>
      </c>
      <c r="D36" s="8">
        <f t="shared" si="2"/>
        <v>-564292.82999999984</v>
      </c>
      <c r="E36" s="8">
        <f t="shared" si="2"/>
        <v>121845.74236999998</v>
      </c>
      <c r="F36" s="8">
        <f t="shared" si="2"/>
        <v>10634438.582369998</v>
      </c>
      <c r="G36" s="8">
        <f t="shared" si="2"/>
        <v>10512592.460000001</v>
      </c>
      <c r="H36" s="8">
        <f t="shared" si="2"/>
        <v>-0.3799999962777747</v>
      </c>
    </row>
  </sheetData>
  <pageMargins left="0.7" right="0.7" top="0.75" bottom="0.75" header="0.3" footer="0.3"/>
  <pageSetup scale="71"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3:N45"/>
  <sheetViews>
    <sheetView topLeftCell="B1" workbookViewId="0">
      <selection activeCell="E21" sqref="E21"/>
    </sheetView>
  </sheetViews>
  <sheetFormatPr defaultColWidth="13.7109375" defaultRowHeight="12.75" x14ac:dyDescent="0.2"/>
  <cols>
    <col min="1" max="1" width="36.42578125" style="195" bestFit="1" customWidth="1"/>
    <col min="2" max="2" width="76" style="195" bestFit="1" customWidth="1"/>
    <col min="3" max="3" width="17.85546875" style="195" bestFit="1" customWidth="1"/>
    <col min="4" max="4" width="21.42578125" style="195" bestFit="1" customWidth="1"/>
    <col min="5" max="8" width="19.85546875" style="195" customWidth="1"/>
    <col min="9" max="16384" width="13.7109375" style="195"/>
  </cols>
  <sheetData>
    <row r="13" spans="1:14" ht="15.75" x14ac:dyDescent="0.25">
      <c r="A13" s="194" t="s">
        <v>202</v>
      </c>
      <c r="C13" s="727"/>
      <c r="D13" s="727"/>
      <c r="E13" s="727"/>
      <c r="F13" s="727"/>
      <c r="G13" s="727"/>
      <c r="H13" s="727"/>
      <c r="I13" s="727"/>
      <c r="J13" s="727"/>
      <c r="K13" s="727"/>
      <c r="L13" s="727"/>
      <c r="M13" s="727"/>
      <c r="N13" s="727"/>
    </row>
    <row r="15" spans="1:14" ht="45" x14ac:dyDescent="0.25">
      <c r="A15" s="194" t="s">
        <v>4</v>
      </c>
      <c r="B15" s="194" t="s">
        <v>203</v>
      </c>
      <c r="C15" s="196" t="s">
        <v>95</v>
      </c>
      <c r="D15" s="502" t="s">
        <v>188</v>
      </c>
      <c r="E15" s="498" t="s">
        <v>208</v>
      </c>
      <c r="F15" s="498" t="s">
        <v>209</v>
      </c>
      <c r="G15" s="499" t="s">
        <v>210</v>
      </c>
      <c r="H15" s="500" t="s">
        <v>211</v>
      </c>
    </row>
    <row r="17" spans="1:8" x14ac:dyDescent="0.2">
      <c r="A17" s="195" t="s">
        <v>96</v>
      </c>
      <c r="B17" s="195" t="s">
        <v>204</v>
      </c>
      <c r="C17" s="197" t="s">
        <v>97</v>
      </c>
      <c r="D17" s="198">
        <v>8.0999999999999996E-3</v>
      </c>
      <c r="E17" s="503">
        <v>1469096847</v>
      </c>
      <c r="F17" s="503">
        <v>0</v>
      </c>
      <c r="G17" s="195">
        <v>1</v>
      </c>
      <c r="H17" s="501">
        <f>E17*G17</f>
        <v>1469096847</v>
      </c>
    </row>
    <row r="18" spans="1:8" x14ac:dyDescent="0.2">
      <c r="A18" s="195" t="s">
        <v>96</v>
      </c>
      <c r="B18" s="195" t="s">
        <v>205</v>
      </c>
      <c r="C18" s="197" t="s">
        <v>97</v>
      </c>
      <c r="D18" s="198">
        <v>6.1999999999999998E-3</v>
      </c>
      <c r="E18" s="504">
        <v>1469096847</v>
      </c>
      <c r="F18" s="504">
        <v>0</v>
      </c>
      <c r="G18" s="195">
        <v>1</v>
      </c>
      <c r="H18" s="501">
        <f>E18*G18</f>
        <v>1469096847</v>
      </c>
    </row>
    <row r="19" spans="1:8" x14ac:dyDescent="0.2">
      <c r="A19" s="195" t="s">
        <v>98</v>
      </c>
      <c r="B19" s="195" t="s">
        <v>204</v>
      </c>
      <c r="C19" s="197" t="s">
        <v>97</v>
      </c>
      <c r="D19" s="198">
        <v>7.6E-3</v>
      </c>
      <c r="E19" s="503">
        <v>647112058</v>
      </c>
      <c r="F19" s="503">
        <v>0</v>
      </c>
      <c r="G19" s="195">
        <v>1</v>
      </c>
      <c r="H19" s="501">
        <f>E19*G19</f>
        <v>647112058</v>
      </c>
    </row>
    <row r="20" spans="1:8" x14ac:dyDescent="0.2">
      <c r="A20" s="195" t="s">
        <v>98</v>
      </c>
      <c r="B20" s="195" t="s">
        <v>205</v>
      </c>
      <c r="C20" s="197" t="s">
        <v>97</v>
      </c>
      <c r="D20" s="198">
        <v>5.5999999999999999E-3</v>
      </c>
      <c r="E20" s="504">
        <v>647112058</v>
      </c>
      <c r="F20" s="504">
        <v>0</v>
      </c>
      <c r="G20" s="195">
        <v>1</v>
      </c>
      <c r="H20" s="501">
        <f>E20*G20</f>
        <v>647112058</v>
      </c>
    </row>
    <row r="21" spans="1:8" x14ac:dyDescent="0.2">
      <c r="A21" s="195" t="s">
        <v>100</v>
      </c>
      <c r="B21" s="195" t="s">
        <v>204</v>
      </c>
      <c r="C21" s="197" t="s">
        <v>101</v>
      </c>
      <c r="D21" s="198">
        <v>2.9272</v>
      </c>
      <c r="E21" s="503">
        <f>2104160255/2</f>
        <v>1052080127.5</v>
      </c>
      <c r="F21" s="503">
        <f>6035821/2</f>
        <v>3017910.5</v>
      </c>
    </row>
    <row r="22" spans="1:8" x14ac:dyDescent="0.2">
      <c r="A22" s="195" t="s">
        <v>100</v>
      </c>
      <c r="B22" s="195" t="s">
        <v>205</v>
      </c>
      <c r="C22" s="197" t="s">
        <v>101</v>
      </c>
      <c r="D22" s="198">
        <v>2.1960000000000002</v>
      </c>
      <c r="E22" s="504">
        <f>2104160255/2</f>
        <v>1052080127.5</v>
      </c>
      <c r="F22" s="504">
        <f>6035821/2</f>
        <v>3017910.5</v>
      </c>
    </row>
    <row r="23" spans="1:8" x14ac:dyDescent="0.2">
      <c r="A23" s="195" t="s">
        <v>100</v>
      </c>
      <c r="B23" s="195" t="s">
        <v>206</v>
      </c>
      <c r="C23" s="197" t="s">
        <v>101</v>
      </c>
      <c r="D23" s="198">
        <v>2.9272</v>
      </c>
      <c r="E23" s="503">
        <f>2104160255/2</f>
        <v>1052080127.5</v>
      </c>
      <c r="F23" s="503">
        <f>6035821/2</f>
        <v>3017910.5</v>
      </c>
    </row>
    <row r="24" spans="1:8" x14ac:dyDescent="0.2">
      <c r="A24" s="195" t="s">
        <v>100</v>
      </c>
      <c r="B24" s="195" t="s">
        <v>207</v>
      </c>
      <c r="C24" s="197" t="s">
        <v>101</v>
      </c>
      <c r="D24" s="198">
        <v>2.1960000000000002</v>
      </c>
      <c r="E24" s="504">
        <f>2104160255/2</f>
        <v>1052080127.5</v>
      </c>
      <c r="F24" s="504">
        <f>6035821/2</f>
        <v>3017910.5</v>
      </c>
    </row>
    <row r="25" spans="1:8" x14ac:dyDescent="0.2">
      <c r="A25" s="195" t="s">
        <v>102</v>
      </c>
      <c r="B25" s="195" t="s">
        <v>206</v>
      </c>
      <c r="C25" s="197" t="s">
        <v>101</v>
      </c>
      <c r="D25" s="198">
        <v>2.8319999999999999</v>
      </c>
      <c r="E25" s="503">
        <v>2087036250</v>
      </c>
      <c r="F25" s="503">
        <v>4709432</v>
      </c>
    </row>
    <row r="26" spans="1:8" x14ac:dyDescent="0.2">
      <c r="A26" s="195" t="s">
        <v>102</v>
      </c>
      <c r="B26" s="195" t="s">
        <v>207</v>
      </c>
      <c r="C26" s="197" t="s">
        <v>101</v>
      </c>
      <c r="D26" s="198">
        <v>2.1488</v>
      </c>
      <c r="E26" s="504">
        <v>2087036250</v>
      </c>
      <c r="F26" s="504">
        <v>4709432</v>
      </c>
    </row>
    <row r="27" spans="1:8" x14ac:dyDescent="0.2">
      <c r="A27" s="195" t="s">
        <v>103</v>
      </c>
      <c r="B27" s="195" t="s">
        <v>206</v>
      </c>
      <c r="C27" s="197" t="s">
        <v>101</v>
      </c>
      <c r="D27" s="198">
        <v>3.0219999999999998</v>
      </c>
      <c r="E27" s="503">
        <v>1002165608</v>
      </c>
      <c r="F27" s="503">
        <v>1741184</v>
      </c>
    </row>
    <row r="28" spans="1:8" x14ac:dyDescent="0.2">
      <c r="A28" s="195" t="s">
        <v>103</v>
      </c>
      <c r="B28" s="195" t="s">
        <v>207</v>
      </c>
      <c r="C28" s="197" t="s">
        <v>101</v>
      </c>
      <c r="D28" s="198">
        <v>2.2949999999999999</v>
      </c>
      <c r="E28" s="504">
        <v>1002165608</v>
      </c>
      <c r="F28" s="504">
        <v>1741184</v>
      </c>
    </row>
    <row r="29" spans="1:8" x14ac:dyDescent="0.2">
      <c r="A29" s="195" t="s">
        <v>99</v>
      </c>
      <c r="B29" s="195" t="s">
        <v>204</v>
      </c>
      <c r="C29" s="197" t="s">
        <v>97</v>
      </c>
      <c r="D29" s="198">
        <v>7.6E-3</v>
      </c>
      <c r="E29" s="503">
        <v>11501822</v>
      </c>
      <c r="F29" s="503">
        <v>0</v>
      </c>
      <c r="G29" s="195">
        <v>1</v>
      </c>
      <c r="H29" s="501">
        <f>E29*G29</f>
        <v>11501822</v>
      </c>
    </row>
    <row r="30" spans="1:8" x14ac:dyDescent="0.2">
      <c r="A30" s="195" t="s">
        <v>99</v>
      </c>
      <c r="B30" s="195" t="s">
        <v>205</v>
      </c>
      <c r="C30" s="197" t="s">
        <v>97</v>
      </c>
      <c r="D30" s="198">
        <v>5.5999999999999999E-3</v>
      </c>
      <c r="E30" s="504">
        <v>11501822</v>
      </c>
      <c r="F30" s="504">
        <v>0</v>
      </c>
      <c r="G30" s="195">
        <v>1</v>
      </c>
      <c r="H30" s="501">
        <f>E30*G30</f>
        <v>11501822</v>
      </c>
    </row>
    <row r="31" spans="1:8" x14ac:dyDescent="0.2">
      <c r="A31" s="195" t="s">
        <v>104</v>
      </c>
      <c r="B31" s="195" t="s">
        <v>204</v>
      </c>
      <c r="C31" s="197" t="s">
        <v>101</v>
      </c>
      <c r="D31" s="198">
        <v>2.0270999999999999</v>
      </c>
      <c r="E31" s="503">
        <v>31923315</v>
      </c>
      <c r="F31" s="503">
        <v>90307</v>
      </c>
    </row>
    <row r="32" spans="1:8" x14ac:dyDescent="0.2">
      <c r="A32" s="195" t="s">
        <v>104</v>
      </c>
      <c r="B32" s="195" t="s">
        <v>205</v>
      </c>
      <c r="C32" s="197" t="s">
        <v>101</v>
      </c>
      <c r="D32" s="198">
        <v>1.5879000000000001</v>
      </c>
      <c r="E32" s="504">
        <v>31923315</v>
      </c>
      <c r="F32" s="504">
        <v>90307</v>
      </c>
    </row>
    <row r="33" spans="3:5" x14ac:dyDescent="0.2">
      <c r="C33" s="197"/>
      <c r="D33" s="198"/>
      <c r="E33" s="198"/>
    </row>
    <row r="34" spans="3:5" x14ac:dyDescent="0.2">
      <c r="C34" s="197"/>
      <c r="D34" s="198"/>
      <c r="E34" s="198"/>
    </row>
    <row r="35" spans="3:5" x14ac:dyDescent="0.2">
      <c r="C35" s="197"/>
      <c r="D35" s="198"/>
      <c r="E35" s="198"/>
    </row>
    <row r="36" spans="3:5" x14ac:dyDescent="0.2">
      <c r="C36" s="197"/>
      <c r="D36" s="198"/>
      <c r="E36" s="198"/>
    </row>
    <row r="37" spans="3:5" x14ac:dyDescent="0.2">
      <c r="C37" s="197"/>
      <c r="D37" s="198"/>
      <c r="E37" s="198"/>
    </row>
    <row r="38" spans="3:5" x14ac:dyDescent="0.2">
      <c r="C38" s="197"/>
      <c r="D38" s="198"/>
      <c r="E38" s="198"/>
    </row>
    <row r="39" spans="3:5" x14ac:dyDescent="0.2">
      <c r="C39" s="197"/>
      <c r="D39" s="198"/>
      <c r="E39" s="198"/>
    </row>
    <row r="40" spans="3:5" x14ac:dyDescent="0.2">
      <c r="C40" s="197"/>
      <c r="D40" s="198"/>
      <c r="E40" s="198"/>
    </row>
    <row r="41" spans="3:5" x14ac:dyDescent="0.2">
      <c r="C41" s="197"/>
      <c r="D41" s="198"/>
      <c r="E41" s="198"/>
    </row>
    <row r="42" spans="3:5" x14ac:dyDescent="0.2">
      <c r="C42" s="197"/>
      <c r="D42" s="198"/>
      <c r="E42" s="198"/>
    </row>
    <row r="43" spans="3:5" x14ac:dyDescent="0.2">
      <c r="C43" s="197"/>
      <c r="D43" s="198"/>
      <c r="E43" s="198"/>
    </row>
    <row r="44" spans="3:5" x14ac:dyDescent="0.2">
      <c r="C44" s="197"/>
      <c r="D44" s="198"/>
      <c r="E44" s="198"/>
    </row>
    <row r="45" spans="3:5" x14ac:dyDescent="0.2">
      <c r="C45" s="197"/>
      <c r="D45" s="198"/>
      <c r="E45" s="198"/>
    </row>
  </sheetData>
  <mergeCells count="1">
    <mergeCell ref="C13:N1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5:J95"/>
  <sheetViews>
    <sheetView topLeftCell="A61" zoomScale="90" zoomScaleNormal="90" workbookViewId="0">
      <selection activeCell="G86" sqref="G86"/>
    </sheetView>
  </sheetViews>
  <sheetFormatPr defaultRowHeight="12.75" x14ac:dyDescent="0.2"/>
  <cols>
    <col min="1" max="1" width="11.85546875" style="195" customWidth="1"/>
    <col min="2" max="2" width="69" style="195" customWidth="1"/>
    <col min="3" max="3" width="15.42578125" style="195" customWidth="1"/>
    <col min="4" max="4" width="9.140625" style="195"/>
    <col min="5" max="5" width="19.7109375" style="195" customWidth="1"/>
    <col min="6" max="6" width="6.28515625" style="195" customWidth="1"/>
    <col min="7" max="7" width="19.7109375" style="195" customWidth="1"/>
    <col min="8" max="8" width="5.42578125" style="195" customWidth="1"/>
    <col min="9" max="9" width="19.7109375" style="195" customWidth="1"/>
    <col min="10" max="16384" width="9.140625" style="195"/>
  </cols>
  <sheetData>
    <row r="15" spans="2:9" x14ac:dyDescent="0.2">
      <c r="B15" s="200"/>
      <c r="C15" s="201"/>
      <c r="D15" s="202"/>
      <c r="E15" s="201"/>
      <c r="F15" s="202"/>
      <c r="G15" s="201"/>
      <c r="H15" s="202"/>
      <c r="I15" s="201"/>
    </row>
    <row r="17" spans="2:9" ht="15.75" x14ac:dyDescent="0.25">
      <c r="B17" s="203"/>
      <c r="C17" s="203"/>
      <c r="D17" s="204"/>
      <c r="E17" s="205"/>
      <c r="F17" s="203"/>
      <c r="G17" s="205"/>
      <c r="H17" s="203"/>
    </row>
    <row r="18" spans="2:9" ht="31.5" x14ac:dyDescent="0.25">
      <c r="B18" s="206" t="s">
        <v>212</v>
      </c>
      <c r="C18" s="207" t="s">
        <v>95</v>
      </c>
      <c r="D18"/>
      <c r="E18" s="505" t="s">
        <v>427</v>
      </c>
      <c r="F18"/>
      <c r="G18" s="505" t="s">
        <v>428</v>
      </c>
      <c r="H18"/>
      <c r="I18" s="505" t="s">
        <v>429</v>
      </c>
    </row>
    <row r="19" spans="2:9" ht="15" x14ac:dyDescent="0.25">
      <c r="B19" s="59"/>
      <c r="C19" s="59"/>
      <c r="D19" s="59"/>
      <c r="E19" s="59"/>
      <c r="F19" s="59"/>
      <c r="G19" s="59"/>
      <c r="H19" s="59"/>
      <c r="I19"/>
    </row>
    <row r="20" spans="2:9" ht="16.5" x14ac:dyDescent="0.3">
      <c r="B20" s="208" t="s">
        <v>203</v>
      </c>
      <c r="C20" s="208"/>
      <c r="D20" s="209"/>
      <c r="E20" s="210" t="s">
        <v>188</v>
      </c>
      <c r="F20" s="211"/>
      <c r="G20" s="210" t="s">
        <v>188</v>
      </c>
      <c r="H20" s="211"/>
      <c r="I20" s="210" t="s">
        <v>188</v>
      </c>
    </row>
    <row r="21" spans="2:9" ht="15" x14ac:dyDescent="0.25">
      <c r="B21" s="59"/>
      <c r="C21" s="59"/>
      <c r="D21"/>
      <c r="E21" s="59"/>
      <c r="F21" s="59"/>
      <c r="G21" s="59"/>
      <c r="H21" s="59"/>
      <c r="I21"/>
    </row>
    <row r="22" spans="2:9" ht="17.25" x14ac:dyDescent="0.3">
      <c r="B22" s="212" t="s">
        <v>213</v>
      </c>
      <c r="C22" s="213" t="s">
        <v>214</v>
      </c>
      <c r="D22" s="214"/>
      <c r="E22" s="223">
        <v>3.82</v>
      </c>
      <c r="F22" s="508"/>
      <c r="G22" s="223">
        <v>3.78</v>
      </c>
      <c r="H22" s="509"/>
      <c r="I22" s="510">
        <v>3.78</v>
      </c>
    </row>
    <row r="23" spans="2:9" ht="17.25" x14ac:dyDescent="0.3">
      <c r="B23" s="216"/>
      <c r="C23" s="216"/>
      <c r="D23" s="214"/>
      <c r="E23" s="223"/>
      <c r="F23" s="508"/>
      <c r="G23" s="223"/>
      <c r="H23" s="509"/>
      <c r="I23" s="223"/>
    </row>
    <row r="24" spans="2:9" ht="17.25" x14ac:dyDescent="0.3">
      <c r="B24" s="212" t="s">
        <v>215</v>
      </c>
      <c r="C24" s="213" t="s">
        <v>214</v>
      </c>
      <c r="D24" s="214"/>
      <c r="E24" s="223">
        <v>0.82</v>
      </c>
      <c r="F24" s="508"/>
      <c r="G24" s="223">
        <v>0.86</v>
      </c>
      <c r="H24" s="509"/>
      <c r="I24" s="510">
        <v>0.86</v>
      </c>
    </row>
    <row r="25" spans="2:9" ht="17.25" x14ac:dyDescent="0.3">
      <c r="B25" s="216"/>
      <c r="C25" s="216"/>
      <c r="D25" s="214"/>
      <c r="E25" s="223"/>
      <c r="F25" s="508"/>
      <c r="G25" s="223"/>
      <c r="H25" s="509"/>
      <c r="I25" s="223"/>
    </row>
    <row r="26" spans="2:9" ht="17.25" x14ac:dyDescent="0.3">
      <c r="B26" s="212" t="s">
        <v>216</v>
      </c>
      <c r="C26" s="213" t="s">
        <v>214</v>
      </c>
      <c r="D26" s="214"/>
      <c r="E26" s="223">
        <v>1.98</v>
      </c>
      <c r="F26" s="508"/>
      <c r="G26" s="223">
        <v>2</v>
      </c>
      <c r="H26" s="509"/>
      <c r="I26" s="510">
        <v>2</v>
      </c>
    </row>
    <row r="27" spans="2:9" ht="15" x14ac:dyDescent="0.25">
      <c r="B27" s="59"/>
      <c r="C27" s="59"/>
      <c r="D27"/>
      <c r="E27" s="59"/>
      <c r="F27" s="59"/>
      <c r="G27" s="59"/>
      <c r="H27" s="59"/>
      <c r="I27"/>
    </row>
    <row r="28" spans="2:9" ht="15" x14ac:dyDescent="0.25">
      <c r="B28" s="59"/>
      <c r="C28" s="59"/>
      <c r="D28"/>
      <c r="E28" s="59"/>
      <c r="F28" s="59"/>
      <c r="G28" s="59"/>
      <c r="H28" s="59"/>
      <c r="I28"/>
    </row>
    <row r="29" spans="2:9" ht="31.5" x14ac:dyDescent="0.25">
      <c r="B29" s="206" t="s">
        <v>217</v>
      </c>
      <c r="C29" s="207" t="s">
        <v>95</v>
      </c>
      <c r="D29"/>
      <c r="E29" s="505" t="s">
        <v>427</v>
      </c>
      <c r="F29"/>
      <c r="G29" s="505" t="s">
        <v>428</v>
      </c>
      <c r="H29"/>
      <c r="I29" s="505" t="s">
        <v>429</v>
      </c>
    </row>
    <row r="30" spans="2:9" ht="15.75" x14ac:dyDescent="0.25">
      <c r="B30" s="218"/>
      <c r="C30" s="219"/>
      <c r="D30"/>
      <c r="E30" s="220"/>
      <c r="F30" s="220"/>
      <c r="G30" s="220"/>
      <c r="H30" s="220"/>
      <c r="I30"/>
    </row>
    <row r="31" spans="2:9" ht="3" customHeight="1" x14ac:dyDescent="0.25">
      <c r="B31" s="220"/>
      <c r="C31" s="219"/>
      <c r="D31"/>
      <c r="E31" s="221"/>
      <c r="F31" s="220"/>
      <c r="G31" s="221"/>
      <c r="H31" s="220"/>
      <c r="I31"/>
    </row>
    <row r="32" spans="2:9" ht="3" customHeight="1" x14ac:dyDescent="0.25">
      <c r="B32" s="59"/>
      <c r="C32" s="59"/>
      <c r="D32"/>
      <c r="E32" s="59"/>
      <c r="F32" s="59"/>
      <c r="G32" s="59"/>
      <c r="H32" s="59"/>
      <c r="I32"/>
    </row>
    <row r="33" spans="2:10" ht="16.5" x14ac:dyDescent="0.3">
      <c r="B33" s="208" t="s">
        <v>203</v>
      </c>
      <c r="C33" s="208"/>
      <c r="D33" s="209"/>
      <c r="E33" s="210" t="s">
        <v>188</v>
      </c>
      <c r="F33" s="211"/>
      <c r="G33" s="210" t="s">
        <v>188</v>
      </c>
      <c r="H33" s="59"/>
      <c r="I33" s="210" t="s">
        <v>188</v>
      </c>
    </row>
    <row r="34" spans="2:10" ht="15" x14ac:dyDescent="0.25">
      <c r="B34" s="59"/>
      <c r="C34" s="59"/>
      <c r="D34"/>
      <c r="E34" s="59"/>
      <c r="F34" s="59"/>
      <c r="G34" s="59"/>
      <c r="H34" s="59"/>
      <c r="I34"/>
    </row>
    <row r="35" spans="2:10" ht="17.25" x14ac:dyDescent="0.3">
      <c r="B35" s="212" t="s">
        <v>213</v>
      </c>
      <c r="C35" s="213" t="s">
        <v>214</v>
      </c>
      <c r="D35" s="214"/>
      <c r="E35" s="223">
        <v>3.23</v>
      </c>
      <c r="F35" s="508"/>
      <c r="G35" s="229">
        <v>3.4121000000000001</v>
      </c>
      <c r="H35" s="511"/>
      <c r="I35" s="512">
        <f>+G35</f>
        <v>3.4121000000000001</v>
      </c>
    </row>
    <row r="36" spans="2:10" ht="15.75" x14ac:dyDescent="0.25">
      <c r="B36" s="220"/>
      <c r="C36" s="220"/>
      <c r="D36" s="222"/>
      <c r="E36" s="223"/>
      <c r="F36" s="511"/>
      <c r="G36" s="229"/>
      <c r="H36" s="511"/>
      <c r="I36" s="229"/>
    </row>
    <row r="37" spans="2:10" ht="17.25" x14ac:dyDescent="0.3">
      <c r="B37" s="212" t="s">
        <v>215</v>
      </c>
      <c r="C37" s="213" t="s">
        <v>214</v>
      </c>
      <c r="D37" s="214"/>
      <c r="E37" s="223">
        <v>0.65</v>
      </c>
      <c r="F37" s="508"/>
      <c r="G37" s="229">
        <v>0.78790000000000004</v>
      </c>
      <c r="H37" s="511"/>
      <c r="I37" s="512">
        <f>+G37</f>
        <v>0.78790000000000004</v>
      </c>
      <c r="J37" s="281"/>
    </row>
    <row r="38" spans="2:10" ht="15.75" x14ac:dyDescent="0.25">
      <c r="B38" s="220"/>
      <c r="C38" s="220"/>
      <c r="D38" s="222"/>
      <c r="E38" s="223"/>
      <c r="F38" s="511"/>
      <c r="G38" s="229"/>
      <c r="H38" s="511"/>
      <c r="I38" s="229"/>
    </row>
    <row r="39" spans="2:10" ht="17.25" x14ac:dyDescent="0.3">
      <c r="B39" s="212" t="s">
        <v>216</v>
      </c>
      <c r="C39" s="213" t="s">
        <v>214</v>
      </c>
      <c r="D39" s="214"/>
      <c r="E39" s="223">
        <v>1.62</v>
      </c>
      <c r="F39" s="508"/>
      <c r="G39" s="229">
        <v>1.8018000000000001</v>
      </c>
      <c r="H39" s="511"/>
      <c r="I39" s="512">
        <f>+G39</f>
        <v>1.8018000000000001</v>
      </c>
      <c r="J39" s="281"/>
    </row>
    <row r="40" spans="2:10" ht="15.75" x14ac:dyDescent="0.25">
      <c r="B40" s="220"/>
      <c r="C40" s="220"/>
      <c r="D40" s="222"/>
      <c r="E40" s="223"/>
      <c r="F40" s="511"/>
      <c r="G40" s="223"/>
      <c r="H40" s="511"/>
      <c r="I40" s="229"/>
    </row>
    <row r="41" spans="2:10" ht="17.25" x14ac:dyDescent="0.3">
      <c r="B41" s="212" t="s">
        <v>218</v>
      </c>
      <c r="C41" s="213" t="s">
        <v>214</v>
      </c>
      <c r="D41" s="214"/>
      <c r="E41" s="223">
        <f>SUM(E39,E37)</f>
        <v>2.27</v>
      </c>
      <c r="F41" s="508"/>
      <c r="G41" s="229">
        <f>SUM(G39,G37)</f>
        <v>2.5897000000000001</v>
      </c>
      <c r="H41" s="511"/>
      <c r="I41" s="512">
        <f>I39+I37</f>
        <v>2.5897000000000001</v>
      </c>
    </row>
    <row r="42" spans="2:10" ht="15.75" x14ac:dyDescent="0.25">
      <c r="B42" s="220"/>
      <c r="C42" s="220"/>
      <c r="D42"/>
      <c r="E42" s="223"/>
      <c r="F42" s="59"/>
      <c r="G42" s="223"/>
      <c r="H42" s="59"/>
      <c r="I42"/>
    </row>
    <row r="43" spans="2:10" ht="15" x14ac:dyDescent="0.25">
      <c r="B43"/>
      <c r="C43" s="59"/>
      <c r="D43"/>
      <c r="E43" s="59"/>
      <c r="F43" s="59"/>
      <c r="G43" s="59"/>
      <c r="H43" s="59"/>
      <c r="I43"/>
    </row>
    <row r="44" spans="2:10" ht="25.5" x14ac:dyDescent="0.25">
      <c r="B44" s="224" t="s">
        <v>219</v>
      </c>
      <c r="C44" s="225" t="s">
        <v>95</v>
      </c>
      <c r="D44"/>
      <c r="E44" s="506" t="s">
        <v>427</v>
      </c>
      <c r="F44" s="59"/>
      <c r="G44" s="506" t="s">
        <v>428</v>
      </c>
      <c r="H44" s="59"/>
      <c r="I44" s="506" t="s">
        <v>429</v>
      </c>
    </row>
    <row r="45" spans="2:10" ht="15.75" x14ac:dyDescent="0.25">
      <c r="B45" s="218"/>
      <c r="C45" s="219"/>
      <c r="D45"/>
      <c r="E45" s="220"/>
      <c r="F45" s="220"/>
      <c r="G45" s="220"/>
      <c r="H45" s="220"/>
      <c r="I45"/>
    </row>
    <row r="46" spans="2:10" ht="3" customHeight="1" x14ac:dyDescent="0.25">
      <c r="B46" s="220"/>
      <c r="C46" s="219"/>
      <c r="D46"/>
      <c r="E46" s="221"/>
      <c r="F46" s="220"/>
      <c r="G46" s="221"/>
      <c r="H46" s="220"/>
      <c r="I46"/>
    </row>
    <row r="47" spans="2:10" ht="3" customHeight="1" x14ac:dyDescent="0.25">
      <c r="B47" s="59"/>
      <c r="C47" s="59"/>
      <c r="D47"/>
      <c r="E47" s="59"/>
      <c r="F47" s="59"/>
      <c r="G47" s="59"/>
      <c r="H47" s="59"/>
      <c r="I47"/>
    </row>
    <row r="48" spans="2:10" ht="16.5" x14ac:dyDescent="0.3">
      <c r="B48" s="208" t="s">
        <v>203</v>
      </c>
      <c r="C48" s="208"/>
      <c r="D48" s="209"/>
      <c r="E48" s="210" t="s">
        <v>188</v>
      </c>
      <c r="F48" s="211"/>
      <c r="G48" s="210" t="s">
        <v>188</v>
      </c>
      <c r="H48" s="59"/>
      <c r="I48" s="210" t="s">
        <v>188</v>
      </c>
    </row>
    <row r="49" spans="2:9" ht="15" x14ac:dyDescent="0.25">
      <c r="B49" s="59"/>
      <c r="C49" s="59"/>
      <c r="D49"/>
      <c r="E49" s="59"/>
      <c r="F49" s="59"/>
      <c r="G49" s="59"/>
      <c r="H49" s="59"/>
      <c r="I49"/>
    </row>
    <row r="50" spans="2:9" ht="17.25" x14ac:dyDescent="0.3">
      <c r="B50" s="212" t="s">
        <v>213</v>
      </c>
      <c r="C50" s="213" t="s">
        <v>214</v>
      </c>
      <c r="D50" s="214"/>
      <c r="E50" s="217"/>
      <c r="F50" s="216"/>
      <c r="G50" s="217"/>
      <c r="H50" s="220"/>
      <c r="I50" s="217"/>
    </row>
    <row r="51" spans="2:9" ht="15.75" x14ac:dyDescent="0.25">
      <c r="B51" s="220"/>
      <c r="C51" s="220"/>
      <c r="D51" s="222"/>
      <c r="E51" s="223"/>
      <c r="F51" s="220"/>
      <c r="G51" s="223"/>
      <c r="H51" s="220"/>
      <c r="I51" s="223"/>
    </row>
    <row r="52" spans="2:9" ht="17.25" x14ac:dyDescent="0.3">
      <c r="B52" s="212" t="s">
        <v>215</v>
      </c>
      <c r="C52" s="213" t="s">
        <v>214</v>
      </c>
      <c r="D52" s="214"/>
      <c r="E52" s="217"/>
      <c r="F52" s="216"/>
      <c r="G52" s="217"/>
      <c r="H52" s="220"/>
      <c r="I52" s="217"/>
    </row>
    <row r="53" spans="2:9" ht="15.75" x14ac:dyDescent="0.25">
      <c r="B53" s="220"/>
      <c r="C53" s="220"/>
      <c r="D53" s="222"/>
      <c r="E53" s="223"/>
      <c r="F53" s="220"/>
      <c r="G53" s="223"/>
      <c r="H53" s="220"/>
      <c r="I53" s="223"/>
    </row>
    <row r="54" spans="2:9" ht="17.25" x14ac:dyDescent="0.3">
      <c r="B54" s="212" t="s">
        <v>216</v>
      </c>
      <c r="C54" s="213" t="s">
        <v>214</v>
      </c>
      <c r="D54" s="214"/>
      <c r="E54" s="217"/>
      <c r="F54" s="216"/>
      <c r="G54" s="217"/>
      <c r="H54" s="220"/>
      <c r="I54" s="217"/>
    </row>
    <row r="55" spans="2:9" ht="15.75" x14ac:dyDescent="0.25">
      <c r="B55" s="220"/>
      <c r="C55" s="220"/>
      <c r="D55" s="222"/>
      <c r="E55" s="223"/>
      <c r="F55" s="220"/>
      <c r="G55" s="223"/>
      <c r="H55" s="220"/>
      <c r="I55" s="223"/>
    </row>
    <row r="56" spans="2:9" ht="17.25" x14ac:dyDescent="0.3">
      <c r="B56" s="212" t="s">
        <v>218</v>
      </c>
      <c r="C56" s="213" t="s">
        <v>214</v>
      </c>
      <c r="D56" s="214"/>
      <c r="E56" s="215">
        <f>E54+E52</f>
        <v>0</v>
      </c>
      <c r="F56" s="216"/>
      <c r="G56" s="215">
        <f>G54+G52</f>
        <v>0</v>
      </c>
      <c r="H56" s="220"/>
      <c r="I56" s="215">
        <f>I54+I52</f>
        <v>0</v>
      </c>
    </row>
    <row r="57" spans="2:9" ht="15.75" x14ac:dyDescent="0.25">
      <c r="B57" s="220"/>
      <c r="C57" s="220"/>
      <c r="D57"/>
      <c r="E57" s="223"/>
      <c r="F57" s="59"/>
      <c r="G57" s="223"/>
      <c r="H57" s="59"/>
      <c r="I57"/>
    </row>
    <row r="58" spans="2:9" ht="15" x14ac:dyDescent="0.25">
      <c r="B58"/>
      <c r="C58" s="59"/>
      <c r="D58"/>
      <c r="E58" s="59"/>
      <c r="F58" s="59"/>
      <c r="G58" s="59"/>
      <c r="H58" s="59"/>
      <c r="I58"/>
    </row>
    <row r="59" spans="2:9" ht="25.5" x14ac:dyDescent="0.25">
      <c r="B59" s="224" t="s">
        <v>220</v>
      </c>
      <c r="C59" s="225" t="s">
        <v>95</v>
      </c>
      <c r="D59"/>
      <c r="E59" s="506" t="s">
        <v>427</v>
      </c>
      <c r="F59" s="59"/>
      <c r="G59" s="506" t="s">
        <v>428</v>
      </c>
      <c r="H59" s="59"/>
      <c r="I59" s="506" t="s">
        <v>429</v>
      </c>
    </row>
    <row r="60" spans="2:9" ht="15.75" x14ac:dyDescent="0.25">
      <c r="B60" s="218"/>
      <c r="C60" s="219"/>
      <c r="D60"/>
      <c r="E60" s="220"/>
      <c r="F60" s="220"/>
      <c r="G60" s="220"/>
      <c r="H60" s="220"/>
      <c r="I60"/>
    </row>
    <row r="61" spans="2:9" ht="3" customHeight="1" x14ac:dyDescent="0.25">
      <c r="B61" s="220"/>
      <c r="C61" s="219"/>
      <c r="D61"/>
      <c r="E61" s="221"/>
      <c r="F61" s="220"/>
      <c r="G61" s="221"/>
      <c r="H61" s="220"/>
      <c r="I61"/>
    </row>
    <row r="62" spans="2:9" ht="3" customHeight="1" x14ac:dyDescent="0.25">
      <c r="B62" s="59"/>
      <c r="C62" s="59"/>
      <c r="D62"/>
      <c r="E62" s="59"/>
      <c r="F62" s="59"/>
      <c r="G62" s="59"/>
      <c r="H62" s="59"/>
      <c r="I62"/>
    </row>
    <row r="63" spans="2:9" ht="16.5" x14ac:dyDescent="0.3">
      <c r="B63" s="208" t="s">
        <v>203</v>
      </c>
      <c r="C63" s="208"/>
      <c r="D63" s="209"/>
      <c r="E63" s="210" t="s">
        <v>188</v>
      </c>
      <c r="F63" s="211"/>
      <c r="G63" s="210" t="s">
        <v>188</v>
      </c>
      <c r="H63" s="59"/>
      <c r="I63" s="210" t="s">
        <v>188</v>
      </c>
    </row>
    <row r="64" spans="2:9" ht="15" x14ac:dyDescent="0.25">
      <c r="B64" s="59"/>
      <c r="C64" s="59"/>
      <c r="D64"/>
      <c r="E64" s="59"/>
      <c r="F64" s="59"/>
      <c r="G64" s="59"/>
      <c r="H64" s="59"/>
      <c r="I64"/>
    </row>
    <row r="65" spans="2:9" ht="17.25" x14ac:dyDescent="0.3">
      <c r="B65" s="212" t="s">
        <v>213</v>
      </c>
      <c r="C65" s="213" t="s">
        <v>214</v>
      </c>
      <c r="D65" s="214"/>
      <c r="E65" s="217"/>
      <c r="F65" s="216"/>
      <c r="G65" s="217"/>
      <c r="H65" s="220"/>
      <c r="I65" s="217"/>
    </row>
    <row r="66" spans="2:9" ht="15.75" x14ac:dyDescent="0.25">
      <c r="B66" s="220"/>
      <c r="C66" s="220"/>
      <c r="D66" s="222"/>
      <c r="E66" s="223"/>
      <c r="F66" s="220"/>
      <c r="G66" s="223"/>
      <c r="H66" s="220"/>
      <c r="I66" s="223"/>
    </row>
    <row r="67" spans="2:9" ht="17.25" x14ac:dyDescent="0.3">
      <c r="B67" s="212" t="s">
        <v>215</v>
      </c>
      <c r="C67" s="213" t="s">
        <v>214</v>
      </c>
      <c r="D67" s="214"/>
      <c r="E67" s="217"/>
      <c r="F67" s="216"/>
      <c r="G67" s="217"/>
      <c r="H67" s="220"/>
      <c r="I67" s="217"/>
    </row>
    <row r="68" spans="2:9" ht="15.75" x14ac:dyDescent="0.25">
      <c r="B68" s="220"/>
      <c r="C68" s="220"/>
      <c r="D68" s="222"/>
      <c r="E68" s="223"/>
      <c r="F68" s="220"/>
      <c r="G68" s="223"/>
      <c r="H68" s="220"/>
      <c r="I68" s="223"/>
    </row>
    <row r="69" spans="2:9" ht="17.25" x14ac:dyDescent="0.3">
      <c r="B69" s="212" t="s">
        <v>216</v>
      </c>
      <c r="C69" s="213" t="s">
        <v>214</v>
      </c>
      <c r="D69" s="214"/>
      <c r="E69" s="217"/>
      <c r="F69" s="216"/>
      <c r="G69" s="217"/>
      <c r="H69" s="220"/>
      <c r="I69" s="217"/>
    </row>
    <row r="70" spans="2:9" ht="15.75" x14ac:dyDescent="0.25">
      <c r="B70" s="220"/>
      <c r="C70" s="220"/>
      <c r="D70" s="222"/>
      <c r="E70" s="223"/>
      <c r="F70" s="220"/>
      <c r="G70" s="223"/>
      <c r="H70" s="220"/>
      <c r="I70" s="223"/>
    </row>
    <row r="71" spans="2:9" ht="17.25" x14ac:dyDescent="0.3">
      <c r="B71" s="212" t="s">
        <v>218</v>
      </c>
      <c r="C71" s="213" t="s">
        <v>214</v>
      </c>
      <c r="D71" s="214"/>
      <c r="E71" s="215">
        <f>E69+E67</f>
        <v>0</v>
      </c>
      <c r="F71" s="216"/>
      <c r="G71" s="215">
        <f>G69+G67</f>
        <v>0</v>
      </c>
      <c r="H71" s="220"/>
      <c r="I71" s="215">
        <f>I69+I67</f>
        <v>0</v>
      </c>
    </row>
    <row r="72" spans="2:9" ht="15.75" x14ac:dyDescent="0.25">
      <c r="B72" s="220"/>
      <c r="C72" s="220"/>
      <c r="D72"/>
      <c r="E72" s="223"/>
      <c r="F72" s="59"/>
      <c r="G72" s="223"/>
      <c r="H72" s="59"/>
      <c r="I72"/>
    </row>
    <row r="73" spans="2:9" ht="15" x14ac:dyDescent="0.25">
      <c r="B73"/>
      <c r="C73" s="59"/>
      <c r="D73"/>
      <c r="E73" s="59"/>
      <c r="F73" s="59"/>
      <c r="G73" s="59"/>
      <c r="H73" s="59"/>
      <c r="I73"/>
    </row>
    <row r="74" spans="2:9" ht="15.75" x14ac:dyDescent="0.25">
      <c r="B74" s="218"/>
      <c r="C74" s="59"/>
      <c r="D74"/>
      <c r="E74" s="59"/>
      <c r="F74" s="59"/>
      <c r="G74" s="59"/>
      <c r="H74" s="59"/>
      <c r="I74"/>
    </row>
    <row r="75" spans="2:9" ht="25.5" x14ac:dyDescent="0.25">
      <c r="B75" s="206" t="s">
        <v>221</v>
      </c>
      <c r="C75" s="207" t="s">
        <v>95</v>
      </c>
      <c r="D75"/>
      <c r="E75" s="507" t="s">
        <v>427</v>
      </c>
      <c r="F75" s="59"/>
      <c r="G75" s="507" t="s">
        <v>428</v>
      </c>
      <c r="H75" s="59"/>
      <c r="I75" s="507" t="s">
        <v>429</v>
      </c>
    </row>
    <row r="76" spans="2:9" ht="15" x14ac:dyDescent="0.25">
      <c r="B76" s="59"/>
      <c r="C76" s="59"/>
      <c r="D76"/>
      <c r="E76" s="59"/>
      <c r="F76" s="59"/>
      <c r="G76" s="59"/>
      <c r="H76" s="59"/>
      <c r="I76"/>
    </row>
    <row r="77" spans="2:9" ht="16.5" x14ac:dyDescent="0.3">
      <c r="B77" s="208" t="s">
        <v>203</v>
      </c>
      <c r="C77" s="208"/>
      <c r="D77" s="209"/>
      <c r="E77" s="210" t="s">
        <v>188</v>
      </c>
      <c r="F77" s="211"/>
      <c r="G77" s="210" t="s">
        <v>188</v>
      </c>
      <c r="H77" s="59"/>
      <c r="I77" s="210" t="s">
        <v>188</v>
      </c>
    </row>
    <row r="78" spans="2:9" ht="15" x14ac:dyDescent="0.25">
      <c r="B78" s="59"/>
      <c r="C78" s="59"/>
      <c r="D78"/>
      <c r="E78" s="59"/>
      <c r="F78" s="59"/>
      <c r="G78" s="59"/>
      <c r="H78" s="59"/>
      <c r="I78"/>
    </row>
    <row r="79" spans="2:9" ht="17.25" x14ac:dyDescent="0.3">
      <c r="B79" s="212" t="s">
        <v>222</v>
      </c>
      <c r="C79" s="213" t="s">
        <v>214</v>
      </c>
      <c r="D79" s="214"/>
      <c r="E79" s="229">
        <v>0.14649999999999999</v>
      </c>
      <c r="F79" s="216"/>
      <c r="G79" s="654">
        <v>0</v>
      </c>
      <c r="H79" s="227"/>
      <c r="I79" s="228">
        <v>0</v>
      </c>
    </row>
    <row r="80" spans="2:9" ht="15.75" x14ac:dyDescent="0.25">
      <c r="B80" s="220"/>
      <c r="C80" s="220"/>
      <c r="D80" s="222"/>
      <c r="E80" s="229"/>
      <c r="F80" s="230"/>
      <c r="G80" s="654"/>
      <c r="H80" s="227"/>
      <c r="I80" s="231"/>
    </row>
    <row r="81" spans="2:9" ht="17.25" x14ac:dyDescent="0.3">
      <c r="B81" s="212" t="s">
        <v>223</v>
      </c>
      <c r="C81" s="213" t="s">
        <v>214</v>
      </c>
      <c r="D81" s="214"/>
      <c r="E81" s="229">
        <v>6.6699999999999995E-2</v>
      </c>
      <c r="F81" s="216"/>
      <c r="G81" s="654">
        <v>0</v>
      </c>
      <c r="H81" s="227"/>
      <c r="I81" s="228">
        <v>0</v>
      </c>
    </row>
    <row r="82" spans="2:9" ht="17.25" x14ac:dyDescent="0.3">
      <c r="B82" s="220"/>
      <c r="C82" s="220"/>
      <c r="D82" s="222"/>
      <c r="E82" s="229"/>
      <c r="F82" s="230"/>
      <c r="G82" s="654"/>
      <c r="H82" s="227"/>
      <c r="I82" s="226"/>
    </row>
    <row r="83" spans="2:9" ht="17.25" x14ac:dyDescent="0.3">
      <c r="B83" s="212" t="s">
        <v>224</v>
      </c>
      <c r="C83" s="213" t="s">
        <v>214</v>
      </c>
      <c r="D83" s="214"/>
      <c r="E83" s="229">
        <v>4.7500000000000001E-2</v>
      </c>
      <c r="F83" s="232"/>
      <c r="G83" s="654">
        <v>0</v>
      </c>
      <c r="H83" s="227"/>
      <c r="I83" s="228">
        <v>0</v>
      </c>
    </row>
    <row r="84" spans="2:9" ht="17.25" x14ac:dyDescent="0.3">
      <c r="B84" s="216"/>
      <c r="C84" s="216"/>
      <c r="D84" s="214"/>
      <c r="E84" s="513"/>
      <c r="F84" s="232"/>
      <c r="G84" s="655"/>
      <c r="H84" s="227"/>
      <c r="I84" s="226"/>
    </row>
    <row r="85" spans="2:9" ht="17.25" x14ac:dyDescent="0.3">
      <c r="B85" s="212" t="s">
        <v>225</v>
      </c>
      <c r="C85" s="213" t="s">
        <v>214</v>
      </c>
      <c r="D85" s="214"/>
      <c r="E85" s="229">
        <v>4.19E-2</v>
      </c>
      <c r="F85" s="232"/>
      <c r="G85" s="654">
        <v>0</v>
      </c>
      <c r="H85" s="227"/>
      <c r="I85" s="228">
        <v>0</v>
      </c>
    </row>
    <row r="86" spans="2:9" ht="17.25" x14ac:dyDescent="0.3">
      <c r="B86" s="216"/>
      <c r="C86" s="213"/>
      <c r="D86" s="214"/>
      <c r="E86" s="513"/>
      <c r="F86" s="232"/>
      <c r="G86" s="232"/>
      <c r="H86" s="230"/>
      <c r="I86" s="226"/>
    </row>
    <row r="87" spans="2:9" ht="17.25" x14ac:dyDescent="0.3">
      <c r="B87" s="212" t="s">
        <v>226</v>
      </c>
      <c r="C87" s="213" t="s">
        <v>214</v>
      </c>
      <c r="D87" s="214"/>
      <c r="E87" s="229">
        <v>-2.7E-2</v>
      </c>
      <c r="F87" s="232"/>
      <c r="G87" s="226"/>
      <c r="H87" s="227"/>
      <c r="I87" s="228">
        <f>G87</f>
        <v>0</v>
      </c>
    </row>
    <row r="88" spans="2:9" ht="17.25" x14ac:dyDescent="0.3">
      <c r="B88" s="216"/>
      <c r="C88" s="213"/>
      <c r="D88" s="214"/>
      <c r="E88" s="513"/>
      <c r="F88" s="232"/>
      <c r="G88" s="232"/>
      <c r="H88" s="230"/>
      <c r="I88" s="226"/>
    </row>
    <row r="89" spans="2:9" ht="17.25" x14ac:dyDescent="0.3">
      <c r="B89" s="212" t="s">
        <v>227</v>
      </c>
      <c r="C89" s="213" t="s">
        <v>214</v>
      </c>
      <c r="D89" s="214"/>
      <c r="E89" s="229">
        <v>-5.9999999999999995E-4</v>
      </c>
      <c r="F89" s="232"/>
      <c r="G89" s="226"/>
      <c r="H89" s="227"/>
      <c r="I89" s="228">
        <f>G89</f>
        <v>0</v>
      </c>
    </row>
    <row r="90" spans="2:9" ht="17.25" x14ac:dyDescent="0.3">
      <c r="B90" s="216"/>
      <c r="C90" s="213"/>
      <c r="D90" s="214"/>
      <c r="E90" s="513"/>
      <c r="F90" s="232"/>
      <c r="G90" s="232"/>
      <c r="H90" s="230"/>
      <c r="I90" s="232"/>
    </row>
    <row r="91" spans="2:9" ht="18" thickBot="1" x14ac:dyDescent="0.35">
      <c r="B91" s="212" t="s">
        <v>221</v>
      </c>
      <c r="C91" s="213" t="s">
        <v>214</v>
      </c>
      <c r="D91" s="214"/>
      <c r="E91" s="514">
        <f>SUM(E79:E90)</f>
        <v>0.27499999999999997</v>
      </c>
      <c r="F91" s="232"/>
      <c r="G91" s="233">
        <f>SUM(G79:G89)</f>
        <v>0</v>
      </c>
      <c r="H91" s="227"/>
      <c r="I91" s="233">
        <f>SUM(I79:I89)</f>
        <v>0</v>
      </c>
    </row>
    <row r="92" spans="2:9" ht="15" x14ac:dyDescent="0.25">
      <c r="B92" s="220"/>
      <c r="C92" s="220"/>
      <c r="D92" s="219"/>
      <c r="E92" s="220"/>
      <c r="F92" s="220"/>
      <c r="G92" s="220"/>
      <c r="H92" s="220"/>
      <c r="I92"/>
    </row>
    <row r="93" spans="2:9" ht="15" x14ac:dyDescent="0.25">
      <c r="B93"/>
      <c r="C93"/>
      <c r="D93"/>
      <c r="E93"/>
      <c r="F93"/>
      <c r="G93"/>
      <c r="H93"/>
      <c r="I93"/>
    </row>
    <row r="94" spans="2:9" ht="15.75" x14ac:dyDescent="0.25">
      <c r="B94"/>
      <c r="C94"/>
      <c r="D94"/>
      <c r="E94" s="515" t="s">
        <v>430</v>
      </c>
      <c r="F94" s="515"/>
      <c r="G94" s="515" t="s">
        <v>431</v>
      </c>
      <c r="H94" s="515"/>
      <c r="I94" s="515" t="s">
        <v>432</v>
      </c>
    </row>
    <row r="95" spans="2:9" ht="34.5" x14ac:dyDescent="0.3">
      <c r="B95" s="234" t="s">
        <v>228</v>
      </c>
      <c r="C95" s="213" t="s">
        <v>229</v>
      </c>
      <c r="D95"/>
      <c r="E95" s="235"/>
      <c r="F95" s="226"/>
      <c r="G95" s="235"/>
      <c r="H95" s="226"/>
      <c r="I95" s="235"/>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3:Q112"/>
  <sheetViews>
    <sheetView topLeftCell="B91" workbookViewId="0">
      <selection activeCell="E19" sqref="E19"/>
    </sheetView>
  </sheetViews>
  <sheetFormatPr defaultColWidth="9.140625" defaultRowHeight="12.75" x14ac:dyDescent="0.2"/>
  <cols>
    <col min="1" max="1" width="11.85546875" style="199" hidden="1" customWidth="1"/>
    <col min="2" max="2" width="30.140625" style="199" customWidth="1"/>
    <col min="3" max="3" width="3.85546875" style="199" customWidth="1"/>
    <col min="4" max="4" width="13.28515625" style="199" customWidth="1"/>
    <col min="5" max="5" width="15.140625" style="199" customWidth="1"/>
    <col min="6" max="6" width="13.28515625" style="199" customWidth="1"/>
    <col min="7" max="7" width="2.85546875" style="199" customWidth="1"/>
    <col min="8" max="8" width="13.28515625" style="199" customWidth="1"/>
    <col min="9" max="9" width="9.42578125" style="199" bestFit="1" customWidth="1"/>
    <col min="10" max="10" width="13.28515625" style="199" customWidth="1"/>
    <col min="11" max="11" width="3.140625" style="199" customWidth="1"/>
    <col min="12" max="12" width="13.28515625" style="199" customWidth="1"/>
    <col min="13" max="13" width="9.42578125" style="199" bestFit="1" customWidth="1"/>
    <col min="14" max="14" width="13.28515625" style="199" customWidth="1"/>
    <col min="15" max="15" width="3.7109375" style="199" customWidth="1"/>
    <col min="16" max="16" width="13.28515625" style="199" customWidth="1"/>
    <col min="17" max="16384" width="9.140625" style="199"/>
  </cols>
  <sheetData>
    <row r="13" spans="2:17" ht="42" customHeight="1" x14ac:dyDescent="0.2">
      <c r="B13" s="730" t="s">
        <v>230</v>
      </c>
      <c r="C13" s="730"/>
      <c r="D13" s="730"/>
      <c r="E13" s="730"/>
      <c r="F13" s="730"/>
      <c r="G13" s="730"/>
      <c r="H13" s="730"/>
      <c r="I13" s="730"/>
      <c r="J13" s="730"/>
      <c r="K13" s="730"/>
      <c r="L13" s="730"/>
    </row>
    <row r="16" spans="2:17" ht="15.75" x14ac:dyDescent="0.25">
      <c r="B16" s="236" t="s">
        <v>231</v>
      </c>
      <c r="C16" s="237"/>
      <c r="D16" s="728" t="s">
        <v>232</v>
      </c>
      <c r="E16" s="728"/>
      <c r="F16" s="728"/>
      <c r="G16" s="237"/>
      <c r="H16" s="728" t="s">
        <v>233</v>
      </c>
      <c r="I16" s="728"/>
      <c r="J16" s="728"/>
      <c r="K16" s="237"/>
      <c r="L16" s="728" t="s">
        <v>234</v>
      </c>
      <c r="M16" s="728"/>
      <c r="N16" s="728"/>
      <c r="O16" s="237"/>
      <c r="P16" s="236" t="s">
        <v>235</v>
      </c>
      <c r="Q16" s="239"/>
    </row>
    <row r="17" spans="2:17" ht="33" x14ac:dyDescent="0.3">
      <c r="B17" s="240" t="s">
        <v>236</v>
      </c>
      <c r="C17" s="241"/>
      <c r="D17" s="242" t="s">
        <v>237</v>
      </c>
      <c r="E17" s="242" t="s">
        <v>188</v>
      </c>
      <c r="F17" s="242" t="s">
        <v>238</v>
      </c>
      <c r="G17" s="241"/>
      <c r="H17" s="242" t="s">
        <v>237</v>
      </c>
      <c r="I17" s="242" t="s">
        <v>188</v>
      </c>
      <c r="J17" s="242" t="s">
        <v>238</v>
      </c>
      <c r="K17" s="241"/>
      <c r="L17" s="242" t="s">
        <v>237</v>
      </c>
      <c r="M17" s="242" t="s">
        <v>188</v>
      </c>
      <c r="N17" s="242" t="s">
        <v>238</v>
      </c>
      <c r="O17" s="241"/>
      <c r="P17" s="242" t="s">
        <v>238</v>
      </c>
      <c r="Q17" s="203"/>
    </row>
    <row r="18" spans="2:17" x14ac:dyDescent="0.2">
      <c r="B18" s="203"/>
      <c r="C18" s="203"/>
      <c r="D18" s="203"/>
      <c r="E18" s="203"/>
      <c r="F18" s="203"/>
      <c r="G18" s="203"/>
      <c r="H18" s="203"/>
      <c r="I18" s="203"/>
      <c r="J18" s="203"/>
      <c r="K18" s="203"/>
      <c r="L18" s="203"/>
      <c r="M18" s="203"/>
      <c r="N18" s="203"/>
      <c r="O18" s="203"/>
      <c r="P18" s="203"/>
      <c r="Q18" s="203"/>
    </row>
    <row r="19" spans="2:17" ht="15.75" x14ac:dyDescent="0.25">
      <c r="B19" s="243" t="s">
        <v>124</v>
      </c>
      <c r="C19" s="203"/>
      <c r="D19" s="244">
        <f>'[11]Historical Wholesale'!D8</f>
        <v>1001207</v>
      </c>
      <c r="E19" s="245">
        <f>IF(D19&lt;&gt;0,F19/D19,0)</f>
        <v>3.8200000000000003</v>
      </c>
      <c r="F19" s="246">
        <f>'[11]Historical Wholesale'!F8</f>
        <v>3824610.74</v>
      </c>
      <c r="G19" s="203"/>
      <c r="H19" s="244">
        <f>'[11]Historical Wholesale'!H8</f>
        <v>1082897</v>
      </c>
      <c r="I19" s="245">
        <f t="shared" ref="I19:I30" si="0">IF(H19&lt;&gt;0,J19/H19,0)</f>
        <v>0.82000000000000006</v>
      </c>
      <c r="J19" s="247">
        <f>'[11]Historical Wholesale'!J8</f>
        <v>887975.54</v>
      </c>
      <c r="K19" s="203"/>
      <c r="L19" s="244">
        <f>'[11]Historical Wholesale'!L8</f>
        <v>1082897</v>
      </c>
      <c r="M19" s="245">
        <f t="shared" ref="M19:M30" si="1">IF(L19&lt;&gt;0,N19/L19,0)</f>
        <v>1.98</v>
      </c>
      <c r="N19" s="246">
        <f>'[11]Historical Wholesale'!N8</f>
        <v>2144136.06</v>
      </c>
      <c r="O19" s="203"/>
      <c r="P19" s="248">
        <f t="shared" ref="P19:P30" si="2">J19+N19</f>
        <v>3032111.6</v>
      </c>
      <c r="Q19" s="203"/>
    </row>
    <row r="20" spans="2:17" ht="15.75" x14ac:dyDescent="0.25">
      <c r="B20" s="243" t="s">
        <v>125</v>
      </c>
      <c r="C20" s="203"/>
      <c r="D20" s="244">
        <f>'[11]Historical Wholesale'!D9</f>
        <v>979472</v>
      </c>
      <c r="E20" s="245">
        <f t="shared" ref="E20:E30" si="3">IF(D20&lt;&gt;0,F20/D20,0)</f>
        <v>3.82</v>
      </c>
      <c r="F20" s="246">
        <f>'[11]Historical Wholesale'!F9</f>
        <v>3741583.04</v>
      </c>
      <c r="G20" s="203"/>
      <c r="H20" s="244">
        <f>'[11]Historical Wholesale'!H9</f>
        <v>1007682</v>
      </c>
      <c r="I20" s="245">
        <f t="shared" si="0"/>
        <v>0.82</v>
      </c>
      <c r="J20" s="247">
        <f>'[11]Historical Wholesale'!J9</f>
        <v>826299.24</v>
      </c>
      <c r="K20" s="203"/>
      <c r="L20" s="244">
        <f>'[11]Historical Wholesale'!L9</f>
        <v>1007682</v>
      </c>
      <c r="M20" s="245">
        <f t="shared" si="1"/>
        <v>1.9800000000000002</v>
      </c>
      <c r="N20" s="246">
        <f>'[11]Historical Wholesale'!N9</f>
        <v>1995210.36</v>
      </c>
      <c r="O20" s="203"/>
      <c r="P20" s="248">
        <f t="shared" si="2"/>
        <v>2821509.6</v>
      </c>
      <c r="Q20" s="203"/>
    </row>
    <row r="21" spans="2:17" ht="15.75" x14ac:dyDescent="0.25">
      <c r="B21" s="243" t="s">
        <v>126</v>
      </c>
      <c r="C21" s="203"/>
      <c r="D21" s="244">
        <f>'[11]Historical Wholesale'!D10</f>
        <v>994433</v>
      </c>
      <c r="E21" s="245">
        <f t="shared" si="3"/>
        <v>3.82</v>
      </c>
      <c r="F21" s="246">
        <f>'[11]Historical Wholesale'!F10</f>
        <v>3798734.06</v>
      </c>
      <c r="G21" s="203"/>
      <c r="H21" s="244">
        <f>'[11]Historical Wholesale'!H10</f>
        <v>1035492</v>
      </c>
      <c r="I21" s="245">
        <f t="shared" si="0"/>
        <v>0.82</v>
      </c>
      <c r="J21" s="247">
        <f>'[11]Historical Wholesale'!J10</f>
        <v>849103.44</v>
      </c>
      <c r="K21" s="203"/>
      <c r="L21" s="244">
        <f>'[11]Historical Wholesale'!L10</f>
        <v>1035492</v>
      </c>
      <c r="M21" s="245">
        <f t="shared" si="1"/>
        <v>1.98</v>
      </c>
      <c r="N21" s="246">
        <f>'[11]Historical Wholesale'!N10</f>
        <v>2050274.16</v>
      </c>
      <c r="O21" s="203"/>
      <c r="P21" s="248">
        <f t="shared" si="2"/>
        <v>2899377.5999999996</v>
      </c>
      <c r="Q21" s="203"/>
    </row>
    <row r="22" spans="2:17" ht="15.75" x14ac:dyDescent="0.25">
      <c r="B22" s="243" t="s">
        <v>127</v>
      </c>
      <c r="C22" s="203"/>
      <c r="D22" s="244">
        <f>'[11]Historical Wholesale'!D11</f>
        <v>817739</v>
      </c>
      <c r="E22" s="245">
        <f t="shared" si="3"/>
        <v>3.82</v>
      </c>
      <c r="F22" s="246">
        <f>'[11]Historical Wholesale'!F11</f>
        <v>3123762.98</v>
      </c>
      <c r="G22" s="203"/>
      <c r="H22" s="244">
        <f>'[11]Historical Wholesale'!H11</f>
        <v>909948</v>
      </c>
      <c r="I22" s="245">
        <f t="shared" si="0"/>
        <v>0.82</v>
      </c>
      <c r="J22" s="247">
        <f>'[11]Historical Wholesale'!J11</f>
        <v>746157.36</v>
      </c>
      <c r="K22" s="203"/>
      <c r="L22" s="244">
        <f>'[11]Historical Wholesale'!L11</f>
        <v>909948</v>
      </c>
      <c r="M22" s="245">
        <f t="shared" si="1"/>
        <v>1.98</v>
      </c>
      <c r="N22" s="246">
        <f>'[11]Historical Wholesale'!N11</f>
        <v>1801697.04</v>
      </c>
      <c r="O22" s="203"/>
      <c r="P22" s="248">
        <f t="shared" si="2"/>
        <v>2547854.4</v>
      </c>
      <c r="Q22" s="203"/>
    </row>
    <row r="23" spans="2:17" ht="15.75" x14ac:dyDescent="0.25">
      <c r="B23" s="243" t="s">
        <v>128</v>
      </c>
      <c r="C23" s="203"/>
      <c r="D23" s="244">
        <f>'[11]Historical Wholesale'!D12</f>
        <v>978209</v>
      </c>
      <c r="E23" s="245">
        <f t="shared" si="3"/>
        <v>3.82</v>
      </c>
      <c r="F23" s="246">
        <f>'[11]Historical Wholesale'!F12</f>
        <v>3736758.38</v>
      </c>
      <c r="G23" s="203"/>
      <c r="H23" s="244">
        <f>'[11]Historical Wholesale'!H12</f>
        <v>1011835</v>
      </c>
      <c r="I23" s="245">
        <f t="shared" si="0"/>
        <v>0.82</v>
      </c>
      <c r="J23" s="247">
        <f>'[11]Historical Wholesale'!J12</f>
        <v>829704.7</v>
      </c>
      <c r="K23" s="203"/>
      <c r="L23" s="244">
        <f>'[11]Historical Wholesale'!L12</f>
        <v>1011835</v>
      </c>
      <c r="M23" s="245">
        <f t="shared" si="1"/>
        <v>1.98</v>
      </c>
      <c r="N23" s="246">
        <f>'[11]Historical Wholesale'!N12</f>
        <v>2003433.3</v>
      </c>
      <c r="O23" s="203"/>
      <c r="P23" s="248">
        <f t="shared" si="2"/>
        <v>2833138</v>
      </c>
      <c r="Q23" s="203"/>
    </row>
    <row r="24" spans="2:17" ht="15.75" x14ac:dyDescent="0.25">
      <c r="B24" s="243" t="s">
        <v>129</v>
      </c>
      <c r="C24" s="203"/>
      <c r="D24" s="244">
        <f>'[11]Historical Wholesale'!D13</f>
        <v>1112607</v>
      </c>
      <c r="E24" s="245">
        <f t="shared" si="3"/>
        <v>3.8200000000000003</v>
      </c>
      <c r="F24" s="246">
        <f>'[11]Historical Wholesale'!F13</f>
        <v>4250158.74</v>
      </c>
      <c r="G24" s="203"/>
      <c r="H24" s="244">
        <f>'[11]Historical Wholesale'!H13</f>
        <v>1148096</v>
      </c>
      <c r="I24" s="245">
        <f t="shared" si="0"/>
        <v>0.82</v>
      </c>
      <c r="J24" s="247">
        <f>'[11]Historical Wholesale'!J13</f>
        <v>941438.72</v>
      </c>
      <c r="K24" s="203"/>
      <c r="L24" s="244">
        <f>'[11]Historical Wholesale'!L13</f>
        <v>1148096</v>
      </c>
      <c r="M24" s="245">
        <f t="shared" si="1"/>
        <v>1.98</v>
      </c>
      <c r="N24" s="246">
        <f>'[11]Historical Wholesale'!N13</f>
        <v>2273230.08</v>
      </c>
      <c r="O24" s="203"/>
      <c r="P24" s="248">
        <f t="shared" si="2"/>
        <v>3214668.8</v>
      </c>
      <c r="Q24" s="203"/>
    </row>
    <row r="25" spans="2:17" ht="15.75" x14ac:dyDescent="0.25">
      <c r="B25" s="243" t="s">
        <v>130</v>
      </c>
      <c r="C25" s="203"/>
      <c r="D25" s="244">
        <f>'[11]Historical Wholesale'!D14</f>
        <v>1088544</v>
      </c>
      <c r="E25" s="245">
        <f t="shared" si="3"/>
        <v>3.8200000000000003</v>
      </c>
      <c r="F25" s="246">
        <f>'[11]Historical Wholesale'!F14</f>
        <v>4158238.08</v>
      </c>
      <c r="G25" s="203"/>
      <c r="H25" s="244">
        <f>'[11]Historical Wholesale'!H14</f>
        <v>1170061</v>
      </c>
      <c r="I25" s="245">
        <f t="shared" si="0"/>
        <v>0.82000000000000006</v>
      </c>
      <c r="J25" s="247">
        <f>'[11]Historical Wholesale'!J14</f>
        <v>959450.02</v>
      </c>
      <c r="K25" s="203"/>
      <c r="L25" s="244">
        <f>'[11]Historical Wholesale'!L14</f>
        <v>1170061</v>
      </c>
      <c r="M25" s="245">
        <f t="shared" si="1"/>
        <v>1.9799999999999998</v>
      </c>
      <c r="N25" s="246">
        <f>'[11]Historical Wholesale'!N14</f>
        <v>2316720.7799999998</v>
      </c>
      <c r="O25" s="203"/>
      <c r="P25" s="248">
        <f t="shared" si="2"/>
        <v>3276170.8</v>
      </c>
      <c r="Q25" s="203"/>
    </row>
    <row r="26" spans="2:17" ht="15.75" x14ac:dyDescent="0.25">
      <c r="B26" s="243" t="s">
        <v>131</v>
      </c>
      <c r="C26" s="203"/>
      <c r="D26" s="244">
        <f>'[11]Historical Wholesale'!D15</f>
        <v>1109138</v>
      </c>
      <c r="E26" s="245">
        <f t="shared" si="3"/>
        <v>3.8200000000000003</v>
      </c>
      <c r="F26" s="246">
        <f>'[11]Historical Wholesale'!F15</f>
        <v>4236907.16</v>
      </c>
      <c r="G26" s="203"/>
      <c r="H26" s="244">
        <f>'[11]Historical Wholesale'!H15</f>
        <v>1172206</v>
      </c>
      <c r="I26" s="245">
        <f t="shared" si="0"/>
        <v>0.82000000000000006</v>
      </c>
      <c r="J26" s="247">
        <f>'[11]Historical Wholesale'!J15</f>
        <v>961208.92</v>
      </c>
      <c r="K26" s="203"/>
      <c r="L26" s="244">
        <f>'[11]Historical Wholesale'!L15</f>
        <v>1172206</v>
      </c>
      <c r="M26" s="245">
        <f t="shared" si="1"/>
        <v>1.98</v>
      </c>
      <c r="N26" s="246">
        <f>'[11]Historical Wholesale'!N15</f>
        <v>2320967.88</v>
      </c>
      <c r="O26" s="203"/>
      <c r="P26" s="248">
        <f t="shared" si="2"/>
        <v>3282176.8</v>
      </c>
      <c r="Q26" s="203"/>
    </row>
    <row r="27" spans="2:17" ht="15.75" x14ac:dyDescent="0.25">
      <c r="B27" s="243" t="s">
        <v>132</v>
      </c>
      <c r="C27" s="203"/>
      <c r="D27" s="244">
        <f>'[11]Historical Wholesale'!D16</f>
        <v>1118697</v>
      </c>
      <c r="E27" s="245">
        <f t="shared" si="3"/>
        <v>3.82</v>
      </c>
      <c r="F27" s="246">
        <f>'[11]Historical Wholesale'!F16</f>
        <v>4273422.54</v>
      </c>
      <c r="G27" s="203"/>
      <c r="H27" s="244">
        <f>'[11]Historical Wholesale'!H16</f>
        <v>1191336</v>
      </c>
      <c r="I27" s="245">
        <f t="shared" si="0"/>
        <v>0.82000000000000006</v>
      </c>
      <c r="J27" s="247">
        <f>'[11]Historical Wholesale'!J16</f>
        <v>976895.52</v>
      </c>
      <c r="K27" s="203"/>
      <c r="L27" s="244">
        <f>'[11]Historical Wholesale'!L16</f>
        <v>1191336</v>
      </c>
      <c r="M27" s="245">
        <f t="shared" si="1"/>
        <v>1.9799999999999998</v>
      </c>
      <c r="N27" s="246">
        <f>'[11]Historical Wholesale'!N16</f>
        <v>2358845.2799999998</v>
      </c>
      <c r="O27" s="203"/>
      <c r="P27" s="248">
        <f t="shared" si="2"/>
        <v>3335740.8</v>
      </c>
      <c r="Q27" s="203"/>
    </row>
    <row r="28" spans="2:17" ht="15.75" x14ac:dyDescent="0.25">
      <c r="B28" s="243" t="s">
        <v>133</v>
      </c>
      <c r="C28" s="203"/>
      <c r="D28" s="244">
        <f>'[11]Historical Wholesale'!D17</f>
        <v>779641</v>
      </c>
      <c r="E28" s="245">
        <f t="shared" si="3"/>
        <v>3.8200000000000003</v>
      </c>
      <c r="F28" s="246">
        <f>'[11]Historical Wholesale'!F17</f>
        <v>2978228.62</v>
      </c>
      <c r="G28" s="203"/>
      <c r="H28" s="244">
        <f>'[11]Historical Wholesale'!H17</f>
        <v>861075</v>
      </c>
      <c r="I28" s="245">
        <f t="shared" si="0"/>
        <v>0.82</v>
      </c>
      <c r="J28" s="247">
        <f>'[11]Historical Wholesale'!J17</f>
        <v>706081.5</v>
      </c>
      <c r="K28" s="203"/>
      <c r="L28" s="244">
        <f>'[11]Historical Wholesale'!L17</f>
        <v>861075</v>
      </c>
      <c r="M28" s="245">
        <f t="shared" si="1"/>
        <v>1.98</v>
      </c>
      <c r="N28" s="246">
        <f>'[11]Historical Wholesale'!N17</f>
        <v>1704928.5</v>
      </c>
      <c r="O28" s="203"/>
      <c r="P28" s="248">
        <f t="shared" si="2"/>
        <v>2411010</v>
      </c>
      <c r="Q28" s="203"/>
    </row>
    <row r="29" spans="2:17" ht="15.75" x14ac:dyDescent="0.25">
      <c r="B29" s="243" t="s">
        <v>134</v>
      </c>
      <c r="C29" s="203"/>
      <c r="D29" s="244">
        <f>'[11]Historical Wholesale'!D18</f>
        <v>883586</v>
      </c>
      <c r="E29" s="245">
        <f t="shared" si="3"/>
        <v>3.82</v>
      </c>
      <c r="F29" s="246">
        <f>'[11]Historical Wholesale'!F18</f>
        <v>3375298.52</v>
      </c>
      <c r="G29" s="203"/>
      <c r="H29" s="244">
        <f>'[11]Historical Wholesale'!H18</f>
        <v>924602</v>
      </c>
      <c r="I29" s="245">
        <f t="shared" si="0"/>
        <v>0.82000000000000006</v>
      </c>
      <c r="J29" s="247">
        <f>'[11]Historical Wholesale'!J18</f>
        <v>758173.64</v>
      </c>
      <c r="K29" s="203"/>
      <c r="L29" s="244">
        <f>'[11]Historical Wholesale'!L18</f>
        <v>924602</v>
      </c>
      <c r="M29" s="245">
        <f t="shared" si="1"/>
        <v>1.98</v>
      </c>
      <c r="N29" s="246">
        <f>'[11]Historical Wholesale'!N18</f>
        <v>1830711.96</v>
      </c>
      <c r="O29" s="203"/>
      <c r="P29" s="248">
        <f t="shared" si="2"/>
        <v>2588885.6</v>
      </c>
      <c r="Q29" s="203"/>
    </row>
    <row r="30" spans="2:17" ht="15.75" x14ac:dyDescent="0.25">
      <c r="B30" s="243" t="s">
        <v>135</v>
      </c>
      <c r="C30" s="203"/>
      <c r="D30" s="244">
        <f>'[11]Historical Wholesale'!D19</f>
        <v>898361</v>
      </c>
      <c r="E30" s="245">
        <f t="shared" si="3"/>
        <v>3.82</v>
      </c>
      <c r="F30" s="246">
        <f>'[11]Historical Wholesale'!F19</f>
        <v>3431739.02</v>
      </c>
      <c r="G30" s="203"/>
      <c r="H30" s="244">
        <f>'[11]Historical Wholesale'!H19</f>
        <v>951832</v>
      </c>
      <c r="I30" s="245">
        <f t="shared" si="0"/>
        <v>0.82</v>
      </c>
      <c r="J30" s="247">
        <f>'[11]Historical Wholesale'!J19</f>
        <v>780502.24</v>
      </c>
      <c r="K30" s="203"/>
      <c r="L30" s="244">
        <f>'[11]Historical Wholesale'!L19</f>
        <v>951832</v>
      </c>
      <c r="M30" s="245">
        <f t="shared" si="1"/>
        <v>1.9800000000000002</v>
      </c>
      <c r="N30" s="246">
        <f>'[11]Historical Wholesale'!N19</f>
        <v>1884627.36</v>
      </c>
      <c r="O30" s="203"/>
      <c r="P30" s="248">
        <f t="shared" si="2"/>
        <v>2665129.6</v>
      </c>
      <c r="Q30" s="203"/>
    </row>
    <row r="31" spans="2:17" x14ac:dyDescent="0.2">
      <c r="B31" s="203"/>
      <c r="C31" s="203"/>
      <c r="D31" s="203"/>
      <c r="E31" s="203"/>
      <c r="F31" s="203"/>
      <c r="G31" s="203"/>
      <c r="H31" s="203"/>
      <c r="I31" s="203"/>
      <c r="J31" s="203"/>
      <c r="K31" s="203"/>
      <c r="L31" s="203"/>
      <c r="M31" s="203"/>
      <c r="N31" s="203"/>
      <c r="O31" s="203"/>
      <c r="P31" s="203"/>
      <c r="Q31" s="203"/>
    </row>
    <row r="32" spans="2:17" ht="19.5" thickBot="1" x14ac:dyDescent="0.35">
      <c r="B32" s="249" t="s">
        <v>24</v>
      </c>
      <c r="C32" s="203"/>
      <c r="D32" s="250">
        <f>SUM(D19:D30)</f>
        <v>11761634</v>
      </c>
      <c r="E32" s="251">
        <f>IF(D32&lt;&gt;0,F32/D32,0)</f>
        <v>3.8200000000000003</v>
      </c>
      <c r="F32" s="252">
        <f>SUM(F19:F30)</f>
        <v>44929441.880000003</v>
      </c>
      <c r="G32" s="203"/>
      <c r="H32" s="250">
        <f>SUM(H19:H30)</f>
        <v>12467062</v>
      </c>
      <c r="I32" s="251">
        <f>IF(H32&lt;&gt;0,J32/H32,0)</f>
        <v>0.82</v>
      </c>
      <c r="J32" s="252">
        <f>SUM(J19:J30)</f>
        <v>10222990.84</v>
      </c>
      <c r="K32" s="203"/>
      <c r="L32" s="250">
        <f>SUM(L19:L30)</f>
        <v>12467062</v>
      </c>
      <c r="M32" s="251">
        <f>IF(L32&lt;&gt;0,N32/L32,0)</f>
        <v>1.9800000000000002</v>
      </c>
      <c r="N32" s="252">
        <f>SUM(N19:N30)</f>
        <v>24684782.760000002</v>
      </c>
      <c r="O32" s="203"/>
      <c r="P32" s="252">
        <f>SUM(P19:P30)</f>
        <v>34907773.600000001</v>
      </c>
      <c r="Q32" s="203"/>
    </row>
    <row r="33" spans="2:17" x14ac:dyDescent="0.2">
      <c r="B33" s="203"/>
      <c r="C33" s="203"/>
      <c r="D33" s="203"/>
      <c r="E33" s="203"/>
      <c r="F33" s="203"/>
      <c r="G33" s="203"/>
      <c r="H33" s="203"/>
      <c r="I33" s="203"/>
      <c r="J33" s="203"/>
      <c r="K33" s="203"/>
      <c r="L33" s="203"/>
      <c r="M33" s="203"/>
      <c r="N33" s="203"/>
      <c r="O33" s="203"/>
      <c r="P33" s="203"/>
      <c r="Q33" s="203"/>
    </row>
    <row r="34" spans="2:17" ht="15.75" x14ac:dyDescent="0.2">
      <c r="B34" s="236" t="s">
        <v>239</v>
      </c>
      <c r="C34" s="237"/>
      <c r="D34" s="728" t="s">
        <v>232</v>
      </c>
      <c r="E34" s="728"/>
      <c r="F34" s="728"/>
      <c r="G34" s="237"/>
      <c r="H34" s="728" t="s">
        <v>233</v>
      </c>
      <c r="I34" s="728"/>
      <c r="J34" s="728"/>
      <c r="K34" s="237"/>
      <c r="L34" s="728" t="s">
        <v>234</v>
      </c>
      <c r="M34" s="728"/>
      <c r="N34" s="728"/>
      <c r="O34" s="237"/>
      <c r="P34" s="236" t="s">
        <v>235</v>
      </c>
      <c r="Q34" s="203"/>
    </row>
    <row r="35" spans="2:17" ht="16.5" x14ac:dyDescent="0.3">
      <c r="B35" s="240"/>
      <c r="C35" s="241"/>
      <c r="D35" s="242"/>
      <c r="E35" s="242"/>
      <c r="F35" s="242"/>
      <c r="G35" s="241"/>
      <c r="H35" s="242"/>
      <c r="I35" s="242"/>
      <c r="J35" s="242"/>
      <c r="K35" s="241"/>
      <c r="L35" s="242"/>
      <c r="M35" s="242"/>
      <c r="N35" s="242"/>
      <c r="O35" s="241"/>
      <c r="P35" s="242"/>
      <c r="Q35" s="203"/>
    </row>
    <row r="36" spans="2:17" ht="33" x14ac:dyDescent="0.3">
      <c r="B36" s="240" t="s">
        <v>236</v>
      </c>
      <c r="C36" s="241"/>
      <c r="D36" s="242" t="s">
        <v>237</v>
      </c>
      <c r="E36" s="242" t="s">
        <v>188</v>
      </c>
      <c r="F36" s="242" t="s">
        <v>238</v>
      </c>
      <c r="G36" s="241"/>
      <c r="H36" s="242" t="s">
        <v>237</v>
      </c>
      <c r="I36" s="242" t="s">
        <v>188</v>
      </c>
      <c r="J36" s="242" t="s">
        <v>238</v>
      </c>
      <c r="K36" s="241"/>
      <c r="L36" s="242" t="s">
        <v>237</v>
      </c>
      <c r="M36" s="242" t="s">
        <v>188</v>
      </c>
      <c r="N36" s="242" t="s">
        <v>238</v>
      </c>
      <c r="O36" s="241"/>
      <c r="P36" s="242" t="s">
        <v>238</v>
      </c>
      <c r="Q36" s="203"/>
    </row>
    <row r="37" spans="2:17" x14ac:dyDescent="0.2">
      <c r="B37" s="203"/>
      <c r="C37" s="203"/>
      <c r="D37" s="203"/>
      <c r="E37" s="203"/>
      <c r="F37" s="203"/>
      <c r="G37" s="203"/>
      <c r="H37" s="203"/>
      <c r="I37" s="203"/>
      <c r="J37" s="203"/>
      <c r="K37" s="203"/>
      <c r="L37" s="203"/>
      <c r="M37" s="203"/>
      <c r="N37" s="203"/>
      <c r="O37" s="203"/>
      <c r="P37" s="203"/>
      <c r="Q37" s="203"/>
    </row>
    <row r="38" spans="2:17" ht="15.75" x14ac:dyDescent="0.25">
      <c r="B38" s="243" t="s">
        <v>124</v>
      </c>
      <c r="C38" s="203"/>
      <c r="D38" s="244">
        <f>'[11]Historical Wholesale'!D27</f>
        <v>181738.76160990712</v>
      </c>
      <c r="E38" s="245">
        <f t="shared" ref="E38:E49" si="4">IF(D38&lt;&gt;0,F38/D38,0)</f>
        <v>3.23</v>
      </c>
      <c r="F38" s="246">
        <f>'[11]Historical Wholesale'!F27</f>
        <v>587016.19999999995</v>
      </c>
      <c r="G38" s="203"/>
      <c r="H38" s="244">
        <f>'[11]Historical Wholesale'!H27</f>
        <v>154698.69162995595</v>
      </c>
      <c r="I38" s="245">
        <f t="shared" ref="I38:I49" si="5">IF(H38&lt;&gt;0,J38/H38,0)</f>
        <v>0.64999999999999991</v>
      </c>
      <c r="J38" s="247">
        <f>'[11]Historical Wholesale'!J27</f>
        <v>100554.14955947135</v>
      </c>
      <c r="K38" s="203"/>
      <c r="L38" s="244">
        <f>'[11]Historical Wholesale'!L27</f>
        <v>182170.30274106708</v>
      </c>
      <c r="M38" s="245">
        <f t="shared" ref="M38:M49" si="6">IF(L38&lt;&gt;0,N38/L38,0)</f>
        <v>1.62</v>
      </c>
      <c r="N38" s="246">
        <f>'[11]Historical Wholesale'!N27</f>
        <v>295115.89044052869</v>
      </c>
      <c r="O38" s="203"/>
      <c r="P38" s="248">
        <f t="shared" ref="P38:P49" si="7">J38+N38</f>
        <v>395670.04000000004</v>
      </c>
      <c r="Q38" s="203"/>
    </row>
    <row r="39" spans="2:17" ht="15.75" x14ac:dyDescent="0.25">
      <c r="B39" s="243" t="s">
        <v>125</v>
      </c>
      <c r="C39" s="203"/>
      <c r="D39" s="244">
        <f>'[11]Historical Wholesale'!D28</f>
        <v>192557.33126934984</v>
      </c>
      <c r="E39" s="245">
        <f t="shared" si="4"/>
        <v>3.2299999999999995</v>
      </c>
      <c r="F39" s="246">
        <f>'[11]Historical Wholesale'!F28</f>
        <v>621960.17999999993</v>
      </c>
      <c r="G39" s="203"/>
      <c r="H39" s="244">
        <f>'[11]Historical Wholesale'!H28</f>
        <v>165682.74449339206</v>
      </c>
      <c r="I39" s="245">
        <f t="shared" si="5"/>
        <v>0.64999999999999991</v>
      </c>
      <c r="J39" s="247">
        <f>'[11]Historical Wholesale'!J28</f>
        <v>107693.78392070482</v>
      </c>
      <c r="K39" s="203"/>
      <c r="L39" s="244">
        <f>'[11]Historical Wholesale'!L28</f>
        <v>192652.73214771305</v>
      </c>
      <c r="M39" s="245">
        <f t="shared" si="6"/>
        <v>1.6200000000000006</v>
      </c>
      <c r="N39" s="246">
        <f>'[11]Historical Wholesale'!N28</f>
        <v>312097.42607929523</v>
      </c>
      <c r="O39" s="203"/>
      <c r="P39" s="248">
        <f t="shared" si="7"/>
        <v>419791.21000000008</v>
      </c>
      <c r="Q39" s="203"/>
    </row>
    <row r="40" spans="2:17" ht="15.75" x14ac:dyDescent="0.25">
      <c r="B40" s="243" t="s">
        <v>126</v>
      </c>
      <c r="C40" s="203"/>
      <c r="D40" s="244">
        <f>'[11]Historical Wholesale'!D29</f>
        <v>202602.33126934984</v>
      </c>
      <c r="E40" s="245">
        <f t="shared" si="4"/>
        <v>3.23</v>
      </c>
      <c r="F40" s="246">
        <f>'[11]Historical Wholesale'!F29</f>
        <v>654405.53</v>
      </c>
      <c r="G40" s="203"/>
      <c r="H40" s="244">
        <f>'[11]Historical Wholesale'!H29</f>
        <v>180392.2907488987</v>
      </c>
      <c r="I40" s="245">
        <f t="shared" si="5"/>
        <v>0.6499999999999998</v>
      </c>
      <c r="J40" s="247">
        <f>'[11]Historical Wholesale'!J29</f>
        <v>117254.98898678413</v>
      </c>
      <c r="K40" s="203"/>
      <c r="L40" s="244">
        <f>'[11]Historical Wholesale'!L29</f>
        <v>206621.5006254419</v>
      </c>
      <c r="M40" s="245">
        <f t="shared" si="6"/>
        <v>1.6200000000000003</v>
      </c>
      <c r="N40" s="246">
        <f>'[11]Historical Wholesale'!N29</f>
        <v>334726.83101321594</v>
      </c>
      <c r="O40" s="203"/>
      <c r="P40" s="248">
        <f t="shared" si="7"/>
        <v>451981.82000000007</v>
      </c>
      <c r="Q40" s="203"/>
    </row>
    <row r="41" spans="2:17" ht="15.75" x14ac:dyDescent="0.25">
      <c r="B41" s="243" t="s">
        <v>127</v>
      </c>
      <c r="C41" s="203"/>
      <c r="D41" s="244">
        <f>'[11]Historical Wholesale'!D30</f>
        <v>166540.60061919506</v>
      </c>
      <c r="E41" s="245">
        <f t="shared" si="4"/>
        <v>3.23</v>
      </c>
      <c r="F41" s="246">
        <f>'[11]Historical Wholesale'!F30</f>
        <v>537926.14</v>
      </c>
      <c r="G41" s="203"/>
      <c r="H41" s="244">
        <f>'[11]Historical Wholesale'!H30</f>
        <v>144559.44052863435</v>
      </c>
      <c r="I41" s="245">
        <f t="shared" si="5"/>
        <v>0.64999999999999991</v>
      </c>
      <c r="J41" s="247">
        <f>'[11]Historical Wholesale'!J30</f>
        <v>93963.636343612321</v>
      </c>
      <c r="K41" s="203"/>
      <c r="L41" s="244">
        <f>'[11]Historical Wholesale'!L30</f>
        <v>168920.52077554795</v>
      </c>
      <c r="M41" s="245">
        <f t="shared" si="6"/>
        <v>1.6199999999999999</v>
      </c>
      <c r="N41" s="246">
        <f>'[11]Historical Wholesale'!N30</f>
        <v>273651.24365638767</v>
      </c>
      <c r="O41" s="203"/>
      <c r="P41" s="248">
        <f t="shared" si="7"/>
        <v>367614.88</v>
      </c>
      <c r="Q41" s="203"/>
    </row>
    <row r="42" spans="2:17" ht="15.75" x14ac:dyDescent="0.25">
      <c r="B42" s="243" t="s">
        <v>128</v>
      </c>
      <c r="C42" s="203"/>
      <c r="D42" s="244">
        <f>'[11]Historical Wholesale'!D31</f>
        <v>175339.23219814239</v>
      </c>
      <c r="E42" s="245">
        <f t="shared" si="4"/>
        <v>3.2300000000000004</v>
      </c>
      <c r="F42" s="246">
        <f>'[11]Historical Wholesale'!F31</f>
        <v>566345.72</v>
      </c>
      <c r="G42" s="203"/>
      <c r="H42" s="244">
        <f>'[11]Historical Wholesale'!H31</f>
        <v>149643.2907488987</v>
      </c>
      <c r="I42" s="245">
        <f t="shared" si="5"/>
        <v>0.6499999999999998</v>
      </c>
      <c r="J42" s="247">
        <f>'[11]Historical Wholesale'!J31</f>
        <v>97268.138986784121</v>
      </c>
      <c r="K42" s="203"/>
      <c r="L42" s="244">
        <f>'[11]Historical Wholesale'!L31</f>
        <v>175339.22902050364</v>
      </c>
      <c r="M42" s="245">
        <f t="shared" si="6"/>
        <v>1.6199999999999997</v>
      </c>
      <c r="N42" s="246">
        <f>'[11]Historical Wholesale'!N31</f>
        <v>284049.55101321585</v>
      </c>
      <c r="O42" s="203"/>
      <c r="P42" s="248">
        <f t="shared" si="7"/>
        <v>381317.68999999994</v>
      </c>
      <c r="Q42" s="203"/>
    </row>
    <row r="43" spans="2:17" ht="15.75" x14ac:dyDescent="0.25">
      <c r="B43" s="243" t="s">
        <v>129</v>
      </c>
      <c r="C43" s="203"/>
      <c r="D43" s="244">
        <f>'[11]Historical Wholesale'!D32</f>
        <v>190788.86068111454</v>
      </c>
      <c r="E43" s="245">
        <f t="shared" si="4"/>
        <v>3.2300000000000004</v>
      </c>
      <c r="F43" s="246">
        <f>'[11]Historical Wholesale'!F32</f>
        <v>616248.02</v>
      </c>
      <c r="G43" s="203"/>
      <c r="H43" s="244">
        <f>'[11]Historical Wholesale'!H32</f>
        <v>165636.79295154184</v>
      </c>
      <c r="I43" s="245">
        <f t="shared" si="5"/>
        <v>0.64999999999999991</v>
      </c>
      <c r="J43" s="247">
        <f>'[11]Historical Wholesale'!J32</f>
        <v>107663.91541850218</v>
      </c>
      <c r="K43" s="203"/>
      <c r="L43" s="244">
        <f>'[11]Historical Wholesale'!L32</f>
        <v>191707.29295154184</v>
      </c>
      <c r="M43" s="245">
        <f t="shared" si="6"/>
        <v>1.62</v>
      </c>
      <c r="N43" s="246">
        <f>'[11]Historical Wholesale'!N32</f>
        <v>310565.81458149781</v>
      </c>
      <c r="O43" s="203"/>
      <c r="P43" s="248">
        <f t="shared" si="7"/>
        <v>418229.73</v>
      </c>
      <c r="Q43" s="203"/>
    </row>
    <row r="44" spans="2:17" ht="15.75" x14ac:dyDescent="0.25">
      <c r="B44" s="243" t="s">
        <v>130</v>
      </c>
      <c r="C44" s="203"/>
      <c r="D44" s="244">
        <f>'[11]Historical Wholesale'!D33</f>
        <v>204732.9907120743</v>
      </c>
      <c r="E44" s="245">
        <f t="shared" si="4"/>
        <v>3.2300000000000004</v>
      </c>
      <c r="F44" s="246">
        <f>'[11]Historical Wholesale'!F33</f>
        <v>661287.56000000006</v>
      </c>
      <c r="G44" s="203"/>
      <c r="H44" s="244">
        <f>'[11]Historical Wholesale'!H33</f>
        <v>188738.39647577092</v>
      </c>
      <c r="I44" s="245">
        <f t="shared" si="5"/>
        <v>0.64999999999999991</v>
      </c>
      <c r="J44" s="247">
        <f>'[11]Historical Wholesale'!J33</f>
        <v>122679.95770925109</v>
      </c>
      <c r="K44" s="203"/>
      <c r="L44" s="244">
        <f>'[11]Historical Wholesale'!L33</f>
        <v>213299.72363626474</v>
      </c>
      <c r="M44" s="245">
        <f t="shared" si="6"/>
        <v>1.62</v>
      </c>
      <c r="N44" s="246">
        <f>'[11]Historical Wholesale'!N33</f>
        <v>345545.55229074892</v>
      </c>
      <c r="O44" s="203"/>
      <c r="P44" s="248">
        <f t="shared" si="7"/>
        <v>468225.51</v>
      </c>
      <c r="Q44" s="203"/>
    </row>
    <row r="45" spans="2:17" ht="15.75" x14ac:dyDescent="0.25">
      <c r="B45" s="243" t="s">
        <v>131</v>
      </c>
      <c r="C45" s="203"/>
      <c r="D45" s="244">
        <f>'[11]Historical Wholesale'!D34</f>
        <v>213424.959752322</v>
      </c>
      <c r="E45" s="245">
        <f t="shared" si="4"/>
        <v>3.2299999999999995</v>
      </c>
      <c r="F45" s="246">
        <f>'[11]Historical Wholesale'!F34</f>
        <v>689362.62</v>
      </c>
      <c r="G45" s="203"/>
      <c r="H45" s="244">
        <f>'[11]Historical Wholesale'!H34</f>
        <v>190968.84140969161</v>
      </c>
      <c r="I45" s="245">
        <f t="shared" si="5"/>
        <v>0.65</v>
      </c>
      <c r="J45" s="247">
        <f>'[11]Historical Wholesale'!J34</f>
        <v>124129.74691629954</v>
      </c>
      <c r="K45" s="203"/>
      <c r="L45" s="244">
        <f>'[11]Historical Wholesale'!L34</f>
        <v>217387.77968129655</v>
      </c>
      <c r="M45" s="245">
        <f t="shared" si="6"/>
        <v>1.62</v>
      </c>
      <c r="N45" s="246">
        <f>'[11]Historical Wholesale'!N34</f>
        <v>352168.20308370044</v>
      </c>
      <c r="O45" s="203"/>
      <c r="P45" s="248">
        <f t="shared" si="7"/>
        <v>476297.94999999995</v>
      </c>
      <c r="Q45" s="203"/>
    </row>
    <row r="46" spans="2:17" ht="15.75" x14ac:dyDescent="0.25">
      <c r="B46" s="243" t="s">
        <v>132</v>
      </c>
      <c r="C46" s="203"/>
      <c r="D46" s="244">
        <f>'[11]Historical Wholesale'!D35</f>
        <v>174637.5882352941</v>
      </c>
      <c r="E46" s="245">
        <f t="shared" si="4"/>
        <v>3.2300000000000004</v>
      </c>
      <c r="F46" s="246">
        <f>'[11]Historical Wholesale'!F35</f>
        <v>564079.41</v>
      </c>
      <c r="G46" s="203"/>
      <c r="H46" s="244">
        <f>'[11]Historical Wholesale'!H35</f>
        <v>182639.75770925111</v>
      </c>
      <c r="I46" s="245">
        <f t="shared" si="5"/>
        <v>0.64999999999999991</v>
      </c>
      <c r="J46" s="247">
        <f>'[11]Historical Wholesale'!J35</f>
        <v>118715.84251101321</v>
      </c>
      <c r="K46" s="203"/>
      <c r="L46" s="244">
        <f>'[11]Historical Wholesale'!L35</f>
        <v>205793.03548702889</v>
      </c>
      <c r="M46" s="245">
        <f t="shared" si="6"/>
        <v>1.6199999999999999</v>
      </c>
      <c r="N46" s="246">
        <f>'[11]Historical Wholesale'!N35</f>
        <v>333384.71748898679</v>
      </c>
      <c r="O46" s="203"/>
      <c r="P46" s="248">
        <f t="shared" si="7"/>
        <v>452100.56</v>
      </c>
      <c r="Q46" s="203"/>
    </row>
    <row r="47" spans="2:17" ht="15.75" x14ac:dyDescent="0.25">
      <c r="B47" s="243" t="s">
        <v>133</v>
      </c>
      <c r="C47" s="203"/>
      <c r="D47" s="244">
        <f>'[11]Historical Wholesale'!D36</f>
        <v>188731.26315789475</v>
      </c>
      <c r="E47" s="245">
        <f t="shared" si="4"/>
        <v>3.2299999999999995</v>
      </c>
      <c r="F47" s="246">
        <f>'[11]Historical Wholesale'!F36</f>
        <v>609601.98</v>
      </c>
      <c r="G47" s="203"/>
      <c r="H47" s="244">
        <f>'[11]Historical Wholesale'!H36</f>
        <v>166409.66960352423</v>
      </c>
      <c r="I47" s="245">
        <f t="shared" si="5"/>
        <v>0.64999999999999991</v>
      </c>
      <c r="J47" s="247">
        <f>'[11]Historical Wholesale'!J36</f>
        <v>108166.28524229075</v>
      </c>
      <c r="K47" s="203"/>
      <c r="L47" s="244">
        <f>'[11]Historical Wholesale'!L36</f>
        <v>189008.65108500572</v>
      </c>
      <c r="M47" s="245">
        <f t="shared" si="6"/>
        <v>1.62</v>
      </c>
      <c r="N47" s="246">
        <f>'[11]Historical Wholesale'!N36</f>
        <v>306194.01475770929</v>
      </c>
      <c r="O47" s="203"/>
      <c r="P47" s="248">
        <f t="shared" si="7"/>
        <v>414360.30000000005</v>
      </c>
      <c r="Q47" s="203"/>
    </row>
    <row r="48" spans="2:17" ht="15.75" x14ac:dyDescent="0.25">
      <c r="B48" s="243" t="s">
        <v>134</v>
      </c>
      <c r="C48" s="203"/>
      <c r="D48" s="244">
        <f>'[11]Historical Wholesale'!D37</f>
        <v>185233.22910216718</v>
      </c>
      <c r="E48" s="245">
        <f t="shared" si="4"/>
        <v>3.2299999999999995</v>
      </c>
      <c r="F48" s="246">
        <f>'[11]Historical Wholesale'!F37</f>
        <v>598303.32999999996</v>
      </c>
      <c r="G48" s="203"/>
      <c r="H48" s="244">
        <f>'[11]Historical Wholesale'!H37</f>
        <v>160720.7488986784</v>
      </c>
      <c r="I48" s="245">
        <f t="shared" si="5"/>
        <v>0.65</v>
      </c>
      <c r="J48" s="247">
        <f>'[11]Historical Wholesale'!J37</f>
        <v>104468.48678414096</v>
      </c>
      <c r="K48" s="203"/>
      <c r="L48" s="244">
        <f>'[11]Historical Wholesale'!L37</f>
        <v>185727.89087398705</v>
      </c>
      <c r="M48" s="245">
        <f t="shared" si="6"/>
        <v>1.62</v>
      </c>
      <c r="N48" s="246">
        <f>'[11]Historical Wholesale'!N37</f>
        <v>300879.18321585906</v>
      </c>
      <c r="O48" s="203"/>
      <c r="P48" s="248">
        <f t="shared" si="7"/>
        <v>405347.67000000004</v>
      </c>
      <c r="Q48" s="203"/>
    </row>
    <row r="49" spans="2:17" ht="15.75" x14ac:dyDescent="0.25">
      <c r="B49" s="243" t="s">
        <v>135</v>
      </c>
      <c r="C49" s="203"/>
      <c r="D49" s="244">
        <f>'[11]Historical Wholesale'!D38</f>
        <v>217217.4303405573</v>
      </c>
      <c r="E49" s="245">
        <f t="shared" si="4"/>
        <v>3.23</v>
      </c>
      <c r="F49" s="246">
        <f>'[11]Historical Wholesale'!F38</f>
        <v>701612.3</v>
      </c>
      <c r="G49" s="203"/>
      <c r="H49" s="244">
        <f>'[11]Historical Wholesale'!H38</f>
        <v>191453.65198237885</v>
      </c>
      <c r="I49" s="245">
        <f t="shared" si="5"/>
        <v>0.64999999999999991</v>
      </c>
      <c r="J49" s="247">
        <f>'[11]Historical Wholesale'!J38</f>
        <v>124444.87378854623</v>
      </c>
      <c r="K49" s="203"/>
      <c r="L49" s="244">
        <f>'[11]Historical Wholesale'!L38</f>
        <v>217217.42976015664</v>
      </c>
      <c r="M49" s="245">
        <f t="shared" si="6"/>
        <v>1.62</v>
      </c>
      <c r="N49" s="246">
        <f>'[11]Historical Wholesale'!N38</f>
        <v>351892.2362114538</v>
      </c>
      <c r="O49" s="203"/>
      <c r="P49" s="248">
        <f t="shared" si="7"/>
        <v>476337.11000000004</v>
      </c>
      <c r="Q49" s="203"/>
    </row>
    <row r="50" spans="2:17" x14ac:dyDescent="0.2">
      <c r="B50" s="203"/>
      <c r="C50" s="203"/>
      <c r="D50" s="203"/>
      <c r="E50" s="203"/>
      <c r="F50" s="203"/>
      <c r="G50" s="203"/>
      <c r="H50" s="203"/>
      <c r="I50" s="203"/>
      <c r="J50" s="203"/>
      <c r="K50" s="203"/>
      <c r="L50" s="203"/>
      <c r="M50" s="203"/>
      <c r="N50" s="203"/>
      <c r="O50" s="203"/>
      <c r="P50" s="203"/>
      <c r="Q50" s="203"/>
    </row>
    <row r="51" spans="2:17" ht="19.5" thickBot="1" x14ac:dyDescent="0.35">
      <c r="B51" s="249" t="s">
        <v>24</v>
      </c>
      <c r="C51" s="203"/>
      <c r="D51" s="250">
        <f>SUM(D38:D49)</f>
        <v>2293544.5789473685</v>
      </c>
      <c r="E51" s="251">
        <f>IF(D51&lt;&gt;0,F51/D51,0)</f>
        <v>3.2299999999999995</v>
      </c>
      <c r="F51" s="252">
        <f>SUM(F38:F49)</f>
        <v>7408148.9899999993</v>
      </c>
      <c r="G51" s="203"/>
      <c r="H51" s="250">
        <f>SUM(H38:H49)</f>
        <v>2041544.3171806168</v>
      </c>
      <c r="I51" s="251">
        <f>IF(H51&lt;&gt;0,J51/H51,0)</f>
        <v>0.65</v>
      </c>
      <c r="J51" s="252">
        <f>SUM(J38:J49)</f>
        <v>1327003.8061674009</v>
      </c>
      <c r="K51" s="203"/>
      <c r="L51" s="250">
        <f>SUM(L38:L49)</f>
        <v>2345846.0887855552</v>
      </c>
      <c r="M51" s="251">
        <f>IF(L51&lt;&gt;0,N51/L51,0)</f>
        <v>1.6199999999999999</v>
      </c>
      <c r="N51" s="252">
        <f>SUM(N38:N49)</f>
        <v>3800270.6638325993</v>
      </c>
      <c r="O51" s="203"/>
      <c r="P51" s="252">
        <f>SUM(P38:P49)</f>
        <v>5127274.4700000007</v>
      </c>
      <c r="Q51" s="203"/>
    </row>
    <row r="52" spans="2:17" x14ac:dyDescent="0.2">
      <c r="B52" s="203"/>
      <c r="C52" s="203"/>
      <c r="D52" s="203"/>
      <c r="E52" s="203"/>
      <c r="F52" s="203"/>
      <c r="G52" s="203"/>
      <c r="H52" s="203"/>
      <c r="I52" s="203"/>
      <c r="J52" s="203"/>
      <c r="K52" s="203"/>
      <c r="L52" s="203"/>
      <c r="M52" s="203"/>
      <c r="N52" s="203"/>
      <c r="O52" s="203"/>
      <c r="P52" s="203"/>
      <c r="Q52" s="203"/>
    </row>
    <row r="53" spans="2:17" ht="15.75" x14ac:dyDescent="0.2">
      <c r="B53" s="253" t="s">
        <v>240</v>
      </c>
      <c r="C53" s="237"/>
      <c r="D53" s="728" t="s">
        <v>232</v>
      </c>
      <c r="E53" s="728"/>
      <c r="F53" s="728"/>
      <c r="G53" s="237"/>
      <c r="H53" s="728" t="s">
        <v>233</v>
      </c>
      <c r="I53" s="728"/>
      <c r="J53" s="728"/>
      <c r="K53" s="237"/>
      <c r="L53" s="728" t="s">
        <v>234</v>
      </c>
      <c r="M53" s="728"/>
      <c r="N53" s="728"/>
      <c r="O53" s="237"/>
      <c r="P53" s="236" t="s">
        <v>235</v>
      </c>
      <c r="Q53" s="203"/>
    </row>
    <row r="54" spans="2:17" ht="16.5" x14ac:dyDescent="0.3">
      <c r="B54" s="254" t="s">
        <v>241</v>
      </c>
      <c r="C54" s="241"/>
      <c r="D54" s="242"/>
      <c r="E54" s="242"/>
      <c r="F54" s="242"/>
      <c r="G54" s="241"/>
      <c r="H54" s="242"/>
      <c r="I54" s="242"/>
      <c r="J54" s="242"/>
      <c r="K54" s="241"/>
      <c r="L54" s="242"/>
      <c r="M54" s="242"/>
      <c r="N54" s="242"/>
      <c r="O54" s="241"/>
      <c r="P54" s="242"/>
      <c r="Q54" s="203"/>
    </row>
    <row r="55" spans="2:17" ht="33" x14ac:dyDescent="0.3">
      <c r="B55" s="240" t="s">
        <v>236</v>
      </c>
      <c r="C55" s="241"/>
      <c r="D55" s="242" t="s">
        <v>237</v>
      </c>
      <c r="E55" s="242" t="s">
        <v>188</v>
      </c>
      <c r="F55" s="242" t="s">
        <v>238</v>
      </c>
      <c r="G55" s="241"/>
      <c r="H55" s="242" t="s">
        <v>237</v>
      </c>
      <c r="I55" s="242" t="s">
        <v>188</v>
      </c>
      <c r="J55" s="242" t="s">
        <v>238</v>
      </c>
      <c r="K55" s="241"/>
      <c r="L55" s="242" t="s">
        <v>237</v>
      </c>
      <c r="M55" s="242" t="s">
        <v>188</v>
      </c>
      <c r="N55" s="242" t="s">
        <v>238</v>
      </c>
      <c r="O55" s="241"/>
      <c r="P55" s="242" t="s">
        <v>238</v>
      </c>
      <c r="Q55" s="203"/>
    </row>
    <row r="56" spans="2:17" x14ac:dyDescent="0.2">
      <c r="B56" s="203"/>
      <c r="C56" s="203"/>
      <c r="D56" s="203"/>
      <c r="E56" s="203"/>
      <c r="F56" s="203"/>
      <c r="G56" s="203"/>
      <c r="H56" s="203"/>
      <c r="I56" s="203"/>
      <c r="J56" s="203"/>
      <c r="K56" s="203"/>
      <c r="L56" s="203"/>
      <c r="M56" s="203"/>
      <c r="N56" s="203"/>
      <c r="O56" s="203"/>
      <c r="P56" s="203"/>
      <c r="Q56" s="203"/>
    </row>
    <row r="57" spans="2:17" ht="15.75" x14ac:dyDescent="0.25">
      <c r="B57" s="243" t="s">
        <v>124</v>
      </c>
      <c r="C57" s="203"/>
      <c r="D57" s="244"/>
      <c r="E57" s="245">
        <f t="shared" ref="E57:E68" si="8">IF(D57&lt;&gt;0,F57/D57,0)</f>
        <v>0</v>
      </c>
      <c r="F57" s="246"/>
      <c r="G57" s="203"/>
      <c r="H57" s="244"/>
      <c r="I57" s="245">
        <f t="shared" ref="I57:I68" si="9">IF(H57&lt;&gt;0,J57/H57,0)</f>
        <v>0</v>
      </c>
      <c r="J57" s="247"/>
      <c r="K57" s="203"/>
      <c r="L57" s="244"/>
      <c r="M57" s="245">
        <f t="shared" ref="M57:M68" si="10">IF(L57&lt;&gt;0,N57/L57,0)</f>
        <v>0</v>
      </c>
      <c r="N57" s="246"/>
      <c r="O57" s="203"/>
      <c r="P57" s="248">
        <f t="shared" ref="P57:P68" si="11">J57+N57</f>
        <v>0</v>
      </c>
      <c r="Q57" s="203"/>
    </row>
    <row r="58" spans="2:17" ht="15.75" x14ac:dyDescent="0.25">
      <c r="B58" s="243" t="s">
        <v>125</v>
      </c>
      <c r="C58" s="203"/>
      <c r="D58" s="244"/>
      <c r="E58" s="245">
        <f t="shared" si="8"/>
        <v>0</v>
      </c>
      <c r="F58" s="246"/>
      <c r="G58" s="203"/>
      <c r="H58" s="244"/>
      <c r="I58" s="245">
        <f t="shared" si="9"/>
        <v>0</v>
      </c>
      <c r="J58" s="247"/>
      <c r="K58" s="203"/>
      <c r="L58" s="244"/>
      <c r="M58" s="245">
        <f t="shared" si="10"/>
        <v>0</v>
      </c>
      <c r="N58" s="246"/>
      <c r="O58" s="203"/>
      <c r="P58" s="248">
        <f t="shared" si="11"/>
        <v>0</v>
      </c>
      <c r="Q58" s="203"/>
    </row>
    <row r="59" spans="2:17" ht="15.75" x14ac:dyDescent="0.25">
      <c r="B59" s="243" t="s">
        <v>126</v>
      </c>
      <c r="C59" s="203"/>
      <c r="D59" s="244"/>
      <c r="E59" s="245">
        <f t="shared" si="8"/>
        <v>0</v>
      </c>
      <c r="F59" s="246"/>
      <c r="G59" s="203"/>
      <c r="H59" s="244"/>
      <c r="I59" s="245">
        <f t="shared" si="9"/>
        <v>0</v>
      </c>
      <c r="J59" s="247"/>
      <c r="K59" s="203"/>
      <c r="L59" s="244"/>
      <c r="M59" s="245">
        <f t="shared" si="10"/>
        <v>0</v>
      </c>
      <c r="N59" s="246"/>
      <c r="O59" s="203"/>
      <c r="P59" s="248">
        <f t="shared" si="11"/>
        <v>0</v>
      </c>
      <c r="Q59" s="203"/>
    </row>
    <row r="60" spans="2:17" ht="15.75" x14ac:dyDescent="0.25">
      <c r="B60" s="243" t="s">
        <v>127</v>
      </c>
      <c r="C60" s="203"/>
      <c r="D60" s="244"/>
      <c r="E60" s="245">
        <f t="shared" si="8"/>
        <v>0</v>
      </c>
      <c r="F60" s="246"/>
      <c r="G60" s="203"/>
      <c r="H60" s="244"/>
      <c r="I60" s="245">
        <f t="shared" si="9"/>
        <v>0</v>
      </c>
      <c r="J60" s="247"/>
      <c r="K60" s="203"/>
      <c r="L60" s="244"/>
      <c r="M60" s="245">
        <f t="shared" si="10"/>
        <v>0</v>
      </c>
      <c r="N60" s="246"/>
      <c r="O60" s="203"/>
      <c r="P60" s="248">
        <f t="shared" si="11"/>
        <v>0</v>
      </c>
      <c r="Q60" s="203"/>
    </row>
    <row r="61" spans="2:17" ht="15.75" x14ac:dyDescent="0.25">
      <c r="B61" s="243" t="s">
        <v>128</v>
      </c>
      <c r="C61" s="203"/>
      <c r="D61" s="244"/>
      <c r="E61" s="245">
        <f t="shared" si="8"/>
        <v>0</v>
      </c>
      <c r="F61" s="246"/>
      <c r="G61" s="203"/>
      <c r="H61" s="244"/>
      <c r="I61" s="245">
        <f t="shared" si="9"/>
        <v>0</v>
      </c>
      <c r="J61" s="247"/>
      <c r="K61" s="203"/>
      <c r="L61" s="244"/>
      <c r="M61" s="245">
        <f t="shared" si="10"/>
        <v>0</v>
      </c>
      <c r="N61" s="246"/>
      <c r="O61" s="203"/>
      <c r="P61" s="248">
        <f t="shared" si="11"/>
        <v>0</v>
      </c>
      <c r="Q61" s="203"/>
    </row>
    <row r="62" spans="2:17" ht="15.75" x14ac:dyDescent="0.25">
      <c r="B62" s="243" t="s">
        <v>129</v>
      </c>
      <c r="C62" s="203"/>
      <c r="D62" s="244"/>
      <c r="E62" s="245">
        <f t="shared" si="8"/>
        <v>0</v>
      </c>
      <c r="F62" s="246"/>
      <c r="G62" s="203"/>
      <c r="H62" s="244"/>
      <c r="I62" s="245">
        <f t="shared" si="9"/>
        <v>0</v>
      </c>
      <c r="J62" s="247"/>
      <c r="K62" s="203"/>
      <c r="L62" s="244"/>
      <c r="M62" s="245">
        <f t="shared" si="10"/>
        <v>0</v>
      </c>
      <c r="N62" s="246"/>
      <c r="O62" s="203"/>
      <c r="P62" s="248">
        <f t="shared" si="11"/>
        <v>0</v>
      </c>
      <c r="Q62" s="203"/>
    </row>
    <row r="63" spans="2:17" ht="15.75" x14ac:dyDescent="0.25">
      <c r="B63" s="243" t="s">
        <v>130</v>
      </c>
      <c r="C63" s="203"/>
      <c r="D63" s="244"/>
      <c r="E63" s="245">
        <f t="shared" si="8"/>
        <v>0</v>
      </c>
      <c r="F63" s="246"/>
      <c r="G63" s="203"/>
      <c r="H63" s="244"/>
      <c r="I63" s="245">
        <f t="shared" si="9"/>
        <v>0</v>
      </c>
      <c r="J63" s="247"/>
      <c r="K63" s="203"/>
      <c r="L63" s="244"/>
      <c r="M63" s="245">
        <f t="shared" si="10"/>
        <v>0</v>
      </c>
      <c r="N63" s="246"/>
      <c r="O63" s="203"/>
      <c r="P63" s="248">
        <f t="shared" si="11"/>
        <v>0</v>
      </c>
      <c r="Q63" s="203"/>
    </row>
    <row r="64" spans="2:17" ht="15.75" x14ac:dyDescent="0.25">
      <c r="B64" s="243" t="s">
        <v>131</v>
      </c>
      <c r="C64" s="203"/>
      <c r="D64" s="244"/>
      <c r="E64" s="245">
        <f t="shared" si="8"/>
        <v>0</v>
      </c>
      <c r="F64" s="246"/>
      <c r="G64" s="203"/>
      <c r="H64" s="244"/>
      <c r="I64" s="245">
        <f t="shared" si="9"/>
        <v>0</v>
      </c>
      <c r="J64" s="247"/>
      <c r="K64" s="203"/>
      <c r="L64" s="244"/>
      <c r="M64" s="245">
        <f t="shared" si="10"/>
        <v>0</v>
      </c>
      <c r="N64" s="246"/>
      <c r="O64" s="203"/>
      <c r="P64" s="248">
        <f t="shared" si="11"/>
        <v>0</v>
      </c>
      <c r="Q64" s="203"/>
    </row>
    <row r="65" spans="2:17" ht="15.75" x14ac:dyDescent="0.25">
      <c r="B65" s="243" t="s">
        <v>132</v>
      </c>
      <c r="C65" s="203"/>
      <c r="D65" s="244"/>
      <c r="E65" s="245">
        <f t="shared" si="8"/>
        <v>0</v>
      </c>
      <c r="F65" s="246"/>
      <c r="G65" s="203"/>
      <c r="H65" s="244"/>
      <c r="I65" s="245">
        <f t="shared" si="9"/>
        <v>0</v>
      </c>
      <c r="J65" s="247"/>
      <c r="K65" s="203"/>
      <c r="L65" s="244"/>
      <c r="M65" s="245">
        <f t="shared" si="10"/>
        <v>0</v>
      </c>
      <c r="N65" s="246"/>
      <c r="O65" s="203"/>
      <c r="P65" s="248">
        <f t="shared" si="11"/>
        <v>0</v>
      </c>
      <c r="Q65" s="203"/>
    </row>
    <row r="66" spans="2:17" ht="15.75" x14ac:dyDescent="0.25">
      <c r="B66" s="243" t="s">
        <v>133</v>
      </c>
      <c r="C66" s="203"/>
      <c r="D66" s="244"/>
      <c r="E66" s="245">
        <f t="shared" si="8"/>
        <v>0</v>
      </c>
      <c r="F66" s="246"/>
      <c r="G66" s="203"/>
      <c r="H66" s="244"/>
      <c r="I66" s="245">
        <f t="shared" si="9"/>
        <v>0</v>
      </c>
      <c r="J66" s="247"/>
      <c r="K66" s="203"/>
      <c r="L66" s="244"/>
      <c r="M66" s="245">
        <f t="shared" si="10"/>
        <v>0</v>
      </c>
      <c r="N66" s="246"/>
      <c r="O66" s="203"/>
      <c r="P66" s="248">
        <f t="shared" si="11"/>
        <v>0</v>
      </c>
      <c r="Q66" s="203"/>
    </row>
    <row r="67" spans="2:17" ht="15.75" x14ac:dyDescent="0.25">
      <c r="B67" s="243" t="s">
        <v>134</v>
      </c>
      <c r="C67" s="203"/>
      <c r="D67" s="244"/>
      <c r="E67" s="245">
        <f t="shared" si="8"/>
        <v>0</v>
      </c>
      <c r="F67" s="246"/>
      <c r="G67" s="203"/>
      <c r="H67" s="244"/>
      <c r="I67" s="245">
        <f t="shared" si="9"/>
        <v>0</v>
      </c>
      <c r="J67" s="247"/>
      <c r="K67" s="203"/>
      <c r="L67" s="244"/>
      <c r="M67" s="245">
        <f t="shared" si="10"/>
        <v>0</v>
      </c>
      <c r="N67" s="246"/>
      <c r="O67" s="203"/>
      <c r="P67" s="248">
        <f t="shared" si="11"/>
        <v>0</v>
      </c>
      <c r="Q67" s="203"/>
    </row>
    <row r="68" spans="2:17" ht="15.75" x14ac:dyDescent="0.25">
      <c r="B68" s="243" t="s">
        <v>135</v>
      </c>
      <c r="C68" s="203"/>
      <c r="D68" s="244"/>
      <c r="E68" s="245">
        <f t="shared" si="8"/>
        <v>0</v>
      </c>
      <c r="F68" s="246"/>
      <c r="G68" s="203"/>
      <c r="H68" s="244"/>
      <c r="I68" s="245">
        <f t="shared" si="9"/>
        <v>0</v>
      </c>
      <c r="J68" s="247"/>
      <c r="K68" s="203"/>
      <c r="L68" s="244"/>
      <c r="M68" s="245">
        <f t="shared" si="10"/>
        <v>0</v>
      </c>
      <c r="N68" s="246"/>
      <c r="O68" s="203"/>
      <c r="P68" s="248">
        <f t="shared" si="11"/>
        <v>0</v>
      </c>
      <c r="Q68" s="203"/>
    </row>
    <row r="69" spans="2:17" x14ac:dyDescent="0.2">
      <c r="B69" s="203"/>
      <c r="C69" s="203"/>
      <c r="D69" s="203"/>
      <c r="E69" s="203"/>
      <c r="F69" s="203"/>
      <c r="G69" s="203"/>
      <c r="H69" s="203"/>
      <c r="I69" s="203"/>
      <c r="J69" s="203"/>
      <c r="K69" s="203"/>
      <c r="L69" s="203"/>
      <c r="M69" s="203"/>
      <c r="N69" s="203"/>
      <c r="O69" s="203"/>
      <c r="P69" s="203"/>
      <c r="Q69" s="203"/>
    </row>
    <row r="70" spans="2:17" ht="19.5" thickBot="1" x14ac:dyDescent="0.35">
      <c r="B70" s="249" t="s">
        <v>24</v>
      </c>
      <c r="C70" s="203"/>
      <c r="D70" s="250">
        <f>SUM(D57:D68)</f>
        <v>0</v>
      </c>
      <c r="E70" s="251">
        <f>IF(D70&lt;&gt;0,F70/D70,0)</f>
        <v>0</v>
      </c>
      <c r="F70" s="252">
        <f>SUM(F57:F68)</f>
        <v>0</v>
      </c>
      <c r="G70" s="203"/>
      <c r="H70" s="250">
        <f>SUM(H57:H68)</f>
        <v>0</v>
      </c>
      <c r="I70" s="251">
        <f>IF(H70&lt;&gt;0,J70/H70,0)</f>
        <v>0</v>
      </c>
      <c r="J70" s="252">
        <f>SUM(J57:J68)</f>
        <v>0</v>
      </c>
      <c r="K70" s="203"/>
      <c r="L70" s="250">
        <f>SUM(L57:L68)</f>
        <v>0</v>
      </c>
      <c r="M70" s="251">
        <f>IF(L70&lt;&gt;0,N70/L70,0)</f>
        <v>0</v>
      </c>
      <c r="N70" s="252">
        <f>SUM(N57:N68)</f>
        <v>0</v>
      </c>
      <c r="O70" s="203"/>
      <c r="P70" s="252">
        <f>SUM(P57:P68)</f>
        <v>0</v>
      </c>
      <c r="Q70" s="203"/>
    </row>
    <row r="71" spans="2:17" x14ac:dyDescent="0.2">
      <c r="B71" s="203"/>
      <c r="C71" s="203"/>
      <c r="D71" s="203"/>
      <c r="E71" s="203"/>
      <c r="F71" s="203"/>
      <c r="G71" s="203"/>
      <c r="H71" s="203"/>
      <c r="I71" s="203"/>
      <c r="J71" s="203"/>
      <c r="K71" s="203"/>
      <c r="L71" s="203"/>
      <c r="M71" s="203"/>
      <c r="N71" s="203"/>
      <c r="O71" s="203"/>
      <c r="P71" s="203"/>
      <c r="Q71" s="203"/>
    </row>
    <row r="72" spans="2:17" ht="15.75" x14ac:dyDescent="0.2">
      <c r="B72" s="253" t="s">
        <v>242</v>
      </c>
      <c r="C72" s="237"/>
      <c r="D72" s="728" t="s">
        <v>232</v>
      </c>
      <c r="E72" s="728"/>
      <c r="F72" s="728"/>
      <c r="G72" s="237"/>
      <c r="H72" s="728" t="s">
        <v>233</v>
      </c>
      <c r="I72" s="728"/>
      <c r="J72" s="728"/>
      <c r="K72" s="237"/>
      <c r="L72" s="728" t="s">
        <v>234</v>
      </c>
      <c r="M72" s="728"/>
      <c r="N72" s="728"/>
      <c r="O72" s="237"/>
      <c r="P72" s="236" t="s">
        <v>235</v>
      </c>
      <c r="Q72" s="203"/>
    </row>
    <row r="73" spans="2:17" ht="16.5" x14ac:dyDescent="0.3">
      <c r="B73" s="254" t="s">
        <v>241</v>
      </c>
      <c r="C73" s="241"/>
      <c r="D73" s="242"/>
      <c r="E73" s="242"/>
      <c r="F73" s="242"/>
      <c r="G73" s="241"/>
      <c r="H73" s="242"/>
      <c r="I73" s="242"/>
      <c r="J73" s="242"/>
      <c r="K73" s="241"/>
      <c r="L73" s="242"/>
      <c r="M73" s="242"/>
      <c r="N73" s="242"/>
      <c r="O73" s="241"/>
      <c r="P73" s="242"/>
      <c r="Q73" s="203"/>
    </row>
    <row r="74" spans="2:17" ht="33" x14ac:dyDescent="0.3">
      <c r="B74" s="240" t="s">
        <v>236</v>
      </c>
      <c r="C74" s="241"/>
      <c r="D74" s="242" t="s">
        <v>237</v>
      </c>
      <c r="E74" s="242" t="s">
        <v>188</v>
      </c>
      <c r="F74" s="242" t="s">
        <v>238</v>
      </c>
      <c r="G74" s="241"/>
      <c r="H74" s="242" t="s">
        <v>237</v>
      </c>
      <c r="I74" s="242" t="s">
        <v>188</v>
      </c>
      <c r="J74" s="242" t="s">
        <v>238</v>
      </c>
      <c r="K74" s="241"/>
      <c r="L74" s="242" t="s">
        <v>237</v>
      </c>
      <c r="M74" s="242" t="s">
        <v>188</v>
      </c>
      <c r="N74" s="242" t="s">
        <v>238</v>
      </c>
      <c r="O74" s="241"/>
      <c r="P74" s="242" t="s">
        <v>238</v>
      </c>
      <c r="Q74" s="203"/>
    </row>
    <row r="75" spans="2:17" x14ac:dyDescent="0.2">
      <c r="B75" s="203"/>
      <c r="C75" s="203"/>
      <c r="D75" s="203"/>
      <c r="E75" s="203"/>
      <c r="F75" s="203"/>
      <c r="G75" s="203"/>
      <c r="H75" s="203"/>
      <c r="I75" s="203"/>
      <c r="J75" s="203"/>
      <c r="K75" s="203"/>
      <c r="L75" s="203"/>
      <c r="M75" s="203"/>
      <c r="N75" s="203"/>
      <c r="O75" s="203"/>
      <c r="P75" s="203"/>
      <c r="Q75" s="203"/>
    </row>
    <row r="76" spans="2:17" ht="15.75" x14ac:dyDescent="0.25">
      <c r="B76" s="243" t="s">
        <v>124</v>
      </c>
      <c r="C76" s="203"/>
      <c r="D76" s="244"/>
      <c r="E76" s="245">
        <f t="shared" ref="E76:E87" si="12">IF(D76&lt;&gt;0,F76/D76,0)</f>
        <v>0</v>
      </c>
      <c r="F76" s="246"/>
      <c r="G76" s="203"/>
      <c r="H76" s="244"/>
      <c r="I76" s="245">
        <f t="shared" ref="I76:I87" si="13">IF(H76&lt;&gt;0,J76/H76,0)</f>
        <v>0</v>
      </c>
      <c r="J76" s="247"/>
      <c r="K76" s="203"/>
      <c r="L76" s="244"/>
      <c r="M76" s="245">
        <f t="shared" ref="M76:M87" si="14">IF(L76&lt;&gt;0,N76/L76,0)</f>
        <v>0</v>
      </c>
      <c r="N76" s="246"/>
      <c r="O76" s="203"/>
      <c r="P76" s="248">
        <f t="shared" ref="P76:P87" si="15">J76+N76</f>
        <v>0</v>
      </c>
      <c r="Q76" s="203"/>
    </row>
    <row r="77" spans="2:17" ht="15.75" x14ac:dyDescent="0.25">
      <c r="B77" s="243" t="s">
        <v>125</v>
      </c>
      <c r="C77" s="203"/>
      <c r="D77" s="244"/>
      <c r="E77" s="245">
        <f t="shared" si="12"/>
        <v>0</v>
      </c>
      <c r="F77" s="246"/>
      <c r="G77" s="203"/>
      <c r="H77" s="244"/>
      <c r="I77" s="245">
        <f t="shared" si="13"/>
        <v>0</v>
      </c>
      <c r="J77" s="247"/>
      <c r="K77" s="203"/>
      <c r="L77" s="244"/>
      <c r="M77" s="245">
        <f t="shared" si="14"/>
        <v>0</v>
      </c>
      <c r="N77" s="246"/>
      <c r="O77" s="203"/>
      <c r="P77" s="248">
        <f t="shared" si="15"/>
        <v>0</v>
      </c>
      <c r="Q77" s="203"/>
    </row>
    <row r="78" spans="2:17" ht="15.75" x14ac:dyDescent="0.25">
      <c r="B78" s="243" t="s">
        <v>126</v>
      </c>
      <c r="C78" s="203"/>
      <c r="D78" s="244"/>
      <c r="E78" s="245">
        <f t="shared" si="12"/>
        <v>0</v>
      </c>
      <c r="F78" s="246"/>
      <c r="G78" s="203"/>
      <c r="H78" s="244"/>
      <c r="I78" s="245">
        <f t="shared" si="13"/>
        <v>0</v>
      </c>
      <c r="J78" s="247"/>
      <c r="K78" s="203"/>
      <c r="L78" s="244"/>
      <c r="M78" s="245">
        <f t="shared" si="14"/>
        <v>0</v>
      </c>
      <c r="N78" s="246"/>
      <c r="O78" s="203"/>
      <c r="P78" s="248">
        <f t="shared" si="15"/>
        <v>0</v>
      </c>
      <c r="Q78" s="203"/>
    </row>
    <row r="79" spans="2:17" ht="15.75" x14ac:dyDescent="0.25">
      <c r="B79" s="243" t="s">
        <v>127</v>
      </c>
      <c r="C79" s="203"/>
      <c r="D79" s="244"/>
      <c r="E79" s="245">
        <f t="shared" si="12"/>
        <v>0</v>
      </c>
      <c r="F79" s="246"/>
      <c r="G79" s="203"/>
      <c r="H79" s="244"/>
      <c r="I79" s="245">
        <f t="shared" si="13"/>
        <v>0</v>
      </c>
      <c r="J79" s="247"/>
      <c r="K79" s="203"/>
      <c r="L79" s="244"/>
      <c r="M79" s="245">
        <f t="shared" si="14"/>
        <v>0</v>
      </c>
      <c r="N79" s="246"/>
      <c r="O79" s="203"/>
      <c r="P79" s="248">
        <f t="shared" si="15"/>
        <v>0</v>
      </c>
      <c r="Q79" s="203"/>
    </row>
    <row r="80" spans="2:17" ht="15.75" x14ac:dyDescent="0.25">
      <c r="B80" s="243" t="s">
        <v>128</v>
      </c>
      <c r="C80" s="203"/>
      <c r="D80" s="244"/>
      <c r="E80" s="245">
        <f t="shared" si="12"/>
        <v>0</v>
      </c>
      <c r="F80" s="246"/>
      <c r="G80" s="203"/>
      <c r="H80" s="244"/>
      <c r="I80" s="245">
        <f t="shared" si="13"/>
        <v>0</v>
      </c>
      <c r="J80" s="247"/>
      <c r="K80" s="203"/>
      <c r="L80" s="244"/>
      <c r="M80" s="245">
        <f t="shared" si="14"/>
        <v>0</v>
      </c>
      <c r="N80" s="246"/>
      <c r="O80" s="203"/>
      <c r="P80" s="248">
        <f t="shared" si="15"/>
        <v>0</v>
      </c>
      <c r="Q80" s="203"/>
    </row>
    <row r="81" spans="2:17" ht="15.75" x14ac:dyDescent="0.25">
      <c r="B81" s="243" t="s">
        <v>129</v>
      </c>
      <c r="C81" s="203"/>
      <c r="D81" s="244"/>
      <c r="E81" s="245">
        <f t="shared" si="12"/>
        <v>0</v>
      </c>
      <c r="F81" s="246"/>
      <c r="G81" s="203"/>
      <c r="H81" s="244"/>
      <c r="I81" s="245">
        <f t="shared" si="13"/>
        <v>0</v>
      </c>
      <c r="J81" s="247"/>
      <c r="K81" s="203"/>
      <c r="L81" s="244"/>
      <c r="M81" s="245">
        <f t="shared" si="14"/>
        <v>0</v>
      </c>
      <c r="N81" s="246"/>
      <c r="O81" s="203"/>
      <c r="P81" s="248">
        <f t="shared" si="15"/>
        <v>0</v>
      </c>
      <c r="Q81" s="203"/>
    </row>
    <row r="82" spans="2:17" ht="15.75" x14ac:dyDescent="0.25">
      <c r="B82" s="243" t="s">
        <v>130</v>
      </c>
      <c r="C82" s="203"/>
      <c r="D82" s="244"/>
      <c r="E82" s="245">
        <f t="shared" si="12"/>
        <v>0</v>
      </c>
      <c r="F82" s="246"/>
      <c r="G82" s="203"/>
      <c r="H82" s="244"/>
      <c r="I82" s="245">
        <f t="shared" si="13"/>
        <v>0</v>
      </c>
      <c r="J82" s="247"/>
      <c r="K82" s="203"/>
      <c r="L82" s="244"/>
      <c r="M82" s="245">
        <f t="shared" si="14"/>
        <v>0</v>
      </c>
      <c r="N82" s="246"/>
      <c r="O82" s="203"/>
      <c r="P82" s="248">
        <f t="shared" si="15"/>
        <v>0</v>
      </c>
      <c r="Q82" s="203"/>
    </row>
    <row r="83" spans="2:17" ht="15.75" x14ac:dyDescent="0.25">
      <c r="B83" s="243" t="s">
        <v>131</v>
      </c>
      <c r="C83" s="203"/>
      <c r="D83" s="244"/>
      <c r="E83" s="245">
        <f t="shared" si="12"/>
        <v>0</v>
      </c>
      <c r="F83" s="246"/>
      <c r="G83" s="203"/>
      <c r="H83" s="244"/>
      <c r="I83" s="245">
        <f t="shared" si="13"/>
        <v>0</v>
      </c>
      <c r="J83" s="247"/>
      <c r="K83" s="203"/>
      <c r="L83" s="244"/>
      <c r="M83" s="245">
        <f t="shared" si="14"/>
        <v>0</v>
      </c>
      <c r="N83" s="246"/>
      <c r="O83" s="203"/>
      <c r="P83" s="248">
        <f t="shared" si="15"/>
        <v>0</v>
      </c>
      <c r="Q83" s="203"/>
    </row>
    <row r="84" spans="2:17" ht="15.75" x14ac:dyDescent="0.25">
      <c r="B84" s="243" t="s">
        <v>132</v>
      </c>
      <c r="C84" s="203"/>
      <c r="D84" s="244"/>
      <c r="E84" s="245">
        <f t="shared" si="12"/>
        <v>0</v>
      </c>
      <c r="F84" s="246"/>
      <c r="G84" s="203"/>
      <c r="H84" s="244"/>
      <c r="I84" s="245">
        <f t="shared" si="13"/>
        <v>0</v>
      </c>
      <c r="J84" s="247"/>
      <c r="K84" s="203"/>
      <c r="L84" s="244"/>
      <c r="M84" s="245">
        <f t="shared" si="14"/>
        <v>0</v>
      </c>
      <c r="N84" s="246"/>
      <c r="O84" s="203"/>
      <c r="P84" s="248">
        <f t="shared" si="15"/>
        <v>0</v>
      </c>
      <c r="Q84" s="203"/>
    </row>
    <row r="85" spans="2:17" ht="15.75" x14ac:dyDescent="0.25">
      <c r="B85" s="243" t="s">
        <v>133</v>
      </c>
      <c r="C85" s="203"/>
      <c r="D85" s="244"/>
      <c r="E85" s="245">
        <f t="shared" si="12"/>
        <v>0</v>
      </c>
      <c r="F85" s="246"/>
      <c r="G85" s="203"/>
      <c r="H85" s="244"/>
      <c r="I85" s="245">
        <f t="shared" si="13"/>
        <v>0</v>
      </c>
      <c r="J85" s="247"/>
      <c r="K85" s="203"/>
      <c r="L85" s="244"/>
      <c r="M85" s="245">
        <f t="shared" si="14"/>
        <v>0</v>
      </c>
      <c r="N85" s="246"/>
      <c r="O85" s="203"/>
      <c r="P85" s="248">
        <f t="shared" si="15"/>
        <v>0</v>
      </c>
      <c r="Q85" s="203"/>
    </row>
    <row r="86" spans="2:17" ht="15.75" x14ac:dyDescent="0.25">
      <c r="B86" s="243" t="s">
        <v>134</v>
      </c>
      <c r="C86" s="203"/>
      <c r="D86" s="244"/>
      <c r="E86" s="245">
        <f t="shared" si="12"/>
        <v>0</v>
      </c>
      <c r="F86" s="246"/>
      <c r="G86" s="203"/>
      <c r="H86" s="244"/>
      <c r="I86" s="245">
        <f t="shared" si="13"/>
        <v>0</v>
      </c>
      <c r="J86" s="247"/>
      <c r="K86" s="203"/>
      <c r="L86" s="244"/>
      <c r="M86" s="245">
        <f t="shared" si="14"/>
        <v>0</v>
      </c>
      <c r="N86" s="246"/>
      <c r="O86" s="203"/>
      <c r="P86" s="248">
        <f t="shared" si="15"/>
        <v>0</v>
      </c>
      <c r="Q86" s="203"/>
    </row>
    <row r="87" spans="2:17" ht="15.75" x14ac:dyDescent="0.25">
      <c r="B87" s="243" t="s">
        <v>135</v>
      </c>
      <c r="C87" s="203"/>
      <c r="D87" s="244"/>
      <c r="E87" s="245">
        <f t="shared" si="12"/>
        <v>0</v>
      </c>
      <c r="F87" s="246"/>
      <c r="G87" s="203"/>
      <c r="H87" s="244"/>
      <c r="I87" s="245">
        <f t="shared" si="13"/>
        <v>0</v>
      </c>
      <c r="J87" s="247"/>
      <c r="K87" s="203"/>
      <c r="L87" s="244"/>
      <c r="M87" s="245">
        <f t="shared" si="14"/>
        <v>0</v>
      </c>
      <c r="N87" s="246"/>
      <c r="O87" s="203"/>
      <c r="P87" s="248">
        <f t="shared" si="15"/>
        <v>0</v>
      </c>
      <c r="Q87" s="203"/>
    </row>
    <row r="88" spans="2:17" x14ac:dyDescent="0.2">
      <c r="B88" s="203"/>
      <c r="C88" s="203"/>
      <c r="D88" s="203"/>
      <c r="E88" s="203"/>
      <c r="F88" s="203"/>
      <c r="G88" s="203"/>
      <c r="H88" s="203"/>
      <c r="I88" s="203"/>
      <c r="J88" s="203"/>
      <c r="K88" s="203"/>
      <c r="L88" s="203"/>
      <c r="M88" s="203"/>
      <c r="N88" s="203"/>
      <c r="O88" s="203"/>
      <c r="P88" s="203"/>
      <c r="Q88" s="203"/>
    </row>
    <row r="89" spans="2:17" ht="19.5" thickBot="1" x14ac:dyDescent="0.35">
      <c r="B89" s="249" t="s">
        <v>24</v>
      </c>
      <c r="C89" s="203"/>
      <c r="D89" s="250">
        <f>SUM(D76:D87)</f>
        <v>0</v>
      </c>
      <c r="E89" s="251">
        <f>IF(D89&lt;&gt;0,F89/D89,0)</f>
        <v>0</v>
      </c>
      <c r="F89" s="252">
        <f>SUM(F76:F87)</f>
        <v>0</v>
      </c>
      <c r="G89" s="203"/>
      <c r="H89" s="250">
        <f>SUM(H76:H87)</f>
        <v>0</v>
      </c>
      <c r="I89" s="251">
        <f>IF(H89&lt;&gt;0,J89/H89,0)</f>
        <v>0</v>
      </c>
      <c r="J89" s="252">
        <f>SUM(J76:J87)</f>
        <v>0</v>
      </c>
      <c r="K89" s="203"/>
      <c r="L89" s="250">
        <f>SUM(L76:L87)</f>
        <v>0</v>
      </c>
      <c r="M89" s="251">
        <f>IF(L89&lt;&gt;0,N89/L89,0)</f>
        <v>0</v>
      </c>
      <c r="N89" s="252">
        <f>SUM(N76:N87)</f>
        <v>0</v>
      </c>
      <c r="O89" s="203"/>
      <c r="P89" s="252">
        <f>SUM(P76:P87)</f>
        <v>0</v>
      </c>
      <c r="Q89" s="203"/>
    </row>
    <row r="90" spans="2:17" x14ac:dyDescent="0.2">
      <c r="B90" s="203"/>
      <c r="C90" s="203"/>
      <c r="D90" s="203"/>
      <c r="E90" s="203"/>
      <c r="F90" s="203"/>
      <c r="G90" s="203"/>
      <c r="H90" s="203"/>
      <c r="I90" s="203"/>
      <c r="J90" s="203"/>
      <c r="K90" s="203"/>
      <c r="L90" s="203"/>
      <c r="M90" s="203"/>
      <c r="N90" s="203"/>
      <c r="O90" s="203"/>
      <c r="P90" s="203"/>
      <c r="Q90" s="203"/>
    </row>
    <row r="91" spans="2:17" ht="15.75" x14ac:dyDescent="0.2">
      <c r="B91" s="236" t="s">
        <v>24</v>
      </c>
      <c r="C91" s="237"/>
      <c r="D91" s="728" t="s">
        <v>232</v>
      </c>
      <c r="E91" s="728"/>
      <c r="F91" s="728"/>
      <c r="G91" s="237"/>
      <c r="H91" s="728" t="s">
        <v>233</v>
      </c>
      <c r="I91" s="728"/>
      <c r="J91" s="728"/>
      <c r="K91" s="237"/>
      <c r="L91" s="728" t="s">
        <v>234</v>
      </c>
      <c r="M91" s="728"/>
      <c r="N91" s="728"/>
      <c r="O91" s="237"/>
      <c r="P91" s="236" t="s">
        <v>235</v>
      </c>
      <c r="Q91" s="203"/>
    </row>
    <row r="92" spans="2:17" ht="15.75" x14ac:dyDescent="0.25">
      <c r="B92" s="203"/>
      <c r="C92" s="203"/>
      <c r="D92" s="729"/>
      <c r="E92" s="729"/>
      <c r="F92" s="729"/>
      <c r="G92" s="255"/>
      <c r="H92" s="729"/>
      <c r="I92" s="729"/>
      <c r="J92" s="729"/>
      <c r="K92" s="255"/>
      <c r="L92" s="729"/>
      <c r="M92" s="729"/>
      <c r="N92" s="729"/>
      <c r="O92" s="255"/>
      <c r="P92" s="256"/>
      <c r="Q92" s="203"/>
    </row>
    <row r="93" spans="2:17" ht="33" x14ac:dyDescent="0.3">
      <c r="B93" s="257" t="s">
        <v>236</v>
      </c>
      <c r="C93" s="203"/>
      <c r="D93" s="242" t="s">
        <v>237</v>
      </c>
      <c r="E93" s="242" t="s">
        <v>188</v>
      </c>
      <c r="F93" s="242" t="s">
        <v>238</v>
      </c>
      <c r="G93" s="241"/>
      <c r="H93" s="242" t="s">
        <v>237</v>
      </c>
      <c r="I93" s="242" t="s">
        <v>188</v>
      </c>
      <c r="J93" s="242" t="s">
        <v>238</v>
      </c>
      <c r="K93" s="241"/>
      <c r="L93" s="242" t="s">
        <v>237</v>
      </c>
      <c r="M93" s="242" t="s">
        <v>188</v>
      </c>
      <c r="N93" s="242" t="s">
        <v>238</v>
      </c>
      <c r="O93" s="241"/>
      <c r="P93" s="242" t="s">
        <v>238</v>
      </c>
      <c r="Q93" s="203"/>
    </row>
    <row r="94" spans="2:17" x14ac:dyDescent="0.2">
      <c r="B94" s="203"/>
      <c r="C94" s="203"/>
      <c r="D94" s="203"/>
      <c r="E94" s="203"/>
      <c r="F94" s="203"/>
      <c r="G94" s="203"/>
      <c r="H94" s="203"/>
      <c r="I94" s="203"/>
      <c r="J94" s="203"/>
      <c r="K94" s="203"/>
      <c r="L94" s="203"/>
      <c r="M94" s="203"/>
      <c r="N94" s="203"/>
      <c r="O94" s="203"/>
      <c r="P94" s="203"/>
      <c r="Q94" s="203"/>
    </row>
    <row r="95" spans="2:17" ht="15.75" x14ac:dyDescent="0.25">
      <c r="B95" s="243" t="s">
        <v>124</v>
      </c>
      <c r="C95" s="203"/>
      <c r="D95" s="258">
        <f>D19+D38+D57+D76</f>
        <v>1182945.761609907</v>
      </c>
      <c r="E95" s="259">
        <f t="shared" ref="E95:E106" si="16">IF(D95&lt;&gt;0,F95/D95,0)</f>
        <v>3.7293569013646768</v>
      </c>
      <c r="F95" s="248">
        <f>F19+F38+F57+F76</f>
        <v>4411626.9400000004</v>
      </c>
      <c r="G95" s="203"/>
      <c r="H95" s="258">
        <f>H19+H38+H57+H76</f>
        <v>1237595.691629956</v>
      </c>
      <c r="I95" s="259">
        <f t="shared" ref="I95:I106" si="17">IF(H95&lt;&gt;0,J95/H95,0)</f>
        <v>0.79875010574539396</v>
      </c>
      <c r="J95" s="248">
        <f>J19+J38+J57+J76</f>
        <v>988529.68955947133</v>
      </c>
      <c r="K95" s="203"/>
      <c r="L95" s="258">
        <f>L19+L38+L57+L76</f>
        <v>1265067.302741067</v>
      </c>
      <c r="M95" s="259">
        <f t="shared" ref="M95:M106" si="18">IF(L95&lt;&gt;0,N95/L95,0)</f>
        <v>1.9281598260861801</v>
      </c>
      <c r="N95" s="248">
        <f>N19+N38+N57+N76</f>
        <v>2439251.9504405288</v>
      </c>
      <c r="O95" s="203"/>
      <c r="P95" s="248">
        <f t="shared" ref="P95:P106" si="19">J95+N95</f>
        <v>3427781.64</v>
      </c>
      <c r="Q95" s="203"/>
    </row>
    <row r="96" spans="2:17" ht="15.75" x14ac:dyDescent="0.25">
      <c r="B96" s="243" t="s">
        <v>125</v>
      </c>
      <c r="C96" s="203"/>
      <c r="D96" s="258">
        <f t="shared" ref="D96:D106" si="20">D20+D39+D58+D77</f>
        <v>1172029.3312693499</v>
      </c>
      <c r="E96" s="259">
        <f t="shared" si="16"/>
        <v>3.7230665680304482</v>
      </c>
      <c r="F96" s="248">
        <f t="shared" ref="F96:F106" si="21">F20+F39+F58+F77</f>
        <v>4363543.22</v>
      </c>
      <c r="G96" s="203"/>
      <c r="H96" s="258">
        <f t="shared" ref="H96:H106" si="22">H20+H39+H58+H77</f>
        <v>1173364.7444933921</v>
      </c>
      <c r="I96" s="259">
        <f t="shared" si="17"/>
        <v>0.79599547225527256</v>
      </c>
      <c r="J96" s="248">
        <f t="shared" ref="J96:J106" si="23">J20+J39+J58+J77</f>
        <v>933993.02392070484</v>
      </c>
      <c r="K96" s="203"/>
      <c r="L96" s="258">
        <f t="shared" ref="L96:L106" si="24">L20+L39+L58+L77</f>
        <v>1200334.732147713</v>
      </c>
      <c r="M96" s="259">
        <f t="shared" si="18"/>
        <v>1.9222202976255782</v>
      </c>
      <c r="N96" s="248">
        <f t="shared" ref="N96:N106" si="25">N20+N39+N58+N77</f>
        <v>2307307.7860792954</v>
      </c>
      <c r="O96" s="203"/>
      <c r="P96" s="248">
        <f t="shared" si="19"/>
        <v>3241300.8100000005</v>
      </c>
      <c r="Q96" s="203"/>
    </row>
    <row r="97" spans="2:17" ht="15.75" x14ac:dyDescent="0.25">
      <c r="B97" s="243" t="s">
        <v>126</v>
      </c>
      <c r="C97" s="203"/>
      <c r="D97" s="258">
        <f t="shared" si="20"/>
        <v>1197035.3312693499</v>
      </c>
      <c r="E97" s="259">
        <f t="shared" si="16"/>
        <v>3.720140478458426</v>
      </c>
      <c r="F97" s="248">
        <f t="shared" si="21"/>
        <v>4453139.59</v>
      </c>
      <c r="G97" s="203"/>
      <c r="H97" s="258">
        <f t="shared" si="22"/>
        <v>1215884.2907488986</v>
      </c>
      <c r="I97" s="259">
        <f t="shared" si="17"/>
        <v>0.79477828304827891</v>
      </c>
      <c r="J97" s="248">
        <f t="shared" si="23"/>
        <v>966358.42898678407</v>
      </c>
      <c r="K97" s="203"/>
      <c r="L97" s="258">
        <f t="shared" si="24"/>
        <v>1242113.5006254418</v>
      </c>
      <c r="M97" s="259">
        <f t="shared" si="18"/>
        <v>1.9201151825596419</v>
      </c>
      <c r="N97" s="248">
        <f t="shared" si="25"/>
        <v>2385000.9910132159</v>
      </c>
      <c r="O97" s="203"/>
      <c r="P97" s="248">
        <f t="shared" si="19"/>
        <v>3351359.42</v>
      </c>
      <c r="Q97" s="203"/>
    </row>
    <row r="98" spans="2:17" ht="15.75" x14ac:dyDescent="0.25">
      <c r="B98" s="243" t="s">
        <v>127</v>
      </c>
      <c r="C98" s="203"/>
      <c r="D98" s="258">
        <f t="shared" si="20"/>
        <v>984279.60061919503</v>
      </c>
      <c r="E98" s="259">
        <f t="shared" si="16"/>
        <v>3.7201717049672554</v>
      </c>
      <c r="F98" s="248">
        <f t="shared" si="21"/>
        <v>3661689.12</v>
      </c>
      <c r="G98" s="203"/>
      <c r="H98" s="258">
        <f t="shared" si="22"/>
        <v>1054507.4405286345</v>
      </c>
      <c r="I98" s="259">
        <f t="shared" si="17"/>
        <v>0.79669518113826854</v>
      </c>
      <c r="J98" s="248">
        <f t="shared" si="23"/>
        <v>840120.99634361232</v>
      </c>
      <c r="K98" s="203"/>
      <c r="L98" s="258">
        <f t="shared" si="24"/>
        <v>1078868.5207755479</v>
      </c>
      <c r="M98" s="259">
        <f t="shared" si="18"/>
        <v>1.9236341071148475</v>
      </c>
      <c r="N98" s="248">
        <f t="shared" si="25"/>
        <v>2075348.2836563876</v>
      </c>
      <c r="O98" s="203"/>
      <c r="P98" s="248">
        <f t="shared" si="19"/>
        <v>2915469.28</v>
      </c>
      <c r="Q98" s="203"/>
    </row>
    <row r="99" spans="2:17" ht="15.75" x14ac:dyDescent="0.25">
      <c r="B99" s="243" t="s">
        <v>128</v>
      </c>
      <c r="C99" s="203"/>
      <c r="D99" s="258">
        <f t="shared" si="20"/>
        <v>1153548.2321981424</v>
      </c>
      <c r="E99" s="259">
        <f t="shared" si="16"/>
        <v>3.7303200506841616</v>
      </c>
      <c r="F99" s="248">
        <f t="shared" si="21"/>
        <v>4303104.0999999996</v>
      </c>
      <c r="G99" s="203"/>
      <c r="H99" s="258">
        <f t="shared" si="22"/>
        <v>1161478.2907488986</v>
      </c>
      <c r="I99" s="259">
        <f t="shared" si="17"/>
        <v>0.79809743011992929</v>
      </c>
      <c r="J99" s="248">
        <f t="shared" si="23"/>
        <v>926972.8389867841</v>
      </c>
      <c r="K99" s="203"/>
      <c r="L99" s="258">
        <f t="shared" si="24"/>
        <v>1187174.2290205036</v>
      </c>
      <c r="M99" s="259">
        <f t="shared" si="18"/>
        <v>1.9268299421396122</v>
      </c>
      <c r="N99" s="248">
        <f t="shared" si="25"/>
        <v>2287482.8510132157</v>
      </c>
      <c r="O99" s="203"/>
      <c r="P99" s="248">
        <f t="shared" si="19"/>
        <v>3214455.69</v>
      </c>
      <c r="Q99" s="203"/>
    </row>
    <row r="100" spans="2:17" ht="15.75" x14ac:dyDescent="0.25">
      <c r="B100" s="243" t="s">
        <v>129</v>
      </c>
      <c r="C100" s="203"/>
      <c r="D100" s="258">
        <f t="shared" si="20"/>
        <v>1303395.8606811145</v>
      </c>
      <c r="E100" s="259">
        <f t="shared" si="16"/>
        <v>3.7336368073602486</v>
      </c>
      <c r="F100" s="248">
        <f t="shared" si="21"/>
        <v>4866406.76</v>
      </c>
      <c r="G100" s="203"/>
      <c r="H100" s="258">
        <f t="shared" si="22"/>
        <v>1313732.792951542</v>
      </c>
      <c r="I100" s="259">
        <f t="shared" si="17"/>
        <v>0.79856622370025521</v>
      </c>
      <c r="J100" s="248">
        <f t="shared" si="23"/>
        <v>1049102.6354185021</v>
      </c>
      <c r="K100" s="203"/>
      <c r="L100" s="258">
        <f t="shared" si="24"/>
        <v>1339803.292951542</v>
      </c>
      <c r="M100" s="259">
        <f t="shared" si="18"/>
        <v>1.9284889865358381</v>
      </c>
      <c r="N100" s="248">
        <f t="shared" si="25"/>
        <v>2583795.8945814976</v>
      </c>
      <c r="O100" s="203"/>
      <c r="P100" s="248">
        <f t="shared" si="19"/>
        <v>3632898.53</v>
      </c>
      <c r="Q100" s="203"/>
    </row>
    <row r="101" spans="2:17" ht="15.75" x14ac:dyDescent="0.25">
      <c r="B101" s="243" t="s">
        <v>130</v>
      </c>
      <c r="C101" s="203"/>
      <c r="D101" s="258">
        <f t="shared" si="20"/>
        <v>1293276.9907120743</v>
      </c>
      <c r="E101" s="259">
        <f t="shared" si="16"/>
        <v>3.7265996956664207</v>
      </c>
      <c r="F101" s="248">
        <f t="shared" si="21"/>
        <v>4819525.6400000006</v>
      </c>
      <c r="G101" s="203"/>
      <c r="H101" s="258">
        <f t="shared" si="22"/>
        <v>1358799.396475771</v>
      </c>
      <c r="I101" s="259">
        <f t="shared" si="17"/>
        <v>0.79638685483368676</v>
      </c>
      <c r="J101" s="248">
        <f t="shared" si="23"/>
        <v>1082129.977709251</v>
      </c>
      <c r="K101" s="203"/>
      <c r="L101" s="258">
        <f t="shared" si="24"/>
        <v>1383360.7236362647</v>
      </c>
      <c r="M101" s="259">
        <f t="shared" si="18"/>
        <v>1.9244917734058453</v>
      </c>
      <c r="N101" s="248">
        <f t="shared" si="25"/>
        <v>2662266.3322907486</v>
      </c>
      <c r="O101" s="203"/>
      <c r="P101" s="248">
        <f t="shared" si="19"/>
        <v>3744396.3099999996</v>
      </c>
      <c r="Q101" s="203"/>
    </row>
    <row r="102" spans="2:17" ht="15.75" x14ac:dyDescent="0.25">
      <c r="B102" s="243" t="s">
        <v>131</v>
      </c>
      <c r="C102" s="203"/>
      <c r="D102" s="258">
        <f t="shared" si="20"/>
        <v>1322562.9597523219</v>
      </c>
      <c r="E102" s="259">
        <f t="shared" si="16"/>
        <v>3.7247903728700744</v>
      </c>
      <c r="F102" s="248">
        <f t="shared" si="21"/>
        <v>4926269.78</v>
      </c>
      <c r="G102" s="203"/>
      <c r="H102" s="258">
        <f t="shared" si="22"/>
        <v>1363174.8414096916</v>
      </c>
      <c r="I102" s="259">
        <f t="shared" si="17"/>
        <v>0.79618449075389697</v>
      </c>
      <c r="J102" s="248">
        <f t="shared" si="23"/>
        <v>1085338.6669162996</v>
      </c>
      <c r="K102" s="203"/>
      <c r="L102" s="258">
        <f t="shared" si="24"/>
        <v>1389593.7796812966</v>
      </c>
      <c r="M102" s="259">
        <f t="shared" si="18"/>
        <v>1.9236816702625024</v>
      </c>
      <c r="N102" s="248">
        <f t="shared" si="25"/>
        <v>2673136.0830837004</v>
      </c>
      <c r="O102" s="203"/>
      <c r="P102" s="248">
        <f t="shared" si="19"/>
        <v>3758474.75</v>
      </c>
      <c r="Q102" s="203"/>
    </row>
    <row r="103" spans="2:17" ht="15.75" x14ac:dyDescent="0.25">
      <c r="B103" s="243" t="s">
        <v>132</v>
      </c>
      <c r="C103" s="203"/>
      <c r="D103" s="258">
        <f t="shared" si="20"/>
        <v>1293334.588235294</v>
      </c>
      <c r="E103" s="259">
        <f t="shared" si="16"/>
        <v>3.7403329300893344</v>
      </c>
      <c r="F103" s="248">
        <f t="shared" si="21"/>
        <v>4837501.95</v>
      </c>
      <c r="G103" s="203"/>
      <c r="H103" s="258">
        <f t="shared" si="22"/>
        <v>1373975.757709251</v>
      </c>
      <c r="I103" s="259">
        <f t="shared" si="17"/>
        <v>0.79740225135970488</v>
      </c>
      <c r="J103" s="248">
        <f t="shared" si="23"/>
        <v>1095611.3625110132</v>
      </c>
      <c r="K103" s="203"/>
      <c r="L103" s="258">
        <f t="shared" si="24"/>
        <v>1397129.0354870288</v>
      </c>
      <c r="M103" s="259">
        <f t="shared" si="18"/>
        <v>1.9269730490931323</v>
      </c>
      <c r="N103" s="248">
        <f t="shared" si="25"/>
        <v>2692229.9974889867</v>
      </c>
      <c r="O103" s="203"/>
      <c r="P103" s="248">
        <f t="shared" si="19"/>
        <v>3787841.36</v>
      </c>
      <c r="Q103" s="203"/>
    </row>
    <row r="104" spans="2:17" ht="15.75" x14ac:dyDescent="0.25">
      <c r="B104" s="243" t="s">
        <v>133</v>
      </c>
      <c r="C104" s="203"/>
      <c r="D104" s="258">
        <f t="shared" si="20"/>
        <v>968372.26315789472</v>
      </c>
      <c r="E104" s="259">
        <f t="shared" si="16"/>
        <v>3.7050117361891006</v>
      </c>
      <c r="F104" s="248">
        <f t="shared" si="21"/>
        <v>3587830.6</v>
      </c>
      <c r="G104" s="203"/>
      <c r="H104" s="258">
        <f t="shared" si="22"/>
        <v>1027484.6696035243</v>
      </c>
      <c r="I104" s="259">
        <f t="shared" si="17"/>
        <v>0.79246708912599606</v>
      </c>
      <c r="J104" s="248">
        <f t="shared" si="23"/>
        <v>814247.7852422907</v>
      </c>
      <c r="K104" s="203"/>
      <c r="L104" s="258">
        <f t="shared" si="24"/>
        <v>1050083.6510850056</v>
      </c>
      <c r="M104" s="259">
        <f t="shared" si="18"/>
        <v>1.9152021962057062</v>
      </c>
      <c r="N104" s="248">
        <f t="shared" si="25"/>
        <v>2011122.5147577093</v>
      </c>
      <c r="O104" s="203"/>
      <c r="P104" s="248">
        <f t="shared" si="19"/>
        <v>2825370.3</v>
      </c>
      <c r="Q104" s="203"/>
    </row>
    <row r="105" spans="2:17" ht="15.75" x14ac:dyDescent="0.25">
      <c r="B105" s="243" t="s">
        <v>134</v>
      </c>
      <c r="C105" s="203"/>
      <c r="D105" s="258">
        <f t="shared" si="20"/>
        <v>1068819.2291021673</v>
      </c>
      <c r="E105" s="259">
        <f t="shared" si="16"/>
        <v>3.7177492150266764</v>
      </c>
      <c r="F105" s="248">
        <f t="shared" si="21"/>
        <v>3973601.85</v>
      </c>
      <c r="G105" s="203"/>
      <c r="H105" s="258">
        <f t="shared" si="22"/>
        <v>1085322.7488986785</v>
      </c>
      <c r="I105" s="259">
        <f t="shared" si="17"/>
        <v>0.79482543571439856</v>
      </c>
      <c r="J105" s="248">
        <f t="shared" si="23"/>
        <v>862642.12678414094</v>
      </c>
      <c r="K105" s="203"/>
      <c r="L105" s="258">
        <f t="shared" si="24"/>
        <v>1110329.890873987</v>
      </c>
      <c r="M105" s="259">
        <f t="shared" si="18"/>
        <v>1.9197818240649132</v>
      </c>
      <c r="N105" s="248">
        <f t="shared" si="25"/>
        <v>2131591.1432158588</v>
      </c>
      <c r="O105" s="203"/>
      <c r="P105" s="248">
        <f t="shared" si="19"/>
        <v>2994233.2699999996</v>
      </c>
      <c r="Q105" s="203"/>
    </row>
    <row r="106" spans="2:17" ht="15.75" x14ac:dyDescent="0.25">
      <c r="B106" s="243" t="s">
        <v>135</v>
      </c>
      <c r="C106" s="203"/>
      <c r="D106" s="258">
        <f t="shared" si="20"/>
        <v>1115578.4303405574</v>
      </c>
      <c r="E106" s="259">
        <f t="shared" si="16"/>
        <v>3.7051194318432588</v>
      </c>
      <c r="F106" s="248">
        <f t="shared" si="21"/>
        <v>4133351.3200000003</v>
      </c>
      <c r="G106" s="203"/>
      <c r="H106" s="258">
        <f t="shared" si="22"/>
        <v>1143285.6519823789</v>
      </c>
      <c r="I106" s="259">
        <f t="shared" si="17"/>
        <v>0.79153194323695919</v>
      </c>
      <c r="J106" s="248">
        <f t="shared" si="23"/>
        <v>904947.11378854618</v>
      </c>
      <c r="K106" s="203"/>
      <c r="L106" s="258">
        <f t="shared" si="24"/>
        <v>1169049.4297601567</v>
      </c>
      <c r="M106" s="259">
        <f t="shared" si="18"/>
        <v>1.9131095223837544</v>
      </c>
      <c r="N106" s="248">
        <f t="shared" si="25"/>
        <v>2236519.5962114539</v>
      </c>
      <c r="O106" s="203"/>
      <c r="P106" s="248">
        <f t="shared" si="19"/>
        <v>3141466.71</v>
      </c>
      <c r="Q106" s="203"/>
    </row>
    <row r="107" spans="2:17" x14ac:dyDescent="0.2">
      <c r="B107" s="203"/>
      <c r="C107" s="203"/>
      <c r="D107" s="203"/>
      <c r="E107" s="203"/>
      <c r="F107" s="203"/>
      <c r="G107" s="203"/>
      <c r="H107" s="203"/>
      <c r="I107" s="203"/>
      <c r="J107" s="203"/>
      <c r="K107" s="203"/>
      <c r="L107" s="203"/>
      <c r="M107" s="203"/>
      <c r="N107" s="203"/>
      <c r="O107" s="203"/>
      <c r="P107" s="248"/>
      <c r="Q107" s="203"/>
    </row>
    <row r="108" spans="2:17" ht="19.5" thickBot="1" x14ac:dyDescent="0.35">
      <c r="B108" s="249" t="s">
        <v>24</v>
      </c>
      <c r="C108" s="203"/>
      <c r="D108" s="250">
        <f>SUM(D95:D106)</f>
        <v>14055178.578947369</v>
      </c>
      <c r="E108" s="251">
        <f>IF(D108&lt;&gt;0,F108/D108,0)</f>
        <v>3.7237229378496957</v>
      </c>
      <c r="F108" s="252">
        <f>SUM(F95:F106)</f>
        <v>52337590.870000005</v>
      </c>
      <c r="G108" s="203"/>
      <c r="H108" s="250">
        <f>SUM(H95:H106)</f>
        <v>14508606.317180619</v>
      </c>
      <c r="I108" s="251">
        <f>IF(H108&lt;&gt;0,J108/H108,0)</f>
        <v>0.79607885097070086</v>
      </c>
      <c r="J108" s="252">
        <f>SUM(J95:J106)</f>
        <v>11549994.646167399</v>
      </c>
      <c r="K108" s="203"/>
      <c r="L108" s="250">
        <f>SUM(L95:L106)</f>
        <v>14812908.088785555</v>
      </c>
      <c r="M108" s="251">
        <f>IF(L108&lt;&gt;0,N108/L108,0)</f>
        <v>1.9229886024472025</v>
      </c>
      <c r="N108" s="252">
        <f>SUM(N95:N106)</f>
        <v>28485053.423832595</v>
      </c>
      <c r="O108" s="203"/>
      <c r="P108" s="252">
        <f>SUM(P95:P106)</f>
        <v>40035048.07</v>
      </c>
      <c r="Q108" s="203"/>
    </row>
    <row r="109" spans="2:17" x14ac:dyDescent="0.2">
      <c r="P109" s="248"/>
    </row>
    <row r="110" spans="2:17" x14ac:dyDescent="0.2">
      <c r="M110" s="260"/>
      <c r="N110" s="261" t="s">
        <v>243</v>
      </c>
      <c r="P110" s="262">
        <f>'[1]15. RTSR - UTRs &amp; Sub-Tx'!E95</f>
        <v>0</v>
      </c>
    </row>
    <row r="112" spans="2:17" ht="13.5" thickBot="1" x14ac:dyDescent="0.25">
      <c r="N112" s="263" t="s">
        <v>244</v>
      </c>
      <c r="P112" s="252">
        <f>P108+P110</f>
        <v>40035048.07</v>
      </c>
    </row>
  </sheetData>
  <mergeCells count="19">
    <mergeCell ref="B13:L13"/>
    <mergeCell ref="D16:F16"/>
    <mergeCell ref="H16:J16"/>
    <mergeCell ref="L16:N16"/>
    <mergeCell ref="D34:F34"/>
    <mergeCell ref="H34:J34"/>
    <mergeCell ref="L34:N34"/>
    <mergeCell ref="D53:F53"/>
    <mergeCell ref="H53:J53"/>
    <mergeCell ref="L53:N53"/>
    <mergeCell ref="D72:F72"/>
    <mergeCell ref="H72:J72"/>
    <mergeCell ref="L72:N72"/>
    <mergeCell ref="D91:F91"/>
    <mergeCell ref="H91:J91"/>
    <mergeCell ref="L91:N91"/>
    <mergeCell ref="D92:F92"/>
    <mergeCell ref="H92:J92"/>
    <mergeCell ref="L92:N9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3:Q113"/>
  <sheetViews>
    <sheetView topLeftCell="B43" workbookViewId="0">
      <selection activeCell="P109" sqref="P109"/>
    </sheetView>
  </sheetViews>
  <sheetFormatPr defaultColWidth="9.140625" defaultRowHeight="12.75" x14ac:dyDescent="0.2"/>
  <cols>
    <col min="1" max="1" width="11.85546875" style="199" hidden="1" customWidth="1"/>
    <col min="2" max="2" width="30.140625" style="199" customWidth="1"/>
    <col min="3" max="3" width="3.85546875" style="199" customWidth="1"/>
    <col min="4" max="4" width="13.85546875" style="199" customWidth="1"/>
    <col min="5" max="5" width="15.140625" style="199" customWidth="1"/>
    <col min="6" max="6" width="13.85546875" style="199" customWidth="1"/>
    <col min="7" max="7" width="2.85546875" style="199" customWidth="1"/>
    <col min="8" max="8" width="13.85546875" style="199" customWidth="1"/>
    <col min="9" max="9" width="10.140625" style="199" bestFit="1" customWidth="1"/>
    <col min="10" max="10" width="13.85546875" style="199" customWidth="1"/>
    <col min="11" max="11" width="3.140625" style="199" customWidth="1"/>
    <col min="12" max="12" width="13.85546875" style="199" customWidth="1"/>
    <col min="13" max="13" width="9.42578125" style="199" bestFit="1" customWidth="1"/>
    <col min="14" max="14" width="13.85546875" style="199" customWidth="1"/>
    <col min="15" max="15" width="3.7109375" style="199" customWidth="1"/>
    <col min="16" max="16" width="13.85546875" style="199" customWidth="1"/>
    <col min="17" max="16384" width="9.140625" style="199"/>
  </cols>
  <sheetData>
    <row r="13" spans="2:17" ht="34.5" customHeight="1" x14ac:dyDescent="0.2">
      <c r="B13" s="731" t="s">
        <v>245</v>
      </c>
      <c r="C13" s="731"/>
      <c r="D13" s="731"/>
      <c r="E13" s="731"/>
      <c r="F13" s="731"/>
      <c r="G13" s="731"/>
      <c r="H13" s="731"/>
      <c r="I13" s="731"/>
      <c r="J13" s="731"/>
      <c r="K13" s="731"/>
      <c r="L13" s="731"/>
      <c r="M13" s="264"/>
      <c r="N13" s="264"/>
      <c r="O13" s="264"/>
      <c r="P13" s="264"/>
    </row>
    <row r="16" spans="2:17" ht="15.75" x14ac:dyDescent="0.2">
      <c r="B16" s="238" t="s">
        <v>231</v>
      </c>
      <c r="C16" s="237"/>
      <c r="D16" s="728" t="s">
        <v>232</v>
      </c>
      <c r="E16" s="728"/>
      <c r="F16" s="728"/>
      <c r="G16" s="237"/>
      <c r="H16" s="728" t="s">
        <v>233</v>
      </c>
      <c r="I16" s="728"/>
      <c r="J16" s="728"/>
      <c r="K16" s="237"/>
      <c r="L16" s="728" t="s">
        <v>234</v>
      </c>
      <c r="M16" s="728"/>
      <c r="N16" s="728"/>
      <c r="O16" s="237"/>
      <c r="P16" s="238" t="s">
        <v>235</v>
      </c>
      <c r="Q16" s="203"/>
    </row>
    <row r="17" spans="2:17" ht="15.75" x14ac:dyDescent="0.25">
      <c r="B17" s="203"/>
      <c r="C17" s="203"/>
      <c r="D17" s="729"/>
      <c r="E17" s="729"/>
      <c r="F17" s="729"/>
      <c r="G17" s="255"/>
      <c r="H17" s="729"/>
      <c r="I17" s="729"/>
      <c r="J17" s="729"/>
      <c r="K17" s="255"/>
      <c r="L17" s="729"/>
      <c r="M17" s="729"/>
      <c r="N17" s="729"/>
      <c r="O17" s="203"/>
      <c r="P17" s="256"/>
      <c r="Q17" s="239"/>
    </row>
    <row r="18" spans="2:17" ht="16.5" x14ac:dyDescent="0.3">
      <c r="B18" s="240" t="s">
        <v>236</v>
      </c>
      <c r="C18" s="241"/>
      <c r="D18" s="242" t="s">
        <v>237</v>
      </c>
      <c r="E18" s="242" t="s">
        <v>188</v>
      </c>
      <c r="F18" s="242" t="s">
        <v>238</v>
      </c>
      <c r="G18" s="241"/>
      <c r="H18" s="242" t="s">
        <v>237</v>
      </c>
      <c r="I18" s="242" t="s">
        <v>188</v>
      </c>
      <c r="J18" s="242" t="s">
        <v>238</v>
      </c>
      <c r="K18" s="241"/>
      <c r="L18" s="242" t="s">
        <v>237</v>
      </c>
      <c r="M18" s="242" t="s">
        <v>188</v>
      </c>
      <c r="N18" s="242" t="s">
        <v>238</v>
      </c>
      <c r="O18" s="241"/>
      <c r="P18" s="242" t="s">
        <v>238</v>
      </c>
      <c r="Q18" s="203"/>
    </row>
    <row r="19" spans="2:17" x14ac:dyDescent="0.2">
      <c r="B19" s="203"/>
      <c r="C19" s="203"/>
      <c r="D19" s="203"/>
      <c r="E19" s="203"/>
      <c r="F19" s="203"/>
      <c r="G19" s="203"/>
      <c r="H19" s="203"/>
      <c r="I19" s="203"/>
      <c r="J19" s="203"/>
      <c r="K19" s="203"/>
      <c r="L19" s="203"/>
      <c r="M19" s="203"/>
      <c r="N19" s="203"/>
      <c r="O19" s="203"/>
      <c r="P19" s="203"/>
      <c r="Q19" s="203"/>
    </row>
    <row r="20" spans="2:17" ht="15.75" x14ac:dyDescent="0.25">
      <c r="B20" s="243" t="s">
        <v>124</v>
      </c>
      <c r="C20" s="203"/>
      <c r="D20" s="265">
        <f>'11. RTSR - Historical Wholesale'!D19</f>
        <v>1001207</v>
      </c>
      <c r="E20" s="266">
        <f>'10. RTSR - UTR''s and Sub-tx'!G22</f>
        <v>3.78</v>
      </c>
      <c r="F20" s="267">
        <f>D20*E20</f>
        <v>3784562.46</v>
      </c>
      <c r="G20" s="203"/>
      <c r="H20" s="265">
        <f>'11. RTSR - Historical Wholesale'!H19</f>
        <v>1082897</v>
      </c>
      <c r="I20" s="266">
        <f>'10. RTSR - UTR''s and Sub-tx'!G24</f>
        <v>0.86</v>
      </c>
      <c r="J20" s="267">
        <f>H20*I20</f>
        <v>931291.42</v>
      </c>
      <c r="K20" s="203"/>
      <c r="L20" s="265">
        <f>'11. RTSR - Historical Wholesale'!L19</f>
        <v>1082897</v>
      </c>
      <c r="M20" s="266">
        <f>'10. RTSR - UTR''s and Sub-tx'!G26</f>
        <v>2</v>
      </c>
      <c r="N20" s="267">
        <f>L20*M20</f>
        <v>2165794</v>
      </c>
      <c r="O20" s="203"/>
      <c r="P20" s="248">
        <f t="shared" ref="P20:P31" si="0">J20+N20</f>
        <v>3097085.42</v>
      </c>
      <c r="Q20" s="203"/>
    </row>
    <row r="21" spans="2:17" ht="15.75" x14ac:dyDescent="0.25">
      <c r="B21" s="243" t="s">
        <v>125</v>
      </c>
      <c r="C21" s="203"/>
      <c r="D21" s="265">
        <f>'11. RTSR - Historical Wholesale'!D20</f>
        <v>979472</v>
      </c>
      <c r="E21" s="266">
        <f>E20</f>
        <v>3.78</v>
      </c>
      <c r="F21" s="267">
        <f t="shared" ref="F21:F31" si="1">D21*E21</f>
        <v>3702404.1599999997</v>
      </c>
      <c r="G21" s="203"/>
      <c r="H21" s="265">
        <f>'11. RTSR - Historical Wholesale'!H20</f>
        <v>1007682</v>
      </c>
      <c r="I21" s="266">
        <f>I20</f>
        <v>0.86</v>
      </c>
      <c r="J21" s="267">
        <f t="shared" ref="J21:J31" si="2">H21*I21</f>
        <v>866606.52</v>
      </c>
      <c r="K21" s="203"/>
      <c r="L21" s="265">
        <f>'11. RTSR - Historical Wholesale'!L20</f>
        <v>1007682</v>
      </c>
      <c r="M21" s="266">
        <f>M20</f>
        <v>2</v>
      </c>
      <c r="N21" s="267">
        <f t="shared" ref="N21:N31" si="3">L21*M21</f>
        <v>2015364</v>
      </c>
      <c r="O21" s="203"/>
      <c r="P21" s="248">
        <f t="shared" si="0"/>
        <v>2881970.52</v>
      </c>
      <c r="Q21" s="203"/>
    </row>
    <row r="22" spans="2:17" ht="15.75" x14ac:dyDescent="0.25">
      <c r="B22" s="243" t="s">
        <v>126</v>
      </c>
      <c r="C22" s="203"/>
      <c r="D22" s="265">
        <f>'11. RTSR - Historical Wholesale'!D21</f>
        <v>994433</v>
      </c>
      <c r="E22" s="266">
        <f t="shared" ref="E22:E31" si="4">E21</f>
        <v>3.78</v>
      </c>
      <c r="F22" s="267">
        <f t="shared" si="1"/>
        <v>3758956.7399999998</v>
      </c>
      <c r="G22" s="203"/>
      <c r="H22" s="265">
        <f>'11. RTSR - Historical Wholesale'!H21</f>
        <v>1035492</v>
      </c>
      <c r="I22" s="266">
        <f t="shared" ref="I22:I31" si="5">I21</f>
        <v>0.86</v>
      </c>
      <c r="J22" s="267">
        <f t="shared" si="2"/>
        <v>890523.12</v>
      </c>
      <c r="K22" s="203"/>
      <c r="L22" s="265">
        <f>'11. RTSR - Historical Wholesale'!L21</f>
        <v>1035492</v>
      </c>
      <c r="M22" s="266">
        <f t="shared" ref="M22:M31" si="6">M21</f>
        <v>2</v>
      </c>
      <c r="N22" s="267">
        <f t="shared" si="3"/>
        <v>2070984</v>
      </c>
      <c r="O22" s="203"/>
      <c r="P22" s="248">
        <f t="shared" si="0"/>
        <v>2961507.12</v>
      </c>
      <c r="Q22" s="203"/>
    </row>
    <row r="23" spans="2:17" ht="15.75" x14ac:dyDescent="0.25">
      <c r="B23" s="243" t="s">
        <v>127</v>
      </c>
      <c r="C23" s="203"/>
      <c r="D23" s="265">
        <f>'11. RTSR - Historical Wholesale'!D22</f>
        <v>817739</v>
      </c>
      <c r="E23" s="266">
        <f t="shared" si="4"/>
        <v>3.78</v>
      </c>
      <c r="F23" s="267">
        <f t="shared" si="1"/>
        <v>3091053.42</v>
      </c>
      <c r="G23" s="203"/>
      <c r="H23" s="265">
        <f>'11. RTSR - Historical Wholesale'!H22</f>
        <v>909948</v>
      </c>
      <c r="I23" s="266">
        <f t="shared" si="5"/>
        <v>0.86</v>
      </c>
      <c r="J23" s="267">
        <f t="shared" si="2"/>
        <v>782555.28</v>
      </c>
      <c r="K23" s="203"/>
      <c r="L23" s="265">
        <f>'11. RTSR - Historical Wholesale'!L22</f>
        <v>909948</v>
      </c>
      <c r="M23" s="266">
        <f t="shared" si="6"/>
        <v>2</v>
      </c>
      <c r="N23" s="267">
        <f t="shared" si="3"/>
        <v>1819896</v>
      </c>
      <c r="O23" s="203"/>
      <c r="P23" s="248">
        <f t="shared" si="0"/>
        <v>2602451.2800000003</v>
      </c>
      <c r="Q23" s="203"/>
    </row>
    <row r="24" spans="2:17" ht="15.75" x14ac:dyDescent="0.25">
      <c r="B24" s="243" t="s">
        <v>128</v>
      </c>
      <c r="C24" s="203"/>
      <c r="D24" s="265">
        <f>'11. RTSR - Historical Wholesale'!D23</f>
        <v>978209</v>
      </c>
      <c r="E24" s="266">
        <f t="shared" si="4"/>
        <v>3.78</v>
      </c>
      <c r="F24" s="267">
        <f t="shared" si="1"/>
        <v>3697630.02</v>
      </c>
      <c r="G24" s="203"/>
      <c r="H24" s="265">
        <f>'11. RTSR - Historical Wholesale'!H23</f>
        <v>1011835</v>
      </c>
      <c r="I24" s="266">
        <f t="shared" si="5"/>
        <v>0.86</v>
      </c>
      <c r="J24" s="267">
        <f t="shared" si="2"/>
        <v>870178.1</v>
      </c>
      <c r="K24" s="203"/>
      <c r="L24" s="265">
        <f>'11. RTSR - Historical Wholesale'!L23</f>
        <v>1011835</v>
      </c>
      <c r="M24" s="266">
        <f t="shared" si="6"/>
        <v>2</v>
      </c>
      <c r="N24" s="267">
        <f t="shared" si="3"/>
        <v>2023670</v>
      </c>
      <c r="O24" s="203"/>
      <c r="P24" s="248">
        <f t="shared" si="0"/>
        <v>2893848.1</v>
      </c>
      <c r="Q24" s="203"/>
    </row>
    <row r="25" spans="2:17" ht="15.75" x14ac:dyDescent="0.25">
      <c r="B25" s="243" t="s">
        <v>129</v>
      </c>
      <c r="C25" s="203"/>
      <c r="D25" s="265">
        <f>'11. RTSR - Historical Wholesale'!D24</f>
        <v>1112607</v>
      </c>
      <c r="E25" s="266">
        <f t="shared" si="4"/>
        <v>3.78</v>
      </c>
      <c r="F25" s="267">
        <f t="shared" si="1"/>
        <v>4205654.46</v>
      </c>
      <c r="G25" s="203"/>
      <c r="H25" s="265">
        <f>'11. RTSR - Historical Wholesale'!H24</f>
        <v>1148096</v>
      </c>
      <c r="I25" s="266">
        <f t="shared" si="5"/>
        <v>0.86</v>
      </c>
      <c r="J25" s="267">
        <f t="shared" si="2"/>
        <v>987362.55999999994</v>
      </c>
      <c r="K25" s="203"/>
      <c r="L25" s="265">
        <f>'11. RTSR - Historical Wholesale'!L24</f>
        <v>1148096</v>
      </c>
      <c r="M25" s="266">
        <f t="shared" si="6"/>
        <v>2</v>
      </c>
      <c r="N25" s="267">
        <f t="shared" si="3"/>
        <v>2296192</v>
      </c>
      <c r="O25" s="203"/>
      <c r="P25" s="248">
        <f t="shared" si="0"/>
        <v>3283554.56</v>
      </c>
      <c r="Q25" s="203"/>
    </row>
    <row r="26" spans="2:17" ht="15.75" x14ac:dyDescent="0.25">
      <c r="B26" s="243" t="s">
        <v>130</v>
      </c>
      <c r="C26" s="203"/>
      <c r="D26" s="265">
        <f>'11. RTSR - Historical Wholesale'!D25</f>
        <v>1088544</v>
      </c>
      <c r="E26" s="266">
        <f t="shared" si="4"/>
        <v>3.78</v>
      </c>
      <c r="F26" s="267">
        <f t="shared" si="1"/>
        <v>4114696.32</v>
      </c>
      <c r="G26" s="203"/>
      <c r="H26" s="265">
        <f>'11. RTSR - Historical Wholesale'!H25</f>
        <v>1170061</v>
      </c>
      <c r="I26" s="266">
        <f t="shared" si="5"/>
        <v>0.86</v>
      </c>
      <c r="J26" s="267">
        <f t="shared" si="2"/>
        <v>1006252.46</v>
      </c>
      <c r="K26" s="203"/>
      <c r="L26" s="265">
        <f>'11. RTSR - Historical Wholesale'!L25</f>
        <v>1170061</v>
      </c>
      <c r="M26" s="266">
        <f t="shared" si="6"/>
        <v>2</v>
      </c>
      <c r="N26" s="267">
        <f t="shared" si="3"/>
        <v>2340122</v>
      </c>
      <c r="O26" s="203"/>
      <c r="P26" s="248">
        <f t="shared" si="0"/>
        <v>3346374.46</v>
      </c>
      <c r="Q26" s="203"/>
    </row>
    <row r="27" spans="2:17" ht="15.75" x14ac:dyDescent="0.25">
      <c r="B27" s="243" t="s">
        <v>131</v>
      </c>
      <c r="C27" s="203"/>
      <c r="D27" s="265">
        <f>'11. RTSR - Historical Wholesale'!D26</f>
        <v>1109138</v>
      </c>
      <c r="E27" s="266">
        <f t="shared" si="4"/>
        <v>3.78</v>
      </c>
      <c r="F27" s="267">
        <f t="shared" si="1"/>
        <v>4192541.6399999997</v>
      </c>
      <c r="G27" s="203"/>
      <c r="H27" s="265">
        <f>'11. RTSR - Historical Wholesale'!H26</f>
        <v>1172206</v>
      </c>
      <c r="I27" s="266">
        <f t="shared" si="5"/>
        <v>0.86</v>
      </c>
      <c r="J27" s="267">
        <f t="shared" si="2"/>
        <v>1008097.16</v>
      </c>
      <c r="K27" s="203"/>
      <c r="L27" s="265">
        <f>'11. RTSR - Historical Wholesale'!L26</f>
        <v>1172206</v>
      </c>
      <c r="M27" s="266">
        <f t="shared" si="6"/>
        <v>2</v>
      </c>
      <c r="N27" s="267">
        <f t="shared" si="3"/>
        <v>2344412</v>
      </c>
      <c r="O27" s="203"/>
      <c r="P27" s="248">
        <f t="shared" si="0"/>
        <v>3352509.16</v>
      </c>
      <c r="Q27" s="203"/>
    </row>
    <row r="28" spans="2:17" ht="15.75" x14ac:dyDescent="0.25">
      <c r="B28" s="243" t="s">
        <v>132</v>
      </c>
      <c r="C28" s="203"/>
      <c r="D28" s="265">
        <f>'11. RTSR - Historical Wholesale'!D27</f>
        <v>1118697</v>
      </c>
      <c r="E28" s="266">
        <f t="shared" si="4"/>
        <v>3.78</v>
      </c>
      <c r="F28" s="267">
        <f t="shared" si="1"/>
        <v>4228674.66</v>
      </c>
      <c r="G28" s="203"/>
      <c r="H28" s="265">
        <f>'11. RTSR - Historical Wholesale'!H27</f>
        <v>1191336</v>
      </c>
      <c r="I28" s="266">
        <f t="shared" si="5"/>
        <v>0.86</v>
      </c>
      <c r="J28" s="267">
        <f t="shared" si="2"/>
        <v>1024548.96</v>
      </c>
      <c r="K28" s="203"/>
      <c r="L28" s="265">
        <f>'11. RTSR - Historical Wholesale'!L27</f>
        <v>1191336</v>
      </c>
      <c r="M28" s="266">
        <f t="shared" si="6"/>
        <v>2</v>
      </c>
      <c r="N28" s="267">
        <f t="shared" si="3"/>
        <v>2382672</v>
      </c>
      <c r="O28" s="203"/>
      <c r="P28" s="248">
        <f t="shared" si="0"/>
        <v>3407220.96</v>
      </c>
      <c r="Q28" s="203"/>
    </row>
    <row r="29" spans="2:17" ht="15.75" x14ac:dyDescent="0.25">
      <c r="B29" s="243" t="s">
        <v>133</v>
      </c>
      <c r="C29" s="203"/>
      <c r="D29" s="265">
        <f>'11. RTSR - Historical Wholesale'!D28</f>
        <v>779641</v>
      </c>
      <c r="E29" s="266">
        <f t="shared" si="4"/>
        <v>3.78</v>
      </c>
      <c r="F29" s="267">
        <f t="shared" si="1"/>
        <v>2947042.98</v>
      </c>
      <c r="G29" s="203"/>
      <c r="H29" s="265">
        <f>'11. RTSR - Historical Wholesale'!H28</f>
        <v>861075</v>
      </c>
      <c r="I29" s="266">
        <f t="shared" si="5"/>
        <v>0.86</v>
      </c>
      <c r="J29" s="267">
        <f t="shared" si="2"/>
        <v>740524.5</v>
      </c>
      <c r="K29" s="203"/>
      <c r="L29" s="265">
        <f>'11. RTSR - Historical Wholesale'!L28</f>
        <v>861075</v>
      </c>
      <c r="M29" s="266">
        <f t="shared" si="6"/>
        <v>2</v>
      </c>
      <c r="N29" s="267">
        <f t="shared" si="3"/>
        <v>1722150</v>
      </c>
      <c r="O29" s="203"/>
      <c r="P29" s="248">
        <f t="shared" si="0"/>
        <v>2462674.5</v>
      </c>
      <c r="Q29" s="203"/>
    </row>
    <row r="30" spans="2:17" ht="15.75" x14ac:dyDescent="0.25">
      <c r="B30" s="243" t="s">
        <v>134</v>
      </c>
      <c r="C30" s="203"/>
      <c r="D30" s="265">
        <f>'11. RTSR - Historical Wholesale'!D29</f>
        <v>883586</v>
      </c>
      <c r="E30" s="266">
        <f t="shared" si="4"/>
        <v>3.78</v>
      </c>
      <c r="F30" s="267">
        <f t="shared" si="1"/>
        <v>3339955.0799999996</v>
      </c>
      <c r="G30" s="203"/>
      <c r="H30" s="265">
        <f>'11. RTSR - Historical Wholesale'!H29</f>
        <v>924602</v>
      </c>
      <c r="I30" s="266">
        <f t="shared" si="5"/>
        <v>0.86</v>
      </c>
      <c r="J30" s="267">
        <f t="shared" si="2"/>
        <v>795157.72</v>
      </c>
      <c r="K30" s="203"/>
      <c r="L30" s="265">
        <f>'11. RTSR - Historical Wholesale'!L29</f>
        <v>924602</v>
      </c>
      <c r="M30" s="266">
        <f t="shared" si="6"/>
        <v>2</v>
      </c>
      <c r="N30" s="267">
        <f t="shared" si="3"/>
        <v>1849204</v>
      </c>
      <c r="O30" s="203"/>
      <c r="P30" s="248">
        <f t="shared" si="0"/>
        <v>2644361.7199999997</v>
      </c>
      <c r="Q30" s="203"/>
    </row>
    <row r="31" spans="2:17" ht="15.75" x14ac:dyDescent="0.25">
      <c r="B31" s="243" t="s">
        <v>135</v>
      </c>
      <c r="C31" s="203"/>
      <c r="D31" s="265">
        <f>'11. RTSR - Historical Wholesale'!D30</f>
        <v>898361</v>
      </c>
      <c r="E31" s="266">
        <f t="shared" si="4"/>
        <v>3.78</v>
      </c>
      <c r="F31" s="267">
        <f t="shared" si="1"/>
        <v>3395804.5799999996</v>
      </c>
      <c r="G31" s="203"/>
      <c r="H31" s="265">
        <f>'11. RTSR - Historical Wholesale'!H30</f>
        <v>951832</v>
      </c>
      <c r="I31" s="266">
        <f t="shared" si="5"/>
        <v>0.86</v>
      </c>
      <c r="J31" s="267">
        <f t="shared" si="2"/>
        <v>818575.52</v>
      </c>
      <c r="K31" s="203"/>
      <c r="L31" s="265">
        <f>'11. RTSR - Historical Wholesale'!L30</f>
        <v>951832</v>
      </c>
      <c r="M31" s="266">
        <f t="shared" si="6"/>
        <v>2</v>
      </c>
      <c r="N31" s="267">
        <f t="shared" si="3"/>
        <v>1903664</v>
      </c>
      <c r="O31" s="203"/>
      <c r="P31" s="248">
        <f t="shared" si="0"/>
        <v>2722239.52</v>
      </c>
      <c r="Q31" s="203"/>
    </row>
    <row r="32" spans="2:17" x14ac:dyDescent="0.2">
      <c r="B32" s="203"/>
      <c r="C32" s="203"/>
      <c r="D32" s="203"/>
      <c r="E32" s="203"/>
      <c r="F32" s="203"/>
      <c r="G32" s="203"/>
      <c r="H32" s="203"/>
      <c r="I32" s="203"/>
      <c r="J32" s="203"/>
      <c r="K32" s="203"/>
      <c r="L32" s="203"/>
      <c r="M32" s="203"/>
      <c r="N32" s="203"/>
      <c r="O32" s="203"/>
      <c r="P32" s="203"/>
      <c r="Q32" s="203"/>
    </row>
    <row r="33" spans="2:17" ht="19.5" thickBot="1" x14ac:dyDescent="0.35">
      <c r="B33" s="249" t="s">
        <v>24</v>
      </c>
      <c r="C33" s="203"/>
      <c r="D33" s="250">
        <f>SUM(D20:D31)</f>
        <v>11761634</v>
      </c>
      <c r="E33" s="251">
        <f>IF(D33&lt;&gt;0,F33/D33,0)</f>
        <v>3.78</v>
      </c>
      <c r="F33" s="252">
        <f>SUM(F20:F31)</f>
        <v>44458976.519999996</v>
      </c>
      <c r="G33" s="203"/>
      <c r="H33" s="250">
        <f>SUM(H20:H31)</f>
        <v>12467062</v>
      </c>
      <c r="I33" s="251">
        <f>IF(H33&lt;&gt;0,J33/H33,0)</f>
        <v>0.85999999999999988</v>
      </c>
      <c r="J33" s="252">
        <f>SUM(J20:J31)</f>
        <v>10721673.319999998</v>
      </c>
      <c r="K33" s="203"/>
      <c r="L33" s="250">
        <f>SUM(L20:L31)</f>
        <v>12467062</v>
      </c>
      <c r="M33" s="251">
        <f>IF(L33&lt;&gt;0,N33/L33,0)</f>
        <v>2</v>
      </c>
      <c r="N33" s="252">
        <f>SUM(N20:N31)</f>
        <v>24934124</v>
      </c>
      <c r="O33" s="203"/>
      <c r="P33" s="252">
        <f>SUM(P20:P31)</f>
        <v>35655797.32</v>
      </c>
      <c r="Q33" s="203"/>
    </row>
    <row r="34" spans="2:17" x14ac:dyDescent="0.2">
      <c r="B34" s="203"/>
      <c r="C34" s="203"/>
      <c r="D34" s="203"/>
      <c r="E34" s="203"/>
      <c r="F34" s="203"/>
      <c r="G34" s="203"/>
      <c r="H34" s="203"/>
      <c r="I34" s="203"/>
      <c r="J34" s="203"/>
      <c r="K34" s="203"/>
      <c r="L34" s="203"/>
      <c r="M34" s="203"/>
      <c r="N34" s="203"/>
      <c r="O34" s="203"/>
      <c r="P34" s="203"/>
      <c r="Q34" s="203"/>
    </row>
    <row r="35" spans="2:17" ht="15.75" x14ac:dyDescent="0.2">
      <c r="B35" s="238" t="s">
        <v>239</v>
      </c>
      <c r="C35" s="237"/>
      <c r="D35" s="728" t="s">
        <v>232</v>
      </c>
      <c r="E35" s="728"/>
      <c r="F35" s="728"/>
      <c r="G35" s="237"/>
      <c r="H35" s="728" t="s">
        <v>233</v>
      </c>
      <c r="I35" s="728"/>
      <c r="J35" s="728"/>
      <c r="K35" s="237"/>
      <c r="L35" s="728" t="s">
        <v>234</v>
      </c>
      <c r="M35" s="728"/>
      <c r="N35" s="728"/>
      <c r="O35" s="237"/>
      <c r="P35" s="238" t="s">
        <v>235</v>
      </c>
      <c r="Q35" s="203"/>
    </row>
    <row r="36" spans="2:17" ht="16.5" x14ac:dyDescent="0.3">
      <c r="B36" s="240"/>
      <c r="C36" s="241"/>
      <c r="D36" s="242"/>
      <c r="E36" s="242"/>
      <c r="F36" s="242"/>
      <c r="G36" s="241"/>
      <c r="H36" s="242"/>
      <c r="I36" s="242"/>
      <c r="J36" s="242"/>
      <c r="K36" s="241"/>
      <c r="L36" s="242"/>
      <c r="M36" s="242"/>
      <c r="N36" s="242"/>
      <c r="O36" s="241"/>
      <c r="P36" s="242"/>
      <c r="Q36" s="203"/>
    </row>
    <row r="37" spans="2:17" ht="16.5" x14ac:dyDescent="0.3">
      <c r="B37" s="240" t="s">
        <v>236</v>
      </c>
      <c r="C37" s="241"/>
      <c r="D37" s="242" t="s">
        <v>237</v>
      </c>
      <c r="E37" s="242" t="s">
        <v>188</v>
      </c>
      <c r="F37" s="242" t="s">
        <v>238</v>
      </c>
      <c r="G37" s="241"/>
      <c r="H37" s="242" t="s">
        <v>237</v>
      </c>
      <c r="I37" s="242" t="s">
        <v>188</v>
      </c>
      <c r="J37" s="242" t="s">
        <v>238</v>
      </c>
      <c r="K37" s="241"/>
      <c r="L37" s="242" t="s">
        <v>237</v>
      </c>
      <c r="M37" s="242" t="s">
        <v>188</v>
      </c>
      <c r="N37" s="242" t="s">
        <v>238</v>
      </c>
      <c r="O37" s="241"/>
      <c r="P37" s="242" t="s">
        <v>238</v>
      </c>
      <c r="Q37" s="203"/>
    </row>
    <row r="38" spans="2:17" x14ac:dyDescent="0.2">
      <c r="B38" s="203"/>
      <c r="C38" s="203"/>
      <c r="D38" s="203"/>
      <c r="E38" s="203"/>
      <c r="F38" s="203"/>
      <c r="G38" s="203"/>
      <c r="H38" s="203"/>
      <c r="I38" s="203"/>
      <c r="J38" s="203"/>
      <c r="K38" s="203"/>
      <c r="L38" s="203"/>
      <c r="M38" s="203"/>
      <c r="N38" s="203"/>
      <c r="O38" s="203"/>
      <c r="P38" s="203"/>
      <c r="Q38" s="203"/>
    </row>
    <row r="39" spans="2:17" ht="15.75" x14ac:dyDescent="0.25">
      <c r="B39" s="243" t="s">
        <v>124</v>
      </c>
      <c r="C39" s="203"/>
      <c r="D39" s="265">
        <f>'11. RTSR - Historical Wholesale'!D38</f>
        <v>181738.76160990712</v>
      </c>
      <c r="E39" s="266">
        <f>'10. RTSR - UTR''s and Sub-tx'!E35+'10. RTSR - UTR''s and Sub-tx'!E79</f>
        <v>3.3765000000000001</v>
      </c>
      <c r="F39" s="267">
        <f>D39*E39</f>
        <v>613640.92857585137</v>
      </c>
      <c r="G39" s="203"/>
      <c r="H39" s="265">
        <f>'11. RTSR - Historical Wholesale'!H38</f>
        <v>154698.69162995595</v>
      </c>
      <c r="I39" s="266">
        <f>'10. RTSR - UTR''s and Sub-tx'!E37+'10. RTSR - UTR''s and Sub-tx'!E81</f>
        <v>0.7167</v>
      </c>
      <c r="J39" s="267">
        <f>H39*I39</f>
        <v>110872.55229118944</v>
      </c>
      <c r="K39" s="203"/>
      <c r="L39" s="265">
        <f>'11. RTSR - Historical Wholesale'!L38</f>
        <v>182170.30274106708</v>
      </c>
      <c r="M39" s="266">
        <f>'10. RTSR - UTR''s and Sub-tx'!E39</f>
        <v>1.62</v>
      </c>
      <c r="N39" s="267">
        <f>L39*M39</f>
        <v>295115.89044052869</v>
      </c>
      <c r="O39" s="203"/>
      <c r="P39" s="248">
        <f t="shared" ref="P39:P50" si="7">J39+N39</f>
        <v>405988.44273171813</v>
      </c>
      <c r="Q39" s="203"/>
    </row>
    <row r="40" spans="2:17" ht="15.75" x14ac:dyDescent="0.25">
      <c r="B40" s="243" t="s">
        <v>125</v>
      </c>
      <c r="C40" s="203"/>
      <c r="D40" s="265">
        <f>'11. RTSR - Historical Wholesale'!D39</f>
        <v>192557.33126934984</v>
      </c>
      <c r="E40" s="266">
        <f>E39</f>
        <v>3.3765000000000001</v>
      </c>
      <c r="F40" s="267">
        <f t="shared" ref="F40:F50" si="8">D40*E40</f>
        <v>650169.82903095975</v>
      </c>
      <c r="G40" s="203"/>
      <c r="H40" s="265">
        <f>'11. RTSR - Historical Wholesale'!H39</f>
        <v>165682.74449339206</v>
      </c>
      <c r="I40" s="266">
        <f>I39</f>
        <v>0.7167</v>
      </c>
      <c r="J40" s="267">
        <f t="shared" ref="J40:J50" si="9">H40*I40</f>
        <v>118744.82297841409</v>
      </c>
      <c r="K40" s="203"/>
      <c r="L40" s="265">
        <f>'11. RTSR - Historical Wholesale'!L39</f>
        <v>192652.73214771305</v>
      </c>
      <c r="M40" s="266">
        <f>M39</f>
        <v>1.62</v>
      </c>
      <c r="N40" s="267">
        <f t="shared" ref="N40:N50" si="10">L40*M40</f>
        <v>312097.42607929517</v>
      </c>
      <c r="O40" s="203"/>
      <c r="P40" s="248">
        <f t="shared" si="7"/>
        <v>430842.24905770924</v>
      </c>
      <c r="Q40" s="203"/>
    </row>
    <row r="41" spans="2:17" ht="15.75" x14ac:dyDescent="0.25">
      <c r="B41" s="243" t="s">
        <v>126</v>
      </c>
      <c r="C41" s="203"/>
      <c r="D41" s="265">
        <f>'11. RTSR - Historical Wholesale'!D40</f>
        <v>202602.33126934984</v>
      </c>
      <c r="E41" s="266">
        <f t="shared" ref="E41:E42" si="11">E40</f>
        <v>3.3765000000000001</v>
      </c>
      <c r="F41" s="267">
        <f t="shared" si="8"/>
        <v>684086.77153095976</v>
      </c>
      <c r="G41" s="203"/>
      <c r="H41" s="265">
        <f>'11. RTSR - Historical Wholesale'!H40</f>
        <v>180392.2907488987</v>
      </c>
      <c r="I41" s="266">
        <f t="shared" ref="I41:I50" si="12">I40</f>
        <v>0.7167</v>
      </c>
      <c r="J41" s="267">
        <f t="shared" si="9"/>
        <v>129287.15477973569</v>
      </c>
      <c r="K41" s="203"/>
      <c r="L41" s="265">
        <f>'11. RTSR - Historical Wholesale'!L40</f>
        <v>206621.5006254419</v>
      </c>
      <c r="M41" s="266">
        <f>M40</f>
        <v>1.62</v>
      </c>
      <c r="N41" s="267">
        <f t="shared" si="10"/>
        <v>334726.83101321588</v>
      </c>
      <c r="O41" s="203"/>
      <c r="P41" s="248">
        <f t="shared" si="7"/>
        <v>464013.98579295154</v>
      </c>
      <c r="Q41" s="203"/>
    </row>
    <row r="42" spans="2:17" ht="15.75" x14ac:dyDescent="0.25">
      <c r="B42" s="243" t="s">
        <v>127</v>
      </c>
      <c r="C42" s="203"/>
      <c r="D42" s="265">
        <f>'11. RTSR - Historical Wholesale'!D41</f>
        <v>166540.60061919506</v>
      </c>
      <c r="E42" s="266">
        <f t="shared" si="11"/>
        <v>3.3765000000000001</v>
      </c>
      <c r="F42" s="267">
        <f t="shared" si="8"/>
        <v>562324.33799071214</v>
      </c>
      <c r="G42" s="203"/>
      <c r="H42" s="265">
        <f>'11. RTSR - Historical Wholesale'!H41</f>
        <v>144559.44052863435</v>
      </c>
      <c r="I42" s="266">
        <f t="shared" si="12"/>
        <v>0.7167</v>
      </c>
      <c r="J42" s="267">
        <f t="shared" si="9"/>
        <v>103605.75102687224</v>
      </c>
      <c r="K42" s="203"/>
      <c r="L42" s="265">
        <f>'11. RTSR - Historical Wholesale'!L41</f>
        <v>168920.52077554795</v>
      </c>
      <c r="M42" s="266">
        <f t="shared" ref="M42:M50" si="13">M41</f>
        <v>1.62</v>
      </c>
      <c r="N42" s="267">
        <f t="shared" si="10"/>
        <v>273651.24365638767</v>
      </c>
      <c r="O42" s="203"/>
      <c r="P42" s="248">
        <f t="shared" si="7"/>
        <v>377256.99468325992</v>
      </c>
      <c r="Q42" s="203"/>
    </row>
    <row r="43" spans="2:17" ht="15.75" x14ac:dyDescent="0.25">
      <c r="B43" s="243" t="s">
        <v>128</v>
      </c>
      <c r="C43" s="203"/>
      <c r="D43" s="265">
        <f>'11. RTSR - Historical Wholesale'!D42</f>
        <v>175339.23219814239</v>
      </c>
      <c r="E43" s="266">
        <f>'10. RTSR - UTR''s and Sub-tx'!G35+'10. RTSR - UTR''s and Sub-tx'!G79</f>
        <v>3.4121000000000001</v>
      </c>
      <c r="F43" s="267">
        <f t="shared" si="8"/>
        <v>598274.99418328167</v>
      </c>
      <c r="G43" s="203"/>
      <c r="H43" s="265">
        <f>'11. RTSR - Historical Wholesale'!H42</f>
        <v>149643.2907488987</v>
      </c>
      <c r="I43" s="266">
        <f>'10. RTSR - UTR''s and Sub-tx'!G37+'10. RTSR - UTR''s and Sub-tx'!G81</f>
        <v>0.78790000000000004</v>
      </c>
      <c r="J43" s="267">
        <f t="shared" si="9"/>
        <v>117903.94878105729</v>
      </c>
      <c r="K43" s="203"/>
      <c r="L43" s="265">
        <f>'11. RTSR - Historical Wholesale'!L42</f>
        <v>175339.22902050364</v>
      </c>
      <c r="M43" s="266">
        <f>'10. RTSR - UTR''s and Sub-tx'!G39</f>
        <v>1.8018000000000001</v>
      </c>
      <c r="N43" s="267">
        <f t="shared" si="10"/>
        <v>315926.22284914349</v>
      </c>
      <c r="O43" s="203"/>
      <c r="P43" s="248">
        <f t="shared" si="7"/>
        <v>433830.17163020081</v>
      </c>
      <c r="Q43" s="203"/>
    </row>
    <row r="44" spans="2:17" ht="15.75" x14ac:dyDescent="0.25">
      <c r="B44" s="243" t="s">
        <v>129</v>
      </c>
      <c r="C44" s="203"/>
      <c r="D44" s="265">
        <f>'11. RTSR - Historical Wholesale'!D43</f>
        <v>190788.86068111454</v>
      </c>
      <c r="E44" s="266">
        <f t="shared" ref="E44:E50" si="14">E43</f>
        <v>3.4121000000000001</v>
      </c>
      <c r="F44" s="267">
        <f t="shared" si="8"/>
        <v>650990.67153003102</v>
      </c>
      <c r="G44" s="203"/>
      <c r="H44" s="265">
        <f>'11. RTSR - Historical Wholesale'!H43</f>
        <v>165636.79295154184</v>
      </c>
      <c r="I44" s="266">
        <f t="shared" si="12"/>
        <v>0.78790000000000004</v>
      </c>
      <c r="J44" s="267">
        <f t="shared" si="9"/>
        <v>130505.22916651981</v>
      </c>
      <c r="K44" s="203"/>
      <c r="L44" s="265">
        <f>'11. RTSR - Historical Wholesale'!L43</f>
        <v>191707.29295154184</v>
      </c>
      <c r="M44" s="266">
        <f t="shared" si="13"/>
        <v>1.8018000000000001</v>
      </c>
      <c r="N44" s="267">
        <f t="shared" si="10"/>
        <v>345418.20044008811</v>
      </c>
      <c r="O44" s="203"/>
      <c r="P44" s="248">
        <f t="shared" si="7"/>
        <v>475923.42960660794</v>
      </c>
      <c r="Q44" s="203"/>
    </row>
    <row r="45" spans="2:17" ht="15.75" x14ac:dyDescent="0.25">
      <c r="B45" s="243" t="s">
        <v>130</v>
      </c>
      <c r="C45" s="203"/>
      <c r="D45" s="265">
        <f>'11. RTSR - Historical Wholesale'!D44</f>
        <v>204732.9907120743</v>
      </c>
      <c r="E45" s="266">
        <f t="shared" si="14"/>
        <v>3.4121000000000001</v>
      </c>
      <c r="F45" s="267">
        <f t="shared" si="8"/>
        <v>698569.4376086687</v>
      </c>
      <c r="G45" s="203"/>
      <c r="H45" s="265">
        <f>'11. RTSR - Historical Wholesale'!H44</f>
        <v>188738.39647577092</v>
      </c>
      <c r="I45" s="266">
        <f t="shared" si="12"/>
        <v>0.78790000000000004</v>
      </c>
      <c r="J45" s="267">
        <f t="shared" si="9"/>
        <v>148706.9825832599</v>
      </c>
      <c r="K45" s="203"/>
      <c r="L45" s="265">
        <f>'11. RTSR - Historical Wholesale'!L44</f>
        <v>213299.72363626474</v>
      </c>
      <c r="M45" s="266">
        <f t="shared" si="13"/>
        <v>1.8018000000000001</v>
      </c>
      <c r="N45" s="267">
        <f t="shared" si="10"/>
        <v>384323.44204782182</v>
      </c>
      <c r="O45" s="203"/>
      <c r="P45" s="248">
        <f t="shared" si="7"/>
        <v>533030.42463108175</v>
      </c>
      <c r="Q45" s="203"/>
    </row>
    <row r="46" spans="2:17" ht="15.75" x14ac:dyDescent="0.25">
      <c r="B46" s="243" t="s">
        <v>131</v>
      </c>
      <c r="C46" s="203"/>
      <c r="D46" s="265">
        <f>'11. RTSR - Historical Wholesale'!D45</f>
        <v>213424.959752322</v>
      </c>
      <c r="E46" s="266">
        <f t="shared" si="14"/>
        <v>3.4121000000000001</v>
      </c>
      <c r="F46" s="267">
        <f t="shared" si="8"/>
        <v>728227.30517089798</v>
      </c>
      <c r="G46" s="203"/>
      <c r="H46" s="265">
        <f>'11. RTSR - Historical Wholesale'!H45</f>
        <v>190968.84140969161</v>
      </c>
      <c r="I46" s="266">
        <f t="shared" si="12"/>
        <v>0.78790000000000004</v>
      </c>
      <c r="J46" s="267">
        <f t="shared" si="9"/>
        <v>150464.35014669603</v>
      </c>
      <c r="K46" s="203"/>
      <c r="L46" s="265">
        <f>'11. RTSR - Historical Wholesale'!L45</f>
        <v>217387.77968129655</v>
      </c>
      <c r="M46" s="266">
        <f t="shared" si="13"/>
        <v>1.8018000000000001</v>
      </c>
      <c r="N46" s="267">
        <f t="shared" si="10"/>
        <v>391689.30142976012</v>
      </c>
      <c r="O46" s="203"/>
      <c r="P46" s="248">
        <f t="shared" si="7"/>
        <v>542153.65157645615</v>
      </c>
      <c r="Q46" s="203"/>
    </row>
    <row r="47" spans="2:17" ht="15.75" x14ac:dyDescent="0.25">
      <c r="B47" s="243" t="s">
        <v>132</v>
      </c>
      <c r="C47" s="203"/>
      <c r="D47" s="265">
        <f>'11. RTSR - Historical Wholesale'!D46</f>
        <v>174637.5882352941</v>
      </c>
      <c r="E47" s="266">
        <f t="shared" si="14"/>
        <v>3.4121000000000001</v>
      </c>
      <c r="F47" s="267">
        <f t="shared" si="8"/>
        <v>595880.91481764696</v>
      </c>
      <c r="G47" s="203"/>
      <c r="H47" s="265">
        <f>'11. RTSR - Historical Wholesale'!H46</f>
        <v>182639.75770925111</v>
      </c>
      <c r="I47" s="266">
        <f t="shared" si="12"/>
        <v>0.78790000000000004</v>
      </c>
      <c r="J47" s="267">
        <f t="shared" si="9"/>
        <v>143901.86509911896</v>
      </c>
      <c r="K47" s="203"/>
      <c r="L47" s="265">
        <f>'11. RTSR - Historical Wholesale'!L46</f>
        <v>205793.03548702889</v>
      </c>
      <c r="M47" s="266">
        <f t="shared" si="13"/>
        <v>1.8018000000000001</v>
      </c>
      <c r="N47" s="267">
        <f t="shared" si="10"/>
        <v>370797.89134052867</v>
      </c>
      <c r="O47" s="203"/>
      <c r="P47" s="248">
        <f t="shared" si="7"/>
        <v>514699.75643964764</v>
      </c>
      <c r="Q47" s="203"/>
    </row>
    <row r="48" spans="2:17" ht="15.75" x14ac:dyDescent="0.25">
      <c r="B48" s="243" t="s">
        <v>133</v>
      </c>
      <c r="C48" s="203"/>
      <c r="D48" s="265">
        <f>'11. RTSR - Historical Wholesale'!D47</f>
        <v>188731.26315789475</v>
      </c>
      <c r="E48" s="266">
        <f t="shared" si="14"/>
        <v>3.4121000000000001</v>
      </c>
      <c r="F48" s="267">
        <f t="shared" si="8"/>
        <v>643969.94302105275</v>
      </c>
      <c r="G48" s="203"/>
      <c r="H48" s="265">
        <f>'11. RTSR - Historical Wholesale'!H47</f>
        <v>166409.66960352423</v>
      </c>
      <c r="I48" s="266">
        <f t="shared" si="12"/>
        <v>0.78790000000000004</v>
      </c>
      <c r="J48" s="267">
        <f t="shared" si="9"/>
        <v>131114.17868061675</v>
      </c>
      <c r="K48" s="203"/>
      <c r="L48" s="265">
        <f>'11. RTSR - Historical Wholesale'!L47</f>
        <v>189008.65108500572</v>
      </c>
      <c r="M48" s="266">
        <f t="shared" si="13"/>
        <v>1.8018000000000001</v>
      </c>
      <c r="N48" s="267">
        <f t="shared" si="10"/>
        <v>340555.78752496332</v>
      </c>
      <c r="O48" s="203"/>
      <c r="P48" s="248">
        <f t="shared" si="7"/>
        <v>471669.96620558004</v>
      </c>
      <c r="Q48" s="203"/>
    </row>
    <row r="49" spans="2:17" ht="15.75" x14ac:dyDescent="0.25">
      <c r="B49" s="243" t="s">
        <v>134</v>
      </c>
      <c r="C49" s="203"/>
      <c r="D49" s="265">
        <f>'11. RTSR - Historical Wholesale'!D48</f>
        <v>185233.22910216718</v>
      </c>
      <c r="E49" s="266">
        <f t="shared" si="14"/>
        <v>3.4121000000000001</v>
      </c>
      <c r="F49" s="267">
        <f t="shared" si="8"/>
        <v>632034.30101950467</v>
      </c>
      <c r="G49" s="203"/>
      <c r="H49" s="265">
        <f>'11. RTSR - Historical Wholesale'!H48</f>
        <v>160720.7488986784</v>
      </c>
      <c r="I49" s="266">
        <f t="shared" si="12"/>
        <v>0.78790000000000004</v>
      </c>
      <c r="J49" s="267">
        <f t="shared" si="9"/>
        <v>126631.87805726872</v>
      </c>
      <c r="K49" s="203"/>
      <c r="L49" s="265">
        <f>'11. RTSR - Historical Wholesale'!L48</f>
        <v>185727.89087398705</v>
      </c>
      <c r="M49" s="266">
        <f t="shared" si="13"/>
        <v>1.8018000000000001</v>
      </c>
      <c r="N49" s="267">
        <f t="shared" si="10"/>
        <v>334644.5137767499</v>
      </c>
      <c r="O49" s="203"/>
      <c r="P49" s="248">
        <f t="shared" si="7"/>
        <v>461276.39183401864</v>
      </c>
      <c r="Q49" s="203"/>
    </row>
    <row r="50" spans="2:17" ht="15.75" x14ac:dyDescent="0.25">
      <c r="B50" s="243" t="s">
        <v>135</v>
      </c>
      <c r="C50" s="203"/>
      <c r="D50" s="265">
        <f>'11. RTSR - Historical Wholesale'!D49</f>
        <v>217217.4303405573</v>
      </c>
      <c r="E50" s="266">
        <f t="shared" si="14"/>
        <v>3.4121000000000001</v>
      </c>
      <c r="F50" s="267">
        <f t="shared" si="8"/>
        <v>741167.59406501555</v>
      </c>
      <c r="G50" s="203"/>
      <c r="H50" s="265">
        <f>'11. RTSR - Historical Wholesale'!H49</f>
        <v>191453.65198237885</v>
      </c>
      <c r="I50" s="266">
        <f t="shared" si="12"/>
        <v>0.78790000000000004</v>
      </c>
      <c r="J50" s="267">
        <f t="shared" si="9"/>
        <v>150846.33239691632</v>
      </c>
      <c r="K50" s="203"/>
      <c r="L50" s="265">
        <f>'11. RTSR - Historical Wholesale'!L49</f>
        <v>217217.42976015664</v>
      </c>
      <c r="M50" s="266">
        <f t="shared" si="13"/>
        <v>1.8018000000000001</v>
      </c>
      <c r="N50" s="267">
        <f t="shared" si="10"/>
        <v>391382.36494185025</v>
      </c>
      <c r="O50" s="203"/>
      <c r="P50" s="248">
        <f t="shared" si="7"/>
        <v>542228.69733876653</v>
      </c>
      <c r="Q50" s="203"/>
    </row>
    <row r="51" spans="2:17" x14ac:dyDescent="0.2">
      <c r="B51" s="203"/>
      <c r="C51" s="203"/>
      <c r="D51" s="203"/>
      <c r="E51" s="203"/>
      <c r="F51" s="203"/>
      <c r="G51" s="203"/>
      <c r="H51" s="203"/>
      <c r="I51" s="203"/>
      <c r="J51" s="203"/>
      <c r="K51" s="203"/>
      <c r="L51" s="203"/>
      <c r="M51" s="203"/>
      <c r="N51" s="203"/>
      <c r="O51" s="203"/>
      <c r="P51" s="203"/>
      <c r="Q51" s="203"/>
    </row>
    <row r="52" spans="2:17" ht="19.5" thickBot="1" x14ac:dyDescent="0.35">
      <c r="B52" s="249" t="s">
        <v>24</v>
      </c>
      <c r="C52" s="203"/>
      <c r="D52" s="250">
        <f>SUM(D39:D50)</f>
        <v>2293544.5789473685</v>
      </c>
      <c r="E52" s="251">
        <f>IF(D52&lt;&gt;0,F52/D52,0)</f>
        <v>3.4005604687762903</v>
      </c>
      <c r="F52" s="252">
        <f>SUM(F39:F50)</f>
        <v>7799337.0285445824</v>
      </c>
      <c r="G52" s="203"/>
      <c r="H52" s="250">
        <f>SUM(H39:H50)</f>
        <v>2041544.3171806168</v>
      </c>
      <c r="I52" s="251">
        <f>IF(H52&lt;&gt;0,J52/H52,0)</f>
        <v>0.76539364481962513</v>
      </c>
      <c r="J52" s="252">
        <f>SUM(J39:J50)</f>
        <v>1562585.0459876652</v>
      </c>
      <c r="K52" s="203"/>
      <c r="L52" s="250">
        <f>SUM(L39:L50)</f>
        <v>2345846.0887855552</v>
      </c>
      <c r="M52" s="251">
        <f>IF(L52&lt;&gt;0,N52/L52,0)</f>
        <v>1.7436476907391214</v>
      </c>
      <c r="N52" s="252">
        <f>SUM(N39:N50)</f>
        <v>4090329.1155403331</v>
      </c>
      <c r="O52" s="203"/>
      <c r="P52" s="252">
        <f>SUM(P39:P50)</f>
        <v>5652914.1615279978</v>
      </c>
      <c r="Q52" s="203"/>
    </row>
    <row r="53" spans="2:17" x14ac:dyDescent="0.2">
      <c r="B53" s="203"/>
      <c r="C53" s="203"/>
      <c r="D53" s="203"/>
      <c r="E53" s="203"/>
      <c r="F53" s="203"/>
      <c r="G53" s="203"/>
      <c r="H53" s="203"/>
      <c r="I53" s="203"/>
      <c r="J53" s="203"/>
      <c r="K53" s="203"/>
      <c r="L53" s="203"/>
      <c r="M53" s="203"/>
      <c r="N53" s="203"/>
      <c r="O53" s="203"/>
      <c r="P53" s="203"/>
      <c r="Q53" s="203"/>
    </row>
    <row r="54" spans="2:17" ht="15.75" hidden="1" x14ac:dyDescent="0.2">
      <c r="B54" s="238" t="str">
        <f>'[1]16. RTSR - Historical Wholesale'!B53</f>
        <v>Add Extra Host Here (I)</v>
      </c>
      <c r="C54" s="237"/>
      <c r="D54" s="728" t="s">
        <v>232</v>
      </c>
      <c r="E54" s="728"/>
      <c r="F54" s="728"/>
      <c r="G54" s="237"/>
      <c r="H54" s="728" t="s">
        <v>233</v>
      </c>
      <c r="I54" s="728"/>
      <c r="J54" s="728"/>
      <c r="K54" s="237"/>
      <c r="L54" s="728" t="s">
        <v>234</v>
      </c>
      <c r="M54" s="728"/>
      <c r="N54" s="728"/>
      <c r="O54" s="237"/>
      <c r="P54" s="238" t="s">
        <v>235</v>
      </c>
      <c r="Q54" s="203"/>
    </row>
    <row r="55" spans="2:17" ht="16.5" hidden="1" x14ac:dyDescent="0.3">
      <c r="B55" s="240"/>
      <c r="C55" s="241"/>
      <c r="D55" s="242"/>
      <c r="E55" s="242"/>
      <c r="F55" s="242"/>
      <c r="G55" s="241"/>
      <c r="H55" s="242"/>
      <c r="I55" s="242"/>
      <c r="J55" s="242"/>
      <c r="K55" s="241"/>
      <c r="L55" s="242"/>
      <c r="M55" s="242"/>
      <c r="N55" s="242"/>
      <c r="O55" s="241"/>
      <c r="P55" s="242"/>
      <c r="Q55" s="203"/>
    </row>
    <row r="56" spans="2:17" ht="16.5" hidden="1" x14ac:dyDescent="0.3">
      <c r="B56" s="240" t="s">
        <v>236</v>
      </c>
      <c r="C56" s="241"/>
      <c r="D56" s="242" t="s">
        <v>237</v>
      </c>
      <c r="E56" s="242" t="s">
        <v>188</v>
      </c>
      <c r="F56" s="242" t="s">
        <v>238</v>
      </c>
      <c r="G56" s="241"/>
      <c r="H56" s="242" t="s">
        <v>237</v>
      </c>
      <c r="I56" s="242" t="s">
        <v>188</v>
      </c>
      <c r="J56" s="242" t="s">
        <v>238</v>
      </c>
      <c r="K56" s="241"/>
      <c r="L56" s="242" t="s">
        <v>237</v>
      </c>
      <c r="M56" s="242" t="s">
        <v>188</v>
      </c>
      <c r="N56" s="242" t="s">
        <v>238</v>
      </c>
      <c r="O56" s="241"/>
      <c r="P56" s="242" t="s">
        <v>238</v>
      </c>
      <c r="Q56" s="203"/>
    </row>
    <row r="57" spans="2:17" hidden="1" x14ac:dyDescent="0.2">
      <c r="B57" s="203"/>
      <c r="C57" s="203"/>
      <c r="D57" s="203"/>
      <c r="E57" s="203"/>
      <c r="F57" s="203"/>
      <c r="G57" s="203"/>
      <c r="H57" s="203"/>
      <c r="I57" s="203"/>
      <c r="J57" s="203"/>
      <c r="K57" s="203"/>
      <c r="L57" s="203"/>
      <c r="M57" s="203"/>
      <c r="N57" s="203"/>
      <c r="O57" s="203"/>
      <c r="P57" s="203"/>
      <c r="Q57" s="203"/>
    </row>
    <row r="58" spans="2:17" ht="15.75" hidden="1" x14ac:dyDescent="0.25">
      <c r="B58" s="243" t="s">
        <v>124</v>
      </c>
      <c r="C58" s="203"/>
      <c r="D58" s="265">
        <f>'[1]16. RTSR - Historical Wholesale'!D57</f>
        <v>0</v>
      </c>
      <c r="E58" s="266">
        <f>'[1]15. RTSR - UTRs &amp; Sub-Tx'!G50</f>
        <v>0</v>
      </c>
      <c r="F58" s="267">
        <f>D58*E58</f>
        <v>0</v>
      </c>
      <c r="G58" s="203"/>
      <c r="H58" s="265">
        <f>'[1]16. RTSR - Historical Wholesale'!H57</f>
        <v>0</v>
      </c>
      <c r="I58" s="266">
        <f>'[1]15. RTSR - UTRs &amp; Sub-Tx'!G52</f>
        <v>0</v>
      </c>
      <c r="J58" s="267">
        <f>H58*I58</f>
        <v>0</v>
      </c>
      <c r="K58" s="203"/>
      <c r="L58" s="265">
        <f>'[1]16. RTSR - Historical Wholesale'!L57</f>
        <v>0</v>
      </c>
      <c r="M58" s="266">
        <f>'[1]15. RTSR - UTRs &amp; Sub-Tx'!G54</f>
        <v>0</v>
      </c>
      <c r="N58" s="267">
        <f>L58*M58</f>
        <v>0</v>
      </c>
      <c r="O58" s="203"/>
      <c r="P58" s="248">
        <f t="shared" ref="P58:P69" si="15">J58+N58</f>
        <v>0</v>
      </c>
      <c r="Q58" s="203"/>
    </row>
    <row r="59" spans="2:17" ht="15.75" hidden="1" x14ac:dyDescent="0.25">
      <c r="B59" s="243" t="s">
        <v>125</v>
      </c>
      <c r="C59" s="203"/>
      <c r="D59" s="265">
        <f>'[1]16. RTSR - Historical Wholesale'!D58</f>
        <v>0</v>
      </c>
      <c r="E59" s="266">
        <f>E58</f>
        <v>0</v>
      </c>
      <c r="F59" s="267">
        <f t="shared" ref="F59:F69" si="16">D59*E59</f>
        <v>0</v>
      </c>
      <c r="G59" s="203"/>
      <c r="H59" s="265">
        <f>'[1]16. RTSR - Historical Wholesale'!H58</f>
        <v>0</v>
      </c>
      <c r="I59" s="266">
        <f>I58</f>
        <v>0</v>
      </c>
      <c r="J59" s="267">
        <f t="shared" ref="J59:J69" si="17">H59*I59</f>
        <v>0</v>
      </c>
      <c r="K59" s="203"/>
      <c r="L59" s="265">
        <f>'[1]16. RTSR - Historical Wholesale'!L58</f>
        <v>0</v>
      </c>
      <c r="M59" s="266">
        <f>M58</f>
        <v>0</v>
      </c>
      <c r="N59" s="267">
        <f t="shared" ref="N59:N69" si="18">L59*M59</f>
        <v>0</v>
      </c>
      <c r="O59" s="203"/>
      <c r="P59" s="248">
        <f t="shared" si="15"/>
        <v>0</v>
      </c>
      <c r="Q59" s="203"/>
    </row>
    <row r="60" spans="2:17" ht="15.75" hidden="1" x14ac:dyDescent="0.25">
      <c r="B60" s="243" t="s">
        <v>126</v>
      </c>
      <c r="C60" s="203"/>
      <c r="D60" s="265">
        <f>'[1]16. RTSR - Historical Wholesale'!D59</f>
        <v>0</v>
      </c>
      <c r="E60" s="266">
        <f t="shared" ref="E60:E69" si="19">E59</f>
        <v>0</v>
      </c>
      <c r="F60" s="267">
        <f t="shared" si="16"/>
        <v>0</v>
      </c>
      <c r="G60" s="203"/>
      <c r="H60" s="265">
        <f>'[1]16. RTSR - Historical Wholesale'!H59</f>
        <v>0</v>
      </c>
      <c r="I60" s="266">
        <f t="shared" ref="I60:I69" si="20">I59</f>
        <v>0</v>
      </c>
      <c r="J60" s="267">
        <f t="shared" si="17"/>
        <v>0</v>
      </c>
      <c r="K60" s="203"/>
      <c r="L60" s="265">
        <f>'[1]16. RTSR - Historical Wholesale'!L59</f>
        <v>0</v>
      </c>
      <c r="M60" s="266">
        <f>M59</f>
        <v>0</v>
      </c>
      <c r="N60" s="267">
        <f t="shared" si="18"/>
        <v>0</v>
      </c>
      <c r="O60" s="203"/>
      <c r="P60" s="248">
        <f t="shared" si="15"/>
        <v>0</v>
      </c>
      <c r="Q60" s="203"/>
    </row>
    <row r="61" spans="2:17" ht="15.75" hidden="1" x14ac:dyDescent="0.25">
      <c r="B61" s="243" t="s">
        <v>127</v>
      </c>
      <c r="C61" s="203"/>
      <c r="D61" s="265">
        <f>'[1]16. RTSR - Historical Wholesale'!D60</f>
        <v>0</v>
      </c>
      <c r="E61" s="266">
        <f t="shared" si="19"/>
        <v>0</v>
      </c>
      <c r="F61" s="267">
        <f t="shared" si="16"/>
        <v>0</v>
      </c>
      <c r="G61" s="203"/>
      <c r="H61" s="265">
        <f>'[1]16. RTSR - Historical Wholesale'!H60</f>
        <v>0</v>
      </c>
      <c r="I61" s="266">
        <f t="shared" si="20"/>
        <v>0</v>
      </c>
      <c r="J61" s="267">
        <f t="shared" si="17"/>
        <v>0</v>
      </c>
      <c r="K61" s="203"/>
      <c r="L61" s="265">
        <f>'[1]16. RTSR - Historical Wholesale'!L60</f>
        <v>0</v>
      </c>
      <c r="M61" s="266">
        <f t="shared" ref="M61:M69" si="21">M60</f>
        <v>0</v>
      </c>
      <c r="N61" s="267">
        <f t="shared" si="18"/>
        <v>0</v>
      </c>
      <c r="O61" s="203"/>
      <c r="P61" s="248">
        <f t="shared" si="15"/>
        <v>0</v>
      </c>
      <c r="Q61" s="203"/>
    </row>
    <row r="62" spans="2:17" ht="15.75" hidden="1" x14ac:dyDescent="0.25">
      <c r="B62" s="243" t="s">
        <v>128</v>
      </c>
      <c r="C62" s="203"/>
      <c r="D62" s="265">
        <f>'[1]16. RTSR - Historical Wholesale'!D61</f>
        <v>0</v>
      </c>
      <c r="E62" s="266">
        <f t="shared" si="19"/>
        <v>0</v>
      </c>
      <c r="F62" s="267">
        <f t="shared" si="16"/>
        <v>0</v>
      </c>
      <c r="G62" s="203"/>
      <c r="H62" s="265">
        <f>'[1]16. RTSR - Historical Wholesale'!H61</f>
        <v>0</v>
      </c>
      <c r="I62" s="266">
        <f t="shared" si="20"/>
        <v>0</v>
      </c>
      <c r="J62" s="267">
        <f t="shared" si="17"/>
        <v>0</v>
      </c>
      <c r="K62" s="203"/>
      <c r="L62" s="265">
        <f>'[1]16. RTSR - Historical Wholesale'!L61</f>
        <v>0</v>
      </c>
      <c r="M62" s="266">
        <f t="shared" si="21"/>
        <v>0</v>
      </c>
      <c r="N62" s="267">
        <f t="shared" si="18"/>
        <v>0</v>
      </c>
      <c r="O62" s="203"/>
      <c r="P62" s="248">
        <f t="shared" si="15"/>
        <v>0</v>
      </c>
      <c r="Q62" s="203"/>
    </row>
    <row r="63" spans="2:17" ht="15.75" hidden="1" x14ac:dyDescent="0.25">
      <c r="B63" s="243" t="s">
        <v>129</v>
      </c>
      <c r="C63" s="203"/>
      <c r="D63" s="265">
        <f>'[1]16. RTSR - Historical Wholesale'!D62</f>
        <v>0</v>
      </c>
      <c r="E63" s="266">
        <f t="shared" si="19"/>
        <v>0</v>
      </c>
      <c r="F63" s="267">
        <f t="shared" si="16"/>
        <v>0</v>
      </c>
      <c r="G63" s="203"/>
      <c r="H63" s="265">
        <f>'[1]16. RTSR - Historical Wholesale'!H62</f>
        <v>0</v>
      </c>
      <c r="I63" s="266">
        <f t="shared" si="20"/>
        <v>0</v>
      </c>
      <c r="J63" s="267">
        <f t="shared" si="17"/>
        <v>0</v>
      </c>
      <c r="K63" s="203"/>
      <c r="L63" s="265">
        <f>'[1]16. RTSR - Historical Wholesale'!L62</f>
        <v>0</v>
      </c>
      <c r="M63" s="266">
        <f t="shared" si="21"/>
        <v>0</v>
      </c>
      <c r="N63" s="267">
        <f t="shared" si="18"/>
        <v>0</v>
      </c>
      <c r="O63" s="203"/>
      <c r="P63" s="248">
        <f t="shared" si="15"/>
        <v>0</v>
      </c>
      <c r="Q63" s="203"/>
    </row>
    <row r="64" spans="2:17" ht="15.75" hidden="1" x14ac:dyDescent="0.25">
      <c r="B64" s="243" t="s">
        <v>130</v>
      </c>
      <c r="C64" s="203"/>
      <c r="D64" s="265">
        <f>'[1]16. RTSR - Historical Wholesale'!D63</f>
        <v>0</v>
      </c>
      <c r="E64" s="266">
        <f t="shared" si="19"/>
        <v>0</v>
      </c>
      <c r="F64" s="267">
        <f t="shared" si="16"/>
        <v>0</v>
      </c>
      <c r="G64" s="203"/>
      <c r="H64" s="265">
        <f>'[1]16. RTSR - Historical Wholesale'!H63</f>
        <v>0</v>
      </c>
      <c r="I64" s="266">
        <f t="shared" si="20"/>
        <v>0</v>
      </c>
      <c r="J64" s="267">
        <f t="shared" si="17"/>
        <v>0</v>
      </c>
      <c r="K64" s="203"/>
      <c r="L64" s="265">
        <f>'[1]16. RTSR - Historical Wholesale'!L63</f>
        <v>0</v>
      </c>
      <c r="M64" s="266">
        <f t="shared" si="21"/>
        <v>0</v>
      </c>
      <c r="N64" s="267">
        <f t="shared" si="18"/>
        <v>0</v>
      </c>
      <c r="O64" s="203"/>
      <c r="P64" s="248">
        <f t="shared" si="15"/>
        <v>0</v>
      </c>
      <c r="Q64" s="203"/>
    </row>
    <row r="65" spans="2:17" ht="15.75" hidden="1" x14ac:dyDescent="0.25">
      <c r="B65" s="243" t="s">
        <v>131</v>
      </c>
      <c r="C65" s="203"/>
      <c r="D65" s="265">
        <f>'[1]16. RTSR - Historical Wholesale'!D64</f>
        <v>0</v>
      </c>
      <c r="E65" s="266">
        <f t="shared" si="19"/>
        <v>0</v>
      </c>
      <c r="F65" s="267">
        <f t="shared" si="16"/>
        <v>0</v>
      </c>
      <c r="G65" s="203"/>
      <c r="H65" s="265">
        <f>'[1]16. RTSR - Historical Wholesale'!H64</f>
        <v>0</v>
      </c>
      <c r="I65" s="266">
        <f t="shared" si="20"/>
        <v>0</v>
      </c>
      <c r="J65" s="267">
        <f t="shared" si="17"/>
        <v>0</v>
      </c>
      <c r="K65" s="203"/>
      <c r="L65" s="265">
        <f>'[1]16. RTSR - Historical Wholesale'!L64</f>
        <v>0</v>
      </c>
      <c r="M65" s="266">
        <f t="shared" si="21"/>
        <v>0</v>
      </c>
      <c r="N65" s="267">
        <f t="shared" si="18"/>
        <v>0</v>
      </c>
      <c r="O65" s="203"/>
      <c r="P65" s="248">
        <f t="shared" si="15"/>
        <v>0</v>
      </c>
      <c r="Q65" s="203"/>
    </row>
    <row r="66" spans="2:17" ht="15.75" hidden="1" x14ac:dyDescent="0.25">
      <c r="B66" s="243" t="s">
        <v>132</v>
      </c>
      <c r="C66" s="203"/>
      <c r="D66" s="265">
        <f>'[1]16. RTSR - Historical Wholesale'!D65</f>
        <v>0</v>
      </c>
      <c r="E66" s="266">
        <f t="shared" si="19"/>
        <v>0</v>
      </c>
      <c r="F66" s="267">
        <f t="shared" si="16"/>
        <v>0</v>
      </c>
      <c r="G66" s="203"/>
      <c r="H66" s="265">
        <f>'[1]16. RTSR - Historical Wholesale'!H65</f>
        <v>0</v>
      </c>
      <c r="I66" s="266">
        <f t="shared" si="20"/>
        <v>0</v>
      </c>
      <c r="J66" s="267">
        <f t="shared" si="17"/>
        <v>0</v>
      </c>
      <c r="K66" s="203"/>
      <c r="L66" s="265">
        <f>'[1]16. RTSR - Historical Wholesale'!L65</f>
        <v>0</v>
      </c>
      <c r="M66" s="266">
        <f t="shared" si="21"/>
        <v>0</v>
      </c>
      <c r="N66" s="267">
        <f t="shared" si="18"/>
        <v>0</v>
      </c>
      <c r="O66" s="203"/>
      <c r="P66" s="248">
        <f t="shared" si="15"/>
        <v>0</v>
      </c>
      <c r="Q66" s="203"/>
    </row>
    <row r="67" spans="2:17" ht="15.75" hidden="1" x14ac:dyDescent="0.25">
      <c r="B67" s="243" t="s">
        <v>133</v>
      </c>
      <c r="C67" s="203"/>
      <c r="D67" s="265">
        <f>'[1]16. RTSR - Historical Wholesale'!D66</f>
        <v>0</v>
      </c>
      <c r="E67" s="266">
        <f t="shared" si="19"/>
        <v>0</v>
      </c>
      <c r="F67" s="267">
        <f t="shared" si="16"/>
        <v>0</v>
      </c>
      <c r="G67" s="203"/>
      <c r="H67" s="265">
        <f>'[1]16. RTSR - Historical Wholesale'!H66</f>
        <v>0</v>
      </c>
      <c r="I67" s="266">
        <f t="shared" si="20"/>
        <v>0</v>
      </c>
      <c r="J67" s="267">
        <f t="shared" si="17"/>
        <v>0</v>
      </c>
      <c r="K67" s="203"/>
      <c r="L67" s="265">
        <f>'[1]16. RTSR - Historical Wholesale'!L66</f>
        <v>0</v>
      </c>
      <c r="M67" s="266">
        <f t="shared" si="21"/>
        <v>0</v>
      </c>
      <c r="N67" s="267">
        <f t="shared" si="18"/>
        <v>0</v>
      </c>
      <c r="O67" s="203"/>
      <c r="P67" s="248">
        <f t="shared" si="15"/>
        <v>0</v>
      </c>
      <c r="Q67" s="203"/>
    </row>
    <row r="68" spans="2:17" ht="15.75" hidden="1" x14ac:dyDescent="0.25">
      <c r="B68" s="243" t="s">
        <v>134</v>
      </c>
      <c r="C68" s="203"/>
      <c r="D68" s="265">
        <f>'[1]16. RTSR - Historical Wholesale'!D67</f>
        <v>0</v>
      </c>
      <c r="E68" s="266">
        <f t="shared" si="19"/>
        <v>0</v>
      </c>
      <c r="F68" s="267">
        <f t="shared" si="16"/>
        <v>0</v>
      </c>
      <c r="G68" s="203"/>
      <c r="H68" s="265">
        <f>'[1]16. RTSR - Historical Wholesale'!H67</f>
        <v>0</v>
      </c>
      <c r="I68" s="266">
        <f t="shared" si="20"/>
        <v>0</v>
      </c>
      <c r="J68" s="267">
        <f t="shared" si="17"/>
        <v>0</v>
      </c>
      <c r="K68" s="203"/>
      <c r="L68" s="265">
        <f>'[1]16. RTSR - Historical Wholesale'!L67</f>
        <v>0</v>
      </c>
      <c r="M68" s="266">
        <f t="shared" si="21"/>
        <v>0</v>
      </c>
      <c r="N68" s="267">
        <f t="shared" si="18"/>
        <v>0</v>
      </c>
      <c r="O68" s="203"/>
      <c r="P68" s="248">
        <f t="shared" si="15"/>
        <v>0</v>
      </c>
      <c r="Q68" s="203"/>
    </row>
    <row r="69" spans="2:17" ht="15.75" hidden="1" x14ac:dyDescent="0.25">
      <c r="B69" s="243" t="s">
        <v>135</v>
      </c>
      <c r="C69" s="203"/>
      <c r="D69" s="265">
        <f>'[1]16. RTSR - Historical Wholesale'!D68</f>
        <v>0</v>
      </c>
      <c r="E69" s="266">
        <f t="shared" si="19"/>
        <v>0</v>
      </c>
      <c r="F69" s="267">
        <f t="shared" si="16"/>
        <v>0</v>
      </c>
      <c r="G69" s="203"/>
      <c r="H69" s="265">
        <f>'[1]16. RTSR - Historical Wholesale'!H68</f>
        <v>0</v>
      </c>
      <c r="I69" s="266">
        <f t="shared" si="20"/>
        <v>0</v>
      </c>
      <c r="J69" s="267">
        <f t="shared" si="17"/>
        <v>0</v>
      </c>
      <c r="K69" s="203"/>
      <c r="L69" s="265">
        <f>'[1]16. RTSR - Historical Wholesale'!L68</f>
        <v>0</v>
      </c>
      <c r="M69" s="266">
        <f t="shared" si="21"/>
        <v>0</v>
      </c>
      <c r="N69" s="267">
        <f t="shared" si="18"/>
        <v>0</v>
      </c>
      <c r="O69" s="203"/>
      <c r="P69" s="248">
        <f t="shared" si="15"/>
        <v>0</v>
      </c>
      <c r="Q69" s="203"/>
    </row>
    <row r="70" spans="2:17" hidden="1" x14ac:dyDescent="0.2">
      <c r="B70" s="203"/>
      <c r="C70" s="203"/>
      <c r="D70" s="203"/>
      <c r="E70" s="203"/>
      <c r="F70" s="203"/>
      <c r="G70" s="203"/>
      <c r="H70" s="203"/>
      <c r="I70" s="203"/>
      <c r="J70" s="203"/>
      <c r="K70" s="203"/>
      <c r="L70" s="203"/>
      <c r="M70" s="203"/>
      <c r="N70" s="203"/>
      <c r="O70" s="203"/>
      <c r="P70" s="203"/>
      <c r="Q70" s="203"/>
    </row>
    <row r="71" spans="2:17" ht="19.5" hidden="1" thickBot="1" x14ac:dyDescent="0.35">
      <c r="B71" s="249" t="s">
        <v>24</v>
      </c>
      <c r="C71" s="203"/>
      <c r="D71" s="250">
        <f>SUM(D58:D69)</f>
        <v>0</v>
      </c>
      <c r="E71" s="251">
        <f>IF(D71&lt;&gt;0,F71/D71,0)</f>
        <v>0</v>
      </c>
      <c r="F71" s="252">
        <f>SUM(F58:F69)</f>
        <v>0</v>
      </c>
      <c r="G71" s="203"/>
      <c r="H71" s="250">
        <f>SUM(H58:H69)</f>
        <v>0</v>
      </c>
      <c r="I71" s="251">
        <f>IF(H71&lt;&gt;0,J71/H71,0)</f>
        <v>0</v>
      </c>
      <c r="J71" s="252">
        <f>SUM(J58:J69)</f>
        <v>0</v>
      </c>
      <c r="K71" s="203"/>
      <c r="L71" s="250">
        <f>SUM(L58:L69)</f>
        <v>0</v>
      </c>
      <c r="M71" s="251">
        <f>IF(L71&lt;&gt;0,N71/L71,0)</f>
        <v>0</v>
      </c>
      <c r="N71" s="252">
        <f>SUM(N58:N69)</f>
        <v>0</v>
      </c>
      <c r="O71" s="203"/>
      <c r="P71" s="252">
        <f>SUM(P58:P69)</f>
        <v>0</v>
      </c>
      <c r="Q71" s="203"/>
    </row>
    <row r="72" spans="2:17" hidden="1" x14ac:dyDescent="0.2">
      <c r="B72" s="203"/>
      <c r="C72" s="203"/>
      <c r="D72" s="203"/>
      <c r="E72" s="203"/>
      <c r="F72" s="203"/>
      <c r="G72" s="203"/>
      <c r="H72" s="203"/>
      <c r="I72" s="203"/>
      <c r="J72" s="203"/>
      <c r="K72" s="203"/>
      <c r="L72" s="203"/>
      <c r="M72" s="203"/>
      <c r="N72" s="203"/>
      <c r="O72" s="203"/>
      <c r="P72" s="203"/>
      <c r="Q72" s="203"/>
    </row>
    <row r="73" spans="2:17" ht="15.75" hidden="1" x14ac:dyDescent="0.2">
      <c r="B73" s="238" t="str">
        <f>'[1]16. RTSR - Historical Wholesale'!B72</f>
        <v>Add Extra Host Here (II)</v>
      </c>
      <c r="C73" s="237"/>
      <c r="D73" s="728" t="s">
        <v>232</v>
      </c>
      <c r="E73" s="728"/>
      <c r="F73" s="728"/>
      <c r="G73" s="237"/>
      <c r="H73" s="728" t="s">
        <v>233</v>
      </c>
      <c r="I73" s="728"/>
      <c r="J73" s="728"/>
      <c r="K73" s="237"/>
      <c r="L73" s="728" t="s">
        <v>234</v>
      </c>
      <c r="M73" s="728"/>
      <c r="N73" s="728"/>
      <c r="O73" s="237"/>
      <c r="P73" s="238" t="s">
        <v>235</v>
      </c>
      <c r="Q73" s="203"/>
    </row>
    <row r="74" spans="2:17" ht="16.5" hidden="1" x14ac:dyDescent="0.3">
      <c r="B74" s="240"/>
      <c r="C74" s="241"/>
      <c r="D74" s="242"/>
      <c r="E74" s="242"/>
      <c r="F74" s="242"/>
      <c r="G74" s="241"/>
      <c r="H74" s="242"/>
      <c r="I74" s="242"/>
      <c r="J74" s="242"/>
      <c r="K74" s="241"/>
      <c r="L74" s="242"/>
      <c r="M74" s="242"/>
      <c r="N74" s="242"/>
      <c r="O74" s="241"/>
      <c r="P74" s="242"/>
      <c r="Q74" s="203"/>
    </row>
    <row r="75" spans="2:17" ht="16.5" hidden="1" x14ac:dyDescent="0.3">
      <c r="B75" s="240" t="s">
        <v>236</v>
      </c>
      <c r="C75" s="241"/>
      <c r="D75" s="242" t="s">
        <v>237</v>
      </c>
      <c r="E75" s="242" t="s">
        <v>188</v>
      </c>
      <c r="F75" s="242" t="s">
        <v>238</v>
      </c>
      <c r="G75" s="241"/>
      <c r="H75" s="242" t="s">
        <v>237</v>
      </c>
      <c r="I75" s="242" t="s">
        <v>188</v>
      </c>
      <c r="J75" s="242" t="s">
        <v>238</v>
      </c>
      <c r="K75" s="241"/>
      <c r="L75" s="242" t="s">
        <v>237</v>
      </c>
      <c r="M75" s="242" t="s">
        <v>188</v>
      </c>
      <c r="N75" s="242" t="s">
        <v>238</v>
      </c>
      <c r="O75" s="241"/>
      <c r="P75" s="242" t="s">
        <v>238</v>
      </c>
      <c r="Q75" s="203"/>
    </row>
    <row r="76" spans="2:17" hidden="1" x14ac:dyDescent="0.2">
      <c r="B76" s="203"/>
      <c r="C76" s="203"/>
      <c r="D76" s="203"/>
      <c r="E76" s="203"/>
      <c r="F76" s="203"/>
      <c r="G76" s="203"/>
      <c r="H76" s="203"/>
      <c r="I76" s="203"/>
      <c r="J76" s="203"/>
      <c r="K76" s="203"/>
      <c r="L76" s="203"/>
      <c r="M76" s="203"/>
      <c r="N76" s="203"/>
      <c r="O76" s="203"/>
      <c r="P76" s="203"/>
      <c r="Q76" s="203"/>
    </row>
    <row r="77" spans="2:17" ht="15.75" hidden="1" x14ac:dyDescent="0.25">
      <c r="B77" s="243" t="s">
        <v>124</v>
      </c>
      <c r="C77" s="203"/>
      <c r="D77" s="265">
        <f>'[1]16. RTSR - Historical Wholesale'!D76</f>
        <v>0</v>
      </c>
      <c r="E77" s="266">
        <f>'[1]15. RTSR - UTRs &amp; Sub-Tx'!G65</f>
        <v>0</v>
      </c>
      <c r="F77" s="267">
        <f>D77*E77</f>
        <v>0</v>
      </c>
      <c r="G77" s="203"/>
      <c r="H77" s="265">
        <f>'[1]16. RTSR - Historical Wholesale'!H76</f>
        <v>0</v>
      </c>
      <c r="I77" s="266">
        <f>'[1]15. RTSR - UTRs &amp; Sub-Tx'!G67</f>
        <v>0</v>
      </c>
      <c r="J77" s="267">
        <f>H77*I77</f>
        <v>0</v>
      </c>
      <c r="K77" s="203"/>
      <c r="L77" s="265">
        <f>'[1]16. RTSR - Historical Wholesale'!L76</f>
        <v>0</v>
      </c>
      <c r="M77" s="266">
        <f>'[1]15. RTSR - UTRs &amp; Sub-Tx'!G69</f>
        <v>0</v>
      </c>
      <c r="N77" s="267">
        <f>L77*M77</f>
        <v>0</v>
      </c>
      <c r="O77" s="203"/>
      <c r="P77" s="248">
        <f t="shared" ref="P77:P88" si="22">J77+N77</f>
        <v>0</v>
      </c>
      <c r="Q77" s="203"/>
    </row>
    <row r="78" spans="2:17" ht="15.75" hidden="1" x14ac:dyDescent="0.25">
      <c r="B78" s="243" t="s">
        <v>125</v>
      </c>
      <c r="C78" s="203"/>
      <c r="D78" s="265">
        <f>'[1]16. RTSR - Historical Wholesale'!D77</f>
        <v>0</v>
      </c>
      <c r="E78" s="266">
        <f>E77</f>
        <v>0</v>
      </c>
      <c r="F78" s="267">
        <f t="shared" ref="F78:F88" si="23">D78*E78</f>
        <v>0</v>
      </c>
      <c r="G78" s="203"/>
      <c r="H78" s="265">
        <f>'[1]16. RTSR - Historical Wholesale'!H77</f>
        <v>0</v>
      </c>
      <c r="I78" s="266">
        <f>I77</f>
        <v>0</v>
      </c>
      <c r="J78" s="267">
        <f t="shared" ref="J78:J88" si="24">H78*I78</f>
        <v>0</v>
      </c>
      <c r="K78" s="203"/>
      <c r="L78" s="265">
        <f>'[1]16. RTSR - Historical Wholesale'!L77</f>
        <v>0</v>
      </c>
      <c r="M78" s="266">
        <f>M77</f>
        <v>0</v>
      </c>
      <c r="N78" s="267">
        <f t="shared" ref="N78:N88" si="25">L78*M78</f>
        <v>0</v>
      </c>
      <c r="O78" s="203"/>
      <c r="P78" s="248">
        <f t="shared" si="22"/>
        <v>0</v>
      </c>
      <c r="Q78" s="203"/>
    </row>
    <row r="79" spans="2:17" ht="15.75" hidden="1" x14ac:dyDescent="0.25">
      <c r="B79" s="243" t="s">
        <v>126</v>
      </c>
      <c r="C79" s="203"/>
      <c r="D79" s="265">
        <f>'[1]16. RTSR - Historical Wholesale'!D78</f>
        <v>0</v>
      </c>
      <c r="E79" s="266">
        <f t="shared" ref="E79:E88" si="26">E78</f>
        <v>0</v>
      </c>
      <c r="F79" s="267">
        <f t="shared" si="23"/>
        <v>0</v>
      </c>
      <c r="G79" s="203"/>
      <c r="H79" s="265">
        <f>'[1]16. RTSR - Historical Wholesale'!H78</f>
        <v>0</v>
      </c>
      <c r="I79" s="266">
        <f t="shared" ref="I79:I88" si="27">I78</f>
        <v>0</v>
      </c>
      <c r="J79" s="267">
        <f t="shared" si="24"/>
        <v>0</v>
      </c>
      <c r="K79" s="203"/>
      <c r="L79" s="265">
        <f>'[1]16. RTSR - Historical Wholesale'!L78</f>
        <v>0</v>
      </c>
      <c r="M79" s="266">
        <f>M78</f>
        <v>0</v>
      </c>
      <c r="N79" s="267">
        <f t="shared" si="25"/>
        <v>0</v>
      </c>
      <c r="O79" s="203"/>
      <c r="P79" s="248">
        <f t="shared" si="22"/>
        <v>0</v>
      </c>
      <c r="Q79" s="203"/>
    </row>
    <row r="80" spans="2:17" ht="15.75" hidden="1" x14ac:dyDescent="0.25">
      <c r="B80" s="243" t="s">
        <v>127</v>
      </c>
      <c r="C80" s="203"/>
      <c r="D80" s="265">
        <f>'[1]16. RTSR - Historical Wholesale'!D79</f>
        <v>0</v>
      </c>
      <c r="E80" s="266">
        <f t="shared" si="26"/>
        <v>0</v>
      </c>
      <c r="F80" s="267">
        <f t="shared" si="23"/>
        <v>0</v>
      </c>
      <c r="G80" s="203"/>
      <c r="H80" s="265">
        <f>'[1]16. RTSR - Historical Wholesale'!H79</f>
        <v>0</v>
      </c>
      <c r="I80" s="266">
        <f t="shared" si="27"/>
        <v>0</v>
      </c>
      <c r="J80" s="267">
        <f t="shared" si="24"/>
        <v>0</v>
      </c>
      <c r="K80" s="203"/>
      <c r="L80" s="265">
        <f>'[1]16. RTSR - Historical Wholesale'!L79</f>
        <v>0</v>
      </c>
      <c r="M80" s="266">
        <f t="shared" ref="M80:M88" si="28">M79</f>
        <v>0</v>
      </c>
      <c r="N80" s="267">
        <f t="shared" si="25"/>
        <v>0</v>
      </c>
      <c r="O80" s="203"/>
      <c r="P80" s="248">
        <f t="shared" si="22"/>
        <v>0</v>
      </c>
      <c r="Q80" s="203"/>
    </row>
    <row r="81" spans="2:17" ht="15.75" hidden="1" x14ac:dyDescent="0.25">
      <c r="B81" s="243" t="s">
        <v>128</v>
      </c>
      <c r="C81" s="203"/>
      <c r="D81" s="265">
        <f>'[1]16. RTSR - Historical Wholesale'!D80</f>
        <v>0</v>
      </c>
      <c r="E81" s="266">
        <f t="shared" si="26"/>
        <v>0</v>
      </c>
      <c r="F81" s="267">
        <f t="shared" si="23"/>
        <v>0</v>
      </c>
      <c r="G81" s="203"/>
      <c r="H81" s="265">
        <f>'[1]16. RTSR - Historical Wholesale'!H80</f>
        <v>0</v>
      </c>
      <c r="I81" s="266">
        <f t="shared" si="27"/>
        <v>0</v>
      </c>
      <c r="J81" s="267">
        <f t="shared" si="24"/>
        <v>0</v>
      </c>
      <c r="K81" s="203"/>
      <c r="L81" s="265">
        <f>'[1]16. RTSR - Historical Wholesale'!L80</f>
        <v>0</v>
      </c>
      <c r="M81" s="266">
        <f t="shared" si="28"/>
        <v>0</v>
      </c>
      <c r="N81" s="267">
        <f t="shared" si="25"/>
        <v>0</v>
      </c>
      <c r="O81" s="203"/>
      <c r="P81" s="248">
        <f t="shared" si="22"/>
        <v>0</v>
      </c>
      <c r="Q81" s="203"/>
    </row>
    <row r="82" spans="2:17" ht="15.75" hidden="1" x14ac:dyDescent="0.25">
      <c r="B82" s="243" t="s">
        <v>129</v>
      </c>
      <c r="C82" s="203"/>
      <c r="D82" s="265">
        <f>'[1]16. RTSR - Historical Wholesale'!D81</f>
        <v>0</v>
      </c>
      <c r="E82" s="266">
        <f t="shared" si="26"/>
        <v>0</v>
      </c>
      <c r="F82" s="267">
        <f t="shared" si="23"/>
        <v>0</v>
      </c>
      <c r="G82" s="203"/>
      <c r="H82" s="265">
        <f>'[1]16. RTSR - Historical Wholesale'!H81</f>
        <v>0</v>
      </c>
      <c r="I82" s="266">
        <f t="shared" si="27"/>
        <v>0</v>
      </c>
      <c r="J82" s="267">
        <f t="shared" si="24"/>
        <v>0</v>
      </c>
      <c r="K82" s="203"/>
      <c r="L82" s="265">
        <f>'[1]16. RTSR - Historical Wholesale'!L81</f>
        <v>0</v>
      </c>
      <c r="M82" s="266">
        <f t="shared" si="28"/>
        <v>0</v>
      </c>
      <c r="N82" s="267">
        <f t="shared" si="25"/>
        <v>0</v>
      </c>
      <c r="O82" s="203"/>
      <c r="P82" s="248">
        <f t="shared" si="22"/>
        <v>0</v>
      </c>
      <c r="Q82" s="203"/>
    </row>
    <row r="83" spans="2:17" ht="15.75" hidden="1" x14ac:dyDescent="0.25">
      <c r="B83" s="243" t="s">
        <v>130</v>
      </c>
      <c r="C83" s="203"/>
      <c r="D83" s="265">
        <f>'[1]16. RTSR - Historical Wholesale'!D82</f>
        <v>0</v>
      </c>
      <c r="E83" s="266">
        <f t="shared" si="26"/>
        <v>0</v>
      </c>
      <c r="F83" s="267">
        <f t="shared" si="23"/>
        <v>0</v>
      </c>
      <c r="G83" s="203"/>
      <c r="H83" s="265">
        <f>'[1]16. RTSR - Historical Wholesale'!H82</f>
        <v>0</v>
      </c>
      <c r="I83" s="266">
        <f t="shared" si="27"/>
        <v>0</v>
      </c>
      <c r="J83" s="267">
        <f t="shared" si="24"/>
        <v>0</v>
      </c>
      <c r="K83" s="203"/>
      <c r="L83" s="265">
        <f>'[1]16. RTSR - Historical Wholesale'!L82</f>
        <v>0</v>
      </c>
      <c r="M83" s="266">
        <f t="shared" si="28"/>
        <v>0</v>
      </c>
      <c r="N83" s="267">
        <f t="shared" si="25"/>
        <v>0</v>
      </c>
      <c r="O83" s="203"/>
      <c r="P83" s="248">
        <f t="shared" si="22"/>
        <v>0</v>
      </c>
      <c r="Q83" s="203"/>
    </row>
    <row r="84" spans="2:17" ht="15.75" hidden="1" x14ac:dyDescent="0.25">
      <c r="B84" s="243" t="s">
        <v>131</v>
      </c>
      <c r="C84" s="203"/>
      <c r="D84" s="265">
        <f>'[1]16. RTSR - Historical Wholesale'!D83</f>
        <v>0</v>
      </c>
      <c r="E84" s="266">
        <f t="shared" si="26"/>
        <v>0</v>
      </c>
      <c r="F84" s="267">
        <f t="shared" si="23"/>
        <v>0</v>
      </c>
      <c r="G84" s="203"/>
      <c r="H84" s="265">
        <f>'[1]16. RTSR - Historical Wholesale'!H83</f>
        <v>0</v>
      </c>
      <c r="I84" s="266">
        <f t="shared" si="27"/>
        <v>0</v>
      </c>
      <c r="J84" s="267">
        <f t="shared" si="24"/>
        <v>0</v>
      </c>
      <c r="K84" s="203"/>
      <c r="L84" s="265">
        <f>'[1]16. RTSR - Historical Wholesale'!L83</f>
        <v>0</v>
      </c>
      <c r="M84" s="266">
        <f t="shared" si="28"/>
        <v>0</v>
      </c>
      <c r="N84" s="267">
        <f t="shared" si="25"/>
        <v>0</v>
      </c>
      <c r="O84" s="203"/>
      <c r="P84" s="248">
        <f t="shared" si="22"/>
        <v>0</v>
      </c>
      <c r="Q84" s="203"/>
    </row>
    <row r="85" spans="2:17" ht="15.75" hidden="1" x14ac:dyDescent="0.25">
      <c r="B85" s="243" t="s">
        <v>132</v>
      </c>
      <c r="C85" s="203"/>
      <c r="D85" s="265">
        <f>'[1]16. RTSR - Historical Wholesale'!D84</f>
        <v>0</v>
      </c>
      <c r="E85" s="266">
        <f t="shared" si="26"/>
        <v>0</v>
      </c>
      <c r="F85" s="267">
        <f t="shared" si="23"/>
        <v>0</v>
      </c>
      <c r="G85" s="203"/>
      <c r="H85" s="265">
        <f>'[1]16. RTSR - Historical Wholesale'!H84</f>
        <v>0</v>
      </c>
      <c r="I85" s="266">
        <f t="shared" si="27"/>
        <v>0</v>
      </c>
      <c r="J85" s="267">
        <f t="shared" si="24"/>
        <v>0</v>
      </c>
      <c r="K85" s="203"/>
      <c r="L85" s="265">
        <f>'[1]16. RTSR - Historical Wholesale'!L84</f>
        <v>0</v>
      </c>
      <c r="M85" s="266">
        <f t="shared" si="28"/>
        <v>0</v>
      </c>
      <c r="N85" s="267">
        <f t="shared" si="25"/>
        <v>0</v>
      </c>
      <c r="O85" s="203"/>
      <c r="P85" s="248">
        <f t="shared" si="22"/>
        <v>0</v>
      </c>
      <c r="Q85" s="203"/>
    </row>
    <row r="86" spans="2:17" ht="15.75" hidden="1" x14ac:dyDescent="0.25">
      <c r="B86" s="243" t="s">
        <v>133</v>
      </c>
      <c r="C86" s="203"/>
      <c r="D86" s="265">
        <f>'[1]16. RTSR - Historical Wholesale'!D85</f>
        <v>0</v>
      </c>
      <c r="E86" s="266">
        <f t="shared" si="26"/>
        <v>0</v>
      </c>
      <c r="F86" s="267">
        <f t="shared" si="23"/>
        <v>0</v>
      </c>
      <c r="G86" s="203"/>
      <c r="H86" s="265">
        <f>'[1]16. RTSR - Historical Wholesale'!H85</f>
        <v>0</v>
      </c>
      <c r="I86" s="266">
        <f t="shared" si="27"/>
        <v>0</v>
      </c>
      <c r="J86" s="267">
        <f t="shared" si="24"/>
        <v>0</v>
      </c>
      <c r="K86" s="203"/>
      <c r="L86" s="265">
        <f>'[1]16. RTSR - Historical Wholesale'!L85</f>
        <v>0</v>
      </c>
      <c r="M86" s="266">
        <f t="shared" si="28"/>
        <v>0</v>
      </c>
      <c r="N86" s="267">
        <f t="shared" si="25"/>
        <v>0</v>
      </c>
      <c r="O86" s="203"/>
      <c r="P86" s="248">
        <f t="shared" si="22"/>
        <v>0</v>
      </c>
      <c r="Q86" s="203"/>
    </row>
    <row r="87" spans="2:17" ht="15.75" hidden="1" x14ac:dyDescent="0.25">
      <c r="B87" s="243" t="s">
        <v>134</v>
      </c>
      <c r="C87" s="203"/>
      <c r="D87" s="265">
        <f>'[1]16. RTSR - Historical Wholesale'!D86</f>
        <v>0</v>
      </c>
      <c r="E87" s="266">
        <f t="shared" si="26"/>
        <v>0</v>
      </c>
      <c r="F87" s="267">
        <f t="shared" si="23"/>
        <v>0</v>
      </c>
      <c r="G87" s="203"/>
      <c r="H87" s="265">
        <f>'[1]16. RTSR - Historical Wholesale'!H86</f>
        <v>0</v>
      </c>
      <c r="I87" s="266">
        <f t="shared" si="27"/>
        <v>0</v>
      </c>
      <c r="J87" s="267">
        <f t="shared" si="24"/>
        <v>0</v>
      </c>
      <c r="K87" s="203"/>
      <c r="L87" s="265">
        <f>'[1]16. RTSR - Historical Wholesale'!L86</f>
        <v>0</v>
      </c>
      <c r="M87" s="266">
        <f t="shared" si="28"/>
        <v>0</v>
      </c>
      <c r="N87" s="267">
        <f t="shared" si="25"/>
        <v>0</v>
      </c>
      <c r="O87" s="203"/>
      <c r="P87" s="248">
        <f t="shared" si="22"/>
        <v>0</v>
      </c>
      <c r="Q87" s="203"/>
    </row>
    <row r="88" spans="2:17" ht="15.75" hidden="1" x14ac:dyDescent="0.25">
      <c r="B88" s="243" t="s">
        <v>135</v>
      </c>
      <c r="C88" s="203"/>
      <c r="D88" s="265">
        <f>'[1]16. RTSR - Historical Wholesale'!D87</f>
        <v>0</v>
      </c>
      <c r="E88" s="266">
        <f t="shared" si="26"/>
        <v>0</v>
      </c>
      <c r="F88" s="267">
        <f t="shared" si="23"/>
        <v>0</v>
      </c>
      <c r="G88" s="203"/>
      <c r="H88" s="265">
        <f>'[1]16. RTSR - Historical Wholesale'!H87</f>
        <v>0</v>
      </c>
      <c r="I88" s="266">
        <f t="shared" si="27"/>
        <v>0</v>
      </c>
      <c r="J88" s="267">
        <f t="shared" si="24"/>
        <v>0</v>
      </c>
      <c r="K88" s="203"/>
      <c r="L88" s="265">
        <f>'[1]16. RTSR - Historical Wholesale'!L87</f>
        <v>0</v>
      </c>
      <c r="M88" s="266">
        <f t="shared" si="28"/>
        <v>0</v>
      </c>
      <c r="N88" s="267">
        <f t="shared" si="25"/>
        <v>0</v>
      </c>
      <c r="O88" s="203"/>
      <c r="P88" s="248">
        <f t="shared" si="22"/>
        <v>0</v>
      </c>
      <c r="Q88" s="203"/>
    </row>
    <row r="89" spans="2:17" hidden="1" x14ac:dyDescent="0.2">
      <c r="B89" s="203"/>
      <c r="C89" s="203"/>
      <c r="D89" s="203"/>
      <c r="E89" s="203"/>
      <c r="F89" s="203"/>
      <c r="G89" s="203"/>
      <c r="H89" s="203"/>
      <c r="I89" s="203"/>
      <c r="J89" s="203"/>
      <c r="K89" s="203"/>
      <c r="L89" s="203"/>
      <c r="M89" s="203"/>
      <c r="N89" s="203"/>
      <c r="O89" s="203"/>
      <c r="P89" s="203"/>
      <c r="Q89" s="203"/>
    </row>
    <row r="90" spans="2:17" ht="19.5" hidden="1" thickBot="1" x14ac:dyDescent="0.35">
      <c r="B90" s="249" t="s">
        <v>24</v>
      </c>
      <c r="C90" s="203"/>
      <c r="D90" s="250">
        <f>SUM(D77:D88)</f>
        <v>0</v>
      </c>
      <c r="E90" s="251">
        <f>IF(D90&lt;&gt;0,F90/D90,0)</f>
        <v>0</v>
      </c>
      <c r="F90" s="252">
        <f>SUM(F77:F88)</f>
        <v>0</v>
      </c>
      <c r="G90" s="203"/>
      <c r="H90" s="250">
        <f>SUM(H77:H88)</f>
        <v>0</v>
      </c>
      <c r="I90" s="251">
        <f>IF(H90&lt;&gt;0,J90/H90,0)</f>
        <v>0</v>
      </c>
      <c r="J90" s="252">
        <f>SUM(J77:J88)</f>
        <v>0</v>
      </c>
      <c r="K90" s="203"/>
      <c r="L90" s="250">
        <f>SUM(L77:L88)</f>
        <v>0</v>
      </c>
      <c r="M90" s="251">
        <f>IF(L90&lt;&gt;0,N90/L90,0)</f>
        <v>0</v>
      </c>
      <c r="N90" s="252">
        <f>SUM(N77:N88)</f>
        <v>0</v>
      </c>
      <c r="O90" s="203"/>
      <c r="P90" s="252">
        <f>SUM(P77:P88)</f>
        <v>0</v>
      </c>
      <c r="Q90" s="203"/>
    </row>
    <row r="91" spans="2:17" hidden="1" x14ac:dyDescent="0.2">
      <c r="B91" s="203"/>
      <c r="C91" s="203"/>
      <c r="D91" s="203"/>
      <c r="E91" s="203"/>
      <c r="F91" s="203"/>
      <c r="G91" s="203"/>
      <c r="H91" s="203"/>
      <c r="I91" s="203"/>
      <c r="J91" s="203"/>
      <c r="K91" s="203"/>
      <c r="L91" s="203"/>
      <c r="M91" s="203"/>
      <c r="N91" s="203"/>
      <c r="O91" s="203"/>
      <c r="P91" s="203"/>
      <c r="Q91" s="203"/>
    </row>
    <row r="92" spans="2:17" ht="15.75" hidden="1" x14ac:dyDescent="0.2">
      <c r="B92" s="238" t="s">
        <v>24</v>
      </c>
      <c r="C92" s="237"/>
      <c r="D92" s="728" t="s">
        <v>232</v>
      </c>
      <c r="E92" s="728"/>
      <c r="F92" s="728"/>
      <c r="G92" s="237"/>
      <c r="H92" s="728" t="s">
        <v>233</v>
      </c>
      <c r="I92" s="728"/>
      <c r="J92" s="728"/>
      <c r="K92" s="237"/>
      <c r="L92" s="728" t="s">
        <v>234</v>
      </c>
      <c r="M92" s="728"/>
      <c r="N92" s="728"/>
      <c r="O92" s="237"/>
      <c r="P92" s="238" t="s">
        <v>235</v>
      </c>
      <c r="Q92" s="203"/>
    </row>
    <row r="93" spans="2:17" ht="15.75" x14ac:dyDescent="0.25">
      <c r="B93" s="203"/>
      <c r="C93" s="203"/>
      <c r="D93" s="729"/>
      <c r="E93" s="729"/>
      <c r="F93" s="729"/>
      <c r="G93" s="255"/>
      <c r="H93" s="729"/>
      <c r="I93" s="729"/>
      <c r="J93" s="729"/>
      <c r="K93" s="255"/>
      <c r="L93" s="729"/>
      <c r="M93" s="729"/>
      <c r="N93" s="729"/>
      <c r="O93" s="255"/>
      <c r="P93" s="256"/>
      <c r="Q93" s="203"/>
    </row>
    <row r="94" spans="2:17" ht="16.5" x14ac:dyDescent="0.3">
      <c r="B94" s="257" t="s">
        <v>236</v>
      </c>
      <c r="C94" s="203"/>
      <c r="D94" s="242" t="s">
        <v>237</v>
      </c>
      <c r="E94" s="242" t="s">
        <v>188</v>
      </c>
      <c r="F94" s="242" t="s">
        <v>238</v>
      </c>
      <c r="G94" s="241"/>
      <c r="H94" s="242" t="s">
        <v>237</v>
      </c>
      <c r="I94" s="242" t="s">
        <v>188</v>
      </c>
      <c r="J94" s="242" t="s">
        <v>238</v>
      </c>
      <c r="K94" s="241"/>
      <c r="L94" s="242" t="s">
        <v>237</v>
      </c>
      <c r="M94" s="242" t="s">
        <v>188</v>
      </c>
      <c r="N94" s="242" t="s">
        <v>238</v>
      </c>
      <c r="O94" s="241"/>
      <c r="P94" s="242" t="s">
        <v>238</v>
      </c>
      <c r="Q94" s="203"/>
    </row>
    <row r="95" spans="2:17" x14ac:dyDescent="0.2">
      <c r="B95" s="203"/>
      <c r="C95" s="203"/>
      <c r="D95" s="203"/>
      <c r="E95" s="203"/>
      <c r="F95" s="203"/>
      <c r="G95" s="203"/>
      <c r="H95" s="203"/>
      <c r="I95" s="203"/>
      <c r="J95" s="203"/>
      <c r="K95" s="203"/>
      <c r="L95" s="203"/>
      <c r="M95" s="203"/>
      <c r="N95" s="203"/>
      <c r="O95" s="203"/>
      <c r="P95" s="203"/>
      <c r="Q95" s="203"/>
    </row>
    <row r="96" spans="2:17" ht="15.75" x14ac:dyDescent="0.25">
      <c r="B96" s="243" t="s">
        <v>124</v>
      </c>
      <c r="C96" s="203"/>
      <c r="D96" s="258">
        <f>D20+D39+D58+D77</f>
        <v>1182945.761609907</v>
      </c>
      <c r="E96" s="259">
        <f t="shared" ref="E96:E107" si="29">IF(D96&lt;&gt;0,F96/D96,0)</f>
        <v>3.7180093384756723</v>
      </c>
      <c r="F96" s="248">
        <f>F20+F39+F58+F77</f>
        <v>4398203.388575851</v>
      </c>
      <c r="G96" s="203"/>
      <c r="H96" s="258">
        <f>H20+H39+H58+H77</f>
        <v>1237595.691629956</v>
      </c>
      <c r="I96" s="259">
        <f t="shared" ref="I96:I107" si="30">IF(H96&lt;&gt;0,J96/H96,0)</f>
        <v>0.84208758913714687</v>
      </c>
      <c r="J96" s="248">
        <f>J20+J39+J58+J77</f>
        <v>1042163.9722911895</v>
      </c>
      <c r="K96" s="203"/>
      <c r="L96" s="258">
        <f>L20+L39+L58+L77</f>
        <v>1265067.302741067</v>
      </c>
      <c r="M96" s="259">
        <f t="shared" ref="M96:M107" si="31">IF(L96&lt;&gt;0,N96/L96,0)</f>
        <v>1.9452798164243013</v>
      </c>
      <c r="N96" s="248">
        <f>N20+N39+N58+N77</f>
        <v>2460909.8904405287</v>
      </c>
      <c r="O96" s="203"/>
      <c r="P96" s="248">
        <f t="shared" ref="P96:P107" si="32">J96+N96</f>
        <v>3503073.8627317185</v>
      </c>
      <c r="Q96" s="203"/>
    </row>
    <row r="97" spans="2:17" ht="15.75" x14ac:dyDescent="0.25">
      <c r="B97" s="243" t="s">
        <v>125</v>
      </c>
      <c r="C97" s="203"/>
      <c r="D97" s="258">
        <f t="shared" ref="D97:D107" si="33">D21+D40+D59+D78</f>
        <v>1172029.3312693499</v>
      </c>
      <c r="E97" s="259">
        <f t="shared" si="29"/>
        <v>3.7137073901699753</v>
      </c>
      <c r="F97" s="248">
        <f t="shared" ref="F97:F107" si="34">F21+F40+F59+F78</f>
        <v>4352573.9890309591</v>
      </c>
      <c r="G97" s="203"/>
      <c r="H97" s="258">
        <f t="shared" ref="H97:H107" si="35">H21+H40+H59+H78</f>
        <v>1173364.7444933921</v>
      </c>
      <c r="I97" s="259">
        <f t="shared" si="30"/>
        <v>0.83976559514223859</v>
      </c>
      <c r="J97" s="248">
        <f t="shared" ref="J97:J107" si="36">J21+J40+J59+J78</f>
        <v>985351.34297841415</v>
      </c>
      <c r="K97" s="203"/>
      <c r="L97" s="258">
        <f t="shared" ref="L97:L107" si="37">L21+L40+L59+L78</f>
        <v>1200334.732147713</v>
      </c>
      <c r="M97" s="259">
        <f t="shared" si="31"/>
        <v>1.9390103141603321</v>
      </c>
      <c r="N97" s="248">
        <f t="shared" ref="N97:N107" si="38">N21+N40+N59+N78</f>
        <v>2327461.4260792951</v>
      </c>
      <c r="O97" s="203"/>
      <c r="P97" s="248">
        <f t="shared" si="32"/>
        <v>3312812.7690577093</v>
      </c>
      <c r="Q97" s="203"/>
    </row>
    <row r="98" spans="2:17" ht="15.75" x14ac:dyDescent="0.25">
      <c r="B98" s="243" t="s">
        <v>126</v>
      </c>
      <c r="C98" s="203"/>
      <c r="D98" s="258">
        <f t="shared" si="33"/>
        <v>1197035.3312693499</v>
      </c>
      <c r="E98" s="259">
        <f t="shared" si="29"/>
        <v>3.711706242471144</v>
      </c>
      <c r="F98" s="248">
        <f t="shared" si="34"/>
        <v>4443043.51153096</v>
      </c>
      <c r="G98" s="203"/>
      <c r="H98" s="258">
        <f t="shared" si="35"/>
        <v>1215884.2907488986</v>
      </c>
      <c r="I98" s="259">
        <f t="shared" si="30"/>
        <v>0.8387395762401082</v>
      </c>
      <c r="J98" s="248">
        <f t="shared" si="36"/>
        <v>1019810.2747797357</v>
      </c>
      <c r="K98" s="203"/>
      <c r="L98" s="258">
        <f t="shared" si="37"/>
        <v>1242113.5006254418</v>
      </c>
      <c r="M98" s="259">
        <f t="shared" si="31"/>
        <v>1.9367882482573995</v>
      </c>
      <c r="N98" s="248">
        <f t="shared" si="38"/>
        <v>2405710.8310132157</v>
      </c>
      <c r="O98" s="203"/>
      <c r="P98" s="248">
        <f t="shared" si="32"/>
        <v>3425521.1057929513</v>
      </c>
      <c r="Q98" s="203"/>
    </row>
    <row r="99" spans="2:17" ht="15.75" x14ac:dyDescent="0.25">
      <c r="B99" s="243" t="s">
        <v>127</v>
      </c>
      <c r="C99" s="203"/>
      <c r="D99" s="258">
        <f t="shared" si="33"/>
        <v>984279.60061919503</v>
      </c>
      <c r="E99" s="259">
        <f t="shared" si="29"/>
        <v>3.7117275982276063</v>
      </c>
      <c r="F99" s="248">
        <f t="shared" si="34"/>
        <v>3653377.7579907123</v>
      </c>
      <c r="G99" s="203"/>
      <c r="H99" s="258">
        <f t="shared" si="35"/>
        <v>1054507.4405286345</v>
      </c>
      <c r="I99" s="259">
        <f t="shared" si="30"/>
        <v>0.84035540857125801</v>
      </c>
      <c r="J99" s="248">
        <f t="shared" si="36"/>
        <v>886161.03102687222</v>
      </c>
      <c r="K99" s="203"/>
      <c r="L99" s="258">
        <f t="shared" si="37"/>
        <v>1078868.5207755479</v>
      </c>
      <c r="M99" s="259">
        <f t="shared" si="31"/>
        <v>1.9405026686212279</v>
      </c>
      <c r="N99" s="248">
        <f t="shared" si="38"/>
        <v>2093547.2436563876</v>
      </c>
      <c r="O99" s="203"/>
      <c r="P99" s="248">
        <f t="shared" si="32"/>
        <v>2979708.2746832599</v>
      </c>
      <c r="Q99" s="203"/>
    </row>
    <row r="100" spans="2:17" ht="15.75" x14ac:dyDescent="0.25">
      <c r="B100" s="243" t="s">
        <v>128</v>
      </c>
      <c r="C100" s="203"/>
      <c r="D100" s="258">
        <f t="shared" si="33"/>
        <v>1153548.2321981424</v>
      </c>
      <c r="E100" s="259">
        <f t="shared" si="29"/>
        <v>3.7240792316045819</v>
      </c>
      <c r="F100" s="248">
        <f t="shared" si="34"/>
        <v>4295905.0141832819</v>
      </c>
      <c r="G100" s="203"/>
      <c r="H100" s="258">
        <f t="shared" si="35"/>
        <v>1161478.2907488986</v>
      </c>
      <c r="I100" s="259">
        <f t="shared" si="30"/>
        <v>0.85071073359792293</v>
      </c>
      <c r="J100" s="248">
        <f t="shared" si="36"/>
        <v>988082.04878105724</v>
      </c>
      <c r="K100" s="203"/>
      <c r="L100" s="258">
        <f t="shared" si="37"/>
        <v>1187174.2290205036</v>
      </c>
      <c r="M100" s="259">
        <f t="shared" si="31"/>
        <v>1.9707269292557534</v>
      </c>
      <c r="N100" s="248">
        <f t="shared" si="38"/>
        <v>2339596.2228491437</v>
      </c>
      <c r="O100" s="203"/>
      <c r="P100" s="248">
        <f t="shared" si="32"/>
        <v>3327678.271630201</v>
      </c>
      <c r="Q100" s="203"/>
    </row>
    <row r="101" spans="2:17" ht="15.75" x14ac:dyDescent="0.25">
      <c r="B101" s="243" t="s">
        <v>129</v>
      </c>
      <c r="C101" s="203"/>
      <c r="D101" s="258">
        <f t="shared" si="33"/>
        <v>1303395.8606811145</v>
      </c>
      <c r="E101" s="259">
        <f t="shared" si="29"/>
        <v>3.7261474261488736</v>
      </c>
      <c r="F101" s="248">
        <f t="shared" si="34"/>
        <v>4856645.1315300306</v>
      </c>
      <c r="G101" s="203"/>
      <c r="H101" s="258">
        <f t="shared" si="35"/>
        <v>1313732.792951542</v>
      </c>
      <c r="I101" s="259">
        <f t="shared" si="30"/>
        <v>0.85090955722816697</v>
      </c>
      <c r="J101" s="248">
        <f t="shared" si="36"/>
        <v>1117867.7891665197</v>
      </c>
      <c r="K101" s="203"/>
      <c r="L101" s="258">
        <f t="shared" si="37"/>
        <v>1339803.292951542</v>
      </c>
      <c r="M101" s="259">
        <f t="shared" si="31"/>
        <v>1.9716403253650088</v>
      </c>
      <c r="N101" s="248">
        <f t="shared" si="38"/>
        <v>2641610.2004400883</v>
      </c>
      <c r="O101" s="203"/>
      <c r="P101" s="248">
        <f t="shared" si="32"/>
        <v>3759477.9896066077</v>
      </c>
      <c r="Q101" s="203"/>
    </row>
    <row r="102" spans="2:17" ht="15.75" x14ac:dyDescent="0.25">
      <c r="B102" s="243" t="s">
        <v>130</v>
      </c>
      <c r="C102" s="203"/>
      <c r="D102" s="258">
        <f t="shared" si="33"/>
        <v>1293276.9907120743</v>
      </c>
      <c r="E102" s="259">
        <f t="shared" si="29"/>
        <v>3.7217593695519935</v>
      </c>
      <c r="F102" s="248">
        <f t="shared" si="34"/>
        <v>4813265.7576086689</v>
      </c>
      <c r="G102" s="203"/>
      <c r="H102" s="258">
        <f t="shared" si="35"/>
        <v>1358799.396475771</v>
      </c>
      <c r="I102" s="259">
        <f t="shared" si="30"/>
        <v>0.84998524843240475</v>
      </c>
      <c r="J102" s="248">
        <f t="shared" si="36"/>
        <v>1154959.4425832599</v>
      </c>
      <c r="K102" s="203"/>
      <c r="L102" s="258">
        <f t="shared" si="37"/>
        <v>1383360.7236362647</v>
      </c>
      <c r="M102" s="259">
        <f t="shared" si="31"/>
        <v>1.9694396374695518</v>
      </c>
      <c r="N102" s="248">
        <f t="shared" si="38"/>
        <v>2724445.4420478218</v>
      </c>
      <c r="O102" s="203"/>
      <c r="P102" s="248">
        <f t="shared" si="32"/>
        <v>3879404.8846310815</v>
      </c>
      <c r="Q102" s="203"/>
    </row>
    <row r="103" spans="2:17" ht="15.75" x14ac:dyDescent="0.25">
      <c r="B103" s="243" t="s">
        <v>131</v>
      </c>
      <c r="C103" s="203"/>
      <c r="D103" s="258">
        <f t="shared" si="33"/>
        <v>1322562.9597523219</v>
      </c>
      <c r="E103" s="259">
        <f t="shared" si="29"/>
        <v>3.7206311494557633</v>
      </c>
      <c r="F103" s="248">
        <f t="shared" si="34"/>
        <v>4920768.945170898</v>
      </c>
      <c r="G103" s="203"/>
      <c r="H103" s="258">
        <f t="shared" si="35"/>
        <v>1363174.8414096916</v>
      </c>
      <c r="I103" s="259">
        <f t="shared" si="30"/>
        <v>0.84989942225503523</v>
      </c>
      <c r="J103" s="248">
        <f t="shared" si="36"/>
        <v>1158561.5101466961</v>
      </c>
      <c r="K103" s="203"/>
      <c r="L103" s="258">
        <f t="shared" si="37"/>
        <v>1389593.7796812966</v>
      </c>
      <c r="M103" s="259">
        <f t="shared" si="31"/>
        <v>1.968993630683411</v>
      </c>
      <c r="N103" s="248">
        <f t="shared" si="38"/>
        <v>2736101.3014297602</v>
      </c>
      <c r="O103" s="203"/>
      <c r="P103" s="248">
        <f t="shared" si="32"/>
        <v>3894662.8115764563</v>
      </c>
      <c r="Q103" s="203"/>
    </row>
    <row r="104" spans="2:17" ht="15.75" x14ac:dyDescent="0.25">
      <c r="B104" s="243" t="s">
        <v>132</v>
      </c>
      <c r="C104" s="203"/>
      <c r="D104" s="258">
        <f t="shared" si="33"/>
        <v>1293334.588235294</v>
      </c>
      <c r="E104" s="259">
        <f t="shared" si="29"/>
        <v>3.7303228558980783</v>
      </c>
      <c r="F104" s="248">
        <f t="shared" si="34"/>
        <v>4824555.5748176472</v>
      </c>
      <c r="G104" s="203"/>
      <c r="H104" s="258">
        <f t="shared" si="35"/>
        <v>1373975.757709251</v>
      </c>
      <c r="I104" s="259">
        <f t="shared" si="30"/>
        <v>0.85041589601785139</v>
      </c>
      <c r="J104" s="248">
        <f t="shared" si="36"/>
        <v>1168450.825099119</v>
      </c>
      <c r="K104" s="203"/>
      <c r="L104" s="258">
        <f t="shared" si="37"/>
        <v>1397129.0354870288</v>
      </c>
      <c r="M104" s="259">
        <f t="shared" si="31"/>
        <v>1.9708057175840523</v>
      </c>
      <c r="N104" s="248">
        <f t="shared" si="38"/>
        <v>2753469.8913405286</v>
      </c>
      <c r="O104" s="203"/>
      <c r="P104" s="248">
        <f t="shared" si="32"/>
        <v>3921920.7164396476</v>
      </c>
      <c r="Q104" s="203"/>
    </row>
    <row r="105" spans="2:17" ht="15.75" x14ac:dyDescent="0.25">
      <c r="B105" s="243" t="s">
        <v>133</v>
      </c>
      <c r="C105" s="203"/>
      <c r="D105" s="258">
        <f t="shared" si="33"/>
        <v>968372.26315789472</v>
      </c>
      <c r="E105" s="259">
        <f t="shared" si="29"/>
        <v>3.708297996176221</v>
      </c>
      <c r="F105" s="248">
        <f t="shared" si="34"/>
        <v>3591012.923021053</v>
      </c>
      <c r="G105" s="203"/>
      <c r="H105" s="258">
        <f t="shared" si="35"/>
        <v>1027484.6696035243</v>
      </c>
      <c r="I105" s="259">
        <f t="shared" si="30"/>
        <v>0.84832280662343718</v>
      </c>
      <c r="J105" s="248">
        <f t="shared" si="36"/>
        <v>871638.67868061678</v>
      </c>
      <c r="K105" s="203"/>
      <c r="L105" s="258">
        <f t="shared" si="37"/>
        <v>1050083.6510850056</v>
      </c>
      <c r="M105" s="259">
        <f t="shared" si="31"/>
        <v>1.9643252091332528</v>
      </c>
      <c r="N105" s="248">
        <f t="shared" si="38"/>
        <v>2062705.7875249633</v>
      </c>
      <c r="O105" s="203"/>
      <c r="P105" s="248">
        <f t="shared" si="32"/>
        <v>2934344.4662055802</v>
      </c>
      <c r="Q105" s="203"/>
    </row>
    <row r="106" spans="2:17" ht="15.75" x14ac:dyDescent="0.25">
      <c r="B106" s="243" t="s">
        <v>134</v>
      </c>
      <c r="C106" s="203"/>
      <c r="D106" s="258">
        <f t="shared" si="33"/>
        <v>1068819.2291021673</v>
      </c>
      <c r="E106" s="259">
        <f t="shared" si="29"/>
        <v>3.7162405698445999</v>
      </c>
      <c r="F106" s="248">
        <f t="shared" si="34"/>
        <v>3971989.3810195043</v>
      </c>
      <c r="G106" s="203"/>
      <c r="H106" s="258">
        <f t="shared" si="35"/>
        <v>1085322.7488986785</v>
      </c>
      <c r="I106" s="259">
        <f t="shared" si="30"/>
        <v>0.84932302302945961</v>
      </c>
      <c r="J106" s="248">
        <f t="shared" si="36"/>
        <v>921789.59805726865</v>
      </c>
      <c r="K106" s="203"/>
      <c r="L106" s="258">
        <f t="shared" si="37"/>
        <v>1110329.890873987</v>
      </c>
      <c r="M106" s="259">
        <f t="shared" si="31"/>
        <v>1.9668465486935163</v>
      </c>
      <c r="N106" s="248">
        <f t="shared" si="38"/>
        <v>2183848.5137767498</v>
      </c>
      <c r="O106" s="203"/>
      <c r="P106" s="248">
        <f t="shared" si="32"/>
        <v>3105638.1118340185</v>
      </c>
      <c r="Q106" s="203"/>
    </row>
    <row r="107" spans="2:17" ht="15.75" x14ac:dyDescent="0.25">
      <c r="B107" s="243" t="s">
        <v>135</v>
      </c>
      <c r="C107" s="203"/>
      <c r="D107" s="258">
        <f t="shared" si="33"/>
        <v>1115578.4303405574</v>
      </c>
      <c r="E107" s="259">
        <f t="shared" si="29"/>
        <v>3.7083651508053128</v>
      </c>
      <c r="F107" s="248">
        <f t="shared" si="34"/>
        <v>4136972.1740650153</v>
      </c>
      <c r="G107" s="203"/>
      <c r="H107" s="258">
        <f t="shared" si="35"/>
        <v>1143285.6519823789</v>
      </c>
      <c r="I107" s="259">
        <f t="shared" si="30"/>
        <v>0.84792619474932218</v>
      </c>
      <c r="J107" s="248">
        <f t="shared" si="36"/>
        <v>969421.85239691637</v>
      </c>
      <c r="K107" s="203"/>
      <c r="L107" s="258">
        <f t="shared" si="37"/>
        <v>1169049.4297601567</v>
      </c>
      <c r="M107" s="259">
        <f t="shared" si="31"/>
        <v>1.9631730759346115</v>
      </c>
      <c r="N107" s="248">
        <f t="shared" si="38"/>
        <v>2295046.3649418503</v>
      </c>
      <c r="O107" s="203"/>
      <c r="P107" s="248">
        <f t="shared" si="32"/>
        <v>3264468.2173387669</v>
      </c>
      <c r="Q107" s="203"/>
    </row>
    <row r="108" spans="2:17" x14ac:dyDescent="0.2">
      <c r="B108" s="203"/>
      <c r="C108" s="203"/>
      <c r="D108" s="203"/>
      <c r="E108" s="203"/>
      <c r="F108" s="203"/>
      <c r="G108" s="203"/>
      <c r="H108" s="203"/>
      <c r="I108" s="203"/>
      <c r="J108" s="203"/>
      <c r="K108" s="203"/>
      <c r="L108" s="203"/>
      <c r="M108" s="203"/>
      <c r="N108" s="203"/>
      <c r="O108" s="203"/>
      <c r="P108" s="248"/>
      <c r="Q108" s="203"/>
    </row>
    <row r="109" spans="2:17" ht="19.5" thickBot="1" x14ac:dyDescent="0.35">
      <c r="B109" s="249" t="s">
        <v>24</v>
      </c>
      <c r="C109" s="203"/>
      <c r="D109" s="250">
        <f>SUM(D96:D107)</f>
        <v>14055178.578947369</v>
      </c>
      <c r="E109" s="251">
        <f>IF(D109&lt;&gt;0,F109/D109,0)</f>
        <v>3.7180825028306659</v>
      </c>
      <c r="F109" s="252">
        <f>SUM(F96:F107)</f>
        <v>52258313.548544593</v>
      </c>
      <c r="G109" s="203"/>
      <c r="H109" s="250">
        <f>SUM(H96:H107)</f>
        <v>14508606.317180619</v>
      </c>
      <c r="I109" s="251">
        <f>IF(H109&lt;&gt;0,J109/H109,0)</f>
        <v>0.84668768987418508</v>
      </c>
      <c r="J109" s="252">
        <f>SUM(J96:J107)</f>
        <v>12284258.365987666</v>
      </c>
      <c r="K109" s="203"/>
      <c r="L109" s="250">
        <f>SUM(L96:L107)</f>
        <v>14812908.088785555</v>
      </c>
      <c r="M109" s="251">
        <f>IF(L109&lt;&gt;0,N109/L109,0)</f>
        <v>1.9594027682865289</v>
      </c>
      <c r="N109" s="252">
        <f>SUM(N96:N107)</f>
        <v>29024453.115540333</v>
      </c>
      <c r="O109" s="203"/>
      <c r="P109" s="252">
        <f>SUM(P96:P107)</f>
        <v>41308711.481527999</v>
      </c>
      <c r="Q109" s="203"/>
    </row>
    <row r="110" spans="2:17" x14ac:dyDescent="0.2">
      <c r="F110" s="528"/>
    </row>
    <row r="111" spans="2:17" x14ac:dyDescent="0.2">
      <c r="N111" s="261" t="s">
        <v>243</v>
      </c>
      <c r="P111" s="262">
        <f>'[1]15. RTSR - UTRs &amp; Sub-Tx'!G95</f>
        <v>0</v>
      </c>
    </row>
    <row r="113" spans="14:16" ht="13.5" thickBot="1" x14ac:dyDescent="0.25">
      <c r="N113" s="263" t="s">
        <v>244</v>
      </c>
      <c r="P113" s="252">
        <f>P109+P111</f>
        <v>41308711.481527999</v>
      </c>
    </row>
  </sheetData>
  <mergeCells count="22">
    <mergeCell ref="B13:L13"/>
    <mergeCell ref="D16:F16"/>
    <mergeCell ref="H16:J16"/>
    <mergeCell ref="L16:N16"/>
    <mergeCell ref="D17:F17"/>
    <mergeCell ref="H17:J17"/>
    <mergeCell ref="L17:N17"/>
    <mergeCell ref="D35:F35"/>
    <mergeCell ref="H35:J35"/>
    <mergeCell ref="L35:N35"/>
    <mergeCell ref="D54:F54"/>
    <mergeCell ref="H54:J54"/>
    <mergeCell ref="L54:N54"/>
    <mergeCell ref="D93:F93"/>
    <mergeCell ref="H93:J93"/>
    <mergeCell ref="L93:N93"/>
    <mergeCell ref="D73:F73"/>
    <mergeCell ref="H73:J73"/>
    <mergeCell ref="L73:N73"/>
    <mergeCell ref="D92:F92"/>
    <mergeCell ref="H92:J92"/>
    <mergeCell ref="L92:N9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3:Q113"/>
  <sheetViews>
    <sheetView topLeftCell="B92" workbookViewId="0">
      <selection activeCell="F20" sqref="F20 F39"/>
    </sheetView>
  </sheetViews>
  <sheetFormatPr defaultColWidth="9.140625" defaultRowHeight="12.75" x14ac:dyDescent="0.2"/>
  <cols>
    <col min="1" max="1" width="11.85546875" style="199" hidden="1" customWidth="1"/>
    <col min="2" max="2" width="30.140625" style="199" customWidth="1"/>
    <col min="3" max="3" width="3.85546875" style="199" customWidth="1"/>
    <col min="4" max="4" width="14.42578125" style="199" customWidth="1"/>
    <col min="5" max="5" width="10.140625" style="199" bestFit="1" customWidth="1"/>
    <col min="6" max="6" width="14.42578125" style="199" customWidth="1"/>
    <col min="7" max="7" width="2.85546875" style="199" customWidth="1"/>
    <col min="8" max="8" width="14.42578125" style="199" customWidth="1"/>
    <col min="9" max="9" width="9.7109375" style="199" bestFit="1" customWidth="1"/>
    <col min="10" max="10" width="14.42578125" style="199" customWidth="1"/>
    <col min="11" max="11" width="3.140625" style="199" customWidth="1"/>
    <col min="12" max="12" width="14.42578125" style="199" customWidth="1"/>
    <col min="13" max="13" width="9.7109375" style="199" bestFit="1" customWidth="1"/>
    <col min="14" max="14" width="14.42578125" style="199" customWidth="1"/>
    <col min="15" max="15" width="3.7109375" style="199" customWidth="1"/>
    <col min="16" max="16" width="15.7109375" style="199" customWidth="1"/>
    <col min="17" max="16384" width="9.140625" style="199"/>
  </cols>
  <sheetData>
    <row r="13" spans="2:17" ht="32.25" customHeight="1" x14ac:dyDescent="0.2">
      <c r="B13" s="732" t="s">
        <v>246</v>
      </c>
      <c r="C13" s="732"/>
      <c r="D13" s="732"/>
      <c r="E13" s="732"/>
      <c r="F13" s="732"/>
      <c r="G13" s="732"/>
      <c r="H13" s="732"/>
      <c r="I13" s="732"/>
      <c r="J13" s="732"/>
      <c r="K13" s="732"/>
      <c r="L13" s="732"/>
      <c r="M13" s="732"/>
    </row>
    <row r="15" spans="2:17" ht="14.25" customHeight="1" x14ac:dyDescent="0.2"/>
    <row r="16" spans="2:17" ht="15.75" x14ac:dyDescent="0.2">
      <c r="B16" s="236" t="s">
        <v>231</v>
      </c>
      <c r="C16" s="237"/>
      <c r="D16" s="728" t="s">
        <v>232</v>
      </c>
      <c r="E16" s="728"/>
      <c r="F16" s="728"/>
      <c r="G16" s="237"/>
      <c r="H16" s="728" t="s">
        <v>233</v>
      </c>
      <c r="I16" s="728"/>
      <c r="J16" s="728"/>
      <c r="K16" s="237"/>
      <c r="L16" s="728" t="s">
        <v>234</v>
      </c>
      <c r="M16" s="728"/>
      <c r="N16" s="728"/>
      <c r="O16" s="237"/>
      <c r="P16" s="236" t="s">
        <v>235</v>
      </c>
      <c r="Q16" s="203"/>
    </row>
    <row r="17" spans="2:17" ht="15.75" x14ac:dyDescent="0.25">
      <c r="B17" s="203"/>
      <c r="C17" s="203"/>
      <c r="D17" s="729"/>
      <c r="E17" s="729"/>
      <c r="F17" s="729"/>
      <c r="G17" s="255"/>
      <c r="H17" s="729"/>
      <c r="I17" s="729"/>
      <c r="J17" s="729"/>
      <c r="K17" s="255"/>
      <c r="L17" s="729"/>
      <c r="M17" s="729"/>
      <c r="N17" s="729"/>
      <c r="O17" s="203"/>
      <c r="P17" s="256"/>
      <c r="Q17" s="239"/>
    </row>
    <row r="18" spans="2:17" ht="16.5" x14ac:dyDescent="0.3">
      <c r="B18" s="240" t="s">
        <v>236</v>
      </c>
      <c r="C18" s="241"/>
      <c r="D18" s="242" t="s">
        <v>237</v>
      </c>
      <c r="E18" s="242" t="s">
        <v>188</v>
      </c>
      <c r="F18" s="242" t="s">
        <v>238</v>
      </c>
      <c r="G18" s="241"/>
      <c r="H18" s="242" t="s">
        <v>237</v>
      </c>
      <c r="I18" s="242" t="s">
        <v>188</v>
      </c>
      <c r="J18" s="242" t="s">
        <v>238</v>
      </c>
      <c r="K18" s="241"/>
      <c r="L18" s="242" t="s">
        <v>237</v>
      </c>
      <c r="M18" s="242" t="s">
        <v>188</v>
      </c>
      <c r="N18" s="242" t="s">
        <v>238</v>
      </c>
      <c r="O18" s="241"/>
      <c r="P18" s="242" t="s">
        <v>238</v>
      </c>
      <c r="Q18" s="203"/>
    </row>
    <row r="19" spans="2:17" x14ac:dyDescent="0.2">
      <c r="B19" s="203"/>
      <c r="C19" s="203"/>
      <c r="D19" s="203"/>
      <c r="E19" s="203"/>
      <c r="F19" s="203"/>
      <c r="G19" s="203"/>
      <c r="H19" s="203"/>
      <c r="I19" s="203"/>
      <c r="J19" s="203"/>
      <c r="K19" s="203"/>
      <c r="L19" s="203"/>
      <c r="M19" s="203"/>
      <c r="N19" s="203"/>
      <c r="O19" s="203"/>
      <c r="P19" s="203"/>
      <c r="Q19" s="203"/>
    </row>
    <row r="20" spans="2:17" ht="15.75" x14ac:dyDescent="0.25">
      <c r="B20" s="243" t="s">
        <v>124</v>
      </c>
      <c r="C20" s="203"/>
      <c r="D20" s="265">
        <f>'11. RTSR - Historical Wholesale'!D19</f>
        <v>1001207</v>
      </c>
      <c r="E20" s="266">
        <f>'10. RTSR - UTR''s and Sub-tx'!I22</f>
        <v>3.78</v>
      </c>
      <c r="F20" s="267">
        <f t="shared" ref="F20:F31" si="0">D20*E20</f>
        <v>3784562.46</v>
      </c>
      <c r="G20" s="203"/>
      <c r="H20" s="265">
        <f>'11. RTSR - Historical Wholesale'!H19</f>
        <v>1082897</v>
      </c>
      <c r="I20" s="266">
        <f>'10. RTSR - UTR''s and Sub-tx'!I24</f>
        <v>0.86</v>
      </c>
      <c r="J20" s="267">
        <f t="shared" ref="J20:J31" si="1">H20*I20</f>
        <v>931291.42</v>
      </c>
      <c r="K20" s="203"/>
      <c r="L20" s="265">
        <f>'11. RTSR - Historical Wholesale'!L19</f>
        <v>1082897</v>
      </c>
      <c r="M20" s="266">
        <f>'10. RTSR - UTR''s and Sub-tx'!I26</f>
        <v>2</v>
      </c>
      <c r="N20" s="267">
        <f t="shared" ref="N20:N31" si="2">L20*M20</f>
        <v>2165794</v>
      </c>
      <c r="O20" s="203"/>
      <c r="P20" s="248">
        <f t="shared" ref="P20:P31" si="3">J20+N20</f>
        <v>3097085.42</v>
      </c>
      <c r="Q20" s="203"/>
    </row>
    <row r="21" spans="2:17" ht="15.75" x14ac:dyDescent="0.25">
      <c r="B21" s="243" t="s">
        <v>125</v>
      </c>
      <c r="C21" s="203"/>
      <c r="D21" s="265">
        <f>'11. RTSR - Historical Wholesale'!D20</f>
        <v>979472</v>
      </c>
      <c r="E21" s="266">
        <f t="shared" ref="E21:E31" si="4">E20</f>
        <v>3.78</v>
      </c>
      <c r="F21" s="267">
        <f t="shared" si="0"/>
        <v>3702404.1599999997</v>
      </c>
      <c r="G21" s="203"/>
      <c r="H21" s="265">
        <f>'11. RTSR - Historical Wholesale'!H20</f>
        <v>1007682</v>
      </c>
      <c r="I21" s="266">
        <f t="shared" ref="I21:I31" si="5">I20</f>
        <v>0.86</v>
      </c>
      <c r="J21" s="267">
        <f t="shared" si="1"/>
        <v>866606.52</v>
      </c>
      <c r="K21" s="203"/>
      <c r="L21" s="265">
        <f>'11. RTSR - Historical Wholesale'!L20</f>
        <v>1007682</v>
      </c>
      <c r="M21" s="266">
        <f t="shared" ref="M21:M31" si="6">M20</f>
        <v>2</v>
      </c>
      <c r="N21" s="267">
        <f t="shared" si="2"/>
        <v>2015364</v>
      </c>
      <c r="O21" s="203"/>
      <c r="P21" s="248">
        <f t="shared" si="3"/>
        <v>2881970.52</v>
      </c>
      <c r="Q21" s="203"/>
    </row>
    <row r="22" spans="2:17" ht="15.75" x14ac:dyDescent="0.25">
      <c r="B22" s="243" t="s">
        <v>126</v>
      </c>
      <c r="C22" s="203"/>
      <c r="D22" s="265">
        <f>'11. RTSR - Historical Wholesale'!D21</f>
        <v>994433</v>
      </c>
      <c r="E22" s="266">
        <f t="shared" si="4"/>
        <v>3.78</v>
      </c>
      <c r="F22" s="267">
        <f t="shared" si="0"/>
        <v>3758956.7399999998</v>
      </c>
      <c r="G22" s="203"/>
      <c r="H22" s="265">
        <f>'11. RTSR - Historical Wholesale'!H21</f>
        <v>1035492</v>
      </c>
      <c r="I22" s="266">
        <f t="shared" si="5"/>
        <v>0.86</v>
      </c>
      <c r="J22" s="267">
        <f t="shared" si="1"/>
        <v>890523.12</v>
      </c>
      <c r="K22" s="203"/>
      <c r="L22" s="265">
        <f>'11. RTSR - Historical Wholesale'!L21</f>
        <v>1035492</v>
      </c>
      <c r="M22" s="266">
        <f t="shared" si="6"/>
        <v>2</v>
      </c>
      <c r="N22" s="267">
        <f t="shared" si="2"/>
        <v>2070984</v>
      </c>
      <c r="O22" s="203"/>
      <c r="P22" s="248">
        <f t="shared" si="3"/>
        <v>2961507.12</v>
      </c>
      <c r="Q22" s="203"/>
    </row>
    <row r="23" spans="2:17" ht="15.75" x14ac:dyDescent="0.25">
      <c r="B23" s="243" t="s">
        <v>127</v>
      </c>
      <c r="C23" s="203"/>
      <c r="D23" s="265">
        <f>'11. RTSR - Historical Wholesale'!D22</f>
        <v>817739</v>
      </c>
      <c r="E23" s="266">
        <f t="shared" si="4"/>
        <v>3.78</v>
      </c>
      <c r="F23" s="267">
        <f t="shared" si="0"/>
        <v>3091053.42</v>
      </c>
      <c r="G23" s="203"/>
      <c r="H23" s="265">
        <f>'11. RTSR - Historical Wholesale'!H22</f>
        <v>909948</v>
      </c>
      <c r="I23" s="266">
        <f t="shared" si="5"/>
        <v>0.86</v>
      </c>
      <c r="J23" s="267">
        <f t="shared" si="1"/>
        <v>782555.28</v>
      </c>
      <c r="K23" s="203"/>
      <c r="L23" s="265">
        <f>'11. RTSR - Historical Wholesale'!L22</f>
        <v>909948</v>
      </c>
      <c r="M23" s="266">
        <f t="shared" si="6"/>
        <v>2</v>
      </c>
      <c r="N23" s="267">
        <f t="shared" si="2"/>
        <v>1819896</v>
      </c>
      <c r="O23" s="203"/>
      <c r="P23" s="248">
        <f t="shared" si="3"/>
        <v>2602451.2800000003</v>
      </c>
      <c r="Q23" s="203"/>
    </row>
    <row r="24" spans="2:17" ht="15.75" x14ac:dyDescent="0.25">
      <c r="B24" s="243" t="s">
        <v>128</v>
      </c>
      <c r="C24" s="203"/>
      <c r="D24" s="265">
        <f>'11. RTSR - Historical Wholesale'!D23</f>
        <v>978209</v>
      </c>
      <c r="E24" s="266">
        <f t="shared" si="4"/>
        <v>3.78</v>
      </c>
      <c r="F24" s="267">
        <f t="shared" si="0"/>
        <v>3697630.02</v>
      </c>
      <c r="G24" s="203"/>
      <c r="H24" s="265">
        <f>'11. RTSR - Historical Wholesale'!H23</f>
        <v>1011835</v>
      </c>
      <c r="I24" s="266">
        <f t="shared" si="5"/>
        <v>0.86</v>
      </c>
      <c r="J24" s="267">
        <f t="shared" si="1"/>
        <v>870178.1</v>
      </c>
      <c r="K24" s="203"/>
      <c r="L24" s="265">
        <f>'11. RTSR - Historical Wholesale'!L23</f>
        <v>1011835</v>
      </c>
      <c r="M24" s="266">
        <f t="shared" si="6"/>
        <v>2</v>
      </c>
      <c r="N24" s="267">
        <f t="shared" si="2"/>
        <v>2023670</v>
      </c>
      <c r="O24" s="203"/>
      <c r="P24" s="248">
        <f t="shared" si="3"/>
        <v>2893848.1</v>
      </c>
      <c r="Q24" s="203"/>
    </row>
    <row r="25" spans="2:17" ht="15.75" x14ac:dyDescent="0.25">
      <c r="B25" s="243" t="s">
        <v>129</v>
      </c>
      <c r="C25" s="203"/>
      <c r="D25" s="265">
        <f>'11. RTSR - Historical Wholesale'!D24</f>
        <v>1112607</v>
      </c>
      <c r="E25" s="266">
        <f t="shared" si="4"/>
        <v>3.78</v>
      </c>
      <c r="F25" s="267">
        <f t="shared" si="0"/>
        <v>4205654.46</v>
      </c>
      <c r="G25" s="203"/>
      <c r="H25" s="265">
        <f>'11. RTSR - Historical Wholesale'!H24</f>
        <v>1148096</v>
      </c>
      <c r="I25" s="266">
        <f t="shared" si="5"/>
        <v>0.86</v>
      </c>
      <c r="J25" s="267">
        <f t="shared" si="1"/>
        <v>987362.55999999994</v>
      </c>
      <c r="K25" s="203"/>
      <c r="L25" s="265">
        <f>'11. RTSR - Historical Wholesale'!L24</f>
        <v>1148096</v>
      </c>
      <c r="M25" s="266">
        <f t="shared" si="6"/>
        <v>2</v>
      </c>
      <c r="N25" s="267">
        <f t="shared" si="2"/>
        <v>2296192</v>
      </c>
      <c r="O25" s="203"/>
      <c r="P25" s="248">
        <f t="shared" si="3"/>
        <v>3283554.56</v>
      </c>
      <c r="Q25" s="203"/>
    </row>
    <row r="26" spans="2:17" ht="15.75" x14ac:dyDescent="0.25">
      <c r="B26" s="243" t="s">
        <v>130</v>
      </c>
      <c r="C26" s="203"/>
      <c r="D26" s="265">
        <f>'11. RTSR - Historical Wholesale'!D25</f>
        <v>1088544</v>
      </c>
      <c r="E26" s="266">
        <f t="shared" si="4"/>
        <v>3.78</v>
      </c>
      <c r="F26" s="267">
        <f t="shared" si="0"/>
        <v>4114696.32</v>
      </c>
      <c r="G26" s="203"/>
      <c r="H26" s="265">
        <f>'11. RTSR - Historical Wholesale'!H25</f>
        <v>1170061</v>
      </c>
      <c r="I26" s="266">
        <f t="shared" si="5"/>
        <v>0.86</v>
      </c>
      <c r="J26" s="267">
        <f t="shared" si="1"/>
        <v>1006252.46</v>
      </c>
      <c r="K26" s="203"/>
      <c r="L26" s="265">
        <f>'11. RTSR - Historical Wholesale'!L25</f>
        <v>1170061</v>
      </c>
      <c r="M26" s="266">
        <f t="shared" si="6"/>
        <v>2</v>
      </c>
      <c r="N26" s="267">
        <f t="shared" si="2"/>
        <v>2340122</v>
      </c>
      <c r="O26" s="203"/>
      <c r="P26" s="248">
        <f t="shared" si="3"/>
        <v>3346374.46</v>
      </c>
      <c r="Q26" s="203"/>
    </row>
    <row r="27" spans="2:17" ht="15.75" x14ac:dyDescent="0.25">
      <c r="B27" s="243" t="s">
        <v>131</v>
      </c>
      <c r="C27" s="203"/>
      <c r="D27" s="265">
        <f>'11. RTSR - Historical Wholesale'!D26</f>
        <v>1109138</v>
      </c>
      <c r="E27" s="266">
        <f t="shared" si="4"/>
        <v>3.78</v>
      </c>
      <c r="F27" s="267">
        <f t="shared" si="0"/>
        <v>4192541.6399999997</v>
      </c>
      <c r="G27" s="203"/>
      <c r="H27" s="265">
        <f>'11. RTSR - Historical Wholesale'!H26</f>
        <v>1172206</v>
      </c>
      <c r="I27" s="266">
        <f t="shared" si="5"/>
        <v>0.86</v>
      </c>
      <c r="J27" s="267">
        <f t="shared" si="1"/>
        <v>1008097.16</v>
      </c>
      <c r="K27" s="203"/>
      <c r="L27" s="265">
        <f>'11. RTSR - Historical Wholesale'!L26</f>
        <v>1172206</v>
      </c>
      <c r="M27" s="266">
        <f t="shared" si="6"/>
        <v>2</v>
      </c>
      <c r="N27" s="267">
        <f t="shared" si="2"/>
        <v>2344412</v>
      </c>
      <c r="O27" s="203"/>
      <c r="P27" s="248">
        <f t="shared" si="3"/>
        <v>3352509.16</v>
      </c>
      <c r="Q27" s="203"/>
    </row>
    <row r="28" spans="2:17" ht="15.75" x14ac:dyDescent="0.25">
      <c r="B28" s="243" t="s">
        <v>132</v>
      </c>
      <c r="C28" s="203"/>
      <c r="D28" s="265">
        <f>'11. RTSR - Historical Wholesale'!D27</f>
        <v>1118697</v>
      </c>
      <c r="E28" s="266">
        <f t="shared" si="4"/>
        <v>3.78</v>
      </c>
      <c r="F28" s="267">
        <f t="shared" si="0"/>
        <v>4228674.66</v>
      </c>
      <c r="G28" s="203"/>
      <c r="H28" s="265">
        <f>'11. RTSR - Historical Wholesale'!H27</f>
        <v>1191336</v>
      </c>
      <c r="I28" s="266">
        <f t="shared" si="5"/>
        <v>0.86</v>
      </c>
      <c r="J28" s="267">
        <f t="shared" si="1"/>
        <v>1024548.96</v>
      </c>
      <c r="K28" s="203"/>
      <c r="L28" s="265">
        <f>'11. RTSR - Historical Wholesale'!L27</f>
        <v>1191336</v>
      </c>
      <c r="M28" s="266">
        <f t="shared" si="6"/>
        <v>2</v>
      </c>
      <c r="N28" s="267">
        <f t="shared" si="2"/>
        <v>2382672</v>
      </c>
      <c r="O28" s="203"/>
      <c r="P28" s="248">
        <f t="shared" si="3"/>
        <v>3407220.96</v>
      </c>
      <c r="Q28" s="203"/>
    </row>
    <row r="29" spans="2:17" ht="15.75" x14ac:dyDescent="0.25">
      <c r="B29" s="243" t="s">
        <v>133</v>
      </c>
      <c r="C29" s="203"/>
      <c r="D29" s="265">
        <f>'11. RTSR - Historical Wholesale'!D28</f>
        <v>779641</v>
      </c>
      <c r="E29" s="266">
        <f t="shared" si="4"/>
        <v>3.78</v>
      </c>
      <c r="F29" s="267">
        <f t="shared" si="0"/>
        <v>2947042.98</v>
      </c>
      <c r="G29" s="203"/>
      <c r="H29" s="265">
        <f>'11. RTSR - Historical Wholesale'!H28</f>
        <v>861075</v>
      </c>
      <c r="I29" s="266">
        <f t="shared" si="5"/>
        <v>0.86</v>
      </c>
      <c r="J29" s="267">
        <f t="shared" si="1"/>
        <v>740524.5</v>
      </c>
      <c r="K29" s="203"/>
      <c r="L29" s="265">
        <f>'11. RTSR - Historical Wholesale'!L28</f>
        <v>861075</v>
      </c>
      <c r="M29" s="266">
        <f t="shared" si="6"/>
        <v>2</v>
      </c>
      <c r="N29" s="267">
        <f t="shared" si="2"/>
        <v>1722150</v>
      </c>
      <c r="O29" s="203"/>
      <c r="P29" s="248">
        <f t="shared" si="3"/>
        <v>2462674.5</v>
      </c>
      <c r="Q29" s="203"/>
    </row>
    <row r="30" spans="2:17" ht="15.75" x14ac:dyDescent="0.25">
      <c r="B30" s="243" t="s">
        <v>134</v>
      </c>
      <c r="C30" s="203"/>
      <c r="D30" s="265">
        <f>'11. RTSR - Historical Wholesale'!D29</f>
        <v>883586</v>
      </c>
      <c r="E30" s="266">
        <f t="shared" si="4"/>
        <v>3.78</v>
      </c>
      <c r="F30" s="267">
        <f t="shared" si="0"/>
        <v>3339955.0799999996</v>
      </c>
      <c r="G30" s="203"/>
      <c r="H30" s="265">
        <f>'11. RTSR - Historical Wholesale'!H29</f>
        <v>924602</v>
      </c>
      <c r="I30" s="266">
        <f t="shared" si="5"/>
        <v>0.86</v>
      </c>
      <c r="J30" s="267">
        <f t="shared" si="1"/>
        <v>795157.72</v>
      </c>
      <c r="K30" s="203"/>
      <c r="L30" s="265">
        <f>'11. RTSR - Historical Wholesale'!L29</f>
        <v>924602</v>
      </c>
      <c r="M30" s="266">
        <f t="shared" si="6"/>
        <v>2</v>
      </c>
      <c r="N30" s="267">
        <f t="shared" si="2"/>
        <v>1849204</v>
      </c>
      <c r="O30" s="203"/>
      <c r="P30" s="248">
        <f t="shared" si="3"/>
        <v>2644361.7199999997</v>
      </c>
      <c r="Q30" s="203"/>
    </row>
    <row r="31" spans="2:17" ht="15.75" x14ac:dyDescent="0.25">
      <c r="B31" s="243" t="s">
        <v>135</v>
      </c>
      <c r="C31" s="203"/>
      <c r="D31" s="265">
        <f>'11. RTSR - Historical Wholesale'!D30</f>
        <v>898361</v>
      </c>
      <c r="E31" s="266">
        <f t="shared" si="4"/>
        <v>3.78</v>
      </c>
      <c r="F31" s="267">
        <f t="shared" si="0"/>
        <v>3395804.5799999996</v>
      </c>
      <c r="G31" s="203"/>
      <c r="H31" s="265">
        <f>'11. RTSR - Historical Wholesale'!H30</f>
        <v>951832</v>
      </c>
      <c r="I31" s="266">
        <f t="shared" si="5"/>
        <v>0.86</v>
      </c>
      <c r="J31" s="267">
        <f t="shared" si="1"/>
        <v>818575.52</v>
      </c>
      <c r="K31" s="203"/>
      <c r="L31" s="265">
        <f>'11. RTSR - Historical Wholesale'!L30</f>
        <v>951832</v>
      </c>
      <c r="M31" s="266">
        <f t="shared" si="6"/>
        <v>2</v>
      </c>
      <c r="N31" s="267">
        <f t="shared" si="2"/>
        <v>1903664</v>
      </c>
      <c r="O31" s="203"/>
      <c r="P31" s="248">
        <f t="shared" si="3"/>
        <v>2722239.52</v>
      </c>
      <c r="Q31" s="203"/>
    </row>
    <row r="32" spans="2:17" x14ac:dyDescent="0.2">
      <c r="B32" s="203"/>
      <c r="C32" s="203"/>
      <c r="D32" s="203"/>
      <c r="E32" s="203"/>
      <c r="F32" s="203"/>
      <c r="G32" s="203"/>
      <c r="H32" s="203"/>
      <c r="I32" s="203"/>
      <c r="J32" s="203"/>
      <c r="K32" s="203"/>
      <c r="L32" s="203"/>
      <c r="M32" s="203"/>
      <c r="N32" s="203"/>
      <c r="O32" s="203"/>
      <c r="P32" s="203"/>
      <c r="Q32" s="203"/>
    </row>
    <row r="33" spans="2:17" ht="19.5" thickBot="1" x14ac:dyDescent="0.35">
      <c r="B33" s="249" t="s">
        <v>24</v>
      </c>
      <c r="C33" s="203"/>
      <c r="D33" s="250">
        <f>SUM(D20:D31)</f>
        <v>11761634</v>
      </c>
      <c r="E33" s="251">
        <f>IF(D33&lt;&gt;0,F33/D33,0)</f>
        <v>3.78</v>
      </c>
      <c r="F33" s="252">
        <f>SUM(F20:F31)</f>
        <v>44458976.519999996</v>
      </c>
      <c r="G33" s="203"/>
      <c r="H33" s="250">
        <f>SUM(H20:H31)</f>
        <v>12467062</v>
      </c>
      <c r="I33" s="251">
        <f>IF(H33&lt;&gt;0,J33/H33,0)</f>
        <v>0.85999999999999988</v>
      </c>
      <c r="J33" s="252">
        <f>SUM(J20:J31)</f>
        <v>10721673.319999998</v>
      </c>
      <c r="K33" s="203"/>
      <c r="L33" s="250">
        <f>SUM(L20:L31)</f>
        <v>12467062</v>
      </c>
      <c r="M33" s="251">
        <f>IF(L33&lt;&gt;0,N33/L33,0)</f>
        <v>2</v>
      </c>
      <c r="N33" s="252">
        <f>SUM(N20:N31)</f>
        <v>24934124</v>
      </c>
      <c r="O33" s="203"/>
      <c r="P33" s="252">
        <f>SUM(P20:P31)</f>
        <v>35655797.32</v>
      </c>
      <c r="Q33" s="203"/>
    </row>
    <row r="34" spans="2:17" x14ac:dyDescent="0.2">
      <c r="B34" s="203"/>
      <c r="C34" s="203"/>
      <c r="D34" s="203"/>
      <c r="E34" s="203"/>
      <c r="F34" s="203"/>
      <c r="G34" s="203"/>
      <c r="H34" s="203"/>
      <c r="I34" s="203"/>
      <c r="J34" s="203"/>
      <c r="K34" s="203"/>
      <c r="L34" s="203"/>
      <c r="M34" s="203"/>
      <c r="N34" s="203"/>
      <c r="O34" s="203"/>
      <c r="P34" s="203"/>
      <c r="Q34" s="203"/>
    </row>
    <row r="35" spans="2:17" ht="15.75" x14ac:dyDescent="0.2">
      <c r="B35" s="236" t="s">
        <v>239</v>
      </c>
      <c r="C35" s="203"/>
      <c r="D35" s="728" t="s">
        <v>232</v>
      </c>
      <c r="E35" s="728"/>
      <c r="F35" s="728"/>
      <c r="G35" s="237"/>
      <c r="H35" s="728" t="s">
        <v>233</v>
      </c>
      <c r="I35" s="728"/>
      <c r="J35" s="728"/>
      <c r="K35" s="237"/>
      <c r="L35" s="728" t="s">
        <v>234</v>
      </c>
      <c r="M35" s="728"/>
      <c r="N35" s="728"/>
      <c r="O35" s="237"/>
      <c r="P35" s="236" t="s">
        <v>235</v>
      </c>
      <c r="Q35" s="203"/>
    </row>
    <row r="36" spans="2:17" ht="16.5" x14ac:dyDescent="0.3">
      <c r="B36" s="240"/>
      <c r="C36" s="241"/>
      <c r="D36" s="242"/>
      <c r="E36" s="242"/>
      <c r="F36" s="242"/>
      <c r="G36" s="241"/>
      <c r="H36" s="242"/>
      <c r="I36" s="242"/>
      <c r="J36" s="242"/>
      <c r="K36" s="241"/>
      <c r="L36" s="242"/>
      <c r="M36" s="242"/>
      <c r="N36" s="242"/>
      <c r="O36" s="241"/>
      <c r="P36" s="242"/>
      <c r="Q36" s="203"/>
    </row>
    <row r="37" spans="2:17" ht="16.5" x14ac:dyDescent="0.3">
      <c r="B37" s="240" t="s">
        <v>236</v>
      </c>
      <c r="C37" s="241"/>
      <c r="D37" s="242" t="s">
        <v>237</v>
      </c>
      <c r="E37" s="242" t="s">
        <v>188</v>
      </c>
      <c r="F37" s="242" t="s">
        <v>238</v>
      </c>
      <c r="G37" s="241"/>
      <c r="H37" s="242" t="s">
        <v>237</v>
      </c>
      <c r="I37" s="242" t="s">
        <v>188</v>
      </c>
      <c r="J37" s="242" t="s">
        <v>238</v>
      </c>
      <c r="K37" s="241"/>
      <c r="L37" s="242" t="s">
        <v>237</v>
      </c>
      <c r="M37" s="242" t="s">
        <v>188</v>
      </c>
      <c r="N37" s="242" t="s">
        <v>238</v>
      </c>
      <c r="O37" s="241"/>
      <c r="P37" s="242" t="s">
        <v>238</v>
      </c>
      <c r="Q37" s="203"/>
    </row>
    <row r="38" spans="2:17" x14ac:dyDescent="0.2">
      <c r="B38" s="203"/>
      <c r="C38" s="203"/>
      <c r="D38" s="203"/>
      <c r="E38" s="203"/>
      <c r="F38" s="203"/>
      <c r="G38" s="203"/>
      <c r="H38" s="203"/>
      <c r="I38" s="203"/>
      <c r="J38" s="203"/>
      <c r="K38" s="203"/>
      <c r="L38" s="203"/>
      <c r="M38" s="203"/>
      <c r="N38" s="203"/>
      <c r="O38" s="203"/>
      <c r="P38" s="203"/>
      <c r="Q38" s="203"/>
    </row>
    <row r="39" spans="2:17" ht="15.75" x14ac:dyDescent="0.25">
      <c r="B39" s="243" t="s">
        <v>124</v>
      </c>
      <c r="C39" s="203"/>
      <c r="D39" s="265">
        <f>'11. RTSR - Historical Wholesale'!D38</f>
        <v>181738.76160990712</v>
      </c>
      <c r="E39" s="266">
        <f>'10. RTSR - UTR''s and Sub-tx'!I35+'10. RTSR - UTR''s and Sub-tx'!I79</f>
        <v>3.4121000000000001</v>
      </c>
      <c r="F39" s="267">
        <f t="shared" ref="F39:F50" si="7">D39*E39</f>
        <v>620110.82848916412</v>
      </c>
      <c r="G39" s="203"/>
      <c r="H39" s="265">
        <f>'11. RTSR - Historical Wholesale'!H38</f>
        <v>154698.69162995595</v>
      </c>
      <c r="I39" s="266">
        <f>'10. RTSR - UTR''s and Sub-tx'!I37+'10. RTSR - UTR''s and Sub-tx'!I81</f>
        <v>0.78790000000000004</v>
      </c>
      <c r="J39" s="267">
        <f t="shared" ref="J39:J50" si="8">H39*I39</f>
        <v>121887.0991352423</v>
      </c>
      <c r="K39" s="203"/>
      <c r="L39" s="265">
        <f>'11. RTSR - Historical Wholesale'!L38</f>
        <v>182170.30274106708</v>
      </c>
      <c r="M39" s="266">
        <f>'10. RTSR - UTR''s and Sub-tx'!I39</f>
        <v>1.8018000000000001</v>
      </c>
      <c r="N39" s="267">
        <f t="shared" ref="N39:N50" si="9">L39*M39</f>
        <v>328234.45147885469</v>
      </c>
      <c r="O39" s="203"/>
      <c r="P39" s="248">
        <f t="shared" ref="P39:P50" si="10">J39+N39</f>
        <v>450121.55061409698</v>
      </c>
      <c r="Q39" s="203"/>
    </row>
    <row r="40" spans="2:17" ht="15.75" x14ac:dyDescent="0.25">
      <c r="B40" s="243" t="s">
        <v>125</v>
      </c>
      <c r="C40" s="203"/>
      <c r="D40" s="265">
        <f>'11. RTSR - Historical Wholesale'!D39</f>
        <v>192557.33126934984</v>
      </c>
      <c r="E40" s="266">
        <f t="shared" ref="E40:E50" si="11">E39</f>
        <v>3.4121000000000001</v>
      </c>
      <c r="F40" s="267">
        <f t="shared" si="7"/>
        <v>657024.87002414861</v>
      </c>
      <c r="G40" s="203"/>
      <c r="H40" s="265">
        <f>'11. RTSR - Historical Wholesale'!H39</f>
        <v>165682.74449339206</v>
      </c>
      <c r="I40" s="266">
        <f t="shared" ref="I40:I50" si="12">I39</f>
        <v>0.78790000000000004</v>
      </c>
      <c r="J40" s="267">
        <f t="shared" si="8"/>
        <v>130541.43438634361</v>
      </c>
      <c r="K40" s="203"/>
      <c r="L40" s="265">
        <f>'11. RTSR - Historical Wholesale'!L39</f>
        <v>192652.73214771305</v>
      </c>
      <c r="M40" s="266">
        <f t="shared" ref="M40:M50" si="13">M39</f>
        <v>1.8018000000000001</v>
      </c>
      <c r="N40" s="267">
        <f t="shared" si="9"/>
        <v>347121.69278374937</v>
      </c>
      <c r="O40" s="203"/>
      <c r="P40" s="248">
        <f t="shared" si="10"/>
        <v>477663.12717009301</v>
      </c>
      <c r="Q40" s="203"/>
    </row>
    <row r="41" spans="2:17" ht="15.75" x14ac:dyDescent="0.25">
      <c r="B41" s="243" t="s">
        <v>126</v>
      </c>
      <c r="C41" s="203"/>
      <c r="D41" s="265">
        <f>'11. RTSR - Historical Wholesale'!D40</f>
        <v>202602.33126934984</v>
      </c>
      <c r="E41" s="266">
        <f t="shared" si="11"/>
        <v>3.4121000000000001</v>
      </c>
      <c r="F41" s="267">
        <f t="shared" si="7"/>
        <v>691299.41452414868</v>
      </c>
      <c r="G41" s="203"/>
      <c r="H41" s="265">
        <f>'11. RTSR - Historical Wholesale'!H40</f>
        <v>180392.2907488987</v>
      </c>
      <c r="I41" s="266">
        <f t="shared" si="12"/>
        <v>0.78790000000000004</v>
      </c>
      <c r="J41" s="267">
        <f t="shared" si="8"/>
        <v>142131.08588105728</v>
      </c>
      <c r="K41" s="203"/>
      <c r="L41" s="265">
        <f>'11. RTSR - Historical Wholesale'!L40</f>
        <v>206621.5006254419</v>
      </c>
      <c r="M41" s="266">
        <f t="shared" si="13"/>
        <v>1.8018000000000001</v>
      </c>
      <c r="N41" s="267">
        <f t="shared" si="9"/>
        <v>372290.6198269212</v>
      </c>
      <c r="O41" s="203"/>
      <c r="P41" s="248">
        <f t="shared" si="10"/>
        <v>514421.70570797846</v>
      </c>
      <c r="Q41" s="203"/>
    </row>
    <row r="42" spans="2:17" ht="15.75" x14ac:dyDescent="0.25">
      <c r="B42" s="243" t="s">
        <v>127</v>
      </c>
      <c r="C42" s="203"/>
      <c r="D42" s="265">
        <f>'11. RTSR - Historical Wholesale'!D41</f>
        <v>166540.60061919506</v>
      </c>
      <c r="E42" s="266">
        <f t="shared" si="11"/>
        <v>3.4121000000000001</v>
      </c>
      <c r="F42" s="267">
        <f t="shared" si="7"/>
        <v>568253.18337275553</v>
      </c>
      <c r="G42" s="203"/>
      <c r="H42" s="265">
        <f>'11. RTSR - Historical Wholesale'!H41</f>
        <v>144559.44052863435</v>
      </c>
      <c r="I42" s="266">
        <f t="shared" si="12"/>
        <v>0.78790000000000004</v>
      </c>
      <c r="J42" s="267">
        <f t="shared" si="8"/>
        <v>113898.38319251101</v>
      </c>
      <c r="K42" s="203"/>
      <c r="L42" s="265">
        <f>'11. RTSR - Historical Wholesale'!L41</f>
        <v>168920.52077554795</v>
      </c>
      <c r="M42" s="266">
        <f t="shared" si="13"/>
        <v>1.8018000000000001</v>
      </c>
      <c r="N42" s="267">
        <f t="shared" si="9"/>
        <v>304360.99433338229</v>
      </c>
      <c r="O42" s="203"/>
      <c r="P42" s="248">
        <f t="shared" si="10"/>
        <v>418259.37752589327</v>
      </c>
      <c r="Q42" s="203"/>
    </row>
    <row r="43" spans="2:17" ht="15.75" x14ac:dyDescent="0.25">
      <c r="B43" s="243" t="s">
        <v>128</v>
      </c>
      <c r="C43" s="203"/>
      <c r="D43" s="265">
        <f>'11. RTSR - Historical Wholesale'!D42</f>
        <v>175339.23219814239</v>
      </c>
      <c r="E43" s="266">
        <f t="shared" si="11"/>
        <v>3.4121000000000001</v>
      </c>
      <c r="F43" s="267">
        <f t="shared" si="7"/>
        <v>598274.99418328167</v>
      </c>
      <c r="G43" s="203"/>
      <c r="H43" s="265">
        <f>'11. RTSR - Historical Wholesale'!H42</f>
        <v>149643.2907488987</v>
      </c>
      <c r="I43" s="266">
        <f t="shared" si="12"/>
        <v>0.78790000000000004</v>
      </c>
      <c r="J43" s="267">
        <f t="shared" si="8"/>
        <v>117903.94878105729</v>
      </c>
      <c r="K43" s="203"/>
      <c r="L43" s="265">
        <f>'11. RTSR - Historical Wholesale'!L42</f>
        <v>175339.22902050364</v>
      </c>
      <c r="M43" s="266">
        <f t="shared" si="13"/>
        <v>1.8018000000000001</v>
      </c>
      <c r="N43" s="267">
        <f t="shared" si="9"/>
        <v>315926.22284914349</v>
      </c>
      <c r="O43" s="203"/>
      <c r="P43" s="248">
        <f t="shared" si="10"/>
        <v>433830.17163020081</v>
      </c>
      <c r="Q43" s="203"/>
    </row>
    <row r="44" spans="2:17" ht="15.75" x14ac:dyDescent="0.25">
      <c r="B44" s="243" t="s">
        <v>129</v>
      </c>
      <c r="C44" s="203"/>
      <c r="D44" s="265">
        <f>'11. RTSR - Historical Wholesale'!D43</f>
        <v>190788.86068111454</v>
      </c>
      <c r="E44" s="266">
        <f t="shared" si="11"/>
        <v>3.4121000000000001</v>
      </c>
      <c r="F44" s="267">
        <f t="shared" si="7"/>
        <v>650990.67153003102</v>
      </c>
      <c r="G44" s="203"/>
      <c r="H44" s="265">
        <f>'11. RTSR - Historical Wholesale'!H43</f>
        <v>165636.79295154184</v>
      </c>
      <c r="I44" s="266">
        <f t="shared" si="12"/>
        <v>0.78790000000000004</v>
      </c>
      <c r="J44" s="267">
        <f t="shared" si="8"/>
        <v>130505.22916651981</v>
      </c>
      <c r="K44" s="203"/>
      <c r="L44" s="265">
        <f>'11. RTSR - Historical Wholesale'!L43</f>
        <v>191707.29295154184</v>
      </c>
      <c r="M44" s="266">
        <f t="shared" si="13"/>
        <v>1.8018000000000001</v>
      </c>
      <c r="N44" s="267">
        <f t="shared" si="9"/>
        <v>345418.20044008811</v>
      </c>
      <c r="O44" s="203"/>
      <c r="P44" s="248">
        <f t="shared" si="10"/>
        <v>475923.42960660794</v>
      </c>
      <c r="Q44" s="203"/>
    </row>
    <row r="45" spans="2:17" ht="15.75" x14ac:dyDescent="0.25">
      <c r="B45" s="243" t="s">
        <v>130</v>
      </c>
      <c r="C45" s="203"/>
      <c r="D45" s="265">
        <f>'11. RTSR - Historical Wholesale'!D44</f>
        <v>204732.9907120743</v>
      </c>
      <c r="E45" s="266">
        <f t="shared" si="11"/>
        <v>3.4121000000000001</v>
      </c>
      <c r="F45" s="267">
        <f t="shared" si="7"/>
        <v>698569.4376086687</v>
      </c>
      <c r="G45" s="203"/>
      <c r="H45" s="265">
        <f>'11. RTSR - Historical Wholesale'!H44</f>
        <v>188738.39647577092</v>
      </c>
      <c r="I45" s="266">
        <f t="shared" si="12"/>
        <v>0.78790000000000004</v>
      </c>
      <c r="J45" s="267">
        <f t="shared" si="8"/>
        <v>148706.9825832599</v>
      </c>
      <c r="K45" s="203"/>
      <c r="L45" s="265">
        <f>'11. RTSR - Historical Wholesale'!L44</f>
        <v>213299.72363626474</v>
      </c>
      <c r="M45" s="266">
        <f t="shared" si="13"/>
        <v>1.8018000000000001</v>
      </c>
      <c r="N45" s="267">
        <f t="shared" si="9"/>
        <v>384323.44204782182</v>
      </c>
      <c r="O45" s="203"/>
      <c r="P45" s="248">
        <f t="shared" si="10"/>
        <v>533030.42463108175</v>
      </c>
      <c r="Q45" s="203"/>
    </row>
    <row r="46" spans="2:17" ht="15.75" x14ac:dyDescent="0.25">
      <c r="B46" s="243" t="s">
        <v>131</v>
      </c>
      <c r="C46" s="203"/>
      <c r="D46" s="265">
        <f>'11. RTSR - Historical Wholesale'!D45</f>
        <v>213424.959752322</v>
      </c>
      <c r="E46" s="266">
        <f t="shared" si="11"/>
        <v>3.4121000000000001</v>
      </c>
      <c r="F46" s="267">
        <f t="shared" si="7"/>
        <v>728227.30517089798</v>
      </c>
      <c r="G46" s="203"/>
      <c r="H46" s="265">
        <f>'11. RTSR - Historical Wholesale'!H45</f>
        <v>190968.84140969161</v>
      </c>
      <c r="I46" s="266">
        <f t="shared" si="12"/>
        <v>0.78790000000000004</v>
      </c>
      <c r="J46" s="267">
        <f t="shared" si="8"/>
        <v>150464.35014669603</v>
      </c>
      <c r="K46" s="203"/>
      <c r="L46" s="265">
        <f>'11. RTSR - Historical Wholesale'!L45</f>
        <v>217387.77968129655</v>
      </c>
      <c r="M46" s="266">
        <f t="shared" si="13"/>
        <v>1.8018000000000001</v>
      </c>
      <c r="N46" s="267">
        <f t="shared" si="9"/>
        <v>391689.30142976012</v>
      </c>
      <c r="O46" s="203"/>
      <c r="P46" s="248">
        <f t="shared" si="10"/>
        <v>542153.65157645615</v>
      </c>
      <c r="Q46" s="203"/>
    </row>
    <row r="47" spans="2:17" ht="15.75" x14ac:dyDescent="0.25">
      <c r="B47" s="243" t="s">
        <v>132</v>
      </c>
      <c r="C47" s="203"/>
      <c r="D47" s="265">
        <f>'11. RTSR - Historical Wholesale'!D46</f>
        <v>174637.5882352941</v>
      </c>
      <c r="E47" s="266">
        <f t="shared" si="11"/>
        <v>3.4121000000000001</v>
      </c>
      <c r="F47" s="267">
        <f t="shared" si="7"/>
        <v>595880.91481764696</v>
      </c>
      <c r="G47" s="203"/>
      <c r="H47" s="265">
        <f>'11. RTSR - Historical Wholesale'!H46</f>
        <v>182639.75770925111</v>
      </c>
      <c r="I47" s="266">
        <f t="shared" si="12"/>
        <v>0.78790000000000004</v>
      </c>
      <c r="J47" s="267">
        <f t="shared" si="8"/>
        <v>143901.86509911896</v>
      </c>
      <c r="K47" s="203"/>
      <c r="L47" s="265">
        <f>'11. RTSR - Historical Wholesale'!L46</f>
        <v>205793.03548702889</v>
      </c>
      <c r="M47" s="266">
        <f t="shared" si="13"/>
        <v>1.8018000000000001</v>
      </c>
      <c r="N47" s="267">
        <f t="shared" si="9"/>
        <v>370797.89134052867</v>
      </c>
      <c r="O47" s="203"/>
      <c r="P47" s="248">
        <f t="shared" si="10"/>
        <v>514699.75643964764</v>
      </c>
      <c r="Q47" s="203"/>
    </row>
    <row r="48" spans="2:17" ht="15.75" x14ac:dyDescent="0.25">
      <c r="B48" s="243" t="s">
        <v>133</v>
      </c>
      <c r="C48" s="203"/>
      <c r="D48" s="265">
        <f>'11. RTSR - Historical Wholesale'!D47</f>
        <v>188731.26315789475</v>
      </c>
      <c r="E48" s="266">
        <f t="shared" si="11"/>
        <v>3.4121000000000001</v>
      </c>
      <c r="F48" s="267">
        <f t="shared" si="7"/>
        <v>643969.94302105275</v>
      </c>
      <c r="G48" s="203"/>
      <c r="H48" s="265">
        <f>'11. RTSR - Historical Wholesale'!H47</f>
        <v>166409.66960352423</v>
      </c>
      <c r="I48" s="266">
        <f t="shared" si="12"/>
        <v>0.78790000000000004</v>
      </c>
      <c r="J48" s="267">
        <f t="shared" si="8"/>
        <v>131114.17868061675</v>
      </c>
      <c r="K48" s="203"/>
      <c r="L48" s="265">
        <f>'11. RTSR - Historical Wholesale'!L47</f>
        <v>189008.65108500572</v>
      </c>
      <c r="M48" s="266">
        <f t="shared" si="13"/>
        <v>1.8018000000000001</v>
      </c>
      <c r="N48" s="267">
        <f t="shared" si="9"/>
        <v>340555.78752496332</v>
      </c>
      <c r="O48" s="203"/>
      <c r="P48" s="248">
        <f t="shared" si="10"/>
        <v>471669.96620558004</v>
      </c>
      <c r="Q48" s="203"/>
    </row>
    <row r="49" spans="2:17" ht="15.75" x14ac:dyDescent="0.25">
      <c r="B49" s="243" t="s">
        <v>134</v>
      </c>
      <c r="C49" s="203"/>
      <c r="D49" s="265">
        <f>'11. RTSR - Historical Wholesale'!D48</f>
        <v>185233.22910216718</v>
      </c>
      <c r="E49" s="266">
        <f t="shared" si="11"/>
        <v>3.4121000000000001</v>
      </c>
      <c r="F49" s="267">
        <f t="shared" si="7"/>
        <v>632034.30101950467</v>
      </c>
      <c r="G49" s="203"/>
      <c r="H49" s="265">
        <f>'11. RTSR - Historical Wholesale'!H48</f>
        <v>160720.7488986784</v>
      </c>
      <c r="I49" s="266">
        <f t="shared" si="12"/>
        <v>0.78790000000000004</v>
      </c>
      <c r="J49" s="267">
        <f t="shared" si="8"/>
        <v>126631.87805726872</v>
      </c>
      <c r="K49" s="203"/>
      <c r="L49" s="265">
        <f>'11. RTSR - Historical Wholesale'!L48</f>
        <v>185727.89087398705</v>
      </c>
      <c r="M49" s="266">
        <f t="shared" si="13"/>
        <v>1.8018000000000001</v>
      </c>
      <c r="N49" s="267">
        <f t="shared" si="9"/>
        <v>334644.5137767499</v>
      </c>
      <c r="O49" s="203"/>
      <c r="P49" s="248">
        <f t="shared" si="10"/>
        <v>461276.39183401864</v>
      </c>
      <c r="Q49" s="203"/>
    </row>
    <row r="50" spans="2:17" ht="15.75" x14ac:dyDescent="0.25">
      <c r="B50" s="243" t="s">
        <v>135</v>
      </c>
      <c r="C50" s="203"/>
      <c r="D50" s="265">
        <f>'11. RTSR - Historical Wholesale'!D49</f>
        <v>217217.4303405573</v>
      </c>
      <c r="E50" s="266">
        <f t="shared" si="11"/>
        <v>3.4121000000000001</v>
      </c>
      <c r="F50" s="267">
        <f t="shared" si="7"/>
        <v>741167.59406501555</v>
      </c>
      <c r="G50" s="203"/>
      <c r="H50" s="265">
        <f>'11. RTSR - Historical Wholesale'!H49</f>
        <v>191453.65198237885</v>
      </c>
      <c r="I50" s="266">
        <f t="shared" si="12"/>
        <v>0.78790000000000004</v>
      </c>
      <c r="J50" s="267">
        <f t="shared" si="8"/>
        <v>150846.33239691632</v>
      </c>
      <c r="K50" s="203"/>
      <c r="L50" s="265">
        <f>'11. RTSR - Historical Wholesale'!L49</f>
        <v>217217.42976015664</v>
      </c>
      <c r="M50" s="266">
        <f t="shared" si="13"/>
        <v>1.8018000000000001</v>
      </c>
      <c r="N50" s="267">
        <f t="shared" si="9"/>
        <v>391382.36494185025</v>
      </c>
      <c r="O50" s="203"/>
      <c r="P50" s="248">
        <f t="shared" si="10"/>
        <v>542228.69733876653</v>
      </c>
      <c r="Q50" s="203"/>
    </row>
    <row r="51" spans="2:17" x14ac:dyDescent="0.2">
      <c r="B51" s="203"/>
      <c r="C51" s="203"/>
      <c r="D51" s="203"/>
      <c r="E51" s="203"/>
      <c r="F51" s="203"/>
      <c r="G51" s="203"/>
      <c r="H51" s="203"/>
      <c r="I51" s="203"/>
      <c r="J51" s="203"/>
      <c r="K51" s="203"/>
      <c r="L51" s="203"/>
      <c r="M51" s="203"/>
      <c r="N51" s="203"/>
      <c r="O51" s="203"/>
      <c r="P51" s="203"/>
      <c r="Q51" s="203"/>
    </row>
    <row r="52" spans="2:17" ht="19.5" thickBot="1" x14ac:dyDescent="0.35">
      <c r="B52" s="249" t="s">
        <v>24</v>
      </c>
      <c r="C52" s="203"/>
      <c r="D52" s="250">
        <f>SUM(D39:D50)</f>
        <v>2293544.5789473685</v>
      </c>
      <c r="E52" s="251">
        <f>IF(D52&lt;&gt;0,F52/D52,0)</f>
        <v>3.4121000000000001</v>
      </c>
      <c r="F52" s="252">
        <f>SUM(F39:F50)</f>
        <v>7825803.4578263164</v>
      </c>
      <c r="G52" s="203"/>
      <c r="H52" s="250">
        <f>SUM(H39:H50)</f>
        <v>2041544.3171806168</v>
      </c>
      <c r="I52" s="251">
        <f>IF(H52&lt;&gt;0,J52/H52,0)</f>
        <v>0.78790000000000004</v>
      </c>
      <c r="J52" s="252">
        <f>SUM(J39:J50)</f>
        <v>1608532.767506608</v>
      </c>
      <c r="K52" s="203"/>
      <c r="L52" s="250">
        <f>SUM(L39:L50)</f>
        <v>2345846.0887855552</v>
      </c>
      <c r="M52" s="251">
        <f>IF(L52&lt;&gt;0,N52/L52,0)</f>
        <v>1.8017999999999996</v>
      </c>
      <c r="N52" s="252">
        <f>SUM(N39:N50)</f>
        <v>4226745.4827738125</v>
      </c>
      <c r="O52" s="203"/>
      <c r="P52" s="252">
        <f>SUM(P39:P50)</f>
        <v>5835278.2502804222</v>
      </c>
      <c r="Q52" s="203"/>
    </row>
    <row r="53" spans="2:17" x14ac:dyDescent="0.2">
      <c r="B53" s="203"/>
      <c r="C53" s="203"/>
      <c r="D53" s="203"/>
      <c r="E53" s="203"/>
      <c r="F53" s="203"/>
      <c r="G53" s="203"/>
      <c r="H53" s="203"/>
      <c r="I53" s="203"/>
      <c r="J53" s="203"/>
      <c r="K53" s="203"/>
      <c r="L53" s="203"/>
      <c r="M53" s="203"/>
      <c r="N53" s="203"/>
      <c r="O53" s="203"/>
      <c r="P53" s="203"/>
      <c r="Q53" s="203"/>
    </row>
    <row r="54" spans="2:17" ht="15.75" x14ac:dyDescent="0.2">
      <c r="B54" s="236" t="str">
        <f>'[1]16. RTSR - Historical Wholesale'!B53</f>
        <v>Add Extra Host Here (I)</v>
      </c>
      <c r="C54" s="203"/>
      <c r="D54" s="728" t="s">
        <v>232</v>
      </c>
      <c r="E54" s="728"/>
      <c r="F54" s="728"/>
      <c r="G54" s="237"/>
      <c r="H54" s="728" t="s">
        <v>233</v>
      </c>
      <c r="I54" s="728"/>
      <c r="J54" s="728"/>
      <c r="K54" s="237"/>
      <c r="L54" s="728" t="s">
        <v>234</v>
      </c>
      <c r="M54" s="728"/>
      <c r="N54" s="728"/>
      <c r="O54" s="237"/>
      <c r="P54" s="236" t="s">
        <v>235</v>
      </c>
      <c r="Q54" s="203"/>
    </row>
    <row r="55" spans="2:17" ht="16.5" hidden="1" x14ac:dyDescent="0.3">
      <c r="B55" s="240"/>
      <c r="C55" s="241"/>
      <c r="D55" s="242"/>
      <c r="E55" s="242"/>
      <c r="F55" s="242"/>
      <c r="G55" s="241"/>
      <c r="H55" s="242"/>
      <c r="I55" s="242"/>
      <c r="J55" s="242"/>
      <c r="K55" s="241"/>
      <c r="L55" s="242"/>
      <c r="M55" s="242"/>
      <c r="N55" s="242"/>
      <c r="O55" s="241"/>
      <c r="P55" s="242"/>
      <c r="Q55" s="203"/>
    </row>
    <row r="56" spans="2:17" ht="16.5" hidden="1" x14ac:dyDescent="0.3">
      <c r="B56" s="240" t="s">
        <v>236</v>
      </c>
      <c r="C56" s="241"/>
      <c r="D56" s="242" t="s">
        <v>237</v>
      </c>
      <c r="E56" s="242" t="s">
        <v>188</v>
      </c>
      <c r="F56" s="242" t="s">
        <v>238</v>
      </c>
      <c r="G56" s="241"/>
      <c r="H56" s="242" t="s">
        <v>237</v>
      </c>
      <c r="I56" s="242" t="s">
        <v>188</v>
      </c>
      <c r="J56" s="242" t="s">
        <v>238</v>
      </c>
      <c r="K56" s="241"/>
      <c r="L56" s="242" t="s">
        <v>237</v>
      </c>
      <c r="M56" s="242" t="s">
        <v>188</v>
      </c>
      <c r="N56" s="242" t="s">
        <v>238</v>
      </c>
      <c r="O56" s="241"/>
      <c r="P56" s="242" t="s">
        <v>238</v>
      </c>
      <c r="Q56" s="203"/>
    </row>
    <row r="57" spans="2:17" hidden="1" x14ac:dyDescent="0.2">
      <c r="B57" s="203"/>
      <c r="C57" s="203"/>
      <c r="D57" s="203"/>
      <c r="E57" s="203"/>
      <c r="F57" s="203"/>
      <c r="G57" s="203"/>
      <c r="H57" s="203"/>
      <c r="I57" s="203"/>
      <c r="J57" s="203"/>
      <c r="K57" s="203"/>
      <c r="L57" s="203"/>
      <c r="M57" s="203"/>
      <c r="N57" s="203"/>
      <c r="O57" s="203"/>
      <c r="P57" s="203"/>
      <c r="Q57" s="203"/>
    </row>
    <row r="58" spans="2:17" ht="15.75" hidden="1" x14ac:dyDescent="0.25">
      <c r="B58" s="243" t="s">
        <v>124</v>
      </c>
      <c r="C58" s="203"/>
      <c r="D58" s="265">
        <f>'[1]16. RTSR - Historical Wholesale'!D57</f>
        <v>0</v>
      </c>
      <c r="E58" s="266">
        <f>'[1]15. RTSR - UTRs &amp; Sub-Tx'!I50</f>
        <v>0</v>
      </c>
      <c r="F58" s="267">
        <f t="shared" ref="F58:F69" si="14">D58*E58</f>
        <v>0</v>
      </c>
      <c r="G58" s="203"/>
      <c r="H58" s="265">
        <f>'[1]16. RTSR - Historical Wholesale'!H57</f>
        <v>0</v>
      </c>
      <c r="I58" s="266">
        <f>'[1]15. RTSR - UTRs &amp; Sub-Tx'!I52</f>
        <v>0</v>
      </c>
      <c r="J58" s="267">
        <f t="shared" ref="J58:J69" si="15">H58*I58</f>
        <v>0</v>
      </c>
      <c r="K58" s="203"/>
      <c r="L58" s="265">
        <f>'[1]16. RTSR - Historical Wholesale'!L57</f>
        <v>0</v>
      </c>
      <c r="M58" s="266">
        <f>'[1]15. RTSR - UTRs &amp; Sub-Tx'!I54</f>
        <v>0</v>
      </c>
      <c r="N58" s="267">
        <f t="shared" ref="N58:N69" si="16">L58*M58</f>
        <v>0</v>
      </c>
      <c r="O58" s="203"/>
      <c r="P58" s="248">
        <f t="shared" ref="P58:P69" si="17">J58+N58</f>
        <v>0</v>
      </c>
      <c r="Q58" s="203"/>
    </row>
    <row r="59" spans="2:17" ht="15.75" hidden="1" x14ac:dyDescent="0.25">
      <c r="B59" s="243" t="s">
        <v>125</v>
      </c>
      <c r="C59" s="203"/>
      <c r="D59" s="265">
        <f>'[1]16. RTSR - Historical Wholesale'!D58</f>
        <v>0</v>
      </c>
      <c r="E59" s="266">
        <f t="shared" ref="E59:E69" si="18">E58</f>
        <v>0</v>
      </c>
      <c r="F59" s="267">
        <f t="shared" si="14"/>
        <v>0</v>
      </c>
      <c r="G59" s="203"/>
      <c r="H59" s="265">
        <f>'[1]16. RTSR - Historical Wholesale'!H58</f>
        <v>0</v>
      </c>
      <c r="I59" s="266">
        <f t="shared" ref="I59:I69" si="19">I58</f>
        <v>0</v>
      </c>
      <c r="J59" s="267">
        <f t="shared" si="15"/>
        <v>0</v>
      </c>
      <c r="K59" s="203"/>
      <c r="L59" s="265">
        <f>'[1]16. RTSR - Historical Wholesale'!L58</f>
        <v>0</v>
      </c>
      <c r="M59" s="266">
        <f t="shared" ref="M59:M69" si="20">M58</f>
        <v>0</v>
      </c>
      <c r="N59" s="267">
        <f t="shared" si="16"/>
        <v>0</v>
      </c>
      <c r="O59" s="203"/>
      <c r="P59" s="248">
        <f t="shared" si="17"/>
        <v>0</v>
      </c>
      <c r="Q59" s="203"/>
    </row>
    <row r="60" spans="2:17" ht="15.75" hidden="1" x14ac:dyDescent="0.25">
      <c r="B60" s="243" t="s">
        <v>126</v>
      </c>
      <c r="C60" s="203"/>
      <c r="D60" s="265">
        <f>'[1]16. RTSR - Historical Wholesale'!D59</f>
        <v>0</v>
      </c>
      <c r="E60" s="266">
        <f t="shared" si="18"/>
        <v>0</v>
      </c>
      <c r="F60" s="267">
        <f t="shared" si="14"/>
        <v>0</v>
      </c>
      <c r="G60" s="203"/>
      <c r="H60" s="265">
        <f>'[1]16. RTSR - Historical Wholesale'!H59</f>
        <v>0</v>
      </c>
      <c r="I60" s="266">
        <f t="shared" si="19"/>
        <v>0</v>
      </c>
      <c r="J60" s="267">
        <f t="shared" si="15"/>
        <v>0</v>
      </c>
      <c r="K60" s="203"/>
      <c r="L60" s="265">
        <f>'[1]16. RTSR - Historical Wholesale'!L59</f>
        <v>0</v>
      </c>
      <c r="M60" s="266">
        <f t="shared" si="20"/>
        <v>0</v>
      </c>
      <c r="N60" s="267">
        <f t="shared" si="16"/>
        <v>0</v>
      </c>
      <c r="O60" s="203"/>
      <c r="P60" s="248">
        <f t="shared" si="17"/>
        <v>0</v>
      </c>
      <c r="Q60" s="203"/>
    </row>
    <row r="61" spans="2:17" ht="15.75" hidden="1" x14ac:dyDescent="0.25">
      <c r="B61" s="243" t="s">
        <v>127</v>
      </c>
      <c r="C61" s="203"/>
      <c r="D61" s="265">
        <f>'[1]16. RTSR - Historical Wholesale'!D60</f>
        <v>0</v>
      </c>
      <c r="E61" s="266">
        <f t="shared" si="18"/>
        <v>0</v>
      </c>
      <c r="F61" s="267">
        <f t="shared" si="14"/>
        <v>0</v>
      </c>
      <c r="G61" s="203"/>
      <c r="H61" s="265">
        <f>'[1]16. RTSR - Historical Wholesale'!H60</f>
        <v>0</v>
      </c>
      <c r="I61" s="266">
        <f t="shared" si="19"/>
        <v>0</v>
      </c>
      <c r="J61" s="267">
        <f t="shared" si="15"/>
        <v>0</v>
      </c>
      <c r="K61" s="203"/>
      <c r="L61" s="265">
        <f>'[1]16. RTSR - Historical Wholesale'!L60</f>
        <v>0</v>
      </c>
      <c r="M61" s="266">
        <f t="shared" si="20"/>
        <v>0</v>
      </c>
      <c r="N61" s="267">
        <f t="shared" si="16"/>
        <v>0</v>
      </c>
      <c r="O61" s="203"/>
      <c r="P61" s="248">
        <f t="shared" si="17"/>
        <v>0</v>
      </c>
      <c r="Q61" s="203"/>
    </row>
    <row r="62" spans="2:17" ht="15.75" hidden="1" x14ac:dyDescent="0.25">
      <c r="B62" s="243" t="s">
        <v>128</v>
      </c>
      <c r="C62" s="203"/>
      <c r="D62" s="265">
        <f>'[1]16. RTSR - Historical Wholesale'!D61</f>
        <v>0</v>
      </c>
      <c r="E62" s="266">
        <f t="shared" si="18"/>
        <v>0</v>
      </c>
      <c r="F62" s="267">
        <f t="shared" si="14"/>
        <v>0</v>
      </c>
      <c r="G62" s="203"/>
      <c r="H62" s="265">
        <f>'[1]16. RTSR - Historical Wholesale'!H61</f>
        <v>0</v>
      </c>
      <c r="I62" s="266">
        <f t="shared" si="19"/>
        <v>0</v>
      </c>
      <c r="J62" s="267">
        <f t="shared" si="15"/>
        <v>0</v>
      </c>
      <c r="K62" s="203"/>
      <c r="L62" s="265">
        <f>'[1]16. RTSR - Historical Wholesale'!L61</f>
        <v>0</v>
      </c>
      <c r="M62" s="266">
        <f t="shared" si="20"/>
        <v>0</v>
      </c>
      <c r="N62" s="267">
        <f t="shared" si="16"/>
        <v>0</v>
      </c>
      <c r="O62" s="203"/>
      <c r="P62" s="248">
        <f t="shared" si="17"/>
        <v>0</v>
      </c>
      <c r="Q62" s="203"/>
    </row>
    <row r="63" spans="2:17" ht="15.75" hidden="1" x14ac:dyDescent="0.25">
      <c r="B63" s="243" t="s">
        <v>129</v>
      </c>
      <c r="C63" s="203"/>
      <c r="D63" s="265">
        <f>'[1]16. RTSR - Historical Wholesale'!D62</f>
        <v>0</v>
      </c>
      <c r="E63" s="266">
        <f t="shared" si="18"/>
        <v>0</v>
      </c>
      <c r="F63" s="267">
        <f t="shared" si="14"/>
        <v>0</v>
      </c>
      <c r="G63" s="203"/>
      <c r="H63" s="265">
        <f>'[1]16. RTSR - Historical Wholesale'!H62</f>
        <v>0</v>
      </c>
      <c r="I63" s="266">
        <f t="shared" si="19"/>
        <v>0</v>
      </c>
      <c r="J63" s="267">
        <f t="shared" si="15"/>
        <v>0</v>
      </c>
      <c r="K63" s="203"/>
      <c r="L63" s="265">
        <f>'[1]16. RTSR - Historical Wholesale'!L62</f>
        <v>0</v>
      </c>
      <c r="M63" s="266">
        <f t="shared" si="20"/>
        <v>0</v>
      </c>
      <c r="N63" s="267">
        <f t="shared" si="16"/>
        <v>0</v>
      </c>
      <c r="O63" s="203"/>
      <c r="P63" s="248">
        <f t="shared" si="17"/>
        <v>0</v>
      </c>
      <c r="Q63" s="203"/>
    </row>
    <row r="64" spans="2:17" ht="15.75" hidden="1" x14ac:dyDescent="0.25">
      <c r="B64" s="243" t="s">
        <v>130</v>
      </c>
      <c r="C64" s="203"/>
      <c r="D64" s="265">
        <f>'[1]16. RTSR - Historical Wholesale'!D63</f>
        <v>0</v>
      </c>
      <c r="E64" s="266">
        <f t="shared" si="18"/>
        <v>0</v>
      </c>
      <c r="F64" s="267">
        <f t="shared" si="14"/>
        <v>0</v>
      </c>
      <c r="G64" s="203"/>
      <c r="H64" s="265">
        <f>'[1]16. RTSR - Historical Wholesale'!H63</f>
        <v>0</v>
      </c>
      <c r="I64" s="266">
        <f t="shared" si="19"/>
        <v>0</v>
      </c>
      <c r="J64" s="267">
        <f t="shared" si="15"/>
        <v>0</v>
      </c>
      <c r="K64" s="203"/>
      <c r="L64" s="265">
        <f>'[1]16. RTSR - Historical Wholesale'!L63</f>
        <v>0</v>
      </c>
      <c r="M64" s="266">
        <f t="shared" si="20"/>
        <v>0</v>
      </c>
      <c r="N64" s="267">
        <f t="shared" si="16"/>
        <v>0</v>
      </c>
      <c r="O64" s="203"/>
      <c r="P64" s="248">
        <f t="shared" si="17"/>
        <v>0</v>
      </c>
      <c r="Q64" s="203"/>
    </row>
    <row r="65" spans="2:17" ht="15.75" hidden="1" x14ac:dyDescent="0.25">
      <c r="B65" s="243" t="s">
        <v>131</v>
      </c>
      <c r="C65" s="203"/>
      <c r="D65" s="265">
        <f>'[1]16. RTSR - Historical Wholesale'!D64</f>
        <v>0</v>
      </c>
      <c r="E65" s="266">
        <f t="shared" si="18"/>
        <v>0</v>
      </c>
      <c r="F65" s="267">
        <f t="shared" si="14"/>
        <v>0</v>
      </c>
      <c r="G65" s="203"/>
      <c r="H65" s="265">
        <f>'[1]16. RTSR - Historical Wholesale'!H64</f>
        <v>0</v>
      </c>
      <c r="I65" s="266">
        <f t="shared" si="19"/>
        <v>0</v>
      </c>
      <c r="J65" s="267">
        <f t="shared" si="15"/>
        <v>0</v>
      </c>
      <c r="K65" s="203"/>
      <c r="L65" s="265">
        <f>'[1]16. RTSR - Historical Wholesale'!L64</f>
        <v>0</v>
      </c>
      <c r="M65" s="266">
        <f t="shared" si="20"/>
        <v>0</v>
      </c>
      <c r="N65" s="267">
        <f t="shared" si="16"/>
        <v>0</v>
      </c>
      <c r="O65" s="203"/>
      <c r="P65" s="248">
        <f t="shared" si="17"/>
        <v>0</v>
      </c>
      <c r="Q65" s="203"/>
    </row>
    <row r="66" spans="2:17" ht="15.75" hidden="1" x14ac:dyDescent="0.25">
      <c r="B66" s="243" t="s">
        <v>132</v>
      </c>
      <c r="C66" s="203"/>
      <c r="D66" s="265">
        <f>'[1]16. RTSR - Historical Wholesale'!D65</f>
        <v>0</v>
      </c>
      <c r="E66" s="266">
        <f t="shared" si="18"/>
        <v>0</v>
      </c>
      <c r="F66" s="267">
        <f t="shared" si="14"/>
        <v>0</v>
      </c>
      <c r="G66" s="203"/>
      <c r="H66" s="265">
        <f>'[1]16. RTSR - Historical Wholesale'!H65</f>
        <v>0</v>
      </c>
      <c r="I66" s="266">
        <f t="shared" si="19"/>
        <v>0</v>
      </c>
      <c r="J66" s="267">
        <f t="shared" si="15"/>
        <v>0</v>
      </c>
      <c r="K66" s="203"/>
      <c r="L66" s="265">
        <f>'[1]16. RTSR - Historical Wholesale'!L65</f>
        <v>0</v>
      </c>
      <c r="M66" s="266">
        <f t="shared" si="20"/>
        <v>0</v>
      </c>
      <c r="N66" s="267">
        <f t="shared" si="16"/>
        <v>0</v>
      </c>
      <c r="O66" s="203"/>
      <c r="P66" s="248">
        <f t="shared" si="17"/>
        <v>0</v>
      </c>
      <c r="Q66" s="203"/>
    </row>
    <row r="67" spans="2:17" ht="15.75" hidden="1" x14ac:dyDescent="0.25">
      <c r="B67" s="243" t="s">
        <v>133</v>
      </c>
      <c r="C67" s="203"/>
      <c r="D67" s="265">
        <f>'[1]16. RTSR - Historical Wholesale'!D66</f>
        <v>0</v>
      </c>
      <c r="E67" s="266">
        <f t="shared" si="18"/>
        <v>0</v>
      </c>
      <c r="F67" s="267">
        <f t="shared" si="14"/>
        <v>0</v>
      </c>
      <c r="G67" s="203"/>
      <c r="H67" s="265">
        <f>'[1]16. RTSR - Historical Wholesale'!H66</f>
        <v>0</v>
      </c>
      <c r="I67" s="266">
        <f t="shared" si="19"/>
        <v>0</v>
      </c>
      <c r="J67" s="267">
        <f t="shared" si="15"/>
        <v>0</v>
      </c>
      <c r="K67" s="203"/>
      <c r="L67" s="265">
        <f>'[1]16. RTSR - Historical Wholesale'!L66</f>
        <v>0</v>
      </c>
      <c r="M67" s="266">
        <f t="shared" si="20"/>
        <v>0</v>
      </c>
      <c r="N67" s="267">
        <f t="shared" si="16"/>
        <v>0</v>
      </c>
      <c r="O67" s="203"/>
      <c r="P67" s="248">
        <f t="shared" si="17"/>
        <v>0</v>
      </c>
      <c r="Q67" s="203"/>
    </row>
    <row r="68" spans="2:17" ht="15.75" hidden="1" x14ac:dyDescent="0.25">
      <c r="B68" s="243" t="s">
        <v>134</v>
      </c>
      <c r="C68" s="203"/>
      <c r="D68" s="265">
        <f>'[1]16. RTSR - Historical Wholesale'!D67</f>
        <v>0</v>
      </c>
      <c r="E68" s="266">
        <f t="shared" si="18"/>
        <v>0</v>
      </c>
      <c r="F68" s="267">
        <f t="shared" si="14"/>
        <v>0</v>
      </c>
      <c r="G68" s="203"/>
      <c r="H68" s="265">
        <f>'[1]16. RTSR - Historical Wholesale'!H67</f>
        <v>0</v>
      </c>
      <c r="I68" s="266">
        <f t="shared" si="19"/>
        <v>0</v>
      </c>
      <c r="J68" s="267">
        <f t="shared" si="15"/>
        <v>0</v>
      </c>
      <c r="K68" s="203"/>
      <c r="L68" s="265">
        <f>'[1]16. RTSR - Historical Wholesale'!L67</f>
        <v>0</v>
      </c>
      <c r="M68" s="266">
        <f t="shared" si="20"/>
        <v>0</v>
      </c>
      <c r="N68" s="267">
        <f t="shared" si="16"/>
        <v>0</v>
      </c>
      <c r="O68" s="203"/>
      <c r="P68" s="248">
        <f t="shared" si="17"/>
        <v>0</v>
      </c>
      <c r="Q68" s="203"/>
    </row>
    <row r="69" spans="2:17" ht="15.75" hidden="1" x14ac:dyDescent="0.25">
      <c r="B69" s="243" t="s">
        <v>135</v>
      </c>
      <c r="C69" s="203"/>
      <c r="D69" s="265">
        <f>'[1]16. RTSR - Historical Wholesale'!D68</f>
        <v>0</v>
      </c>
      <c r="E69" s="266">
        <f t="shared" si="18"/>
        <v>0</v>
      </c>
      <c r="F69" s="267">
        <f t="shared" si="14"/>
        <v>0</v>
      </c>
      <c r="G69" s="203"/>
      <c r="H69" s="265">
        <f>'[1]16. RTSR - Historical Wholesale'!H68</f>
        <v>0</v>
      </c>
      <c r="I69" s="266">
        <f t="shared" si="19"/>
        <v>0</v>
      </c>
      <c r="J69" s="267">
        <f t="shared" si="15"/>
        <v>0</v>
      </c>
      <c r="K69" s="203"/>
      <c r="L69" s="265">
        <f>'[1]16. RTSR - Historical Wholesale'!L68</f>
        <v>0</v>
      </c>
      <c r="M69" s="266">
        <f t="shared" si="20"/>
        <v>0</v>
      </c>
      <c r="N69" s="267">
        <f t="shared" si="16"/>
        <v>0</v>
      </c>
      <c r="O69" s="203"/>
      <c r="P69" s="248">
        <f t="shared" si="17"/>
        <v>0</v>
      </c>
      <c r="Q69" s="203"/>
    </row>
    <row r="70" spans="2:17" hidden="1" x14ac:dyDescent="0.2">
      <c r="B70" s="203"/>
      <c r="C70" s="203"/>
      <c r="D70" s="203"/>
      <c r="E70" s="203"/>
      <c r="F70" s="203"/>
      <c r="G70" s="203"/>
      <c r="H70" s="203"/>
      <c r="I70" s="203"/>
      <c r="J70" s="203"/>
      <c r="K70" s="203"/>
      <c r="L70" s="203"/>
      <c r="M70" s="203"/>
      <c r="N70" s="203"/>
      <c r="O70" s="203"/>
      <c r="P70" s="203"/>
      <c r="Q70" s="203"/>
    </row>
    <row r="71" spans="2:17" ht="19.5" hidden="1" thickBot="1" x14ac:dyDescent="0.35">
      <c r="B71" s="249" t="s">
        <v>24</v>
      </c>
      <c r="C71" s="203"/>
      <c r="D71" s="250">
        <f>SUM(D58:D69)</f>
        <v>0</v>
      </c>
      <c r="E71" s="251">
        <f>IF(D71&lt;&gt;0,F71/D71,0)</f>
        <v>0</v>
      </c>
      <c r="F71" s="252">
        <f>SUM(F58:F69)</f>
        <v>0</v>
      </c>
      <c r="G71" s="203"/>
      <c r="H71" s="250">
        <f>SUM(H58:H69)</f>
        <v>0</v>
      </c>
      <c r="I71" s="251">
        <f>IF(H71&lt;&gt;0,J71/H71,0)</f>
        <v>0</v>
      </c>
      <c r="J71" s="252">
        <f>SUM(J58:J69)</f>
        <v>0</v>
      </c>
      <c r="K71" s="203"/>
      <c r="L71" s="250">
        <f>SUM(L58:L69)</f>
        <v>0</v>
      </c>
      <c r="M71" s="251">
        <f>IF(L71&lt;&gt;0,N71/L71,0)</f>
        <v>0</v>
      </c>
      <c r="N71" s="252">
        <f>SUM(N58:N69)</f>
        <v>0</v>
      </c>
      <c r="O71" s="203"/>
      <c r="P71" s="252">
        <f>SUM(P58:P69)</f>
        <v>0</v>
      </c>
      <c r="Q71" s="203"/>
    </row>
    <row r="72" spans="2:17" hidden="1" x14ac:dyDescent="0.2">
      <c r="B72" s="203"/>
      <c r="C72" s="203"/>
      <c r="D72" s="203"/>
      <c r="E72" s="203"/>
      <c r="F72" s="203"/>
      <c r="G72" s="203"/>
      <c r="H72" s="203"/>
      <c r="I72" s="203"/>
      <c r="J72" s="203"/>
      <c r="K72" s="203"/>
      <c r="L72" s="203"/>
      <c r="M72" s="203"/>
      <c r="N72" s="203"/>
      <c r="O72" s="203"/>
      <c r="P72" s="203"/>
      <c r="Q72" s="203"/>
    </row>
    <row r="73" spans="2:17" ht="15.75" hidden="1" x14ac:dyDescent="0.2">
      <c r="B73" s="236" t="str">
        <f>'[1]16. RTSR - Historical Wholesale'!B72</f>
        <v>Add Extra Host Here (II)</v>
      </c>
      <c r="C73" s="203"/>
      <c r="D73" s="728" t="s">
        <v>232</v>
      </c>
      <c r="E73" s="728"/>
      <c r="F73" s="728"/>
      <c r="G73" s="237"/>
      <c r="H73" s="728" t="s">
        <v>233</v>
      </c>
      <c r="I73" s="728"/>
      <c r="J73" s="728"/>
      <c r="K73" s="237"/>
      <c r="L73" s="728" t="s">
        <v>234</v>
      </c>
      <c r="M73" s="728"/>
      <c r="N73" s="728"/>
      <c r="O73" s="237"/>
      <c r="P73" s="236" t="s">
        <v>235</v>
      </c>
      <c r="Q73" s="203"/>
    </row>
    <row r="74" spans="2:17" ht="16.5" hidden="1" x14ac:dyDescent="0.3">
      <c r="B74" s="240"/>
      <c r="C74" s="241"/>
      <c r="D74" s="242"/>
      <c r="E74" s="242"/>
      <c r="F74" s="242"/>
      <c r="G74" s="241"/>
      <c r="H74" s="242"/>
      <c r="I74" s="242"/>
      <c r="J74" s="242"/>
      <c r="K74" s="241"/>
      <c r="L74" s="242"/>
      <c r="M74" s="242"/>
      <c r="N74" s="242"/>
      <c r="O74" s="241"/>
      <c r="P74" s="242"/>
      <c r="Q74" s="203"/>
    </row>
    <row r="75" spans="2:17" ht="16.5" hidden="1" x14ac:dyDescent="0.3">
      <c r="B75" s="240" t="s">
        <v>236</v>
      </c>
      <c r="C75" s="241"/>
      <c r="D75" s="242" t="s">
        <v>237</v>
      </c>
      <c r="E75" s="242" t="s">
        <v>188</v>
      </c>
      <c r="F75" s="242" t="s">
        <v>238</v>
      </c>
      <c r="G75" s="241"/>
      <c r="H75" s="242" t="s">
        <v>237</v>
      </c>
      <c r="I75" s="242" t="s">
        <v>188</v>
      </c>
      <c r="J75" s="242" t="s">
        <v>238</v>
      </c>
      <c r="K75" s="241"/>
      <c r="L75" s="242" t="s">
        <v>237</v>
      </c>
      <c r="M75" s="242" t="s">
        <v>188</v>
      </c>
      <c r="N75" s="242" t="s">
        <v>238</v>
      </c>
      <c r="O75" s="241"/>
      <c r="P75" s="242" t="s">
        <v>238</v>
      </c>
      <c r="Q75" s="203"/>
    </row>
    <row r="76" spans="2:17" hidden="1" x14ac:dyDescent="0.2">
      <c r="B76" s="203"/>
      <c r="C76" s="203"/>
      <c r="D76" s="203"/>
      <c r="E76" s="203"/>
      <c r="F76" s="203"/>
      <c r="G76" s="203"/>
      <c r="H76" s="203"/>
      <c r="I76" s="203"/>
      <c r="J76" s="203"/>
      <c r="K76" s="203"/>
      <c r="L76" s="203"/>
      <c r="M76" s="203"/>
      <c r="N76" s="203"/>
      <c r="O76" s="203"/>
      <c r="P76" s="203"/>
      <c r="Q76" s="203"/>
    </row>
    <row r="77" spans="2:17" ht="15.75" hidden="1" x14ac:dyDescent="0.25">
      <c r="B77" s="243" t="s">
        <v>124</v>
      </c>
      <c r="C77" s="203"/>
      <c r="D77" s="265">
        <f>'[1]16. RTSR - Historical Wholesale'!D76</f>
        <v>0</v>
      </c>
      <c r="E77" s="266">
        <f>'[1]15. RTSR - UTRs &amp; Sub-Tx'!I65</f>
        <v>0</v>
      </c>
      <c r="F77" s="267">
        <f t="shared" ref="F77:F88" si="21">D77*E77</f>
        <v>0</v>
      </c>
      <c r="G77" s="203"/>
      <c r="H77" s="265">
        <f>'[1]16. RTSR - Historical Wholesale'!H76</f>
        <v>0</v>
      </c>
      <c r="I77" s="266">
        <f>'[1]15. RTSR - UTRs &amp; Sub-Tx'!I67</f>
        <v>0</v>
      </c>
      <c r="J77" s="267">
        <f t="shared" ref="J77:J88" si="22">H77*I77</f>
        <v>0</v>
      </c>
      <c r="K77" s="203"/>
      <c r="L77" s="265">
        <f>'[1]16. RTSR - Historical Wholesale'!L76</f>
        <v>0</v>
      </c>
      <c r="M77" s="266">
        <f>'[1]15. RTSR - UTRs &amp; Sub-Tx'!I69</f>
        <v>0</v>
      </c>
      <c r="N77" s="267">
        <f t="shared" ref="N77:N88" si="23">L77*M77</f>
        <v>0</v>
      </c>
      <c r="O77" s="203"/>
      <c r="P77" s="248">
        <f t="shared" ref="P77:P88" si="24">J77+N77</f>
        <v>0</v>
      </c>
      <c r="Q77" s="203"/>
    </row>
    <row r="78" spans="2:17" ht="15.75" hidden="1" x14ac:dyDescent="0.25">
      <c r="B78" s="243" t="s">
        <v>125</v>
      </c>
      <c r="C78" s="203"/>
      <c r="D78" s="265">
        <f>'[1]16. RTSR - Historical Wholesale'!D77</f>
        <v>0</v>
      </c>
      <c r="E78" s="266">
        <f t="shared" ref="E78:E88" si="25">E77</f>
        <v>0</v>
      </c>
      <c r="F78" s="267">
        <f t="shared" si="21"/>
        <v>0</v>
      </c>
      <c r="G78" s="203"/>
      <c r="H78" s="265">
        <f>'[1]16. RTSR - Historical Wholesale'!H77</f>
        <v>0</v>
      </c>
      <c r="I78" s="266">
        <f t="shared" ref="I78:I88" si="26">I77</f>
        <v>0</v>
      </c>
      <c r="J78" s="267">
        <f t="shared" si="22"/>
        <v>0</v>
      </c>
      <c r="K78" s="203"/>
      <c r="L78" s="265">
        <f>'[1]16. RTSR - Historical Wholesale'!L77</f>
        <v>0</v>
      </c>
      <c r="M78" s="266">
        <f t="shared" ref="M78:M88" si="27">M77</f>
        <v>0</v>
      </c>
      <c r="N78" s="267">
        <f t="shared" si="23"/>
        <v>0</v>
      </c>
      <c r="O78" s="203"/>
      <c r="P78" s="248">
        <f t="shared" si="24"/>
        <v>0</v>
      </c>
      <c r="Q78" s="203"/>
    </row>
    <row r="79" spans="2:17" ht="15.75" hidden="1" x14ac:dyDescent="0.25">
      <c r="B79" s="243" t="s">
        <v>126</v>
      </c>
      <c r="C79" s="203"/>
      <c r="D79" s="265">
        <f>'[1]16. RTSR - Historical Wholesale'!D78</f>
        <v>0</v>
      </c>
      <c r="E79" s="266">
        <f t="shared" si="25"/>
        <v>0</v>
      </c>
      <c r="F79" s="267">
        <f t="shared" si="21"/>
        <v>0</v>
      </c>
      <c r="G79" s="203"/>
      <c r="H79" s="265">
        <f>'[1]16. RTSR - Historical Wholesale'!H78</f>
        <v>0</v>
      </c>
      <c r="I79" s="266">
        <f t="shared" si="26"/>
        <v>0</v>
      </c>
      <c r="J79" s="267">
        <f t="shared" si="22"/>
        <v>0</v>
      </c>
      <c r="K79" s="203"/>
      <c r="L79" s="265">
        <f>'[1]16. RTSR - Historical Wholesale'!L78</f>
        <v>0</v>
      </c>
      <c r="M79" s="266">
        <f t="shared" si="27"/>
        <v>0</v>
      </c>
      <c r="N79" s="267">
        <f t="shared" si="23"/>
        <v>0</v>
      </c>
      <c r="O79" s="203"/>
      <c r="P79" s="248">
        <f t="shared" si="24"/>
        <v>0</v>
      </c>
      <c r="Q79" s="203"/>
    </row>
    <row r="80" spans="2:17" ht="15.75" hidden="1" x14ac:dyDescent="0.25">
      <c r="B80" s="243" t="s">
        <v>127</v>
      </c>
      <c r="C80" s="203"/>
      <c r="D80" s="265">
        <f>'[1]16. RTSR - Historical Wholesale'!D79</f>
        <v>0</v>
      </c>
      <c r="E80" s="266">
        <f t="shared" si="25"/>
        <v>0</v>
      </c>
      <c r="F80" s="267">
        <f t="shared" si="21"/>
        <v>0</v>
      </c>
      <c r="G80" s="203"/>
      <c r="H80" s="265">
        <f>'[1]16. RTSR - Historical Wholesale'!H79</f>
        <v>0</v>
      </c>
      <c r="I80" s="266">
        <f t="shared" si="26"/>
        <v>0</v>
      </c>
      <c r="J80" s="267">
        <f t="shared" si="22"/>
        <v>0</v>
      </c>
      <c r="K80" s="203"/>
      <c r="L80" s="265">
        <f>'[1]16. RTSR - Historical Wholesale'!L79</f>
        <v>0</v>
      </c>
      <c r="M80" s="266">
        <f t="shared" si="27"/>
        <v>0</v>
      </c>
      <c r="N80" s="267">
        <f t="shared" si="23"/>
        <v>0</v>
      </c>
      <c r="O80" s="203"/>
      <c r="P80" s="248">
        <f t="shared" si="24"/>
        <v>0</v>
      </c>
      <c r="Q80" s="203"/>
    </row>
    <row r="81" spans="2:17" ht="15.75" hidden="1" x14ac:dyDescent="0.25">
      <c r="B81" s="243" t="s">
        <v>128</v>
      </c>
      <c r="C81" s="203"/>
      <c r="D81" s="265">
        <f>'[1]16. RTSR - Historical Wholesale'!D80</f>
        <v>0</v>
      </c>
      <c r="E81" s="266">
        <f t="shared" si="25"/>
        <v>0</v>
      </c>
      <c r="F81" s="267">
        <f t="shared" si="21"/>
        <v>0</v>
      </c>
      <c r="G81" s="203"/>
      <c r="H81" s="265">
        <f>'[1]16. RTSR - Historical Wholesale'!H80</f>
        <v>0</v>
      </c>
      <c r="I81" s="266">
        <f t="shared" si="26"/>
        <v>0</v>
      </c>
      <c r="J81" s="267">
        <f t="shared" si="22"/>
        <v>0</v>
      </c>
      <c r="K81" s="203"/>
      <c r="L81" s="265">
        <f>'[1]16. RTSR - Historical Wholesale'!L80</f>
        <v>0</v>
      </c>
      <c r="M81" s="266">
        <f t="shared" si="27"/>
        <v>0</v>
      </c>
      <c r="N81" s="267">
        <f t="shared" si="23"/>
        <v>0</v>
      </c>
      <c r="O81" s="203"/>
      <c r="P81" s="248">
        <f t="shared" si="24"/>
        <v>0</v>
      </c>
      <c r="Q81" s="203"/>
    </row>
    <row r="82" spans="2:17" ht="15.75" hidden="1" x14ac:dyDescent="0.25">
      <c r="B82" s="243" t="s">
        <v>129</v>
      </c>
      <c r="C82" s="203"/>
      <c r="D82" s="265">
        <f>'[1]16. RTSR - Historical Wholesale'!D81</f>
        <v>0</v>
      </c>
      <c r="E82" s="266">
        <f t="shared" si="25"/>
        <v>0</v>
      </c>
      <c r="F82" s="267">
        <f t="shared" si="21"/>
        <v>0</v>
      </c>
      <c r="G82" s="203"/>
      <c r="H82" s="265">
        <f>'[1]16. RTSR - Historical Wholesale'!H81</f>
        <v>0</v>
      </c>
      <c r="I82" s="266">
        <f t="shared" si="26"/>
        <v>0</v>
      </c>
      <c r="J82" s="267">
        <f t="shared" si="22"/>
        <v>0</v>
      </c>
      <c r="K82" s="203"/>
      <c r="L82" s="265">
        <f>'[1]16. RTSR - Historical Wholesale'!L81</f>
        <v>0</v>
      </c>
      <c r="M82" s="266">
        <f t="shared" si="27"/>
        <v>0</v>
      </c>
      <c r="N82" s="267">
        <f t="shared" si="23"/>
        <v>0</v>
      </c>
      <c r="O82" s="203"/>
      <c r="P82" s="248">
        <f t="shared" si="24"/>
        <v>0</v>
      </c>
      <c r="Q82" s="203"/>
    </row>
    <row r="83" spans="2:17" ht="15.75" hidden="1" x14ac:dyDescent="0.25">
      <c r="B83" s="243" t="s">
        <v>130</v>
      </c>
      <c r="C83" s="203"/>
      <c r="D83" s="265">
        <f>'[1]16. RTSR - Historical Wholesale'!D82</f>
        <v>0</v>
      </c>
      <c r="E83" s="266">
        <f t="shared" si="25"/>
        <v>0</v>
      </c>
      <c r="F83" s="267">
        <f t="shared" si="21"/>
        <v>0</v>
      </c>
      <c r="G83" s="203"/>
      <c r="H83" s="265">
        <f>'[1]16. RTSR - Historical Wholesale'!H82</f>
        <v>0</v>
      </c>
      <c r="I83" s="266">
        <f t="shared" si="26"/>
        <v>0</v>
      </c>
      <c r="J83" s="267">
        <f t="shared" si="22"/>
        <v>0</v>
      </c>
      <c r="K83" s="203"/>
      <c r="L83" s="265">
        <f>'[1]16. RTSR - Historical Wholesale'!L82</f>
        <v>0</v>
      </c>
      <c r="M83" s="266">
        <f t="shared" si="27"/>
        <v>0</v>
      </c>
      <c r="N83" s="267">
        <f t="shared" si="23"/>
        <v>0</v>
      </c>
      <c r="O83" s="203"/>
      <c r="P83" s="248">
        <f t="shared" si="24"/>
        <v>0</v>
      </c>
      <c r="Q83" s="203"/>
    </row>
    <row r="84" spans="2:17" ht="15.75" hidden="1" x14ac:dyDescent="0.25">
      <c r="B84" s="243" t="s">
        <v>131</v>
      </c>
      <c r="C84" s="203"/>
      <c r="D84" s="265">
        <f>'[1]16. RTSR - Historical Wholesale'!D83</f>
        <v>0</v>
      </c>
      <c r="E84" s="266">
        <f t="shared" si="25"/>
        <v>0</v>
      </c>
      <c r="F84" s="267">
        <f t="shared" si="21"/>
        <v>0</v>
      </c>
      <c r="G84" s="203"/>
      <c r="H84" s="265">
        <f>'[1]16. RTSR - Historical Wholesale'!H83</f>
        <v>0</v>
      </c>
      <c r="I84" s="266">
        <f t="shared" si="26"/>
        <v>0</v>
      </c>
      <c r="J84" s="267">
        <f t="shared" si="22"/>
        <v>0</v>
      </c>
      <c r="K84" s="203"/>
      <c r="L84" s="265">
        <f>'[1]16. RTSR - Historical Wholesale'!L83</f>
        <v>0</v>
      </c>
      <c r="M84" s="266">
        <f t="shared" si="27"/>
        <v>0</v>
      </c>
      <c r="N84" s="267">
        <f t="shared" si="23"/>
        <v>0</v>
      </c>
      <c r="O84" s="203"/>
      <c r="P84" s="248">
        <f t="shared" si="24"/>
        <v>0</v>
      </c>
      <c r="Q84" s="203"/>
    </row>
    <row r="85" spans="2:17" ht="15.75" hidden="1" x14ac:dyDescent="0.25">
      <c r="B85" s="243" t="s">
        <v>132</v>
      </c>
      <c r="C85" s="203"/>
      <c r="D85" s="265">
        <f>'[1]16. RTSR - Historical Wholesale'!D84</f>
        <v>0</v>
      </c>
      <c r="E85" s="266">
        <f t="shared" si="25"/>
        <v>0</v>
      </c>
      <c r="F85" s="267">
        <f t="shared" si="21"/>
        <v>0</v>
      </c>
      <c r="G85" s="203"/>
      <c r="H85" s="265">
        <f>'[1]16. RTSR - Historical Wholesale'!H84</f>
        <v>0</v>
      </c>
      <c r="I85" s="266">
        <f t="shared" si="26"/>
        <v>0</v>
      </c>
      <c r="J85" s="267">
        <f t="shared" si="22"/>
        <v>0</v>
      </c>
      <c r="K85" s="203"/>
      <c r="L85" s="265">
        <f>'[1]16. RTSR - Historical Wholesale'!L84</f>
        <v>0</v>
      </c>
      <c r="M85" s="266">
        <f t="shared" si="27"/>
        <v>0</v>
      </c>
      <c r="N85" s="267">
        <f t="shared" si="23"/>
        <v>0</v>
      </c>
      <c r="O85" s="203"/>
      <c r="P85" s="248">
        <f t="shared" si="24"/>
        <v>0</v>
      </c>
      <c r="Q85" s="203"/>
    </row>
    <row r="86" spans="2:17" ht="15.75" hidden="1" x14ac:dyDescent="0.25">
      <c r="B86" s="243" t="s">
        <v>133</v>
      </c>
      <c r="C86" s="203"/>
      <c r="D86" s="265">
        <f>'[1]16. RTSR - Historical Wholesale'!D85</f>
        <v>0</v>
      </c>
      <c r="E86" s="266">
        <f t="shared" si="25"/>
        <v>0</v>
      </c>
      <c r="F86" s="267">
        <f t="shared" si="21"/>
        <v>0</v>
      </c>
      <c r="G86" s="203"/>
      <c r="H86" s="265">
        <f>'[1]16. RTSR - Historical Wholesale'!H85</f>
        <v>0</v>
      </c>
      <c r="I86" s="266">
        <f t="shared" si="26"/>
        <v>0</v>
      </c>
      <c r="J86" s="267">
        <f t="shared" si="22"/>
        <v>0</v>
      </c>
      <c r="K86" s="203"/>
      <c r="L86" s="265">
        <f>'[1]16. RTSR - Historical Wholesale'!L85</f>
        <v>0</v>
      </c>
      <c r="M86" s="266">
        <f t="shared" si="27"/>
        <v>0</v>
      </c>
      <c r="N86" s="267">
        <f t="shared" si="23"/>
        <v>0</v>
      </c>
      <c r="O86" s="203"/>
      <c r="P86" s="248">
        <f t="shared" si="24"/>
        <v>0</v>
      </c>
      <c r="Q86" s="203"/>
    </row>
    <row r="87" spans="2:17" ht="15.75" hidden="1" x14ac:dyDescent="0.25">
      <c r="B87" s="243" t="s">
        <v>134</v>
      </c>
      <c r="C87" s="203"/>
      <c r="D87" s="265">
        <f>'[1]16. RTSR - Historical Wholesale'!D86</f>
        <v>0</v>
      </c>
      <c r="E87" s="266">
        <f t="shared" si="25"/>
        <v>0</v>
      </c>
      <c r="F87" s="267">
        <f t="shared" si="21"/>
        <v>0</v>
      </c>
      <c r="G87" s="203"/>
      <c r="H87" s="265">
        <f>'[1]16. RTSR - Historical Wholesale'!H86</f>
        <v>0</v>
      </c>
      <c r="I87" s="266">
        <f t="shared" si="26"/>
        <v>0</v>
      </c>
      <c r="J87" s="267">
        <f t="shared" si="22"/>
        <v>0</v>
      </c>
      <c r="K87" s="203"/>
      <c r="L87" s="265">
        <f>'[1]16. RTSR - Historical Wholesale'!L86</f>
        <v>0</v>
      </c>
      <c r="M87" s="266">
        <f t="shared" si="27"/>
        <v>0</v>
      </c>
      <c r="N87" s="267">
        <f t="shared" si="23"/>
        <v>0</v>
      </c>
      <c r="O87" s="203"/>
      <c r="P87" s="248">
        <f t="shared" si="24"/>
        <v>0</v>
      </c>
      <c r="Q87" s="203"/>
    </row>
    <row r="88" spans="2:17" ht="15.75" hidden="1" x14ac:dyDescent="0.25">
      <c r="B88" s="243" t="s">
        <v>135</v>
      </c>
      <c r="C88" s="203"/>
      <c r="D88" s="265">
        <f>'[1]16. RTSR - Historical Wholesale'!D87</f>
        <v>0</v>
      </c>
      <c r="E88" s="266">
        <f t="shared" si="25"/>
        <v>0</v>
      </c>
      <c r="F88" s="267">
        <f t="shared" si="21"/>
        <v>0</v>
      </c>
      <c r="G88" s="203"/>
      <c r="H88" s="265">
        <f>'[1]16. RTSR - Historical Wholesale'!H87</f>
        <v>0</v>
      </c>
      <c r="I88" s="266">
        <f t="shared" si="26"/>
        <v>0</v>
      </c>
      <c r="J88" s="267">
        <f t="shared" si="22"/>
        <v>0</v>
      </c>
      <c r="K88" s="203"/>
      <c r="L88" s="265">
        <f>'[1]16. RTSR - Historical Wholesale'!L87</f>
        <v>0</v>
      </c>
      <c r="M88" s="266">
        <f t="shared" si="27"/>
        <v>0</v>
      </c>
      <c r="N88" s="267">
        <f t="shared" si="23"/>
        <v>0</v>
      </c>
      <c r="O88" s="203"/>
      <c r="P88" s="248">
        <f t="shared" si="24"/>
        <v>0</v>
      </c>
      <c r="Q88" s="203"/>
    </row>
    <row r="89" spans="2:17" hidden="1" x14ac:dyDescent="0.2">
      <c r="B89" s="203"/>
      <c r="C89" s="203"/>
      <c r="D89" s="203"/>
      <c r="E89" s="203"/>
      <c r="F89" s="203"/>
      <c r="G89" s="203"/>
      <c r="H89" s="203"/>
      <c r="I89" s="203"/>
      <c r="J89" s="203"/>
      <c r="K89" s="203"/>
      <c r="L89" s="203"/>
      <c r="M89" s="203"/>
      <c r="N89" s="203"/>
      <c r="O89" s="203"/>
      <c r="P89" s="203"/>
      <c r="Q89" s="203"/>
    </row>
    <row r="90" spans="2:17" ht="19.5" hidden="1" thickBot="1" x14ac:dyDescent="0.35">
      <c r="B90" s="249" t="s">
        <v>24</v>
      </c>
      <c r="C90" s="203"/>
      <c r="D90" s="250">
        <f>SUM(D77:D88)</f>
        <v>0</v>
      </c>
      <c r="E90" s="251">
        <f>IF(D90&lt;&gt;0,F90/D90,0)</f>
        <v>0</v>
      </c>
      <c r="F90" s="252">
        <f>SUM(F77:F88)</f>
        <v>0</v>
      </c>
      <c r="G90" s="203"/>
      <c r="H90" s="250">
        <f>SUM(H77:H88)</f>
        <v>0</v>
      </c>
      <c r="I90" s="251">
        <f>IF(H90&lt;&gt;0,J90/H90,0)</f>
        <v>0</v>
      </c>
      <c r="J90" s="252">
        <f>SUM(J77:J88)</f>
        <v>0</v>
      </c>
      <c r="K90" s="203"/>
      <c r="L90" s="250">
        <f>SUM(L77:L88)</f>
        <v>0</v>
      </c>
      <c r="M90" s="251">
        <f>IF(L90&lt;&gt;0,N90/L90,0)</f>
        <v>0</v>
      </c>
      <c r="N90" s="252">
        <f>SUM(N77:N88)</f>
        <v>0</v>
      </c>
      <c r="O90" s="203"/>
      <c r="P90" s="252">
        <f>SUM(P77:P88)</f>
        <v>0</v>
      </c>
      <c r="Q90" s="203"/>
    </row>
    <row r="91" spans="2:17" hidden="1" x14ac:dyDescent="0.2">
      <c r="B91" s="203"/>
      <c r="C91" s="203"/>
      <c r="D91" s="203"/>
      <c r="E91" s="203"/>
      <c r="F91" s="203"/>
      <c r="G91" s="203"/>
      <c r="H91" s="203"/>
      <c r="I91" s="203"/>
      <c r="J91" s="203"/>
      <c r="K91" s="203"/>
      <c r="L91" s="203"/>
      <c r="M91" s="203"/>
      <c r="N91" s="203"/>
      <c r="O91" s="203"/>
      <c r="P91" s="203"/>
      <c r="Q91" s="203"/>
    </row>
    <row r="92" spans="2:17" ht="15.75" x14ac:dyDescent="0.2">
      <c r="B92" s="236" t="s">
        <v>24</v>
      </c>
      <c r="C92" s="203"/>
      <c r="D92" s="728" t="s">
        <v>232</v>
      </c>
      <c r="E92" s="728"/>
      <c r="F92" s="728"/>
      <c r="G92" s="237"/>
      <c r="H92" s="728" t="s">
        <v>233</v>
      </c>
      <c r="I92" s="728"/>
      <c r="J92" s="728"/>
      <c r="K92" s="237"/>
      <c r="L92" s="728" t="s">
        <v>234</v>
      </c>
      <c r="M92" s="728"/>
      <c r="N92" s="728"/>
      <c r="O92" s="237"/>
      <c r="P92" s="236" t="s">
        <v>235</v>
      </c>
      <c r="Q92" s="203"/>
    </row>
    <row r="93" spans="2:17" ht="15.75" x14ac:dyDescent="0.25">
      <c r="B93" s="203"/>
      <c r="C93" s="203"/>
      <c r="D93" s="729"/>
      <c r="E93" s="729"/>
      <c r="F93" s="729"/>
      <c r="G93" s="255"/>
      <c r="H93" s="729"/>
      <c r="I93" s="729"/>
      <c r="J93" s="729"/>
      <c r="K93" s="255"/>
      <c r="L93" s="729"/>
      <c r="M93" s="729"/>
      <c r="N93" s="729"/>
      <c r="O93" s="255"/>
      <c r="P93" s="256"/>
      <c r="Q93" s="203"/>
    </row>
    <row r="94" spans="2:17" ht="16.5" x14ac:dyDescent="0.3">
      <c r="B94" s="257" t="s">
        <v>236</v>
      </c>
      <c r="C94" s="203"/>
      <c r="D94" s="242" t="s">
        <v>237</v>
      </c>
      <c r="E94" s="242" t="s">
        <v>188</v>
      </c>
      <c r="F94" s="242" t="s">
        <v>238</v>
      </c>
      <c r="G94" s="241"/>
      <c r="H94" s="242" t="s">
        <v>237</v>
      </c>
      <c r="I94" s="242" t="s">
        <v>188</v>
      </c>
      <c r="J94" s="242" t="s">
        <v>238</v>
      </c>
      <c r="K94" s="241"/>
      <c r="L94" s="242" t="s">
        <v>237</v>
      </c>
      <c r="M94" s="242" t="s">
        <v>188</v>
      </c>
      <c r="N94" s="242" t="s">
        <v>238</v>
      </c>
      <c r="O94" s="241"/>
      <c r="P94" s="242" t="s">
        <v>238</v>
      </c>
      <c r="Q94" s="203"/>
    </row>
    <row r="95" spans="2:17" x14ac:dyDescent="0.2">
      <c r="B95" s="203"/>
      <c r="C95" s="203"/>
      <c r="D95" s="203"/>
      <c r="E95" s="203"/>
      <c r="F95" s="203"/>
      <c r="G95" s="203"/>
      <c r="H95" s="203"/>
      <c r="I95" s="203"/>
      <c r="J95" s="203"/>
      <c r="K95" s="203"/>
      <c r="L95" s="203"/>
      <c r="M95" s="203"/>
      <c r="N95" s="203"/>
      <c r="O95" s="203"/>
      <c r="P95" s="203"/>
      <c r="Q95" s="203"/>
    </row>
    <row r="96" spans="2:17" ht="15.75" x14ac:dyDescent="0.25">
      <c r="B96" s="243" t="s">
        <v>124</v>
      </c>
      <c r="C96" s="203"/>
      <c r="D96" s="258">
        <f t="shared" ref="D96:D107" si="28">D20+D39</f>
        <v>1182945.761609907</v>
      </c>
      <c r="E96" s="268">
        <f t="shared" ref="E96:E107" si="29">IF(D96&lt;&gt;0,F96/D96,0)</f>
        <v>3.7234786508679059</v>
      </c>
      <c r="F96" s="248">
        <f t="shared" ref="F96:F107" si="30">F20+F39</f>
        <v>4404673.2884891639</v>
      </c>
      <c r="G96" s="203"/>
      <c r="H96" s="258">
        <f t="shared" ref="H96:H107" si="31">H20+H39</f>
        <v>1237595.691629956</v>
      </c>
      <c r="I96" s="268">
        <f t="shared" ref="I96:I107" si="32">IF(H96&lt;&gt;0,J96/H96,0)</f>
        <v>0.85098754484848771</v>
      </c>
      <c r="J96" s="248">
        <f t="shared" ref="J96:J107" si="33">J20+J39</f>
        <v>1053178.5191352423</v>
      </c>
      <c r="K96" s="203"/>
      <c r="L96" s="258">
        <f t="shared" ref="L96:L107" si="34">L20+L39</f>
        <v>1265067.302741067</v>
      </c>
      <c r="M96" s="268">
        <f t="shared" ref="M96:M107" si="35">IF(L96&lt;&gt;0,N96/L96,0)</f>
        <v>1.9714591042507803</v>
      </c>
      <c r="N96" s="248">
        <f t="shared" ref="N96:N107" si="36">N20+N39</f>
        <v>2494028.4514788548</v>
      </c>
      <c r="O96" s="203"/>
      <c r="P96" s="248">
        <f t="shared" ref="P96:P107" si="37">J96+N96</f>
        <v>3547206.9706140971</v>
      </c>
      <c r="Q96" s="203"/>
    </row>
    <row r="97" spans="2:17" ht="15.75" x14ac:dyDescent="0.25">
      <c r="B97" s="243" t="s">
        <v>125</v>
      </c>
      <c r="C97" s="203"/>
      <c r="D97" s="258">
        <f t="shared" si="28"/>
        <v>1172029.3312693499</v>
      </c>
      <c r="E97" s="268">
        <f t="shared" si="29"/>
        <v>3.7195562548786474</v>
      </c>
      <c r="F97" s="248">
        <f t="shared" si="30"/>
        <v>4359429.0300241485</v>
      </c>
      <c r="G97" s="203"/>
      <c r="H97" s="258">
        <f t="shared" si="31"/>
        <v>1173364.7444933921</v>
      </c>
      <c r="I97" s="268">
        <f t="shared" si="32"/>
        <v>0.849819256174148</v>
      </c>
      <c r="J97" s="248">
        <f t="shared" si="33"/>
        <v>997147.9543863436</v>
      </c>
      <c r="K97" s="203"/>
      <c r="L97" s="258">
        <f t="shared" si="34"/>
        <v>1200334.732147713</v>
      </c>
      <c r="M97" s="268">
        <f t="shared" si="35"/>
        <v>1.9681890638594153</v>
      </c>
      <c r="N97" s="248">
        <f t="shared" si="36"/>
        <v>2362485.6927837492</v>
      </c>
      <c r="O97" s="203"/>
      <c r="P97" s="248">
        <f t="shared" si="37"/>
        <v>3359633.6471700929</v>
      </c>
      <c r="Q97" s="203"/>
    </row>
    <row r="98" spans="2:17" ht="15.75" x14ac:dyDescent="0.25">
      <c r="B98" s="243" t="s">
        <v>126</v>
      </c>
      <c r="C98" s="203"/>
      <c r="D98" s="258">
        <f t="shared" si="28"/>
        <v>1197035.3312693499</v>
      </c>
      <c r="E98" s="268">
        <f t="shared" si="29"/>
        <v>3.7177316644489067</v>
      </c>
      <c r="F98" s="248">
        <f t="shared" si="30"/>
        <v>4450256.1545241484</v>
      </c>
      <c r="G98" s="203"/>
      <c r="H98" s="258">
        <f t="shared" si="31"/>
        <v>1215884.2907488986</v>
      </c>
      <c r="I98" s="268">
        <f t="shared" si="32"/>
        <v>0.84930302475165254</v>
      </c>
      <c r="J98" s="248">
        <f t="shared" si="33"/>
        <v>1032654.2058810573</v>
      </c>
      <c r="K98" s="203"/>
      <c r="L98" s="258">
        <f t="shared" si="34"/>
        <v>1242113.5006254418</v>
      </c>
      <c r="M98" s="268">
        <f t="shared" si="35"/>
        <v>1.9670300810647807</v>
      </c>
      <c r="N98" s="248">
        <f t="shared" si="36"/>
        <v>2443274.6198269213</v>
      </c>
      <c r="O98" s="203"/>
      <c r="P98" s="248">
        <f t="shared" si="37"/>
        <v>3475928.8257079786</v>
      </c>
      <c r="Q98" s="203"/>
    </row>
    <row r="99" spans="2:17" ht="15.75" x14ac:dyDescent="0.25">
      <c r="B99" s="243" t="s">
        <v>127</v>
      </c>
      <c r="C99" s="203"/>
      <c r="D99" s="258">
        <f t="shared" si="28"/>
        <v>984279.60061919503</v>
      </c>
      <c r="E99" s="268">
        <f t="shared" si="29"/>
        <v>3.7177511360295821</v>
      </c>
      <c r="F99" s="248">
        <f t="shared" si="30"/>
        <v>3659306.6033727555</v>
      </c>
      <c r="G99" s="203"/>
      <c r="H99" s="258">
        <f t="shared" si="31"/>
        <v>1054507.4405286345</v>
      </c>
      <c r="I99" s="268">
        <f t="shared" si="32"/>
        <v>0.8501160150592304</v>
      </c>
      <c r="J99" s="248">
        <f t="shared" si="33"/>
        <v>896453.66319251107</v>
      </c>
      <c r="K99" s="203"/>
      <c r="L99" s="258">
        <f t="shared" si="34"/>
        <v>1078868.5207755479</v>
      </c>
      <c r="M99" s="268">
        <f t="shared" si="35"/>
        <v>1.9689674445282299</v>
      </c>
      <c r="N99" s="248">
        <f t="shared" si="36"/>
        <v>2124256.9943333822</v>
      </c>
      <c r="O99" s="203"/>
      <c r="P99" s="248">
        <f t="shared" si="37"/>
        <v>3020710.6575258933</v>
      </c>
      <c r="Q99" s="203"/>
    </row>
    <row r="100" spans="2:17" ht="15.75" x14ac:dyDescent="0.25">
      <c r="B100" s="243" t="s">
        <v>128</v>
      </c>
      <c r="C100" s="203"/>
      <c r="D100" s="258">
        <f t="shared" si="28"/>
        <v>1153548.2321981424</v>
      </c>
      <c r="E100" s="268">
        <f t="shared" si="29"/>
        <v>3.7240792316045819</v>
      </c>
      <c r="F100" s="248">
        <f t="shared" si="30"/>
        <v>4295905.0141832819</v>
      </c>
      <c r="G100" s="203"/>
      <c r="H100" s="258">
        <f t="shared" si="31"/>
        <v>1161478.2907488986</v>
      </c>
      <c r="I100" s="268">
        <f t="shared" si="32"/>
        <v>0.85071073359792293</v>
      </c>
      <c r="J100" s="248">
        <f t="shared" si="33"/>
        <v>988082.04878105724</v>
      </c>
      <c r="K100" s="203"/>
      <c r="L100" s="258">
        <f t="shared" si="34"/>
        <v>1187174.2290205036</v>
      </c>
      <c r="M100" s="268">
        <f t="shared" si="35"/>
        <v>1.9707269292557534</v>
      </c>
      <c r="N100" s="248">
        <f t="shared" si="36"/>
        <v>2339596.2228491437</v>
      </c>
      <c r="O100" s="203"/>
      <c r="P100" s="248">
        <f t="shared" si="37"/>
        <v>3327678.271630201</v>
      </c>
      <c r="Q100" s="203"/>
    </row>
    <row r="101" spans="2:17" ht="15.75" x14ac:dyDescent="0.25">
      <c r="B101" s="243" t="s">
        <v>129</v>
      </c>
      <c r="C101" s="203"/>
      <c r="D101" s="258">
        <f t="shared" si="28"/>
        <v>1303395.8606811145</v>
      </c>
      <c r="E101" s="268">
        <f t="shared" si="29"/>
        <v>3.7261474261488736</v>
      </c>
      <c r="F101" s="248">
        <f t="shared" si="30"/>
        <v>4856645.1315300306</v>
      </c>
      <c r="G101" s="203"/>
      <c r="H101" s="258">
        <f t="shared" si="31"/>
        <v>1313732.792951542</v>
      </c>
      <c r="I101" s="268">
        <f t="shared" si="32"/>
        <v>0.85090955722816697</v>
      </c>
      <c r="J101" s="248">
        <f t="shared" si="33"/>
        <v>1117867.7891665197</v>
      </c>
      <c r="K101" s="203"/>
      <c r="L101" s="258">
        <f t="shared" si="34"/>
        <v>1339803.292951542</v>
      </c>
      <c r="M101" s="268">
        <f t="shared" si="35"/>
        <v>1.9716403253650088</v>
      </c>
      <c r="N101" s="248">
        <f t="shared" si="36"/>
        <v>2641610.2004400883</v>
      </c>
      <c r="O101" s="203"/>
      <c r="P101" s="248">
        <f t="shared" si="37"/>
        <v>3759477.9896066077</v>
      </c>
      <c r="Q101" s="203"/>
    </row>
    <row r="102" spans="2:17" ht="15.75" x14ac:dyDescent="0.25">
      <c r="B102" s="243" t="s">
        <v>130</v>
      </c>
      <c r="C102" s="203"/>
      <c r="D102" s="258">
        <f t="shared" si="28"/>
        <v>1293276.9907120743</v>
      </c>
      <c r="E102" s="268">
        <f t="shared" si="29"/>
        <v>3.7217593695519935</v>
      </c>
      <c r="F102" s="248">
        <f t="shared" si="30"/>
        <v>4813265.7576086689</v>
      </c>
      <c r="G102" s="203"/>
      <c r="H102" s="258">
        <f t="shared" si="31"/>
        <v>1358799.396475771</v>
      </c>
      <c r="I102" s="268">
        <f t="shared" si="32"/>
        <v>0.84998524843240475</v>
      </c>
      <c r="J102" s="248">
        <f t="shared" si="33"/>
        <v>1154959.4425832599</v>
      </c>
      <c r="K102" s="203"/>
      <c r="L102" s="258">
        <f t="shared" si="34"/>
        <v>1383360.7236362647</v>
      </c>
      <c r="M102" s="268">
        <f t="shared" si="35"/>
        <v>1.9694396374695518</v>
      </c>
      <c r="N102" s="248">
        <f t="shared" si="36"/>
        <v>2724445.4420478218</v>
      </c>
      <c r="O102" s="203"/>
      <c r="P102" s="248">
        <f t="shared" si="37"/>
        <v>3879404.8846310815</v>
      </c>
      <c r="Q102" s="203"/>
    </row>
    <row r="103" spans="2:17" ht="15.75" x14ac:dyDescent="0.25">
      <c r="B103" s="243" t="s">
        <v>131</v>
      </c>
      <c r="C103" s="203"/>
      <c r="D103" s="258">
        <f t="shared" si="28"/>
        <v>1322562.9597523219</v>
      </c>
      <c r="E103" s="268">
        <f t="shared" si="29"/>
        <v>3.7206311494557633</v>
      </c>
      <c r="F103" s="248">
        <f t="shared" si="30"/>
        <v>4920768.945170898</v>
      </c>
      <c r="G103" s="203"/>
      <c r="H103" s="258">
        <f t="shared" si="31"/>
        <v>1363174.8414096916</v>
      </c>
      <c r="I103" s="268">
        <f t="shared" si="32"/>
        <v>0.84989942225503523</v>
      </c>
      <c r="J103" s="248">
        <f t="shared" si="33"/>
        <v>1158561.5101466961</v>
      </c>
      <c r="K103" s="203"/>
      <c r="L103" s="258">
        <f t="shared" si="34"/>
        <v>1389593.7796812966</v>
      </c>
      <c r="M103" s="268">
        <f t="shared" si="35"/>
        <v>1.968993630683411</v>
      </c>
      <c r="N103" s="248">
        <f t="shared" si="36"/>
        <v>2736101.3014297602</v>
      </c>
      <c r="O103" s="203"/>
      <c r="P103" s="248">
        <f t="shared" si="37"/>
        <v>3894662.8115764563</v>
      </c>
      <c r="Q103" s="203"/>
    </row>
    <row r="104" spans="2:17" ht="15.75" x14ac:dyDescent="0.25">
      <c r="B104" s="243" t="s">
        <v>132</v>
      </c>
      <c r="C104" s="203"/>
      <c r="D104" s="258">
        <f t="shared" si="28"/>
        <v>1293334.588235294</v>
      </c>
      <c r="E104" s="268">
        <f t="shared" si="29"/>
        <v>3.7303228558980783</v>
      </c>
      <c r="F104" s="248">
        <f t="shared" si="30"/>
        <v>4824555.5748176472</v>
      </c>
      <c r="G104" s="203"/>
      <c r="H104" s="258">
        <f t="shared" si="31"/>
        <v>1373975.757709251</v>
      </c>
      <c r="I104" s="268">
        <f t="shared" si="32"/>
        <v>0.85041589601785139</v>
      </c>
      <c r="J104" s="248">
        <f t="shared" si="33"/>
        <v>1168450.825099119</v>
      </c>
      <c r="K104" s="203"/>
      <c r="L104" s="258">
        <f t="shared" si="34"/>
        <v>1397129.0354870288</v>
      </c>
      <c r="M104" s="268">
        <f t="shared" si="35"/>
        <v>1.9708057175840523</v>
      </c>
      <c r="N104" s="248">
        <f t="shared" si="36"/>
        <v>2753469.8913405286</v>
      </c>
      <c r="O104" s="203"/>
      <c r="P104" s="248">
        <f t="shared" si="37"/>
        <v>3921920.7164396476</v>
      </c>
      <c r="Q104" s="203"/>
    </row>
    <row r="105" spans="2:17" ht="15.75" x14ac:dyDescent="0.25">
      <c r="B105" s="243" t="s">
        <v>133</v>
      </c>
      <c r="C105" s="203"/>
      <c r="D105" s="258">
        <f t="shared" si="28"/>
        <v>968372.26315789472</v>
      </c>
      <c r="E105" s="268">
        <f t="shared" si="29"/>
        <v>3.708297996176221</v>
      </c>
      <c r="F105" s="248">
        <f t="shared" si="30"/>
        <v>3591012.923021053</v>
      </c>
      <c r="G105" s="203"/>
      <c r="H105" s="258">
        <f t="shared" si="31"/>
        <v>1027484.6696035243</v>
      </c>
      <c r="I105" s="268">
        <f t="shared" si="32"/>
        <v>0.84832280662343718</v>
      </c>
      <c r="J105" s="248">
        <f t="shared" si="33"/>
        <v>871638.67868061678</v>
      </c>
      <c r="K105" s="203"/>
      <c r="L105" s="258">
        <f t="shared" si="34"/>
        <v>1050083.6510850056</v>
      </c>
      <c r="M105" s="268">
        <f t="shared" si="35"/>
        <v>1.9643252091332528</v>
      </c>
      <c r="N105" s="248">
        <f t="shared" si="36"/>
        <v>2062705.7875249633</v>
      </c>
      <c r="O105" s="203"/>
      <c r="P105" s="248">
        <f t="shared" si="37"/>
        <v>2934344.4662055802</v>
      </c>
      <c r="Q105" s="203"/>
    </row>
    <row r="106" spans="2:17" ht="15.75" x14ac:dyDescent="0.25">
      <c r="B106" s="243" t="s">
        <v>134</v>
      </c>
      <c r="C106" s="203"/>
      <c r="D106" s="258">
        <f t="shared" si="28"/>
        <v>1068819.2291021673</v>
      </c>
      <c r="E106" s="268">
        <f t="shared" si="29"/>
        <v>3.7162405698445999</v>
      </c>
      <c r="F106" s="248">
        <f t="shared" si="30"/>
        <v>3971989.3810195043</v>
      </c>
      <c r="G106" s="203"/>
      <c r="H106" s="258">
        <f t="shared" si="31"/>
        <v>1085322.7488986785</v>
      </c>
      <c r="I106" s="268">
        <f t="shared" si="32"/>
        <v>0.84932302302945961</v>
      </c>
      <c r="J106" s="248">
        <f t="shared" si="33"/>
        <v>921789.59805726865</v>
      </c>
      <c r="K106" s="203"/>
      <c r="L106" s="258">
        <f t="shared" si="34"/>
        <v>1110329.890873987</v>
      </c>
      <c r="M106" s="268">
        <f t="shared" si="35"/>
        <v>1.9668465486935163</v>
      </c>
      <c r="N106" s="248">
        <f t="shared" si="36"/>
        <v>2183848.5137767498</v>
      </c>
      <c r="O106" s="203"/>
      <c r="P106" s="248">
        <f t="shared" si="37"/>
        <v>3105638.1118340185</v>
      </c>
      <c r="Q106" s="203"/>
    </row>
    <row r="107" spans="2:17" ht="15.75" x14ac:dyDescent="0.25">
      <c r="B107" s="243" t="s">
        <v>135</v>
      </c>
      <c r="C107" s="203"/>
      <c r="D107" s="258">
        <f t="shared" si="28"/>
        <v>1115578.4303405574</v>
      </c>
      <c r="E107" s="268">
        <f t="shared" si="29"/>
        <v>3.7083651508053128</v>
      </c>
      <c r="F107" s="248">
        <f t="shared" si="30"/>
        <v>4136972.1740650153</v>
      </c>
      <c r="G107" s="203"/>
      <c r="H107" s="258">
        <f t="shared" si="31"/>
        <v>1143285.6519823789</v>
      </c>
      <c r="I107" s="268">
        <f t="shared" si="32"/>
        <v>0.84792619474932218</v>
      </c>
      <c r="J107" s="248">
        <f t="shared" si="33"/>
        <v>969421.85239691637</v>
      </c>
      <c r="K107" s="203"/>
      <c r="L107" s="258">
        <f t="shared" si="34"/>
        <v>1169049.4297601567</v>
      </c>
      <c r="M107" s="268">
        <f t="shared" si="35"/>
        <v>1.9631730759346115</v>
      </c>
      <c r="N107" s="248">
        <f t="shared" si="36"/>
        <v>2295046.3649418503</v>
      </c>
      <c r="O107" s="203"/>
      <c r="P107" s="248">
        <f t="shared" si="37"/>
        <v>3264468.2173387669</v>
      </c>
      <c r="Q107" s="203"/>
    </row>
    <row r="108" spans="2:17" x14ac:dyDescent="0.2">
      <c r="B108" s="203"/>
      <c r="C108" s="203"/>
      <c r="D108" s="203"/>
      <c r="E108" s="203"/>
      <c r="F108" s="203"/>
      <c r="G108" s="203"/>
      <c r="H108" s="203"/>
      <c r="I108" s="203"/>
      <c r="J108" s="203"/>
      <c r="K108" s="203"/>
      <c r="L108" s="203"/>
      <c r="M108" s="203"/>
      <c r="N108" s="203"/>
      <c r="O108" s="203"/>
      <c r="P108" s="248"/>
      <c r="Q108" s="203"/>
    </row>
    <row r="109" spans="2:17" ht="19.5" thickBot="1" x14ac:dyDescent="0.35">
      <c r="B109" s="249" t="s">
        <v>24</v>
      </c>
      <c r="C109" s="203"/>
      <c r="D109" s="250">
        <f>SUM(D96:D107)</f>
        <v>14055178.578947369</v>
      </c>
      <c r="E109" s="251">
        <f>IF(D109&lt;&gt;0,F109/D109,0)</f>
        <v>3.7199655403981406</v>
      </c>
      <c r="F109" s="252">
        <f>SUM(F96:F107)</f>
        <v>52284779.97782632</v>
      </c>
      <c r="G109" s="203"/>
      <c r="H109" s="250">
        <f>SUM(H96:H107)</f>
        <v>14508606.317180619</v>
      </c>
      <c r="I109" s="251">
        <f>IF(H109&lt;&gt;0,J109/H109,0)</f>
        <v>0.84985461855875022</v>
      </c>
      <c r="J109" s="252">
        <f>SUM(J96:J107)</f>
        <v>12330206.087506609</v>
      </c>
      <c r="K109" s="203"/>
      <c r="L109" s="250">
        <f>SUM(L96:L107)</f>
        <v>14812908.088785555</v>
      </c>
      <c r="M109" s="251">
        <f>IF(L109&lt;&gt;0,N109/L109,0)</f>
        <v>1.9686120583473212</v>
      </c>
      <c r="N109" s="252">
        <f>SUM(N96:N107)</f>
        <v>29160869.482773814</v>
      </c>
      <c r="O109" s="203"/>
      <c r="P109" s="252">
        <f>SUM(P96:P107)</f>
        <v>41491075.570280433</v>
      </c>
      <c r="Q109" s="203"/>
    </row>
    <row r="111" spans="2:17" x14ac:dyDescent="0.2">
      <c r="N111" s="261" t="s">
        <v>243</v>
      </c>
      <c r="P111" s="262">
        <f>'[1]15. RTSR - UTRs &amp; Sub-Tx'!I95</f>
        <v>0</v>
      </c>
    </row>
    <row r="113" spans="14:16" ht="13.5" thickBot="1" x14ac:dyDescent="0.25">
      <c r="N113" s="263" t="s">
        <v>244</v>
      </c>
      <c r="P113" s="252">
        <f>P109+P111</f>
        <v>41491075.570280433</v>
      </c>
    </row>
  </sheetData>
  <mergeCells count="22">
    <mergeCell ref="B13:M13"/>
    <mergeCell ref="D16:F16"/>
    <mergeCell ref="H16:J16"/>
    <mergeCell ref="L16:N16"/>
    <mergeCell ref="D17:F17"/>
    <mergeCell ref="H17:J17"/>
    <mergeCell ref="L17:N17"/>
    <mergeCell ref="D35:F35"/>
    <mergeCell ref="H35:J35"/>
    <mergeCell ref="L35:N35"/>
    <mergeCell ref="D54:F54"/>
    <mergeCell ref="H54:J54"/>
    <mergeCell ref="L54:N54"/>
    <mergeCell ref="D93:F93"/>
    <mergeCell ref="H93:J93"/>
    <mergeCell ref="L93:N93"/>
    <mergeCell ref="D73:F73"/>
    <mergeCell ref="H73:J73"/>
    <mergeCell ref="L73:N73"/>
    <mergeCell ref="D92:F92"/>
    <mergeCell ref="H92:J92"/>
    <mergeCell ref="L92:N9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3:J60"/>
  <sheetViews>
    <sheetView topLeftCell="A28" zoomScale="90" zoomScaleNormal="90" workbookViewId="0">
      <selection activeCell="J53" sqref="J53:J60"/>
    </sheetView>
  </sheetViews>
  <sheetFormatPr defaultColWidth="9.140625" defaultRowHeight="12.75" x14ac:dyDescent="0.2"/>
  <cols>
    <col min="1" max="1" width="56.7109375" style="199" customWidth="1"/>
    <col min="2" max="2" width="79.85546875" style="199" customWidth="1"/>
    <col min="3" max="3" width="9.140625" style="516"/>
    <col min="4" max="4" width="16.140625" style="516" customWidth="1"/>
    <col min="5" max="5" width="17.42578125" style="516" customWidth="1"/>
    <col min="6" max="6" width="16.140625" style="516" customWidth="1"/>
    <col min="7" max="7" width="14.5703125" style="516" customWidth="1"/>
    <col min="8" max="8" width="11.5703125" style="516" customWidth="1"/>
    <col min="9" max="9" width="14.28515625" style="516" customWidth="1"/>
    <col min="10" max="10" width="14.42578125" style="516" customWidth="1"/>
    <col min="11" max="16384" width="9.140625" style="199"/>
  </cols>
  <sheetData>
    <row r="3" spans="1:10" x14ac:dyDescent="0.2">
      <c r="D3" s="517"/>
      <c r="E3" s="518"/>
      <c r="F3" s="518"/>
      <c r="G3" s="518"/>
      <c r="H3" s="519"/>
      <c r="I3" s="518"/>
      <c r="J3" s="517"/>
    </row>
    <row r="4" spans="1:10" x14ac:dyDescent="0.2">
      <c r="D4" s="517"/>
      <c r="E4" s="518"/>
      <c r="F4" s="518"/>
      <c r="G4" s="518"/>
      <c r="H4" s="519"/>
      <c r="I4" s="518"/>
      <c r="J4" s="517"/>
    </row>
    <row r="5" spans="1:10" x14ac:dyDescent="0.2">
      <c r="D5" s="517"/>
      <c r="E5" s="518"/>
      <c r="F5" s="518"/>
      <c r="G5" s="518"/>
      <c r="H5" s="519"/>
      <c r="I5" s="518"/>
      <c r="J5" s="517"/>
    </row>
    <row r="6" spans="1:10" x14ac:dyDescent="0.2">
      <c r="D6" s="517"/>
      <c r="E6" s="518"/>
      <c r="F6" s="518"/>
      <c r="G6" s="518"/>
      <c r="H6" s="519"/>
      <c r="I6" s="518"/>
      <c r="J6" s="517"/>
    </row>
    <row r="7" spans="1:10" x14ac:dyDescent="0.2">
      <c r="D7" s="517"/>
      <c r="E7" s="518"/>
      <c r="F7" s="518"/>
      <c r="G7" s="518"/>
      <c r="H7" s="519"/>
      <c r="I7" s="518"/>
      <c r="J7" s="517"/>
    </row>
    <row r="8" spans="1:10" x14ac:dyDescent="0.2">
      <c r="D8" s="517"/>
      <c r="E8" s="518"/>
      <c r="F8" s="518"/>
      <c r="G8" s="518"/>
      <c r="H8" s="519"/>
      <c r="I8" s="518"/>
      <c r="J8" s="517"/>
    </row>
    <row r="9" spans="1:10" x14ac:dyDescent="0.2">
      <c r="D9" s="517"/>
      <c r="E9" s="518"/>
      <c r="F9" s="518"/>
      <c r="G9" s="518"/>
      <c r="H9" s="519"/>
      <c r="I9" s="518"/>
      <c r="J9" s="517"/>
    </row>
    <row r="10" spans="1:10" x14ac:dyDescent="0.2">
      <c r="D10" s="517"/>
      <c r="E10" s="518"/>
      <c r="F10" s="518"/>
      <c r="G10" s="518"/>
      <c r="H10" s="519"/>
      <c r="I10" s="518"/>
      <c r="J10" s="517"/>
    </row>
    <row r="11" spans="1:10" x14ac:dyDescent="0.2">
      <c r="D11" s="517"/>
      <c r="E11" s="518"/>
      <c r="F11" s="518"/>
      <c r="G11" s="518"/>
      <c r="H11" s="519"/>
      <c r="I11" s="518"/>
      <c r="J11" s="517"/>
    </row>
    <row r="12" spans="1:10" x14ac:dyDescent="0.2">
      <c r="D12" s="517"/>
      <c r="E12" s="518"/>
      <c r="F12" s="518"/>
      <c r="G12" s="518"/>
      <c r="H12" s="519"/>
      <c r="I12" s="518"/>
      <c r="J12" s="517"/>
    </row>
    <row r="13" spans="1:10" ht="15.75" x14ac:dyDescent="0.25">
      <c r="A13" s="520" t="s">
        <v>433</v>
      </c>
      <c r="D13" s="517"/>
      <c r="E13" s="518"/>
      <c r="F13" s="518"/>
      <c r="G13" s="518"/>
      <c r="H13" s="519"/>
      <c r="I13" s="518"/>
      <c r="J13" s="517"/>
    </row>
    <row r="14" spans="1:10" x14ac:dyDescent="0.2">
      <c r="D14" s="517"/>
      <c r="E14" s="518"/>
      <c r="F14" s="518"/>
      <c r="G14" s="518"/>
      <c r="H14" s="519"/>
      <c r="I14" s="518"/>
      <c r="J14" s="517"/>
    </row>
    <row r="15" spans="1:10" ht="47.25" x14ac:dyDescent="0.2">
      <c r="A15" s="459" t="s">
        <v>4</v>
      </c>
      <c r="B15" s="459" t="s">
        <v>203</v>
      </c>
      <c r="C15" s="521" t="s">
        <v>95</v>
      </c>
      <c r="D15" s="522" t="s">
        <v>247</v>
      </c>
      <c r="E15" s="523" t="s">
        <v>211</v>
      </c>
      <c r="F15" s="523" t="s">
        <v>201</v>
      </c>
      <c r="G15" s="523" t="s">
        <v>248</v>
      </c>
      <c r="H15" s="524" t="s">
        <v>249</v>
      </c>
      <c r="I15" s="523" t="s">
        <v>250</v>
      </c>
      <c r="J15" s="522" t="s">
        <v>434</v>
      </c>
    </row>
    <row r="17" spans="1:10" x14ac:dyDescent="0.2">
      <c r="A17" s="199" t="s">
        <v>420</v>
      </c>
      <c r="B17" s="199" t="s">
        <v>204</v>
      </c>
      <c r="C17" s="516" t="s">
        <v>97</v>
      </c>
      <c r="D17" s="517">
        <v>8.0999999999999996E-3</v>
      </c>
      <c r="E17" s="525">
        <v>1469096847</v>
      </c>
      <c r="F17" s="525">
        <v>0</v>
      </c>
      <c r="G17" s="525">
        <f>IF(ISERROR(D17*E17), 0, ROUND(D17*E17, 2))</f>
        <v>11899684.460000001</v>
      </c>
      <c r="H17" s="529">
        <f>G17/53355237</f>
        <v>0.22302748762975227</v>
      </c>
      <c r="I17" s="525">
        <f>H17*'12. RTSR - Current Wholesale'!$F$109</f>
        <v>11655040.378499744</v>
      </c>
      <c r="J17" s="517">
        <f>IF(ISERROR(I17/E17), 0, I17/E17)</f>
        <v>7.9334731418831666E-3</v>
      </c>
    </row>
    <row r="18" spans="1:10" x14ac:dyDescent="0.2">
      <c r="A18" s="199" t="s">
        <v>421</v>
      </c>
      <c r="B18" s="199" t="s">
        <v>204</v>
      </c>
      <c r="C18" s="516" t="s">
        <v>97</v>
      </c>
      <c r="D18" s="517">
        <v>7.6E-3</v>
      </c>
      <c r="E18" s="525">
        <v>647112058</v>
      </c>
      <c r="F18" s="525">
        <v>0</v>
      </c>
      <c r="G18" s="525">
        <f>IF(ISERROR(D18*E18), 0, ROUND(D18*E18, 2))</f>
        <v>4918051.6399999997</v>
      </c>
      <c r="H18" s="529">
        <f t="shared" ref="H18:H24" si="0">G18/53355237</f>
        <v>9.2175612302125093E-2</v>
      </c>
      <c r="I18" s="525">
        <f>H18*'12. RTSR - Current Wholesale'!$F$109</f>
        <v>4816942.049213537</v>
      </c>
      <c r="J18" s="517">
        <f>IF(ISERROR(I18/E18), 0, I18/E18)</f>
        <v>7.4437525767964237E-3</v>
      </c>
    </row>
    <row r="19" spans="1:10" x14ac:dyDescent="0.2">
      <c r="A19" s="199" t="s">
        <v>422</v>
      </c>
      <c r="B19" s="199" t="s">
        <v>204</v>
      </c>
      <c r="C19" s="516" t="s">
        <v>101</v>
      </c>
      <c r="D19" s="517">
        <v>2.9272</v>
      </c>
      <c r="E19" s="525"/>
      <c r="F19" s="525">
        <f>6035821/2</f>
        <v>3017910.5</v>
      </c>
      <c r="G19" s="525">
        <f>IF(ISERROR(D19*F19), 0, ROUND(D19*F19, 2))</f>
        <v>8834027.6199999992</v>
      </c>
      <c r="H19" s="529">
        <f t="shared" si="0"/>
        <v>0.16557001930288492</v>
      </c>
      <c r="I19" s="525">
        <f>H19*'12. RTSR - Current Wholesale'!$F$109</f>
        <v>8652409.9829687402</v>
      </c>
      <c r="J19" s="517">
        <f>IF(ISERROR(I19/F19), 0, I19/F19)</f>
        <v>2.8670200733152096</v>
      </c>
    </row>
    <row r="20" spans="1:10" x14ac:dyDescent="0.2">
      <c r="A20" s="199" t="s">
        <v>422</v>
      </c>
      <c r="B20" s="199" t="s">
        <v>206</v>
      </c>
      <c r="C20" s="516" t="s">
        <v>101</v>
      </c>
      <c r="D20" s="517">
        <v>2.9272</v>
      </c>
      <c r="E20" s="525"/>
      <c r="F20" s="525">
        <f>6035821/2</f>
        <v>3017910.5</v>
      </c>
      <c r="G20" s="525">
        <f>IF(ISERROR(D20*F20), 0, ROUND(D20*F20, 2))</f>
        <v>8834027.6199999992</v>
      </c>
      <c r="H20" s="529">
        <f t="shared" si="0"/>
        <v>0.16557001930288492</v>
      </c>
      <c r="I20" s="525">
        <f>H20*'12. RTSR - Current Wholesale'!$F$109</f>
        <v>8652409.9829687402</v>
      </c>
      <c r="J20" s="517">
        <f>IF(ISERROR(I20/F20), 0, I20/F20)</f>
        <v>2.8670200733152096</v>
      </c>
    </row>
    <row r="21" spans="1:10" x14ac:dyDescent="0.2">
      <c r="A21" s="199" t="s">
        <v>423</v>
      </c>
      <c r="B21" s="199" t="s">
        <v>206</v>
      </c>
      <c r="C21" s="516" t="s">
        <v>101</v>
      </c>
      <c r="D21" s="517">
        <v>2.8319999999999999</v>
      </c>
      <c r="E21" s="525"/>
      <c r="F21" s="525">
        <v>4709432</v>
      </c>
      <c r="G21" s="525">
        <f>IF(ISERROR(D21*F21), 0, ROUND(D21*F21, 2))</f>
        <v>13337111.42</v>
      </c>
      <c r="H21" s="529">
        <f t="shared" si="0"/>
        <v>0.24996817875628591</v>
      </c>
      <c r="I21" s="525">
        <f>H21*'12. RTSR - Current Wholesale'!$F$109</f>
        <v>13062915.462604633</v>
      </c>
      <c r="J21" s="517">
        <f>IF(ISERROR(I21/F21), 0, I21/F21)</f>
        <v>2.7737772756044961</v>
      </c>
    </row>
    <row r="22" spans="1:10" x14ac:dyDescent="0.2">
      <c r="A22" s="199" t="s">
        <v>424</v>
      </c>
      <c r="B22" s="199" t="s">
        <v>206</v>
      </c>
      <c r="C22" s="516" t="s">
        <v>101</v>
      </c>
      <c r="D22" s="517">
        <v>3.0219999999999998</v>
      </c>
      <c r="E22" s="525"/>
      <c r="F22" s="525">
        <v>1741184</v>
      </c>
      <c r="G22" s="525">
        <f>IF(ISERROR(D22*F22), 0, ROUND(D22*F22, 2))</f>
        <v>5261858.05</v>
      </c>
      <c r="H22" s="529">
        <f t="shared" si="0"/>
        <v>9.8619336092537646E-2</v>
      </c>
      <c r="I22" s="525">
        <f>H22*'12. RTSR - Current Wholesale'!$F$109</f>
        <v>5153680.1874731332</v>
      </c>
      <c r="J22" s="517">
        <f>IF(ISERROR(I22/F22), 0, I22/F22)</f>
        <v>2.9598710920116043</v>
      </c>
    </row>
    <row r="23" spans="1:10" x14ac:dyDescent="0.2">
      <c r="A23" s="199" t="s">
        <v>425</v>
      </c>
      <c r="B23" s="199" t="s">
        <v>204</v>
      </c>
      <c r="C23" s="516" t="s">
        <v>97</v>
      </c>
      <c r="D23" s="517">
        <v>7.6E-3</v>
      </c>
      <c r="E23" s="525">
        <v>11501822</v>
      </c>
      <c r="F23" s="525">
        <v>0</v>
      </c>
      <c r="G23" s="525">
        <f>IF(ISERROR(D23*E23), 0, ROUND(D23*E23, 2))</f>
        <v>87413.85</v>
      </c>
      <c r="H23" s="529">
        <f t="shared" si="0"/>
        <v>1.6383368328023733E-3</v>
      </c>
      <c r="I23" s="525">
        <f>H23*'12. RTSR - Current Wholesale'!$F$109</f>
        <v>85616.719906715909</v>
      </c>
      <c r="J23" s="517">
        <f>IF(ISERROR(I23/E23), 0, I23/E23)</f>
        <v>7.4437528164421176E-3</v>
      </c>
    </row>
    <row r="24" spans="1:10" x14ac:dyDescent="0.2">
      <c r="A24" s="199" t="s">
        <v>426</v>
      </c>
      <c r="B24" s="199" t="s">
        <v>204</v>
      </c>
      <c r="C24" s="516" t="s">
        <v>101</v>
      </c>
      <c r="D24" s="517">
        <v>2.0270999999999999</v>
      </c>
      <c r="E24" s="525"/>
      <c r="F24" s="525">
        <v>90307</v>
      </c>
      <c r="G24" s="525">
        <f>IF(ISERROR(D24*F24), 0, ROUND(D24*F24, 2))</f>
        <v>183061.32</v>
      </c>
      <c r="H24" s="529">
        <f t="shared" si="0"/>
        <v>3.4309906635781604E-3</v>
      </c>
      <c r="I24" s="525">
        <f>H24*'12. RTSR - Current Wholesale'!$F$109</f>
        <v>179297.78587939657</v>
      </c>
      <c r="J24" s="517">
        <f>IF(ISERROR(I24/F24), 0, I24/F24)</f>
        <v>1.9854251152114075</v>
      </c>
    </row>
    <row r="26" spans="1:10" ht="15.75" x14ac:dyDescent="0.25">
      <c r="A26" s="520" t="s">
        <v>435</v>
      </c>
    </row>
    <row r="27" spans="1:10" ht="47.25" x14ac:dyDescent="0.2">
      <c r="A27" s="459" t="s">
        <v>4</v>
      </c>
      <c r="B27" s="459" t="s">
        <v>203</v>
      </c>
      <c r="C27" s="521" t="s">
        <v>95</v>
      </c>
      <c r="D27" s="522" t="s">
        <v>251</v>
      </c>
      <c r="E27" s="523" t="s">
        <v>211</v>
      </c>
      <c r="F27" s="523" t="s">
        <v>201</v>
      </c>
      <c r="G27" s="523" t="s">
        <v>248</v>
      </c>
      <c r="H27" s="524" t="s">
        <v>249</v>
      </c>
      <c r="I27" s="523" t="s">
        <v>250</v>
      </c>
      <c r="J27" s="522" t="s">
        <v>253</v>
      </c>
    </row>
    <row r="29" spans="1:10" x14ac:dyDescent="0.2">
      <c r="A29" s="199" t="s">
        <v>420</v>
      </c>
      <c r="B29" s="199" t="s">
        <v>205</v>
      </c>
      <c r="C29" s="516" t="s">
        <v>97</v>
      </c>
      <c r="D29" s="517">
        <v>6.1999999999999998E-3</v>
      </c>
      <c r="E29" s="525">
        <v>1469096847</v>
      </c>
      <c r="F29" s="525">
        <v>0</v>
      </c>
      <c r="G29" s="525">
        <f>IF(ISERROR(D29*E29), 0, ROUND(D29*E29, 2))</f>
        <v>9108400.4499999993</v>
      </c>
      <c r="H29" s="526">
        <f>G29/40310345.44</f>
        <v>0.22595689395808857</v>
      </c>
      <c r="I29" s="525">
        <f>H29*'12. RTSR - Current Wholesale'!$P$109</f>
        <v>9333988.1397768985</v>
      </c>
      <c r="J29" s="517">
        <f>IF(ISERROR(I29/E29), 0, I29/E29)</f>
        <v>6.3535553553447236E-3</v>
      </c>
    </row>
    <row r="30" spans="1:10" x14ac:dyDescent="0.2">
      <c r="A30" s="199" t="s">
        <v>421</v>
      </c>
      <c r="B30" s="199" t="s">
        <v>205</v>
      </c>
      <c r="C30" s="516" t="s">
        <v>97</v>
      </c>
      <c r="D30" s="517">
        <v>5.5999999999999999E-3</v>
      </c>
      <c r="E30" s="525">
        <v>647112058</v>
      </c>
      <c r="F30" s="525">
        <v>0</v>
      </c>
      <c r="G30" s="525">
        <f>IF(ISERROR(D30*E30), 0, ROUND(D30*E30, 2))</f>
        <v>3623827.52</v>
      </c>
      <c r="H30" s="526">
        <f t="shared" ref="H30:H36" si="1">G30/40310345.44</f>
        <v>8.9898200584609039E-2</v>
      </c>
      <c r="I30" s="525">
        <f>H30*'12. RTSR - Current Wholesale'!$P$109</f>
        <v>3713578.8306581466</v>
      </c>
      <c r="J30" s="517">
        <f>IF(ISERROR(I30/E30), 0, I30/E30)</f>
        <v>5.7386951529469826E-3</v>
      </c>
    </row>
    <row r="31" spans="1:10" x14ac:dyDescent="0.2">
      <c r="A31" s="199" t="s">
        <v>422</v>
      </c>
      <c r="B31" s="199" t="s">
        <v>205</v>
      </c>
      <c r="C31" s="516" t="s">
        <v>101</v>
      </c>
      <c r="D31" s="517">
        <v>2.1960000000000002</v>
      </c>
      <c r="E31" s="525"/>
      <c r="F31" s="525">
        <f>6035821/2</f>
        <v>3017910.5</v>
      </c>
      <c r="G31" s="525">
        <f>IF(ISERROR(D31*F31), 0, ROUND(D31*F31, 2))</f>
        <v>6627331.46</v>
      </c>
      <c r="H31" s="526">
        <f t="shared" si="1"/>
        <v>0.16440770694620971</v>
      </c>
      <c r="I31" s="525">
        <f>H31*'12. RTSR - Current Wholesale'!$P$109</f>
        <v>6791470.5315805832</v>
      </c>
      <c r="J31" s="517">
        <f>IF(ISERROR(I31/F31), 0, I31/F31)</f>
        <v>2.2503883172084072</v>
      </c>
    </row>
    <row r="32" spans="1:10" x14ac:dyDescent="0.2">
      <c r="A32" s="199" t="s">
        <v>422</v>
      </c>
      <c r="B32" s="199" t="s">
        <v>207</v>
      </c>
      <c r="C32" s="516" t="s">
        <v>101</v>
      </c>
      <c r="D32" s="517">
        <v>2.1960000000000002</v>
      </c>
      <c r="E32" s="525"/>
      <c r="F32" s="525">
        <f>6035821/2</f>
        <v>3017910.5</v>
      </c>
      <c r="G32" s="525">
        <f>IF(ISERROR(D32*F32), 0, ROUND(D32*F32, 2))</f>
        <v>6627331.46</v>
      </c>
      <c r="H32" s="526">
        <f t="shared" si="1"/>
        <v>0.16440770694620971</v>
      </c>
      <c r="I32" s="525">
        <f>H32*'12. RTSR - Current Wholesale'!$P$109</f>
        <v>6791470.5315805832</v>
      </c>
      <c r="J32" s="517">
        <f>IF(ISERROR(I32/F32), 0, I32/F32)</f>
        <v>2.2503883172084072</v>
      </c>
    </row>
    <row r="33" spans="1:10" x14ac:dyDescent="0.2">
      <c r="A33" s="199" t="s">
        <v>423</v>
      </c>
      <c r="B33" s="199" t="s">
        <v>207</v>
      </c>
      <c r="C33" s="516" t="s">
        <v>101</v>
      </c>
      <c r="D33" s="517">
        <v>2.1488</v>
      </c>
      <c r="E33" s="525"/>
      <c r="F33" s="525">
        <v>4709432</v>
      </c>
      <c r="G33" s="525">
        <f>IF(ISERROR(D33*F33), 0, ROUND(D33*F33, 2))</f>
        <v>10119627.48</v>
      </c>
      <c r="H33" s="526">
        <f t="shared" si="1"/>
        <v>0.25104293623736312</v>
      </c>
      <c r="I33" s="525">
        <f>H33*'12. RTSR - Current Wholesale'!$P$109</f>
        <v>10370260.222504864</v>
      </c>
      <c r="J33" s="517">
        <f>IF(ISERROR(I33/F33), 0, I33/F33)</f>
        <v>2.2020193141136475</v>
      </c>
    </row>
    <row r="34" spans="1:10" x14ac:dyDescent="0.2">
      <c r="A34" s="199" t="s">
        <v>424</v>
      </c>
      <c r="B34" s="199" t="s">
        <v>207</v>
      </c>
      <c r="C34" s="516" t="s">
        <v>101</v>
      </c>
      <c r="D34" s="517">
        <v>2.2949999999999999</v>
      </c>
      <c r="E34" s="525"/>
      <c r="F34" s="525">
        <v>1741184</v>
      </c>
      <c r="G34" s="525">
        <f>IF(ISERROR(D34*F34), 0, ROUND(D34*F34, 2))</f>
        <v>3996017.28</v>
      </c>
      <c r="H34" s="526">
        <f t="shared" si="1"/>
        <v>9.9131308262983719E-2</v>
      </c>
      <c r="I34" s="525">
        <f>H34*'12. RTSR - Current Wholesale'!$P$109</f>
        <v>4094986.6118220068</v>
      </c>
      <c r="J34" s="517">
        <f>IF(ISERROR(I34/F34), 0, I34/F34)</f>
        <v>2.3518402488318331</v>
      </c>
    </row>
    <row r="35" spans="1:10" x14ac:dyDescent="0.2">
      <c r="A35" s="199" t="s">
        <v>425</v>
      </c>
      <c r="B35" s="199" t="s">
        <v>205</v>
      </c>
      <c r="C35" s="516" t="s">
        <v>97</v>
      </c>
      <c r="D35" s="517">
        <v>5.5999999999999999E-3</v>
      </c>
      <c r="E35" s="525">
        <v>11501822</v>
      </c>
      <c r="F35" s="525">
        <v>0</v>
      </c>
      <c r="G35" s="525">
        <f>IF(ISERROR(D35*E35), 0, ROUND(D35*E35, 2))</f>
        <v>64410.2</v>
      </c>
      <c r="H35" s="526">
        <f t="shared" si="1"/>
        <v>1.5978578029273271E-3</v>
      </c>
      <c r="I35" s="525">
        <f>H35*'12. RTSR - Current Wholesale'!$P$109</f>
        <v>66005.44696963318</v>
      </c>
      <c r="J35" s="517">
        <f>IF(ISERROR(I35/E35), 0, I35/E35)</f>
        <v>5.7386948754408803E-3</v>
      </c>
    </row>
    <row r="36" spans="1:10" x14ac:dyDescent="0.2">
      <c r="A36" s="199" t="s">
        <v>426</v>
      </c>
      <c r="B36" s="199" t="s">
        <v>205</v>
      </c>
      <c r="C36" s="516" t="s">
        <v>101</v>
      </c>
      <c r="D36" s="517">
        <v>1.5879000000000001</v>
      </c>
      <c r="E36" s="525"/>
      <c r="F36" s="525">
        <v>90307</v>
      </c>
      <c r="G36" s="525">
        <f>IF(ISERROR(D36*F36), 0, ROUND(D36*F36, 2))</f>
        <v>143398.49</v>
      </c>
      <c r="H36" s="526">
        <f t="shared" si="1"/>
        <v>3.5573619733287008E-3</v>
      </c>
      <c r="I36" s="525">
        <f>H36*'12. RTSR - Current Wholesale'!$P$109</f>
        <v>146950.03939159442</v>
      </c>
      <c r="J36" s="517">
        <f>IF(ISERROR(I36/F36), 0, I36/F36)</f>
        <v>1.627227561447002</v>
      </c>
    </row>
    <row r="38" spans="1:10" ht="15.75" x14ac:dyDescent="0.25">
      <c r="A38" s="520" t="s">
        <v>436</v>
      </c>
    </row>
    <row r="39" spans="1:10" ht="47.25" x14ac:dyDescent="0.2">
      <c r="A39" s="459" t="s">
        <v>4</v>
      </c>
      <c r="B39" s="459" t="s">
        <v>203</v>
      </c>
      <c r="C39" s="521" t="s">
        <v>95</v>
      </c>
      <c r="D39" s="522" t="s">
        <v>252</v>
      </c>
      <c r="E39" s="523" t="s">
        <v>211</v>
      </c>
      <c r="F39" s="523" t="s">
        <v>201</v>
      </c>
      <c r="G39" s="523" t="s">
        <v>248</v>
      </c>
      <c r="H39" s="524" t="s">
        <v>249</v>
      </c>
      <c r="I39" s="523" t="s">
        <v>250</v>
      </c>
      <c r="J39" s="522" t="s">
        <v>437</v>
      </c>
    </row>
    <row r="41" spans="1:10" x14ac:dyDescent="0.2">
      <c r="A41" s="199" t="s">
        <v>420</v>
      </c>
      <c r="B41" s="199" t="s">
        <v>204</v>
      </c>
      <c r="C41" s="516" t="s">
        <v>97</v>
      </c>
      <c r="D41" s="517">
        <f>J17</f>
        <v>7.9334731418831666E-3</v>
      </c>
      <c r="E41" s="525">
        <v>1469096847</v>
      </c>
      <c r="F41" s="525">
        <v>0</v>
      </c>
      <c r="G41" s="525">
        <f>IF(ISERROR(D41*E41), 0, ROUND(D41*E41, 2))</f>
        <v>11655040.380000001</v>
      </c>
      <c r="H41" s="526">
        <f>G41/'12. RTSR - Current Wholesale'!$F$109</f>
        <v>0.22302748765846073</v>
      </c>
      <c r="I41" s="525">
        <f>H41*'13. RTSR - Forecast Wholesale'!$F$109</f>
        <v>11660943.121229993</v>
      </c>
      <c r="J41" s="527">
        <f>IF(ISERROR(I41/E41), 0, I41/E41)</f>
        <v>7.9374910817094635E-3</v>
      </c>
    </row>
    <row r="42" spans="1:10" x14ac:dyDescent="0.2">
      <c r="A42" s="199" t="s">
        <v>421</v>
      </c>
      <c r="B42" s="199" t="s">
        <v>204</v>
      </c>
      <c r="C42" s="516" t="s">
        <v>97</v>
      </c>
      <c r="D42" s="517">
        <f t="shared" ref="D42:D48" si="2">J18</f>
        <v>7.4437525767964237E-3</v>
      </c>
      <c r="E42" s="525">
        <v>647112058</v>
      </c>
      <c r="F42" s="525">
        <v>0</v>
      </c>
      <c r="G42" s="525">
        <f>IF(ISERROR(D42*E42), 0, ROUND(D42*E42, 2))</f>
        <v>4816942.05</v>
      </c>
      <c r="H42" s="526">
        <f>G42/'12. RTSR - Current Wholesale'!$F$109</f>
        <v>9.217561231717461E-2</v>
      </c>
      <c r="I42" s="525">
        <f>H42*'13. RTSR - Forecast Wholesale'!$F$109</f>
        <v>4819381.6093248921</v>
      </c>
      <c r="J42" s="527">
        <f>IF(ISERROR(I42/E42), 0, I42/E42)</f>
        <v>7.4475224959026989E-3</v>
      </c>
    </row>
    <row r="43" spans="1:10" x14ac:dyDescent="0.2">
      <c r="A43" s="199" t="s">
        <v>422</v>
      </c>
      <c r="B43" s="199" t="s">
        <v>204</v>
      </c>
      <c r="C43" s="516" t="s">
        <v>101</v>
      </c>
      <c r="D43" s="517">
        <f t="shared" si="2"/>
        <v>2.8670200733152096</v>
      </c>
      <c r="E43" s="525"/>
      <c r="F43" s="525">
        <f>6035821/2</f>
        <v>3017910.5</v>
      </c>
      <c r="G43" s="525">
        <f>IF(ISERROR(D43*F43), 0, ROUND(D43*F43, 2))</f>
        <v>8652409.9800000004</v>
      </c>
      <c r="H43" s="526">
        <f>G43/'12. RTSR - Current Wholesale'!$F$109</f>
        <v>0.16557001924607595</v>
      </c>
      <c r="I43" s="525">
        <f>H43*'13. RTSR - Forecast Wholesale'!$F$109</f>
        <v>8656792.027205551</v>
      </c>
      <c r="J43" s="527">
        <f>IF(ISERROR(I43/F43), 0, I43/F43)</f>
        <v>2.8684720859699291</v>
      </c>
    </row>
    <row r="44" spans="1:10" x14ac:dyDescent="0.2">
      <c r="A44" s="199" t="s">
        <v>422</v>
      </c>
      <c r="B44" s="199" t="s">
        <v>206</v>
      </c>
      <c r="C44" s="516" t="s">
        <v>101</v>
      </c>
      <c r="D44" s="517">
        <f t="shared" si="2"/>
        <v>2.8670200733152096</v>
      </c>
      <c r="E44" s="525"/>
      <c r="F44" s="525">
        <f>6035821/2</f>
        <v>3017910.5</v>
      </c>
      <c r="G44" s="525">
        <f>IF(ISERROR(D44*F44), 0, ROUND(D44*F44, 2))</f>
        <v>8652409.9800000004</v>
      </c>
      <c r="H44" s="526">
        <f>G44/'12. RTSR - Current Wholesale'!$F$109</f>
        <v>0.16557001924607595</v>
      </c>
      <c r="I44" s="525">
        <f>H44*'13. RTSR - Forecast Wholesale'!$F$109</f>
        <v>8656792.027205551</v>
      </c>
      <c r="J44" s="527">
        <f>IF(ISERROR(I44/F44), 0, I44/F44)</f>
        <v>2.8684720859699291</v>
      </c>
    </row>
    <row r="45" spans="1:10" x14ac:dyDescent="0.2">
      <c r="A45" s="199" t="s">
        <v>423</v>
      </c>
      <c r="B45" s="199" t="s">
        <v>206</v>
      </c>
      <c r="C45" s="516" t="s">
        <v>101</v>
      </c>
      <c r="D45" s="517">
        <f t="shared" si="2"/>
        <v>2.7737772756044961</v>
      </c>
      <c r="E45" s="525"/>
      <c r="F45" s="525">
        <v>4709432</v>
      </c>
      <c r="G45" s="525">
        <f>IF(ISERROR(D45*F45), 0, ROUND(D45*F45, 2))</f>
        <v>13062915.460000001</v>
      </c>
      <c r="H45" s="526">
        <f>G45/'12. RTSR - Current Wholesale'!$F$109</f>
        <v>0.24996817870644442</v>
      </c>
      <c r="I45" s="525">
        <f>H45*'13. RTSR - Forecast Wholesale'!$F$109</f>
        <v>13069531.225124417</v>
      </c>
      <c r="J45" s="527">
        <f>IF(ISERROR(I45/F45), 0, I45/F45)</f>
        <v>2.7751820655069266</v>
      </c>
    </row>
    <row r="46" spans="1:10" x14ac:dyDescent="0.2">
      <c r="A46" s="199" t="s">
        <v>424</v>
      </c>
      <c r="B46" s="199" t="s">
        <v>206</v>
      </c>
      <c r="C46" s="516" t="s">
        <v>101</v>
      </c>
      <c r="D46" s="517">
        <f t="shared" si="2"/>
        <v>2.9598710920116043</v>
      </c>
      <c r="E46" s="525"/>
      <c r="F46" s="525">
        <v>1741184</v>
      </c>
      <c r="G46" s="525">
        <f>IF(ISERROR(D46*F46), 0, ROUND(D46*F46, 2))</f>
        <v>5153680.1900000004</v>
      </c>
      <c r="H46" s="526">
        <f>G46/'12. RTSR - Current Wholesale'!$F$109</f>
        <v>9.8619336140891051E-2</v>
      </c>
      <c r="I46" s="525">
        <f>H46*'13. RTSR - Forecast Wholesale'!$F$109</f>
        <v>5156290.2916857842</v>
      </c>
      <c r="J46" s="527">
        <f>IF(ISERROR(I46/F46), 0, I46/F46)</f>
        <v>2.9613701318676164</v>
      </c>
    </row>
    <row r="47" spans="1:10" x14ac:dyDescent="0.2">
      <c r="A47" s="199" t="s">
        <v>425</v>
      </c>
      <c r="B47" s="199" t="s">
        <v>204</v>
      </c>
      <c r="C47" s="516" t="s">
        <v>97</v>
      </c>
      <c r="D47" s="517">
        <f t="shared" si="2"/>
        <v>7.4437528164421176E-3</v>
      </c>
      <c r="E47" s="525">
        <v>11501822</v>
      </c>
      <c r="F47" s="525">
        <v>0</v>
      </c>
      <c r="G47" s="525">
        <f>IF(ISERROR(D47*E47), 0, ROUND(D47*E47, 2))</f>
        <v>85616.72</v>
      </c>
      <c r="H47" s="526">
        <f>G47/'12. RTSR - Current Wholesale'!$F$109</f>
        <v>1.6383368345874309E-3</v>
      </c>
      <c r="I47" s="525">
        <f>H47*'13. RTSR - Forecast Wholesale'!$F$109</f>
        <v>85660.080925972259</v>
      </c>
      <c r="J47" s="527">
        <f>IF(ISERROR(I47/E47), 0, I47/E47)</f>
        <v>7.4475227425682871E-3</v>
      </c>
    </row>
    <row r="48" spans="1:10" x14ac:dyDescent="0.2">
      <c r="A48" s="199" t="s">
        <v>426</v>
      </c>
      <c r="B48" s="199" t="s">
        <v>204</v>
      </c>
      <c r="C48" s="516" t="s">
        <v>101</v>
      </c>
      <c r="D48" s="517">
        <f t="shared" si="2"/>
        <v>1.9854251152114075</v>
      </c>
      <c r="E48" s="525"/>
      <c r="F48" s="525">
        <v>90307</v>
      </c>
      <c r="G48" s="525">
        <f>IF(ISERROR(D48*F48), 0, ROUND(D48*F48, 2))</f>
        <v>179297.79</v>
      </c>
      <c r="H48" s="526">
        <f>G48/'12. RTSR - Current Wholesale'!$F$109</f>
        <v>3.4309907424288377E-3</v>
      </c>
      <c r="I48" s="525">
        <f>H48*'13. RTSR - Forecast Wholesale'!$F$109</f>
        <v>179388.59607385076</v>
      </c>
      <c r="J48" s="527">
        <f>IF(ISERROR(I48/F48), 0, I48/F48)</f>
        <v>1.9864306872540418</v>
      </c>
    </row>
    <row r="50" spans="1:10" ht="15.75" x14ac:dyDescent="0.25">
      <c r="A50" s="520" t="s">
        <v>438</v>
      </c>
    </row>
    <row r="51" spans="1:10" ht="47.25" x14ac:dyDescent="0.2">
      <c r="A51" s="459" t="s">
        <v>4</v>
      </c>
      <c r="B51" s="459" t="s">
        <v>203</v>
      </c>
      <c r="C51" s="521" t="s">
        <v>95</v>
      </c>
      <c r="D51" s="522" t="s">
        <v>253</v>
      </c>
      <c r="E51" s="523" t="s">
        <v>211</v>
      </c>
      <c r="F51" s="523" t="s">
        <v>201</v>
      </c>
      <c r="G51" s="523" t="s">
        <v>248</v>
      </c>
      <c r="H51" s="524" t="s">
        <v>249</v>
      </c>
      <c r="I51" s="523" t="s">
        <v>250</v>
      </c>
      <c r="J51" s="522" t="s">
        <v>439</v>
      </c>
    </row>
    <row r="53" spans="1:10" x14ac:dyDescent="0.2">
      <c r="A53" s="199" t="s">
        <v>420</v>
      </c>
      <c r="B53" s="199" t="s">
        <v>205</v>
      </c>
      <c r="C53" s="516" t="s">
        <v>97</v>
      </c>
      <c r="D53" s="517">
        <f>J29</f>
        <v>6.3535553553447236E-3</v>
      </c>
      <c r="E53" s="525">
        <v>1469096847</v>
      </c>
      <c r="F53" s="525">
        <v>0</v>
      </c>
      <c r="G53" s="525">
        <f>IF(ISERROR(D53*E53), 0, ROUND(D53*E53, 2))</f>
        <v>9333988.1400000006</v>
      </c>
      <c r="H53" s="526">
        <f>G53/'12. RTSR - Current Wholesale'!$P$109</f>
        <v>0.22595689396348945</v>
      </c>
      <c r="I53" s="525">
        <f>H53*'13. RTSR - Forecast Wholesale'!$P$109</f>
        <v>9375194.5630649831</v>
      </c>
      <c r="J53" s="527">
        <f>IF(ISERROR(I53/E53), 0, I53/E53)</f>
        <v>6.3816041687175329E-3</v>
      </c>
    </row>
    <row r="54" spans="1:10" x14ac:dyDescent="0.2">
      <c r="A54" s="199" t="s">
        <v>421</v>
      </c>
      <c r="B54" s="199" t="s">
        <v>205</v>
      </c>
      <c r="C54" s="516" t="s">
        <v>97</v>
      </c>
      <c r="D54" s="517">
        <f t="shared" ref="D54:D60" si="3">J30</f>
        <v>5.7386951529469826E-3</v>
      </c>
      <c r="E54" s="525">
        <v>647112058</v>
      </c>
      <c r="F54" s="525">
        <v>0</v>
      </c>
      <c r="G54" s="525">
        <f>IF(ISERROR(D54*E54), 0, ROUND(D54*E54, 2))</f>
        <v>3713578.83</v>
      </c>
      <c r="H54" s="526">
        <f>G54/'12. RTSR - Current Wholesale'!$P$109</f>
        <v>8.9898200568676645E-2</v>
      </c>
      <c r="I54" s="525">
        <f>H54*'13. RTSR - Forecast Wholesale'!$P$109</f>
        <v>3729973.03342719</v>
      </c>
      <c r="J54" s="527">
        <f>IF(ISERROR(I54/E54), 0, I54/E54)</f>
        <v>5.7640295638366704E-3</v>
      </c>
    </row>
    <row r="55" spans="1:10" x14ac:dyDescent="0.2">
      <c r="A55" s="199" t="s">
        <v>422</v>
      </c>
      <c r="B55" s="199" t="s">
        <v>205</v>
      </c>
      <c r="C55" s="516" t="s">
        <v>101</v>
      </c>
      <c r="D55" s="517">
        <f t="shared" si="3"/>
        <v>2.2503883172084072</v>
      </c>
      <c r="E55" s="525"/>
      <c r="F55" s="525">
        <f>6035821/2</f>
        <v>3017910.5</v>
      </c>
      <c r="G55" s="525">
        <f>IF(ISERROR(D55*F55), 0, ROUND(D55*F55, 2))</f>
        <v>6791470.5300000003</v>
      </c>
      <c r="H55" s="526">
        <f>G55/'12. RTSR - Current Wholesale'!$P$109</f>
        <v>0.16440770690794701</v>
      </c>
      <c r="I55" s="525">
        <f>H55*'13. RTSR - Forecast Wholesale'!$P$109</f>
        <v>6821452.5916541461</v>
      </c>
      <c r="J55" s="527">
        <f>IF(ISERROR(I55/F55), 0, I55/F55)</f>
        <v>2.2603230253694222</v>
      </c>
    </row>
    <row r="56" spans="1:10" x14ac:dyDescent="0.2">
      <c r="A56" s="199" t="s">
        <v>422</v>
      </c>
      <c r="B56" s="199" t="s">
        <v>207</v>
      </c>
      <c r="C56" s="516" t="s">
        <v>101</v>
      </c>
      <c r="D56" s="517">
        <f t="shared" si="3"/>
        <v>2.2503883172084072</v>
      </c>
      <c r="E56" s="525"/>
      <c r="F56" s="525">
        <f>6035821/2</f>
        <v>3017910.5</v>
      </c>
      <c r="G56" s="525">
        <f>IF(ISERROR(D56*F56), 0, ROUND(D56*F56, 2))</f>
        <v>6791470.5300000003</v>
      </c>
      <c r="H56" s="526">
        <f>G56/'12. RTSR - Current Wholesale'!$P$109</f>
        <v>0.16440770690794701</v>
      </c>
      <c r="I56" s="525">
        <f>H56*'13. RTSR - Forecast Wholesale'!$P$109</f>
        <v>6821452.5916541461</v>
      </c>
      <c r="J56" s="527">
        <f>IF(ISERROR(I56/F56), 0, I56/F56)</f>
        <v>2.2603230253694222</v>
      </c>
    </row>
    <row r="57" spans="1:10" x14ac:dyDescent="0.2">
      <c r="A57" s="199" t="s">
        <v>423</v>
      </c>
      <c r="B57" s="199" t="s">
        <v>207</v>
      </c>
      <c r="C57" s="516" t="s">
        <v>101</v>
      </c>
      <c r="D57" s="517">
        <f t="shared" si="3"/>
        <v>2.2020193141136475</v>
      </c>
      <c r="E57" s="525"/>
      <c r="F57" s="525">
        <v>4709432</v>
      </c>
      <c r="G57" s="525">
        <f>IF(ISERROR(D57*F57), 0, ROUND(D57*F57, 2))</f>
        <v>10370260.220000001</v>
      </c>
      <c r="H57" s="526">
        <f>G57/'12. RTSR - Current Wholesale'!$P$109</f>
        <v>0.25104293617672546</v>
      </c>
      <c r="I57" s="525">
        <f>H57*'13. RTSR - Forecast Wholesale'!$P$109</f>
        <v>10416041.436293604</v>
      </c>
      <c r="J57" s="527">
        <f>IF(ISERROR(I57/F57), 0, I57/F57)</f>
        <v>2.2117404893612655</v>
      </c>
    </row>
    <row r="58" spans="1:10" x14ac:dyDescent="0.2">
      <c r="A58" s="199" t="s">
        <v>424</v>
      </c>
      <c r="B58" s="199" t="s">
        <v>207</v>
      </c>
      <c r="C58" s="516" t="s">
        <v>101</v>
      </c>
      <c r="D58" s="517">
        <f t="shared" si="3"/>
        <v>2.3518402488318331</v>
      </c>
      <c r="E58" s="525"/>
      <c r="F58" s="525">
        <v>1741184</v>
      </c>
      <c r="G58" s="525">
        <f>IF(ISERROR(D58*F58), 0, ROUND(D58*F58, 2))</f>
        <v>4094986.61</v>
      </c>
      <c r="H58" s="526">
        <f>G58/'12. RTSR - Current Wholesale'!$P$109</f>
        <v>9.9131308218876626E-2</v>
      </c>
      <c r="I58" s="525">
        <f>H58*'13. RTSR - Forecast Wholesale'!$P$109</f>
        <v>4113064.6006901721</v>
      </c>
      <c r="J58" s="527">
        <f>IF(ISERROR(I58/F58), 0, I58/F58)</f>
        <v>2.3622228326760251</v>
      </c>
    </row>
    <row r="59" spans="1:10" x14ac:dyDescent="0.2">
      <c r="A59" s="199" t="s">
        <v>425</v>
      </c>
      <c r="B59" s="199" t="s">
        <v>205</v>
      </c>
      <c r="C59" s="516" t="s">
        <v>97</v>
      </c>
      <c r="D59" s="517">
        <f t="shared" si="3"/>
        <v>5.7386948754408803E-3</v>
      </c>
      <c r="E59" s="525">
        <v>11501822</v>
      </c>
      <c r="F59" s="525">
        <v>0</v>
      </c>
      <c r="G59" s="525">
        <f>IF(ISERROR(D59*E59), 0, ROUND(D59*E59, 2))</f>
        <v>66005.45</v>
      </c>
      <c r="H59" s="526">
        <f>G59/'12. RTSR - Current Wholesale'!$P$109</f>
        <v>1.5978578762863526E-3</v>
      </c>
      <c r="I59" s="525">
        <f>H59*'13. RTSR - Forecast Wholesale'!$P$109</f>
        <v>66296.841895564852</v>
      </c>
      <c r="J59" s="527">
        <f>IF(ISERROR(I59/E59), 0, I59/E59)</f>
        <v>5.7640295507585537E-3</v>
      </c>
    </row>
    <row r="60" spans="1:10" x14ac:dyDescent="0.2">
      <c r="A60" s="199" t="s">
        <v>426</v>
      </c>
      <c r="B60" s="199" t="s">
        <v>205</v>
      </c>
      <c r="C60" s="516" t="s">
        <v>101</v>
      </c>
      <c r="D60" s="517">
        <f t="shared" si="3"/>
        <v>1.627227561447002</v>
      </c>
      <c r="E60" s="525"/>
      <c r="F60" s="525">
        <v>90307</v>
      </c>
      <c r="G60" s="525">
        <f>IF(ISERROR(D60*F60), 0, ROUND(D60*F60, 2))</f>
        <v>146950.04</v>
      </c>
      <c r="H60" s="526">
        <f>G60/'12. RTSR - Current Wholesale'!$P$109</f>
        <v>3.5573619880569646E-3</v>
      </c>
      <c r="I60" s="525">
        <f>H60*'13. RTSR - Forecast Wholesale'!$P$109</f>
        <v>147598.77507731455</v>
      </c>
      <c r="J60" s="527">
        <f>IF(ISERROR(I60/F60), 0, I60/F60)</f>
        <v>1.6344112314362624</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C100"/>
  <sheetViews>
    <sheetView workbookViewId="0">
      <selection activeCell="G18" sqref="G18"/>
    </sheetView>
  </sheetViews>
  <sheetFormatPr defaultColWidth="9.140625" defaultRowHeight="15" x14ac:dyDescent="0.25"/>
  <cols>
    <col min="1" max="1" width="56.7109375" style="59" customWidth="1"/>
    <col min="2" max="2" width="11.42578125" style="59" customWidth="1"/>
    <col min="3" max="3" width="15.5703125" style="59" customWidth="1"/>
    <col min="4" max="4" width="17.140625" style="59" customWidth="1"/>
    <col min="5" max="5" width="20" style="59" customWidth="1"/>
    <col min="6" max="6" width="16.7109375" style="59" customWidth="1"/>
    <col min="7" max="7" width="18.140625" style="59" customWidth="1"/>
    <col min="8" max="8" width="14.28515625" style="59" customWidth="1"/>
    <col min="9" max="9" width="16.42578125" style="59" customWidth="1"/>
    <col min="10" max="10" width="11.28515625" style="59" customWidth="1"/>
    <col min="11" max="11" width="13.5703125" style="59" customWidth="1"/>
    <col min="12" max="12" width="13.28515625" style="59" customWidth="1"/>
    <col min="13" max="13" width="11.42578125" style="59" customWidth="1"/>
    <col min="14" max="24" width="9.140625" style="59"/>
    <col min="25" max="26" width="9.140625" style="59" hidden="1" customWidth="1"/>
    <col min="27" max="28" width="0" style="59" hidden="1" customWidth="1"/>
    <col min="29" max="16384" width="9.140625" style="59"/>
  </cols>
  <sheetData>
    <row r="1" spans="1:29" x14ac:dyDescent="0.25">
      <c r="Y1" s="59" t="b">
        <v>0</v>
      </c>
      <c r="Z1" s="59">
        <v>0</v>
      </c>
      <c r="AC1" s="530" t="s">
        <v>254</v>
      </c>
    </row>
    <row r="2" spans="1:29" x14ac:dyDescent="0.25">
      <c r="Y2" s="59" t="b">
        <v>1</v>
      </c>
    </row>
    <row r="3" spans="1:29" x14ac:dyDescent="0.25">
      <c r="K3" s="282"/>
      <c r="L3" s="189"/>
      <c r="M3" s="189"/>
    </row>
    <row r="4" spans="1:29" x14ac:dyDescent="0.25">
      <c r="I4" s="189"/>
      <c r="J4" s="189"/>
      <c r="K4" s="189"/>
      <c r="M4" s="189"/>
    </row>
    <row r="5" spans="1:29" x14ac:dyDescent="0.25">
      <c r="K5" s="189"/>
    </row>
    <row r="6" spans="1:29" x14ac:dyDescent="0.25">
      <c r="K6" s="189"/>
    </row>
    <row r="7" spans="1:29" x14ac:dyDescent="0.25">
      <c r="K7" s="189"/>
    </row>
    <row r="8" spans="1:29" x14ac:dyDescent="0.25">
      <c r="K8" s="189"/>
    </row>
    <row r="11" spans="1:29" ht="35.25" customHeight="1" x14ac:dyDescent="0.25">
      <c r="A11" s="733" t="s">
        <v>440</v>
      </c>
      <c r="B11" s="733"/>
      <c r="C11" s="733"/>
      <c r="D11" s="733"/>
      <c r="E11" s="733"/>
      <c r="F11" s="733"/>
      <c r="G11" s="733"/>
      <c r="H11" s="733"/>
    </row>
    <row r="12" spans="1:29" ht="44.25" customHeight="1" thickBot="1" x14ac:dyDescent="0.3">
      <c r="A12" s="531" t="s">
        <v>255</v>
      </c>
      <c r="B12" s="532">
        <v>2.1000000000000001E-2</v>
      </c>
      <c r="C12" s="533" t="s">
        <v>258</v>
      </c>
      <c r="D12" s="534">
        <v>0</v>
      </c>
      <c r="E12" s="535" t="s">
        <v>441</v>
      </c>
      <c r="F12" s="536">
        <v>176865</v>
      </c>
    </row>
    <row r="13" spans="1:29" ht="31.5" customHeight="1" thickBot="1" x14ac:dyDescent="0.3">
      <c r="A13" s="537" t="s">
        <v>256</v>
      </c>
      <c r="B13" s="538" t="s">
        <v>257</v>
      </c>
      <c r="C13" s="533" t="s">
        <v>260</v>
      </c>
      <c r="D13" s="539">
        <f>B12-D12-B14</f>
        <v>1.95E-2</v>
      </c>
      <c r="E13" s="535" t="s">
        <v>442</v>
      </c>
      <c r="F13" s="536">
        <v>1423857475</v>
      </c>
      <c r="I13" s="60"/>
      <c r="J13" s="60"/>
      <c r="K13" s="60"/>
    </row>
    <row r="14" spans="1:29" s="189" customFormat="1" ht="30" customHeight="1" x14ac:dyDescent="0.25">
      <c r="A14" s="531" t="s">
        <v>259</v>
      </c>
      <c r="B14" s="540">
        <f>IF(B13="I", 0%, IF(B13="II", 0.15%, IF(B13="III", 0.3%, IF(B13="IV", 0.45%, 0.6%))))</f>
        <v>1.5E-3</v>
      </c>
      <c r="C14" s="541"/>
      <c r="D14" s="541"/>
      <c r="E14" s="542" t="s">
        <v>443</v>
      </c>
      <c r="F14" s="543">
        <v>4</v>
      </c>
    </row>
    <row r="15" spans="1:29" s="189" customFormat="1" ht="64.5" customHeight="1" x14ac:dyDescent="0.25">
      <c r="A15" s="283" t="s">
        <v>4</v>
      </c>
      <c r="B15" s="544" t="s">
        <v>261</v>
      </c>
      <c r="C15" s="544" t="s">
        <v>262</v>
      </c>
      <c r="D15" s="544" t="s">
        <v>263</v>
      </c>
      <c r="E15" s="544" t="s">
        <v>264</v>
      </c>
      <c r="F15" s="544" t="s">
        <v>265</v>
      </c>
      <c r="G15" s="544" t="s">
        <v>266</v>
      </c>
      <c r="H15" s="544" t="s">
        <v>267</v>
      </c>
    </row>
    <row r="16" spans="1:29" s="189" customFormat="1" x14ac:dyDescent="0.25">
      <c r="A16" s="59"/>
      <c r="B16" s="545"/>
      <c r="C16" s="546"/>
      <c r="D16" s="547"/>
      <c r="E16" s="545"/>
      <c r="F16" s="547"/>
      <c r="G16" s="545"/>
      <c r="H16" s="547"/>
    </row>
    <row r="17" spans="1:13" ht="15" customHeight="1" x14ac:dyDescent="0.25">
      <c r="A17" s="59" t="s">
        <v>304</v>
      </c>
      <c r="B17" s="548">
        <v>13.22</v>
      </c>
      <c r="C17" s="549"/>
      <c r="D17" s="550">
        <v>1.3299999999999999E-2</v>
      </c>
      <c r="E17" s="549"/>
      <c r="F17" s="551">
        <f>D13</f>
        <v>1.95E-2</v>
      </c>
      <c r="G17" s="552">
        <f>H27*(1+D13)</f>
        <v>15.751275</v>
      </c>
      <c r="H17" s="553">
        <f>H28*(1+D13)</f>
        <v>1.0195000000000001E-2</v>
      </c>
      <c r="K17" s="675"/>
      <c r="L17" s="676"/>
      <c r="M17" s="677"/>
    </row>
    <row r="18" spans="1:13" x14ac:dyDescent="0.25">
      <c r="A18" s="59" t="s">
        <v>305</v>
      </c>
      <c r="B18" s="548">
        <v>40.68</v>
      </c>
      <c r="C18" s="554"/>
      <c r="D18" s="550">
        <v>1.1900000000000001E-2</v>
      </c>
      <c r="E18" s="554"/>
      <c r="F18" s="551">
        <f>D13</f>
        <v>1.95E-2</v>
      </c>
      <c r="G18" s="548">
        <f>(B18+C18)*(1+D13)</f>
        <v>41.473260000000003</v>
      </c>
      <c r="H18" s="550">
        <f>(D18+E18)*(1+D13)</f>
        <v>1.2132050000000002E-2</v>
      </c>
      <c r="K18" s="675"/>
      <c r="L18" s="676"/>
      <c r="M18" s="677"/>
    </row>
    <row r="19" spans="1:13" ht="15" customHeight="1" x14ac:dyDescent="0.25">
      <c r="A19" s="59" t="s">
        <v>307</v>
      </c>
      <c r="B19" s="548">
        <v>71.64</v>
      </c>
      <c r="C19" s="554"/>
      <c r="D19" s="550">
        <v>4.3117999999999999</v>
      </c>
      <c r="E19" s="554"/>
      <c r="F19" s="551">
        <f>D13</f>
        <v>1.95E-2</v>
      </c>
      <c r="G19" s="548">
        <f>(B19+C19)*(1+D13)</f>
        <v>73.03698</v>
      </c>
      <c r="H19" s="550">
        <f>(D19+E19)*(1+D13)</f>
        <v>4.3958801000000003</v>
      </c>
      <c r="I19" s="660">
        <f>(H19-D19)/H19</f>
        <v>1.9127023050515057E-2</v>
      </c>
      <c r="K19" s="675"/>
      <c r="L19" s="676"/>
      <c r="M19" s="677"/>
    </row>
    <row r="20" spans="1:13" x14ac:dyDescent="0.25">
      <c r="A20" s="59" t="s">
        <v>308</v>
      </c>
      <c r="B20" s="548">
        <v>1631.56</v>
      </c>
      <c r="C20" s="554"/>
      <c r="D20" s="550">
        <v>2.2187000000000001</v>
      </c>
      <c r="E20" s="554"/>
      <c r="F20" s="551">
        <f>D13</f>
        <v>1.95E-2</v>
      </c>
      <c r="G20" s="548">
        <f>(B20+C20)*(1+D13)</f>
        <v>1663.3754200000001</v>
      </c>
      <c r="H20" s="550">
        <f>(D20+E20)*(1+D13)</f>
        <v>2.2619646500000004</v>
      </c>
      <c r="I20" s="660">
        <f t="shared" ref="I20:I21" si="0">(H20-D20)/H20</f>
        <v>1.9127023050515061E-2</v>
      </c>
      <c r="K20" s="675"/>
      <c r="L20" s="676"/>
      <c r="M20" s="677"/>
    </row>
    <row r="21" spans="1:13" ht="15" customHeight="1" x14ac:dyDescent="0.25">
      <c r="A21" s="59" t="s">
        <v>444</v>
      </c>
      <c r="B21" s="548">
        <v>12864.22</v>
      </c>
      <c r="C21" s="554"/>
      <c r="D21" s="550">
        <v>2.7538999999999998</v>
      </c>
      <c r="E21" s="554"/>
      <c r="F21" s="551">
        <f>D13</f>
        <v>1.95E-2</v>
      </c>
      <c r="G21" s="548">
        <f>(B21+C21)*(1+D13)</f>
        <v>13115.07229</v>
      </c>
      <c r="H21" s="550">
        <f>(D21+E21)*(1+D13)</f>
        <v>2.8076010500000002</v>
      </c>
      <c r="I21" s="660">
        <f t="shared" si="0"/>
        <v>1.9127023050515085E-2</v>
      </c>
      <c r="K21" s="675"/>
      <c r="L21" s="676"/>
      <c r="M21" s="677"/>
    </row>
    <row r="22" spans="1:13" x14ac:dyDescent="0.25">
      <c r="A22" s="59" t="s">
        <v>306</v>
      </c>
      <c r="B22" s="548">
        <v>8.4</v>
      </c>
      <c r="C22" s="554"/>
      <c r="D22" s="550">
        <v>1.5299999999999999E-2</v>
      </c>
      <c r="E22" s="554"/>
      <c r="F22" s="551">
        <f>D13</f>
        <v>1.95E-2</v>
      </c>
      <c r="G22" s="548">
        <f>(B22+C22)*(1+D13)</f>
        <v>8.5638000000000005</v>
      </c>
      <c r="H22" s="550">
        <f>(D22+E22)*(1+D13)</f>
        <v>1.559835E-2</v>
      </c>
      <c r="I22" s="660">
        <f>(H22-D22)/H22</f>
        <v>1.9127023050515026E-2</v>
      </c>
      <c r="K22" s="675"/>
      <c r="L22" s="676"/>
      <c r="M22" s="677"/>
    </row>
    <row r="23" spans="1:13" x14ac:dyDescent="0.25">
      <c r="A23" s="59" t="s">
        <v>309</v>
      </c>
      <c r="B23" s="548">
        <v>1.41</v>
      </c>
      <c r="C23" s="555"/>
      <c r="D23" s="550">
        <v>10.773199999999999</v>
      </c>
      <c r="E23" s="555"/>
      <c r="F23" s="551">
        <f>D13</f>
        <v>1.95E-2</v>
      </c>
      <c r="G23" s="548">
        <f>(B23+C23)*(1+D13)</f>
        <v>1.437495</v>
      </c>
      <c r="H23" s="550">
        <f>(D23+E23)*(1+D13)</f>
        <v>10.9832774</v>
      </c>
      <c r="I23" s="660">
        <f>(H23-D23)/H23</f>
        <v>1.9127023050515064E-2</v>
      </c>
      <c r="K23" s="675"/>
      <c r="L23" s="676"/>
      <c r="M23" s="677"/>
    </row>
    <row r="24" spans="1:13" x14ac:dyDescent="0.25">
      <c r="A24" s="59" t="s">
        <v>310</v>
      </c>
      <c r="B24" s="548">
        <v>5.4</v>
      </c>
      <c r="C24" s="556"/>
      <c r="D24" s="149"/>
      <c r="E24" s="556"/>
      <c r="F24" s="149"/>
      <c r="G24" s="548">
        <f>B24</f>
        <v>5.4</v>
      </c>
      <c r="H24" s="149"/>
      <c r="K24" s="675"/>
      <c r="L24" s="676"/>
      <c r="M24" s="677"/>
    </row>
    <row r="25" spans="1:13" x14ac:dyDescent="0.25">
      <c r="B25" s="149"/>
      <c r="C25" s="556"/>
      <c r="D25" s="149"/>
      <c r="E25" s="556"/>
      <c r="F25" s="149"/>
      <c r="G25" s="149"/>
      <c r="H25" s="149"/>
    </row>
    <row r="26" spans="1:13" ht="38.25" x14ac:dyDescent="0.25">
      <c r="A26" s="557" t="s">
        <v>445</v>
      </c>
      <c r="B26" s="149"/>
      <c r="C26" s="558" t="s">
        <v>446</v>
      </c>
      <c r="D26" s="558" t="s">
        <v>447</v>
      </c>
      <c r="E26" s="558" t="s">
        <v>448</v>
      </c>
      <c r="F26" s="558" t="s">
        <v>449</v>
      </c>
      <c r="G26" s="558" t="s">
        <v>450</v>
      </c>
      <c r="H26" s="558" t="s">
        <v>451</v>
      </c>
      <c r="I26" s="558" t="s">
        <v>452</v>
      </c>
    </row>
    <row r="27" spans="1:13" x14ac:dyDescent="0.25">
      <c r="A27" s="59" t="s">
        <v>453</v>
      </c>
      <c r="B27" s="548">
        <f>B17+C17</f>
        <v>13.22</v>
      </c>
      <c r="C27" s="559">
        <f>B27*COS_RES_CUSTOMERS*12</f>
        <v>28057863.600000001</v>
      </c>
      <c r="D27" s="560">
        <f>IF(ISERROR(C27/C29), 0, C27/C29)</f>
        <v>0.59703720155978268</v>
      </c>
      <c r="E27" s="560">
        <f>IF(ISERROR((1-D27)/YRS_LEFT), 0, (1-D27)/YRS_LEFT)</f>
        <v>0.10074069961005433</v>
      </c>
      <c r="F27" s="561">
        <f>IF(ISERROR(ROUND(E27*C29/COS_RES_CUSTOMERS/12, 2)), 0, ROUND(E27*C29/COS_RES_CUSTOMERS/12, 2))</f>
        <v>2.23</v>
      </c>
      <c r="G27" s="560">
        <f>E27+D27</f>
        <v>0.69777790116983707</v>
      </c>
      <c r="H27" s="562">
        <f>IF(ISERROR(ROUND(G27*C29/COS_RES_CUSTOMERS/12, 2)), 0, ROUND(G27*C29/COS_RES_CUSTOMERS/12, 2))</f>
        <v>15.45</v>
      </c>
      <c r="I27" s="559">
        <f>ROUND(H27*COS_RES_CUSTOMERS*12, 2)</f>
        <v>32790771</v>
      </c>
      <c r="J27" s="661"/>
    </row>
    <row r="28" spans="1:13" ht="15.75" thickBot="1" x14ac:dyDescent="0.3">
      <c r="A28" s="59" t="s">
        <v>454</v>
      </c>
      <c r="B28" s="550">
        <f>D17+E17</f>
        <v>1.3299999999999999E-2</v>
      </c>
      <c r="C28" s="563">
        <f>B28*COS_RES_KWH</f>
        <v>18937304.4175</v>
      </c>
      <c r="D28" s="560">
        <f>IF(ISERROR(C28/C29), 0, C28/C29)</f>
        <v>0.40296279844021737</v>
      </c>
      <c r="E28" s="149"/>
      <c r="F28" s="149"/>
      <c r="G28" s="560">
        <f>1-G27</f>
        <v>0.30222209883016293</v>
      </c>
      <c r="H28" s="564">
        <f>IF(ISERROR(ROUND(G28*C29/COS_RES_KWH, 4)), 0, ROUND(G28*C29/COS_RES_KWH, 4))</f>
        <v>0.01</v>
      </c>
      <c r="I28" s="563">
        <f>ROUND(H28*COS_RES_KWH, 2)</f>
        <v>14238574.75</v>
      </c>
      <c r="J28" s="661"/>
    </row>
    <row r="29" spans="1:13" x14ac:dyDescent="0.25">
      <c r="B29" s="149"/>
      <c r="C29" s="559">
        <f>SUM(C27+C28)</f>
        <v>46995168.017499998</v>
      </c>
      <c r="D29" s="149"/>
      <c r="E29" s="149"/>
      <c r="F29" s="149"/>
      <c r="G29" s="149"/>
      <c r="H29" s="149"/>
      <c r="I29" s="559">
        <f>SUM(I27+I28)</f>
        <v>47029345.75</v>
      </c>
      <c r="J29" s="661"/>
    </row>
    <row r="30" spans="1:13" x14ac:dyDescent="0.25">
      <c r="B30" s="149"/>
      <c r="C30" s="149"/>
      <c r="D30" s="149"/>
      <c r="E30" s="149"/>
      <c r="F30" s="149"/>
      <c r="G30" s="149"/>
      <c r="H30" s="149"/>
    </row>
    <row r="31" spans="1:13" x14ac:dyDescent="0.25">
      <c r="B31" s="149"/>
      <c r="C31" s="149"/>
      <c r="D31" s="149"/>
      <c r="E31" s="149"/>
      <c r="F31" s="149"/>
      <c r="G31" s="149"/>
      <c r="H31" s="149"/>
    </row>
    <row r="32" spans="1:13" x14ac:dyDescent="0.25">
      <c r="A32" s="565" t="str">
        <f>IF((H27-B27)&gt;=4, "The Rate Design Transition has calculated a monthly fixed charge greater than or equal to $4.  Please refer to Section 3.2.3 of the Chapter 3 Filing Requirements for mitigation instructions.", "")</f>
        <v/>
      </c>
      <c r="B32" s="149"/>
      <c r="C32" s="149"/>
      <c r="D32" s="149"/>
      <c r="E32" s="149"/>
      <c r="F32" s="149"/>
      <c r="G32" s="149"/>
      <c r="H32" s="149"/>
    </row>
    <row r="33" spans="1:8" x14ac:dyDescent="0.25">
      <c r="B33" s="149"/>
      <c r="C33" s="149"/>
      <c r="D33" s="149"/>
      <c r="E33" s="149"/>
      <c r="F33" s="149"/>
      <c r="G33" s="149"/>
      <c r="H33" s="149"/>
    </row>
    <row r="34" spans="1:8" ht="17.25" x14ac:dyDescent="0.25">
      <c r="A34" s="566" t="s">
        <v>455</v>
      </c>
      <c r="B34" s="149"/>
      <c r="C34" s="149"/>
      <c r="D34" s="149"/>
      <c r="E34" s="149"/>
      <c r="F34" s="149"/>
      <c r="G34" s="149"/>
      <c r="H34" s="149"/>
    </row>
    <row r="35" spans="1:8" x14ac:dyDescent="0.25">
      <c r="B35" s="149"/>
      <c r="C35" s="149"/>
      <c r="D35" s="149"/>
      <c r="E35" s="149"/>
      <c r="F35" s="149"/>
      <c r="G35" s="149"/>
      <c r="H35" s="149"/>
    </row>
    <row r="36" spans="1:8" x14ac:dyDescent="0.25">
      <c r="B36" s="149"/>
      <c r="C36" s="149"/>
      <c r="D36" s="149"/>
      <c r="E36" s="149"/>
      <c r="F36" s="149"/>
      <c r="G36" s="149"/>
      <c r="H36" s="149"/>
    </row>
    <row r="37" spans="1:8" x14ac:dyDescent="0.25">
      <c r="B37" s="149"/>
      <c r="C37" s="149"/>
      <c r="D37" s="149"/>
      <c r="E37" s="149"/>
      <c r="F37" s="149"/>
      <c r="G37" s="149"/>
      <c r="H37" s="149"/>
    </row>
    <row r="38" spans="1:8" x14ac:dyDescent="0.25">
      <c r="B38" s="149"/>
      <c r="C38" s="149"/>
      <c r="D38" s="149"/>
      <c r="E38" s="149"/>
      <c r="F38" s="149"/>
      <c r="G38" s="149"/>
      <c r="H38" s="149"/>
    </row>
    <row r="39" spans="1:8" x14ac:dyDescent="0.25">
      <c r="B39" s="149"/>
      <c r="C39" s="149"/>
      <c r="D39" s="149"/>
      <c r="E39" s="149"/>
      <c r="F39" s="149"/>
      <c r="G39" s="149"/>
      <c r="H39" s="149"/>
    </row>
    <row r="40" spans="1:8" x14ac:dyDescent="0.25">
      <c r="B40" s="149"/>
      <c r="C40" s="149"/>
      <c r="D40" s="149"/>
      <c r="E40" s="149"/>
      <c r="F40" s="149"/>
      <c r="G40" s="149"/>
      <c r="H40" s="149"/>
    </row>
    <row r="41" spans="1:8" x14ac:dyDescent="0.25">
      <c r="B41" s="149"/>
      <c r="C41" s="149"/>
      <c r="D41" s="149"/>
      <c r="E41" s="149"/>
      <c r="F41" s="149"/>
      <c r="G41" s="149"/>
      <c r="H41" s="149"/>
    </row>
    <row r="42" spans="1:8" x14ac:dyDescent="0.25">
      <c r="B42" s="149"/>
      <c r="C42" s="149"/>
      <c r="D42" s="149"/>
      <c r="E42" s="149"/>
      <c r="F42" s="149"/>
      <c r="G42" s="149"/>
      <c r="H42" s="149"/>
    </row>
    <row r="43" spans="1:8" x14ac:dyDescent="0.25">
      <c r="B43" s="149"/>
      <c r="C43" s="149"/>
      <c r="D43" s="149"/>
      <c r="E43" s="149"/>
      <c r="F43" s="149"/>
      <c r="G43" s="149"/>
      <c r="H43" s="149"/>
    </row>
    <row r="44" spans="1:8" x14ac:dyDescent="0.25">
      <c r="B44" s="149"/>
      <c r="C44" s="149"/>
      <c r="D44" s="149"/>
      <c r="E44" s="149"/>
      <c r="F44" s="149"/>
      <c r="G44" s="149"/>
      <c r="H44" s="149"/>
    </row>
    <row r="45" spans="1:8" x14ac:dyDescent="0.25">
      <c r="B45" s="149"/>
      <c r="C45" s="149"/>
      <c r="D45" s="149"/>
      <c r="E45" s="149"/>
      <c r="F45" s="149"/>
      <c r="G45" s="149"/>
      <c r="H45" s="149"/>
    </row>
    <row r="46" spans="1:8" x14ac:dyDescent="0.25">
      <c r="B46" s="149"/>
      <c r="C46" s="149"/>
      <c r="D46" s="149"/>
      <c r="E46" s="149"/>
      <c r="F46" s="149"/>
      <c r="G46" s="149"/>
      <c r="H46" s="149"/>
    </row>
    <row r="47" spans="1:8" x14ac:dyDescent="0.25">
      <c r="B47" s="149"/>
      <c r="C47" s="149"/>
      <c r="D47" s="149"/>
      <c r="E47" s="149"/>
      <c r="F47" s="149"/>
      <c r="G47" s="149"/>
      <c r="H47" s="149"/>
    </row>
    <row r="48" spans="1:8" x14ac:dyDescent="0.25">
      <c r="B48" s="149"/>
      <c r="C48" s="149"/>
      <c r="D48" s="149"/>
      <c r="E48" s="149"/>
      <c r="F48" s="149"/>
      <c r="G48" s="149"/>
      <c r="H48" s="149"/>
    </row>
    <row r="49" spans="2:8" x14ac:dyDescent="0.25">
      <c r="B49" s="149"/>
      <c r="C49" s="149"/>
      <c r="D49" s="149"/>
      <c r="E49" s="149"/>
      <c r="F49" s="149"/>
      <c r="G49" s="149"/>
      <c r="H49" s="149"/>
    </row>
    <row r="50" spans="2:8" x14ac:dyDescent="0.25">
      <c r="B50" s="149"/>
      <c r="C50" s="149"/>
      <c r="D50" s="149"/>
      <c r="E50" s="149"/>
      <c r="F50" s="149"/>
      <c r="G50" s="149"/>
      <c r="H50" s="149"/>
    </row>
    <row r="51" spans="2:8" x14ac:dyDescent="0.25">
      <c r="B51" s="149"/>
      <c r="C51" s="149"/>
      <c r="D51" s="149"/>
      <c r="E51" s="149"/>
      <c r="F51" s="149"/>
      <c r="G51" s="149"/>
      <c r="H51" s="149"/>
    </row>
    <row r="52" spans="2:8" x14ac:dyDescent="0.25">
      <c r="B52" s="149"/>
      <c r="C52" s="149"/>
      <c r="D52" s="149"/>
      <c r="E52" s="149"/>
      <c r="F52" s="149"/>
      <c r="G52" s="149"/>
      <c r="H52" s="149"/>
    </row>
    <row r="53" spans="2:8" x14ac:dyDescent="0.25">
      <c r="B53" s="149"/>
      <c r="C53" s="149"/>
      <c r="D53" s="149"/>
      <c r="E53" s="149"/>
      <c r="F53" s="149"/>
      <c r="G53" s="149"/>
      <c r="H53" s="149"/>
    </row>
    <row r="54" spans="2:8" x14ac:dyDescent="0.25">
      <c r="B54" s="149"/>
      <c r="C54" s="149"/>
      <c r="D54" s="149"/>
      <c r="E54" s="149"/>
      <c r="F54" s="149"/>
      <c r="G54" s="149"/>
      <c r="H54" s="149"/>
    </row>
    <row r="55" spans="2:8" x14ac:dyDescent="0.25">
      <c r="B55" s="149"/>
      <c r="C55" s="149"/>
      <c r="D55" s="149"/>
      <c r="E55" s="149"/>
      <c r="F55" s="149"/>
      <c r="G55" s="149"/>
      <c r="H55" s="149"/>
    </row>
    <row r="56" spans="2:8" x14ac:dyDescent="0.25">
      <c r="B56" s="149"/>
      <c r="C56" s="149"/>
      <c r="D56" s="149"/>
      <c r="E56" s="149"/>
      <c r="F56" s="149"/>
      <c r="G56" s="149"/>
      <c r="H56" s="149"/>
    </row>
    <row r="57" spans="2:8" x14ac:dyDescent="0.25">
      <c r="B57" s="149"/>
      <c r="C57" s="149"/>
      <c r="D57" s="149"/>
      <c r="E57" s="149"/>
      <c r="F57" s="149"/>
      <c r="G57" s="149"/>
      <c r="H57" s="149"/>
    </row>
    <row r="58" spans="2:8" x14ac:dyDescent="0.25">
      <c r="B58" s="149"/>
      <c r="C58" s="149"/>
      <c r="D58" s="149"/>
      <c r="E58" s="149"/>
      <c r="F58" s="149"/>
      <c r="G58" s="149"/>
      <c r="H58" s="149"/>
    </row>
    <row r="59" spans="2:8" x14ac:dyDescent="0.25">
      <c r="B59" s="149"/>
      <c r="C59" s="149"/>
      <c r="D59" s="149"/>
      <c r="E59" s="149"/>
      <c r="F59" s="149"/>
      <c r="G59" s="149"/>
      <c r="H59" s="149"/>
    </row>
    <row r="60" spans="2:8" x14ac:dyDescent="0.25">
      <c r="B60" s="149"/>
      <c r="C60" s="149"/>
      <c r="D60" s="149"/>
      <c r="E60" s="149"/>
      <c r="F60" s="149"/>
      <c r="G60" s="149"/>
      <c r="H60" s="149"/>
    </row>
    <row r="61" spans="2:8" x14ac:dyDescent="0.25">
      <c r="B61" s="149"/>
      <c r="C61" s="149"/>
      <c r="D61" s="149"/>
      <c r="E61" s="149"/>
      <c r="F61" s="149"/>
      <c r="G61" s="149"/>
      <c r="H61" s="149"/>
    </row>
    <row r="62" spans="2:8" x14ac:dyDescent="0.25">
      <c r="B62" s="149"/>
      <c r="C62" s="149"/>
      <c r="D62" s="149"/>
      <c r="E62" s="149"/>
      <c r="F62" s="149"/>
      <c r="G62" s="149"/>
      <c r="H62" s="149"/>
    </row>
    <row r="63" spans="2:8" x14ac:dyDescent="0.25">
      <c r="B63" s="149"/>
      <c r="C63" s="149"/>
      <c r="D63" s="149"/>
      <c r="E63" s="149"/>
      <c r="F63" s="149"/>
      <c r="G63" s="149"/>
      <c r="H63" s="149"/>
    </row>
    <row r="64" spans="2:8" x14ac:dyDescent="0.25">
      <c r="B64" s="149"/>
      <c r="C64" s="149"/>
      <c r="D64" s="149"/>
      <c r="E64" s="149"/>
      <c r="F64" s="149"/>
      <c r="G64" s="149"/>
      <c r="H64" s="149"/>
    </row>
    <row r="65" spans="2:8" x14ac:dyDescent="0.25">
      <c r="B65" s="149"/>
      <c r="C65" s="149"/>
      <c r="D65" s="149"/>
      <c r="E65" s="149"/>
      <c r="F65" s="149"/>
      <c r="G65" s="149"/>
      <c r="H65" s="149"/>
    </row>
    <row r="66" spans="2:8" x14ac:dyDescent="0.25">
      <c r="B66" s="149"/>
      <c r="C66" s="149"/>
      <c r="D66" s="149"/>
      <c r="E66" s="149"/>
      <c r="F66" s="149"/>
      <c r="G66" s="149"/>
      <c r="H66" s="149"/>
    </row>
    <row r="67" spans="2:8" x14ac:dyDescent="0.25">
      <c r="B67" s="149"/>
      <c r="C67" s="149"/>
      <c r="D67" s="149"/>
      <c r="E67" s="149"/>
      <c r="F67" s="149"/>
      <c r="G67" s="149"/>
      <c r="H67" s="149"/>
    </row>
    <row r="68" spans="2:8" x14ac:dyDescent="0.25">
      <c r="B68" s="149"/>
      <c r="C68" s="149"/>
      <c r="D68" s="149"/>
      <c r="E68" s="149"/>
      <c r="F68" s="149"/>
      <c r="G68" s="149"/>
      <c r="H68" s="149"/>
    </row>
    <row r="69" spans="2:8" x14ac:dyDescent="0.25">
      <c r="B69" s="149"/>
      <c r="C69" s="149"/>
      <c r="D69" s="149"/>
      <c r="E69" s="149"/>
      <c r="F69" s="149"/>
      <c r="G69" s="149"/>
      <c r="H69" s="149"/>
    </row>
    <row r="70" spans="2:8" x14ac:dyDescent="0.25">
      <c r="B70" s="149"/>
      <c r="C70" s="149"/>
      <c r="D70" s="149"/>
      <c r="E70" s="149"/>
      <c r="F70" s="149"/>
      <c r="G70" s="149"/>
      <c r="H70" s="149"/>
    </row>
    <row r="71" spans="2:8" x14ac:dyDescent="0.25">
      <c r="B71" s="149"/>
      <c r="C71" s="149"/>
      <c r="D71" s="149"/>
      <c r="E71" s="149"/>
      <c r="F71" s="149"/>
      <c r="G71" s="149"/>
      <c r="H71" s="149"/>
    </row>
    <row r="72" spans="2:8" x14ac:dyDescent="0.25">
      <c r="B72" s="149"/>
      <c r="C72" s="149"/>
      <c r="D72" s="149"/>
      <c r="E72" s="149"/>
      <c r="F72" s="149"/>
      <c r="G72" s="149"/>
      <c r="H72" s="149"/>
    </row>
    <row r="73" spans="2:8" x14ac:dyDescent="0.25">
      <c r="B73" s="149"/>
      <c r="C73" s="149"/>
      <c r="D73" s="149"/>
      <c r="E73" s="149"/>
      <c r="F73" s="149"/>
      <c r="G73" s="149"/>
      <c r="H73" s="149"/>
    </row>
    <row r="74" spans="2:8" x14ac:dyDescent="0.25">
      <c r="B74" s="149"/>
      <c r="C74" s="149"/>
      <c r="D74" s="149"/>
      <c r="E74" s="149"/>
      <c r="F74" s="149"/>
      <c r="G74" s="149"/>
      <c r="H74" s="149"/>
    </row>
    <row r="75" spans="2:8" x14ac:dyDescent="0.25">
      <c r="B75" s="149"/>
      <c r="C75" s="149"/>
      <c r="D75" s="149"/>
      <c r="E75" s="149"/>
      <c r="F75" s="149"/>
      <c r="G75" s="149"/>
      <c r="H75" s="149"/>
    </row>
    <row r="76" spans="2:8" x14ac:dyDescent="0.25">
      <c r="B76" s="149"/>
      <c r="C76" s="149"/>
      <c r="D76" s="149"/>
      <c r="E76" s="149"/>
      <c r="F76" s="149"/>
      <c r="G76" s="149"/>
      <c r="H76" s="149"/>
    </row>
    <row r="77" spans="2:8" x14ac:dyDescent="0.25">
      <c r="B77" s="149"/>
      <c r="C77" s="149"/>
      <c r="D77" s="149"/>
      <c r="E77" s="149"/>
      <c r="F77" s="149"/>
      <c r="G77" s="149"/>
      <c r="H77" s="149"/>
    </row>
    <row r="78" spans="2:8" x14ac:dyDescent="0.25">
      <c r="B78" s="149"/>
      <c r="C78" s="149"/>
      <c r="D78" s="149"/>
      <c r="E78" s="149"/>
      <c r="F78" s="149"/>
      <c r="G78" s="149"/>
      <c r="H78" s="149"/>
    </row>
    <row r="79" spans="2:8" x14ac:dyDescent="0.25">
      <c r="B79" s="149"/>
      <c r="C79" s="149"/>
      <c r="D79" s="149"/>
      <c r="E79" s="149"/>
      <c r="F79" s="149"/>
      <c r="G79" s="149"/>
      <c r="H79" s="149"/>
    </row>
    <row r="80" spans="2:8" x14ac:dyDescent="0.25">
      <c r="B80" s="149"/>
      <c r="C80" s="149"/>
      <c r="D80" s="149"/>
      <c r="E80" s="149"/>
      <c r="F80" s="149"/>
      <c r="G80" s="149"/>
      <c r="H80" s="149"/>
    </row>
    <row r="81" spans="2:8" x14ac:dyDescent="0.25">
      <c r="B81" s="149"/>
      <c r="C81" s="149"/>
      <c r="D81" s="149"/>
      <c r="E81" s="149"/>
      <c r="F81" s="149"/>
      <c r="G81" s="149"/>
      <c r="H81" s="149"/>
    </row>
    <row r="82" spans="2:8" x14ac:dyDescent="0.25">
      <c r="B82" s="149"/>
      <c r="C82" s="149"/>
      <c r="D82" s="149"/>
      <c r="E82" s="149"/>
      <c r="F82" s="149"/>
      <c r="G82" s="149"/>
      <c r="H82" s="149"/>
    </row>
    <row r="83" spans="2:8" x14ac:dyDescent="0.25">
      <c r="B83" s="149"/>
      <c r="C83" s="149"/>
      <c r="D83" s="149"/>
      <c r="E83" s="149"/>
      <c r="F83" s="149"/>
      <c r="G83" s="149"/>
      <c r="H83" s="149"/>
    </row>
    <row r="84" spans="2:8" x14ac:dyDescent="0.25">
      <c r="B84" s="149"/>
      <c r="C84" s="149"/>
      <c r="D84" s="149"/>
      <c r="E84" s="149"/>
      <c r="F84" s="149"/>
      <c r="G84" s="149"/>
      <c r="H84" s="149"/>
    </row>
    <row r="85" spans="2:8" x14ac:dyDescent="0.25">
      <c r="B85" s="149"/>
      <c r="C85" s="149"/>
      <c r="D85" s="149"/>
      <c r="E85" s="149"/>
      <c r="F85" s="149"/>
      <c r="G85" s="149"/>
      <c r="H85" s="149"/>
    </row>
    <row r="86" spans="2:8" x14ac:dyDescent="0.25">
      <c r="B86" s="149"/>
      <c r="C86" s="149"/>
      <c r="D86" s="149"/>
      <c r="E86" s="149"/>
      <c r="F86" s="149"/>
      <c r="G86" s="149"/>
      <c r="H86" s="149"/>
    </row>
    <row r="87" spans="2:8" x14ac:dyDescent="0.25">
      <c r="B87" s="149"/>
      <c r="C87" s="149"/>
      <c r="D87" s="149"/>
      <c r="E87" s="149"/>
      <c r="F87" s="149"/>
      <c r="G87" s="149"/>
      <c r="H87" s="149"/>
    </row>
    <row r="88" spans="2:8" x14ac:dyDescent="0.25">
      <c r="B88" s="149"/>
      <c r="C88" s="149"/>
      <c r="D88" s="149"/>
      <c r="E88" s="149"/>
      <c r="F88" s="149"/>
      <c r="G88" s="149"/>
      <c r="H88" s="149"/>
    </row>
    <row r="89" spans="2:8" x14ac:dyDescent="0.25">
      <c r="B89" s="149"/>
      <c r="C89" s="149"/>
      <c r="D89" s="149"/>
      <c r="E89" s="149"/>
      <c r="F89" s="149"/>
      <c r="G89" s="149"/>
      <c r="H89" s="149"/>
    </row>
    <row r="90" spans="2:8" x14ac:dyDescent="0.25">
      <c r="B90" s="149"/>
      <c r="C90" s="149"/>
      <c r="D90" s="149"/>
      <c r="E90" s="149"/>
      <c r="F90" s="149"/>
      <c r="G90" s="149"/>
      <c r="H90" s="149"/>
    </row>
    <row r="91" spans="2:8" x14ac:dyDescent="0.25">
      <c r="B91" s="149"/>
      <c r="C91" s="149"/>
      <c r="D91" s="149"/>
      <c r="E91" s="149"/>
      <c r="F91" s="149"/>
      <c r="G91" s="149"/>
      <c r="H91" s="149"/>
    </row>
    <row r="92" spans="2:8" x14ac:dyDescent="0.25">
      <c r="B92" s="149"/>
      <c r="C92" s="149"/>
      <c r="D92" s="149"/>
      <c r="E92" s="149"/>
      <c r="F92" s="149"/>
      <c r="G92" s="149"/>
      <c r="H92" s="149"/>
    </row>
    <row r="93" spans="2:8" x14ac:dyDescent="0.25">
      <c r="B93" s="149"/>
      <c r="C93" s="149"/>
      <c r="D93" s="149"/>
      <c r="E93" s="149"/>
      <c r="F93" s="149"/>
      <c r="G93" s="149"/>
      <c r="H93" s="149"/>
    </row>
    <row r="94" spans="2:8" x14ac:dyDescent="0.25">
      <c r="B94" s="149"/>
      <c r="C94" s="149"/>
      <c r="D94" s="149"/>
      <c r="E94" s="149"/>
      <c r="F94" s="149"/>
      <c r="G94" s="149"/>
      <c r="H94" s="149"/>
    </row>
    <row r="95" spans="2:8" x14ac:dyDescent="0.25">
      <c r="B95" s="149"/>
      <c r="C95" s="149"/>
      <c r="D95" s="149"/>
      <c r="E95" s="149"/>
      <c r="F95" s="149"/>
      <c r="G95" s="149"/>
      <c r="H95" s="149"/>
    </row>
    <row r="96" spans="2:8" x14ac:dyDescent="0.25">
      <c r="B96" s="149"/>
      <c r="C96" s="149"/>
      <c r="D96" s="149"/>
      <c r="E96" s="149"/>
      <c r="F96" s="149"/>
      <c r="G96" s="149"/>
      <c r="H96" s="149"/>
    </row>
    <row r="97" spans="2:8" x14ac:dyDescent="0.25">
      <c r="B97" s="149"/>
      <c r="C97" s="149"/>
      <c r="D97" s="149"/>
      <c r="E97" s="149"/>
      <c r="F97" s="149"/>
      <c r="G97" s="149"/>
      <c r="H97" s="149"/>
    </row>
    <row r="98" spans="2:8" x14ac:dyDescent="0.25">
      <c r="B98" s="149"/>
      <c r="C98" s="149"/>
      <c r="D98" s="149"/>
      <c r="E98" s="149"/>
      <c r="F98" s="149"/>
      <c r="G98" s="149"/>
      <c r="H98" s="149"/>
    </row>
    <row r="99" spans="2:8" x14ac:dyDescent="0.25">
      <c r="B99" s="149"/>
      <c r="C99" s="149"/>
      <c r="D99" s="149"/>
      <c r="E99" s="149"/>
      <c r="F99" s="149"/>
      <c r="G99" s="149"/>
      <c r="H99" s="149"/>
    </row>
    <row r="100" spans="2:8" x14ac:dyDescent="0.25">
      <c r="B100" s="149"/>
      <c r="C100" s="149"/>
      <c r="D100" s="149"/>
      <c r="E100" s="149"/>
      <c r="F100" s="149"/>
      <c r="G100" s="149"/>
      <c r="H100" s="149"/>
    </row>
  </sheetData>
  <mergeCells count="1">
    <mergeCell ref="A11:H11"/>
  </mergeCells>
  <dataValidations count="2">
    <dataValidation type="list" allowBlank="1" showInputMessage="1" showErrorMessage="1" sqref="AC1">
      <formula1>"YES, NO"</formula1>
    </dataValidation>
    <dataValidation type="list" allowBlank="1" showInputMessage="1" showErrorMessage="1" sqref="B13">
      <formula1>"I, II, III, IV, V"</formula1>
    </dataValidation>
  </dataValidations>
  <pageMargins left="0.7" right="0.7" top="0.75" bottom="0.75" header="0.3" footer="0.3"/>
  <pageSetup scale="3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Z145"/>
  <sheetViews>
    <sheetView workbookViewId="0">
      <selection activeCell="H1" sqref="H1:J1"/>
    </sheetView>
  </sheetViews>
  <sheetFormatPr defaultColWidth="9.140625" defaultRowHeight="15" x14ac:dyDescent="0.25"/>
  <cols>
    <col min="1" max="1" width="78.42578125" style="59" customWidth="1"/>
    <col min="2" max="2" width="10.28515625" style="59" customWidth="1"/>
    <col min="3" max="3" width="16" style="59" customWidth="1"/>
    <col min="4" max="4" width="9.140625" style="59"/>
    <col min="5" max="5" width="8.85546875" style="59" customWidth="1"/>
    <col min="6" max="6" width="16.5703125" style="59" customWidth="1"/>
    <col min="7" max="7" width="9.140625" style="59"/>
    <col min="8" max="8" width="34.7109375" style="59" customWidth="1"/>
    <col min="9" max="9" width="6.7109375" style="59" customWidth="1"/>
    <col min="10" max="10" width="9.42578125" style="59" bestFit="1" customWidth="1"/>
    <col min="11" max="12" width="18.140625" style="59" customWidth="1"/>
    <col min="13" max="15" width="9.140625" style="59" customWidth="1"/>
    <col min="16" max="16" width="14.85546875" style="59" customWidth="1"/>
    <col min="17" max="24" width="9.140625" style="59"/>
    <col min="25" max="27" width="9.140625" style="59" customWidth="1"/>
    <col min="28" max="16384" width="9.140625" style="59"/>
  </cols>
  <sheetData>
    <row r="1" spans="1:26" ht="27" customHeight="1" x14ac:dyDescent="0.25">
      <c r="H1" s="734" t="s">
        <v>456</v>
      </c>
      <c r="I1" s="734"/>
      <c r="J1" s="734"/>
      <c r="Z1" s="567">
        <v>3</v>
      </c>
    </row>
    <row r="2" spans="1:26" ht="15.75" thickBot="1" x14ac:dyDescent="0.3">
      <c r="J2" s="147" t="s">
        <v>342</v>
      </c>
      <c r="Z2" s="567"/>
    </row>
    <row r="3" spans="1:26" ht="18.75" thickBot="1" x14ac:dyDescent="0.3">
      <c r="B3" s="285"/>
      <c r="H3" s="568" t="s">
        <v>311</v>
      </c>
      <c r="I3" s="569" t="s">
        <v>97</v>
      </c>
      <c r="J3" s="570">
        <v>4.4000000000000003E-3</v>
      </c>
      <c r="Z3" s="567"/>
    </row>
    <row r="4" spans="1:26" ht="30.75" thickBot="1" x14ac:dyDescent="0.3">
      <c r="H4" s="568" t="s">
        <v>312</v>
      </c>
      <c r="I4" s="569" t="s">
        <v>97</v>
      </c>
      <c r="J4" s="570">
        <v>1.2999999999999999E-3</v>
      </c>
      <c r="Z4" s="567"/>
    </row>
    <row r="5" spans="1:26" ht="30.75" thickBot="1" x14ac:dyDescent="0.3">
      <c r="B5" s="735"/>
      <c r="C5" s="736"/>
      <c r="D5" s="736"/>
      <c r="E5" s="736"/>
      <c r="H5" s="568" t="s">
        <v>313</v>
      </c>
      <c r="I5" s="569" t="s">
        <v>229</v>
      </c>
      <c r="J5" s="571">
        <v>0.25</v>
      </c>
      <c r="Z5" s="567"/>
    </row>
    <row r="6" spans="1:26" ht="30.75" thickBot="1" x14ac:dyDescent="0.3">
      <c r="H6" s="568" t="s">
        <v>457</v>
      </c>
      <c r="I6" s="569" t="s">
        <v>97</v>
      </c>
      <c r="J6" s="572" t="s">
        <v>87</v>
      </c>
      <c r="Z6" s="567"/>
    </row>
    <row r="7" spans="1:26" x14ac:dyDescent="0.25">
      <c r="B7" s="286"/>
      <c r="Z7" s="567"/>
    </row>
    <row r="8" spans="1:26" x14ac:dyDescent="0.25">
      <c r="Z8" s="567"/>
    </row>
    <row r="9" spans="1:26" x14ac:dyDescent="0.25">
      <c r="B9" s="737"/>
      <c r="C9" s="697"/>
      <c r="D9" s="697"/>
      <c r="E9" s="697"/>
    </row>
    <row r="11" spans="1:26" ht="15" customHeight="1" x14ac:dyDescent="0.25">
      <c r="A11" s="738" t="s">
        <v>458</v>
      </c>
      <c r="B11" s="738"/>
      <c r="C11" s="738"/>
      <c r="D11" s="738"/>
      <c r="E11" s="738"/>
      <c r="F11" s="738"/>
      <c r="G11" s="573"/>
      <c r="H11" s="573"/>
      <c r="I11" s="573"/>
      <c r="J11" s="573"/>
      <c r="Z11" s="567"/>
    </row>
    <row r="12" spans="1:26" x14ac:dyDescent="0.25">
      <c r="A12" s="573"/>
      <c r="B12" s="573"/>
      <c r="C12" s="573"/>
      <c r="D12" s="573"/>
      <c r="E12" s="573"/>
      <c r="F12" s="573"/>
      <c r="G12" s="573"/>
      <c r="H12" s="573"/>
      <c r="I12" s="573"/>
      <c r="J12" s="573"/>
      <c r="K12" s="60"/>
      <c r="L12" s="60"/>
      <c r="M12" s="60"/>
      <c r="N12" s="60"/>
      <c r="Z12" s="567"/>
    </row>
    <row r="13" spans="1:26" x14ac:dyDescent="0.25">
      <c r="A13" s="573"/>
      <c r="B13" s="573"/>
      <c r="C13" s="573"/>
      <c r="D13" s="573"/>
      <c r="E13" s="573"/>
      <c r="F13" s="573"/>
      <c r="G13" s="573"/>
      <c r="H13" s="573"/>
      <c r="I13" s="573"/>
      <c r="J13" s="573"/>
      <c r="K13" s="60"/>
      <c r="L13" s="60"/>
      <c r="M13" s="60"/>
      <c r="N13" s="60"/>
    </row>
    <row r="14" spans="1:26" x14ac:dyDescent="0.25">
      <c r="A14" s="573"/>
      <c r="B14" s="573"/>
      <c r="C14" s="573"/>
      <c r="D14" s="573"/>
      <c r="E14" s="573"/>
      <c r="F14" s="573"/>
      <c r="G14" s="573"/>
      <c r="H14" s="573"/>
      <c r="I14" s="573"/>
      <c r="J14" s="573"/>
      <c r="K14" s="60"/>
      <c r="L14" s="60"/>
      <c r="M14" s="60"/>
      <c r="N14" s="60"/>
    </row>
    <row r="15" spans="1:26" x14ac:dyDescent="0.25">
      <c r="E15" s="287"/>
      <c r="F15" s="287"/>
      <c r="G15" s="287"/>
      <c r="K15" s="60"/>
      <c r="L15" s="60"/>
      <c r="M15" s="60"/>
      <c r="N15" s="60"/>
    </row>
    <row r="16" spans="1:26" x14ac:dyDescent="0.25">
      <c r="A16" s="287"/>
      <c r="B16" s="287"/>
      <c r="C16" s="287"/>
      <c r="D16" s="287"/>
      <c r="E16" s="287"/>
      <c r="F16" s="287"/>
      <c r="G16" s="287"/>
      <c r="K16" s="60"/>
      <c r="L16" s="60"/>
      <c r="M16" s="60"/>
      <c r="N16" s="60"/>
    </row>
    <row r="17" spans="1:3" ht="15.75" x14ac:dyDescent="0.25">
      <c r="A17" s="169" t="s">
        <v>304</v>
      </c>
    </row>
    <row r="18" spans="1:3" ht="15.75" thickBot="1" x14ac:dyDescent="0.3">
      <c r="A18" s="284"/>
      <c r="B18" s="574"/>
      <c r="C18" s="284"/>
    </row>
    <row r="19" spans="1:3" ht="15.75" thickBot="1" x14ac:dyDescent="0.3">
      <c r="A19" s="575"/>
      <c r="B19" s="76"/>
      <c r="C19" s="575"/>
    </row>
    <row r="20" spans="1:3" ht="15.75" thickBot="1" x14ac:dyDescent="0.3">
      <c r="A20" s="575"/>
      <c r="B20" s="76"/>
      <c r="C20" s="575"/>
    </row>
    <row r="21" spans="1:3" ht="15.75" thickBot="1" x14ac:dyDescent="0.3">
      <c r="A21" s="575"/>
      <c r="B21" s="76"/>
      <c r="C21" s="575"/>
    </row>
    <row r="22" spans="1:3" ht="15.75" thickBot="1" x14ac:dyDescent="0.3">
      <c r="A22" s="575"/>
      <c r="B22" s="76"/>
      <c r="C22" s="575"/>
    </row>
    <row r="23" spans="1:3" ht="15.75" thickBot="1" x14ac:dyDescent="0.3">
      <c r="A23" s="575"/>
      <c r="B23" s="76"/>
      <c r="C23" s="575"/>
    </row>
    <row r="24" spans="1:3" ht="15.75" thickBot="1" x14ac:dyDescent="0.3">
      <c r="A24" s="575"/>
      <c r="B24" s="76"/>
      <c r="C24" s="575"/>
    </row>
    <row r="25" spans="1:3" ht="15.75" thickBot="1" x14ac:dyDescent="0.3">
      <c r="A25" s="575"/>
      <c r="B25" s="76"/>
      <c r="C25" s="575"/>
    </row>
    <row r="26" spans="1:3" ht="15" customHeight="1" thickBot="1" x14ac:dyDescent="0.3">
      <c r="A26" s="575"/>
      <c r="B26" s="76"/>
      <c r="C26" s="575"/>
    </row>
    <row r="27" spans="1:3" ht="15" customHeight="1" thickBot="1" x14ac:dyDescent="0.3">
      <c r="A27" s="576"/>
      <c r="B27" s="72"/>
      <c r="C27" s="576"/>
    </row>
    <row r="28" spans="1:3" ht="15" customHeight="1" x14ac:dyDescent="0.25"/>
    <row r="30" spans="1:3" ht="15.75" x14ac:dyDescent="0.25">
      <c r="A30" s="169" t="s">
        <v>305</v>
      </c>
    </row>
    <row r="31" spans="1:3" ht="15.75" thickBot="1" x14ac:dyDescent="0.3">
      <c r="A31" s="284"/>
      <c r="B31" s="574"/>
      <c r="C31" s="284"/>
    </row>
    <row r="32" spans="1:3" ht="15.75" thickBot="1" x14ac:dyDescent="0.3">
      <c r="A32" s="575"/>
      <c r="B32" s="76"/>
      <c r="C32" s="575"/>
    </row>
    <row r="33" spans="1:3" ht="15.75" thickBot="1" x14ac:dyDescent="0.3">
      <c r="A33" s="575"/>
      <c r="B33" s="76"/>
      <c r="C33" s="575"/>
    </row>
    <row r="34" spans="1:3" ht="15.75" thickBot="1" x14ac:dyDescent="0.3">
      <c r="A34" s="575"/>
      <c r="B34" s="76"/>
      <c r="C34" s="575"/>
    </row>
    <row r="35" spans="1:3" ht="15.75" thickBot="1" x14ac:dyDescent="0.3">
      <c r="A35" s="575"/>
      <c r="B35" s="76"/>
      <c r="C35" s="575"/>
    </row>
    <row r="36" spans="1:3" ht="15.75" thickBot="1" x14ac:dyDescent="0.3">
      <c r="A36" s="575"/>
      <c r="B36" s="76"/>
      <c r="C36" s="575"/>
    </row>
    <row r="37" spans="1:3" ht="15.75" thickBot="1" x14ac:dyDescent="0.3">
      <c r="A37" s="575"/>
      <c r="B37" s="76"/>
      <c r="C37" s="575"/>
    </row>
    <row r="38" spans="1:3" ht="15.75" thickBot="1" x14ac:dyDescent="0.3">
      <c r="A38" s="575"/>
      <c r="B38" s="76"/>
      <c r="C38" s="575"/>
    </row>
    <row r="39" spans="1:3" ht="15.75" thickBot="1" x14ac:dyDescent="0.3">
      <c r="A39" s="575"/>
      <c r="B39" s="76"/>
      <c r="C39" s="575"/>
    </row>
    <row r="40" spans="1:3" ht="15.75" thickBot="1" x14ac:dyDescent="0.3">
      <c r="A40" s="576"/>
      <c r="B40" s="72"/>
      <c r="C40" s="576"/>
    </row>
    <row r="43" spans="1:3" ht="15.75" x14ac:dyDescent="0.25">
      <c r="A43" s="169" t="s">
        <v>307</v>
      </c>
    </row>
    <row r="44" spans="1:3" ht="15.75" thickBot="1" x14ac:dyDescent="0.3">
      <c r="A44" s="284"/>
      <c r="B44" s="574"/>
      <c r="C44" s="284"/>
    </row>
    <row r="45" spans="1:3" ht="15.75" thickBot="1" x14ac:dyDescent="0.3">
      <c r="A45" s="575"/>
      <c r="B45" s="76"/>
      <c r="C45" s="575"/>
    </row>
    <row r="46" spans="1:3" ht="15.75" thickBot="1" x14ac:dyDescent="0.3">
      <c r="A46" s="575"/>
      <c r="B46" s="76"/>
      <c r="C46" s="575"/>
    </row>
    <row r="47" spans="1:3" ht="15.75" thickBot="1" x14ac:dyDescent="0.3">
      <c r="A47" s="575"/>
      <c r="B47" s="76"/>
      <c r="C47" s="575"/>
    </row>
    <row r="48" spans="1:3" ht="15.75" thickBot="1" x14ac:dyDescent="0.3">
      <c r="A48" s="575"/>
      <c r="B48" s="76"/>
      <c r="C48" s="575"/>
    </row>
    <row r="49" spans="1:3" ht="15.75" thickBot="1" x14ac:dyDescent="0.3">
      <c r="A49" s="575"/>
      <c r="B49" s="76"/>
      <c r="C49" s="575"/>
    </row>
    <row r="50" spans="1:3" ht="15.75" thickBot="1" x14ac:dyDescent="0.3">
      <c r="A50" s="575"/>
      <c r="B50" s="76"/>
      <c r="C50" s="575"/>
    </row>
    <row r="51" spans="1:3" ht="15.75" thickBot="1" x14ac:dyDescent="0.3">
      <c r="A51" s="575"/>
      <c r="B51" s="76"/>
      <c r="C51" s="575"/>
    </row>
    <row r="52" spans="1:3" ht="15.75" thickBot="1" x14ac:dyDescent="0.3">
      <c r="A52" s="575"/>
      <c r="B52" s="76"/>
      <c r="C52" s="575"/>
    </row>
    <row r="53" spans="1:3" ht="15.75" thickBot="1" x14ac:dyDescent="0.3">
      <c r="A53" s="576"/>
      <c r="B53" s="72"/>
      <c r="C53" s="576"/>
    </row>
    <row r="56" spans="1:3" ht="15.75" x14ac:dyDescent="0.25">
      <c r="A56" s="169" t="s">
        <v>308</v>
      </c>
    </row>
    <row r="57" spans="1:3" ht="15.75" thickBot="1" x14ac:dyDescent="0.3">
      <c r="A57" s="284"/>
      <c r="B57" s="574"/>
      <c r="C57" s="284"/>
    </row>
    <row r="58" spans="1:3" ht="15.75" thickBot="1" x14ac:dyDescent="0.3">
      <c r="A58" s="575"/>
      <c r="B58" s="76"/>
      <c r="C58" s="575"/>
    </row>
    <row r="59" spans="1:3" ht="15.75" thickBot="1" x14ac:dyDescent="0.3">
      <c r="A59" s="575"/>
      <c r="B59" s="76"/>
      <c r="C59" s="575"/>
    </row>
    <row r="60" spans="1:3" ht="15.75" thickBot="1" x14ac:dyDescent="0.3">
      <c r="A60" s="575"/>
      <c r="B60" s="76"/>
      <c r="C60" s="575"/>
    </row>
    <row r="61" spans="1:3" ht="15.75" thickBot="1" x14ac:dyDescent="0.3">
      <c r="A61" s="575"/>
      <c r="B61" s="76"/>
      <c r="C61" s="575"/>
    </row>
    <row r="62" spans="1:3" ht="15.75" thickBot="1" x14ac:dyDescent="0.3">
      <c r="A62" s="575"/>
      <c r="B62" s="76"/>
      <c r="C62" s="575"/>
    </row>
    <row r="63" spans="1:3" ht="15.75" thickBot="1" x14ac:dyDescent="0.3">
      <c r="A63" s="575"/>
      <c r="B63" s="76"/>
      <c r="C63" s="575"/>
    </row>
    <row r="64" spans="1:3" ht="15.75" thickBot="1" x14ac:dyDescent="0.3">
      <c r="A64" s="575"/>
      <c r="B64" s="76"/>
      <c r="C64" s="575"/>
    </row>
    <row r="65" spans="1:3" ht="15.75" thickBot="1" x14ac:dyDescent="0.3">
      <c r="A65" s="575"/>
      <c r="B65" s="76"/>
      <c r="C65" s="575"/>
    </row>
    <row r="66" spans="1:3" ht="15.75" thickBot="1" x14ac:dyDescent="0.3">
      <c r="A66" s="576"/>
      <c r="B66" s="72"/>
      <c r="C66" s="576"/>
    </row>
    <row r="69" spans="1:3" ht="15.75" x14ac:dyDescent="0.25">
      <c r="A69" s="169" t="s">
        <v>444</v>
      </c>
    </row>
    <row r="70" spans="1:3" ht="15.75" thickBot="1" x14ac:dyDescent="0.3">
      <c r="A70" s="284"/>
      <c r="B70" s="574"/>
      <c r="C70" s="284"/>
    </row>
    <row r="71" spans="1:3" ht="15.75" thickBot="1" x14ac:dyDescent="0.3">
      <c r="A71" s="575"/>
      <c r="B71" s="76"/>
      <c r="C71" s="575"/>
    </row>
    <row r="72" spans="1:3" ht="15.75" thickBot="1" x14ac:dyDescent="0.3">
      <c r="A72" s="575"/>
      <c r="B72" s="76"/>
      <c r="C72" s="575"/>
    </row>
    <row r="73" spans="1:3" ht="15.75" thickBot="1" x14ac:dyDescent="0.3">
      <c r="A73" s="575"/>
      <c r="B73" s="76"/>
      <c r="C73" s="575"/>
    </row>
    <row r="74" spans="1:3" ht="15.75" thickBot="1" x14ac:dyDescent="0.3">
      <c r="A74" s="575"/>
      <c r="B74" s="76"/>
      <c r="C74" s="575"/>
    </row>
    <row r="75" spans="1:3" ht="15.75" thickBot="1" x14ac:dyDescent="0.3">
      <c r="A75" s="575"/>
      <c r="B75" s="76"/>
      <c r="C75" s="575"/>
    </row>
    <row r="76" spans="1:3" ht="15.75" thickBot="1" x14ac:dyDescent="0.3">
      <c r="A76" s="575"/>
      <c r="B76" s="76"/>
      <c r="C76" s="575"/>
    </row>
    <row r="77" spans="1:3" ht="15.75" thickBot="1" x14ac:dyDescent="0.3">
      <c r="A77" s="575"/>
      <c r="B77" s="76"/>
      <c r="C77" s="575"/>
    </row>
    <row r="78" spans="1:3" ht="15.75" thickBot="1" x14ac:dyDescent="0.3">
      <c r="A78" s="575"/>
      <c r="B78" s="76"/>
      <c r="C78" s="575"/>
    </row>
    <row r="79" spans="1:3" ht="15.75" thickBot="1" x14ac:dyDescent="0.3">
      <c r="A79" s="576"/>
      <c r="B79" s="72"/>
      <c r="C79" s="576"/>
    </row>
    <row r="82" spans="1:3" ht="15.75" x14ac:dyDescent="0.25">
      <c r="A82" s="169" t="s">
        <v>306</v>
      </c>
    </row>
    <row r="83" spans="1:3" ht="15.75" thickBot="1" x14ac:dyDescent="0.3">
      <c r="A83" s="284"/>
      <c r="B83" s="574"/>
      <c r="C83" s="284"/>
    </row>
    <row r="84" spans="1:3" ht="15.75" thickBot="1" x14ac:dyDescent="0.3">
      <c r="A84" s="575"/>
      <c r="B84" s="76"/>
      <c r="C84" s="575"/>
    </row>
    <row r="85" spans="1:3" ht="15.75" thickBot="1" x14ac:dyDescent="0.3">
      <c r="A85" s="575"/>
      <c r="B85" s="76"/>
      <c r="C85" s="575"/>
    </row>
    <row r="86" spans="1:3" ht="15.75" thickBot="1" x14ac:dyDescent="0.3">
      <c r="A86" s="575"/>
      <c r="B86" s="76"/>
      <c r="C86" s="575"/>
    </row>
    <row r="87" spans="1:3" ht="15.75" thickBot="1" x14ac:dyDescent="0.3">
      <c r="A87" s="575"/>
      <c r="B87" s="76"/>
      <c r="C87" s="575"/>
    </row>
    <row r="88" spans="1:3" ht="15.75" thickBot="1" x14ac:dyDescent="0.3">
      <c r="A88" s="575"/>
      <c r="B88" s="76"/>
      <c r="C88" s="575"/>
    </row>
    <row r="89" spans="1:3" ht="15.75" thickBot="1" x14ac:dyDescent="0.3">
      <c r="A89" s="575"/>
      <c r="B89" s="76"/>
      <c r="C89" s="575"/>
    </row>
    <row r="90" spans="1:3" ht="15.75" thickBot="1" x14ac:dyDescent="0.3">
      <c r="A90" s="575"/>
      <c r="B90" s="76"/>
      <c r="C90" s="575"/>
    </row>
    <row r="91" spans="1:3" ht="15.75" thickBot="1" x14ac:dyDescent="0.3">
      <c r="A91" s="575"/>
      <c r="B91" s="76"/>
      <c r="C91" s="575"/>
    </row>
    <row r="92" spans="1:3" ht="15.75" thickBot="1" x14ac:dyDescent="0.3">
      <c r="A92" s="576"/>
      <c r="B92" s="72"/>
      <c r="C92" s="576"/>
    </row>
    <row r="95" spans="1:3" ht="15.75" x14ac:dyDescent="0.25">
      <c r="A95" s="169" t="s">
        <v>309</v>
      </c>
    </row>
    <row r="96" spans="1:3" ht="15.75" thickBot="1" x14ac:dyDescent="0.3">
      <c r="A96" s="284"/>
      <c r="B96" s="574"/>
      <c r="C96" s="284"/>
    </row>
    <row r="97" spans="1:3" ht="15.75" thickBot="1" x14ac:dyDescent="0.3">
      <c r="A97" s="575"/>
      <c r="B97" s="76"/>
      <c r="C97" s="575"/>
    </row>
    <row r="98" spans="1:3" ht="15.75" thickBot="1" x14ac:dyDescent="0.3">
      <c r="A98" s="575"/>
      <c r="B98" s="76"/>
      <c r="C98" s="575"/>
    </row>
    <row r="99" spans="1:3" ht="15.75" thickBot="1" x14ac:dyDescent="0.3">
      <c r="A99" s="575"/>
      <c r="B99" s="76"/>
      <c r="C99" s="575"/>
    </row>
    <row r="100" spans="1:3" ht="15.75" thickBot="1" x14ac:dyDescent="0.3">
      <c r="A100" s="575"/>
      <c r="B100" s="76"/>
      <c r="C100" s="575"/>
    </row>
    <row r="101" spans="1:3" ht="15.75" thickBot="1" x14ac:dyDescent="0.3">
      <c r="A101" s="575"/>
      <c r="B101" s="76"/>
      <c r="C101" s="575"/>
    </row>
    <row r="102" spans="1:3" ht="15.75" thickBot="1" x14ac:dyDescent="0.3">
      <c r="A102" s="575"/>
      <c r="B102" s="76"/>
      <c r="C102" s="575"/>
    </row>
    <row r="103" spans="1:3" ht="15.75" thickBot="1" x14ac:dyDescent="0.3">
      <c r="A103" s="575"/>
      <c r="B103" s="76"/>
      <c r="C103" s="575"/>
    </row>
    <row r="104" spans="1:3" ht="15.75" thickBot="1" x14ac:dyDescent="0.3">
      <c r="A104" s="575"/>
      <c r="B104" s="76"/>
      <c r="C104" s="575"/>
    </row>
    <row r="105" spans="1:3" ht="15.75" thickBot="1" x14ac:dyDescent="0.3">
      <c r="A105" s="576"/>
      <c r="B105" s="72"/>
      <c r="C105" s="576"/>
    </row>
    <row r="108" spans="1:3" ht="15.75" x14ac:dyDescent="0.25">
      <c r="A108" s="169" t="s">
        <v>459</v>
      </c>
    </row>
    <row r="109" spans="1:3" ht="15.75" thickBot="1" x14ac:dyDescent="0.3">
      <c r="A109" s="284"/>
      <c r="B109" s="574"/>
      <c r="C109" s="284"/>
    </row>
    <row r="110" spans="1:3" ht="15.75" thickBot="1" x14ac:dyDescent="0.3">
      <c r="A110" s="575"/>
      <c r="B110" s="76"/>
      <c r="C110" s="575"/>
    </row>
    <row r="111" spans="1:3" ht="15.75" thickBot="1" x14ac:dyDescent="0.3">
      <c r="A111" s="575"/>
      <c r="B111" s="76"/>
      <c r="C111" s="575"/>
    </row>
    <row r="112" spans="1:3" ht="15.75" thickBot="1" x14ac:dyDescent="0.3">
      <c r="A112" s="575"/>
      <c r="B112" s="76"/>
      <c r="C112" s="575"/>
    </row>
    <row r="113" spans="1:3" ht="15.75" thickBot="1" x14ac:dyDescent="0.3">
      <c r="A113" s="575"/>
      <c r="B113" s="76"/>
      <c r="C113" s="575"/>
    </row>
    <row r="114" spans="1:3" ht="15.75" thickBot="1" x14ac:dyDescent="0.3">
      <c r="A114" s="575"/>
      <c r="B114" s="76"/>
      <c r="C114" s="575"/>
    </row>
    <row r="115" spans="1:3" ht="15.75" thickBot="1" x14ac:dyDescent="0.3">
      <c r="A115" s="575"/>
      <c r="B115" s="76"/>
      <c r="C115" s="575"/>
    </row>
    <row r="116" spans="1:3" ht="15" customHeight="1" thickBot="1" x14ac:dyDescent="0.3">
      <c r="A116" s="575"/>
      <c r="B116" s="76"/>
      <c r="C116" s="575"/>
    </row>
    <row r="117" spans="1:3" ht="15.75" thickBot="1" x14ac:dyDescent="0.3">
      <c r="A117" s="575"/>
      <c r="B117" s="76"/>
      <c r="C117" s="575"/>
    </row>
    <row r="118" spans="1:3" ht="12" customHeight="1" thickBot="1" x14ac:dyDescent="0.3">
      <c r="A118" s="576"/>
      <c r="B118" s="72"/>
      <c r="C118" s="576"/>
    </row>
    <row r="120" spans="1:3" ht="12" customHeight="1" x14ac:dyDescent="0.25"/>
    <row r="121" spans="1:3" ht="15.75" x14ac:dyDescent="0.25">
      <c r="A121" s="169" t="s">
        <v>310</v>
      </c>
    </row>
    <row r="122" spans="1:3" ht="12" customHeight="1" thickBot="1" x14ac:dyDescent="0.3">
      <c r="A122" s="284"/>
      <c r="B122" s="574"/>
      <c r="C122" s="284"/>
    </row>
    <row r="123" spans="1:3" ht="15.75" thickBot="1" x14ac:dyDescent="0.3">
      <c r="A123" s="575"/>
      <c r="B123" s="76"/>
      <c r="C123" s="575"/>
    </row>
    <row r="124" spans="1:3" ht="12" customHeight="1" thickBot="1" x14ac:dyDescent="0.3">
      <c r="A124" s="575"/>
      <c r="B124" s="76"/>
      <c r="C124" s="575"/>
    </row>
    <row r="125" spans="1:3" ht="15.75" thickBot="1" x14ac:dyDescent="0.3">
      <c r="A125" s="575"/>
      <c r="B125" s="76"/>
      <c r="C125" s="575"/>
    </row>
    <row r="126" spans="1:3" ht="12" customHeight="1" thickBot="1" x14ac:dyDescent="0.3">
      <c r="A126" s="575"/>
      <c r="B126" s="76"/>
      <c r="C126" s="575"/>
    </row>
    <row r="127" spans="1:3" ht="15.75" thickBot="1" x14ac:dyDescent="0.3">
      <c r="A127" s="575"/>
      <c r="B127" s="76"/>
      <c r="C127" s="575"/>
    </row>
    <row r="128" spans="1:3" ht="15.75" thickBot="1" x14ac:dyDescent="0.3">
      <c r="A128" s="575"/>
      <c r="B128" s="76"/>
      <c r="C128" s="575"/>
    </row>
    <row r="129" spans="1:3" ht="15.75" thickBot="1" x14ac:dyDescent="0.3">
      <c r="A129" s="575"/>
      <c r="B129" s="76"/>
      <c r="C129" s="575"/>
    </row>
    <row r="130" spans="1:3" ht="15.75" thickBot="1" x14ac:dyDescent="0.3">
      <c r="A130" s="575"/>
      <c r="B130" s="76"/>
      <c r="C130" s="575"/>
    </row>
    <row r="131" spans="1:3" ht="15.75" thickBot="1" x14ac:dyDescent="0.3">
      <c r="A131" s="576"/>
      <c r="B131" s="72"/>
      <c r="C131" s="576"/>
    </row>
    <row r="145" ht="15" customHeight="1" x14ac:dyDescent="0.25"/>
  </sheetData>
  <mergeCells count="4">
    <mergeCell ref="H1:J1"/>
    <mergeCell ref="B5:E5"/>
    <mergeCell ref="B9:E9"/>
    <mergeCell ref="A11:F11"/>
  </mergeCells>
  <dataValidations count="2">
    <dataValidation allowBlank="1" showInputMessage="1" showErrorMessage="1" sqref="Z1:Z8 Z11:Z12"/>
    <dataValidation type="list" allowBlank="1" showInputMessage="1" showErrorMessage="1" sqref="B18:B27 B31:B40 B44:B53 B57:B66 B70:B79 B83:B92 B96:B105 B109:B118 B122:B131">
      <formula1>"$, $/kWh, $/kW, $/kVa"</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CO347"/>
  <sheetViews>
    <sheetView tabSelected="1" zoomScaleNormal="100" workbookViewId="0">
      <selection activeCell="ES8" sqref="ES8"/>
    </sheetView>
  </sheetViews>
  <sheetFormatPr defaultRowHeight="15" x14ac:dyDescent="0.25"/>
  <cols>
    <col min="1" max="1" width="5.140625" style="609" customWidth="1"/>
    <col min="2" max="2" width="58.28515625" style="609" customWidth="1"/>
    <col min="3" max="3" width="16.42578125" style="609" customWidth="1"/>
    <col min="4" max="4" width="6.140625" style="609" customWidth="1"/>
    <col min="5" max="5" width="9.28515625" style="609" customWidth="1"/>
    <col min="6" max="6" width="9.140625" style="609" hidden="1" customWidth="1"/>
    <col min="7" max="7" width="10.140625" style="609" hidden="1" customWidth="1"/>
    <col min="8" max="8" width="9.140625" style="609" hidden="1" customWidth="1"/>
    <col min="9" max="9" width="14" style="609" hidden="1" customWidth="1"/>
    <col min="10" max="10" width="10" style="609" hidden="1" customWidth="1"/>
    <col min="11" max="11" width="29.7109375" style="609" hidden="1" customWidth="1"/>
    <col min="12" max="13" width="18.140625" style="609" hidden="1" customWidth="1"/>
    <col min="14" max="15" width="9.140625" style="609" hidden="1" customWidth="1"/>
    <col min="16" max="16" width="10.7109375" style="609" hidden="1" customWidth="1"/>
    <col min="17" max="17" width="14.85546875" style="609" hidden="1" customWidth="1"/>
    <col min="18" max="25" width="9.140625" style="609" hidden="1" customWidth="1"/>
    <col min="26" max="26" width="115.140625" style="609" hidden="1" customWidth="1"/>
    <col min="27" max="27" width="87.5703125" style="609" hidden="1" customWidth="1"/>
    <col min="28" max="93" width="9.140625" style="609" hidden="1" customWidth="1"/>
    <col min="94" max="143" width="0" style="609" hidden="1" customWidth="1"/>
    <col min="144" max="16384" width="9.140625" style="609"/>
  </cols>
  <sheetData>
    <row r="1" spans="2:45" customFormat="1" ht="23.25" customHeight="1" x14ac:dyDescent="0.25">
      <c r="B1" s="751" t="s">
        <v>113</v>
      </c>
      <c r="C1" s="752"/>
      <c r="D1" s="752"/>
      <c r="E1" s="752"/>
      <c r="F1" s="577" t="s">
        <v>460</v>
      </c>
      <c r="G1" s="578" t="s">
        <v>461</v>
      </c>
      <c r="H1" s="579" t="s">
        <v>113</v>
      </c>
      <c r="I1" s="123"/>
      <c r="J1" s="123">
        <v>9</v>
      </c>
      <c r="K1" s="123"/>
      <c r="L1" s="123"/>
      <c r="M1" s="123"/>
      <c r="N1" s="123"/>
      <c r="O1" s="123"/>
      <c r="P1" s="123"/>
      <c r="Q1" s="123"/>
    </row>
    <row r="2" spans="2:45" customFormat="1" ht="18.75" customHeight="1" x14ac:dyDescent="0.25">
      <c r="B2" s="753" t="s">
        <v>314</v>
      </c>
      <c r="C2" s="754"/>
      <c r="D2" s="754"/>
      <c r="E2" s="754"/>
      <c r="F2" s="577"/>
      <c r="G2" s="578"/>
      <c r="H2" s="579"/>
      <c r="I2" s="123"/>
      <c r="J2" s="123"/>
      <c r="K2" s="123"/>
      <c r="L2" s="123"/>
      <c r="M2" s="123"/>
      <c r="N2" s="123"/>
      <c r="O2" s="123"/>
      <c r="P2" s="123"/>
      <c r="Q2" s="123"/>
    </row>
    <row r="3" spans="2:45" customFormat="1" ht="15.75" customHeight="1" x14ac:dyDescent="0.25">
      <c r="B3" s="755" t="s">
        <v>686</v>
      </c>
      <c r="C3" s="756"/>
      <c r="D3" s="756"/>
      <c r="E3" s="756"/>
      <c r="F3" s="577"/>
      <c r="G3" s="578"/>
      <c r="H3" s="579"/>
      <c r="I3" s="123"/>
      <c r="J3" s="123"/>
      <c r="K3" s="123"/>
      <c r="L3" s="123"/>
      <c r="M3" s="123"/>
      <c r="N3" s="123"/>
      <c r="O3" s="123"/>
      <c r="P3" s="580">
        <v>42005</v>
      </c>
      <c r="Q3" s="123"/>
    </row>
    <row r="4" spans="2:45" customFormat="1" ht="11.25" customHeight="1" x14ac:dyDescent="0.25">
      <c r="B4" s="757" t="s">
        <v>315</v>
      </c>
      <c r="C4" s="758"/>
      <c r="D4" s="758"/>
      <c r="E4" s="758"/>
      <c r="F4" s="577"/>
      <c r="G4" s="578"/>
      <c r="H4" s="579"/>
      <c r="I4" s="123"/>
      <c r="J4" s="123"/>
      <c r="K4" s="123"/>
      <c r="L4" s="123"/>
      <c r="M4" s="123"/>
      <c r="N4" s="123"/>
      <c r="O4" s="123"/>
      <c r="P4" s="123"/>
      <c r="Q4" s="123"/>
    </row>
    <row r="5" spans="2:45" customFormat="1" ht="12.75" customHeight="1" x14ac:dyDescent="0.25">
      <c r="B5" s="757" t="s">
        <v>316</v>
      </c>
      <c r="C5" s="758"/>
      <c r="D5" s="758"/>
      <c r="E5" s="758"/>
      <c r="F5" s="577"/>
      <c r="G5" s="578"/>
      <c r="H5" s="579"/>
      <c r="I5" s="123"/>
      <c r="J5" s="123"/>
      <c r="K5" s="123"/>
      <c r="L5" s="123"/>
      <c r="M5" s="123"/>
      <c r="N5" s="123"/>
      <c r="O5" s="123"/>
      <c r="P5" s="123"/>
      <c r="Q5" s="123"/>
    </row>
    <row r="6" spans="2:45" customFormat="1" x14ac:dyDescent="0.25">
      <c r="B6" s="759" t="s">
        <v>156</v>
      </c>
      <c r="C6" s="760"/>
      <c r="D6" s="760"/>
      <c r="E6" s="760"/>
      <c r="F6" s="577"/>
      <c r="G6" s="578"/>
      <c r="H6" s="579" t="s">
        <v>462</v>
      </c>
      <c r="I6" s="123"/>
      <c r="J6" s="123"/>
      <c r="K6" s="123"/>
      <c r="L6" s="123"/>
      <c r="M6" s="123"/>
      <c r="N6" s="123"/>
      <c r="O6" s="123"/>
      <c r="P6" s="123"/>
      <c r="Q6" s="123"/>
      <c r="AS6" t="s">
        <v>460</v>
      </c>
    </row>
    <row r="7" spans="2:45" customFormat="1" ht="18" x14ac:dyDescent="0.25">
      <c r="B7" s="761" t="s">
        <v>304</v>
      </c>
      <c r="C7" s="743"/>
      <c r="D7" s="743"/>
      <c r="E7" s="743"/>
      <c r="F7" s="577"/>
      <c r="G7" s="578"/>
      <c r="H7" s="579" t="s">
        <v>463</v>
      </c>
      <c r="I7" s="123"/>
      <c r="J7" s="123"/>
      <c r="K7" s="123"/>
      <c r="L7" s="123"/>
      <c r="M7" s="123"/>
      <c r="N7" s="123"/>
      <c r="O7" s="123"/>
      <c r="P7" s="123"/>
      <c r="Q7" s="123"/>
      <c r="AA7" s="581" t="s">
        <v>304</v>
      </c>
    </row>
    <row r="8" spans="2:45" customFormat="1" ht="52.5" customHeight="1" x14ac:dyDescent="0.25">
      <c r="B8" s="742" t="s">
        <v>317</v>
      </c>
      <c r="C8" s="743"/>
      <c r="D8" s="743"/>
      <c r="E8" s="743"/>
      <c r="F8" s="577"/>
      <c r="G8" s="578"/>
      <c r="H8" s="579" t="s">
        <v>463</v>
      </c>
      <c r="I8" s="123"/>
      <c r="J8" s="123"/>
      <c r="K8" s="123"/>
      <c r="L8" s="123"/>
      <c r="M8" s="123"/>
      <c r="N8" s="123"/>
      <c r="O8" s="123"/>
      <c r="P8" s="123"/>
      <c r="Q8" s="123"/>
      <c r="AA8" s="460" t="s">
        <v>317</v>
      </c>
    </row>
    <row r="9" spans="2:45" customFormat="1" x14ac:dyDescent="0.25">
      <c r="B9" s="461"/>
      <c r="C9" s="582"/>
      <c r="D9" s="582"/>
      <c r="E9" s="582"/>
      <c r="F9" s="577"/>
      <c r="G9" s="578"/>
      <c r="H9" s="579"/>
      <c r="I9" s="123"/>
      <c r="J9" s="123"/>
      <c r="K9" s="123"/>
      <c r="L9" s="123"/>
      <c r="M9" s="123"/>
      <c r="N9" s="123"/>
      <c r="O9" s="123"/>
      <c r="P9" s="123"/>
      <c r="Q9" s="123"/>
    </row>
    <row r="10" spans="2:45" customFormat="1" x14ac:dyDescent="0.25">
      <c r="B10" s="746" t="s">
        <v>272</v>
      </c>
      <c r="C10" s="743"/>
      <c r="D10" s="743"/>
      <c r="E10" s="743"/>
      <c r="F10" s="577"/>
      <c r="G10" s="578"/>
      <c r="H10" s="579" t="s">
        <v>464</v>
      </c>
      <c r="I10" s="123"/>
      <c r="J10" s="123"/>
      <c r="K10" s="123"/>
      <c r="L10" s="123"/>
      <c r="M10" s="123"/>
      <c r="N10" s="123"/>
      <c r="O10" s="123"/>
      <c r="P10" s="123"/>
      <c r="Q10" s="123"/>
      <c r="AA10" s="583" t="s">
        <v>272</v>
      </c>
    </row>
    <row r="11" spans="2:45" customFormat="1" x14ac:dyDescent="0.25">
      <c r="B11" s="584"/>
      <c r="C11" s="582"/>
      <c r="D11" s="582"/>
      <c r="E11" s="582"/>
      <c r="F11" s="577"/>
      <c r="G11" s="578"/>
      <c r="H11" s="579"/>
      <c r="I11" s="123"/>
      <c r="J11" s="123"/>
      <c r="K11" s="123"/>
      <c r="L11" s="123"/>
      <c r="M11" s="123"/>
      <c r="N11" s="123"/>
      <c r="O11" s="123"/>
      <c r="P11" s="123"/>
      <c r="Q11" s="123"/>
    </row>
    <row r="12" spans="2:45" customFormat="1" ht="36" x14ac:dyDescent="0.25">
      <c r="B12" s="742" t="s">
        <v>273</v>
      </c>
      <c r="C12" s="743"/>
      <c r="D12" s="743"/>
      <c r="E12" s="743"/>
      <c r="F12" s="577"/>
      <c r="G12" s="578"/>
      <c r="H12" s="579" t="s">
        <v>463</v>
      </c>
      <c r="I12" s="123"/>
      <c r="J12" s="123"/>
      <c r="K12" s="123"/>
      <c r="L12" s="123"/>
      <c r="M12" s="123"/>
      <c r="N12" s="123"/>
      <c r="O12" s="123"/>
      <c r="P12" s="123"/>
      <c r="Q12" s="123"/>
      <c r="AA12" s="460" t="s">
        <v>273</v>
      </c>
    </row>
    <row r="13" spans="2:45" customFormat="1" x14ac:dyDescent="0.25">
      <c r="B13" s="461"/>
      <c r="C13" s="582"/>
      <c r="D13" s="582"/>
      <c r="E13" s="582"/>
      <c r="F13" s="577"/>
      <c r="G13" s="578"/>
      <c r="H13" s="579"/>
      <c r="I13" s="123"/>
      <c r="J13" s="123"/>
      <c r="K13" s="123"/>
      <c r="L13" s="123"/>
      <c r="M13" s="123"/>
      <c r="N13" s="123"/>
      <c r="O13" s="123"/>
      <c r="P13" s="123"/>
      <c r="Q13" s="123"/>
    </row>
    <row r="14" spans="2:45" customFormat="1" ht="48" x14ac:dyDescent="0.25">
      <c r="B14" s="742" t="s">
        <v>318</v>
      </c>
      <c r="C14" s="743"/>
      <c r="D14" s="743"/>
      <c r="E14" s="743"/>
      <c r="F14" s="577"/>
      <c r="G14" s="578"/>
      <c r="H14" s="579" t="s">
        <v>463</v>
      </c>
      <c r="I14" s="123"/>
      <c r="J14" s="123"/>
      <c r="K14" s="123"/>
      <c r="L14" s="123"/>
      <c r="M14" s="123"/>
      <c r="N14" s="123"/>
      <c r="O14" s="123"/>
      <c r="P14" s="123"/>
      <c r="Q14" s="123"/>
      <c r="AA14" s="460" t="s">
        <v>318</v>
      </c>
    </row>
    <row r="15" spans="2:45" customFormat="1" x14ac:dyDescent="0.25">
      <c r="B15" s="461"/>
      <c r="C15" s="582"/>
      <c r="D15" s="582"/>
      <c r="E15" s="582"/>
      <c r="F15" s="577"/>
      <c r="G15" s="578"/>
      <c r="H15" s="579"/>
      <c r="I15" s="123"/>
      <c r="J15" s="123"/>
      <c r="K15" s="123"/>
      <c r="L15" s="123"/>
      <c r="M15" s="123"/>
      <c r="N15" s="123"/>
      <c r="O15" s="123"/>
      <c r="P15" s="123"/>
      <c r="Q15" s="123"/>
    </row>
    <row r="16" spans="2:45" customFormat="1" ht="51" customHeight="1" x14ac:dyDescent="0.25">
      <c r="B16" s="742" t="s">
        <v>465</v>
      </c>
      <c r="C16" s="743"/>
      <c r="D16" s="743"/>
      <c r="E16" s="743"/>
      <c r="F16" s="577"/>
      <c r="G16" s="578"/>
      <c r="H16" s="579" t="s">
        <v>463</v>
      </c>
      <c r="I16" s="123"/>
      <c r="J16" s="123"/>
      <c r="K16" s="123"/>
      <c r="L16" s="123"/>
      <c r="M16" s="123"/>
      <c r="N16" s="123"/>
      <c r="O16" s="123"/>
      <c r="P16" s="123"/>
      <c r="Q16" s="123"/>
      <c r="AA16" s="460" t="s">
        <v>465</v>
      </c>
    </row>
    <row r="17" spans="2:52" customFormat="1" x14ac:dyDescent="0.25">
      <c r="B17" s="461"/>
      <c r="C17" s="582"/>
      <c r="D17" s="582"/>
      <c r="E17" s="582"/>
      <c r="F17" s="577"/>
      <c r="G17" s="578"/>
      <c r="H17" s="579"/>
      <c r="I17" s="123"/>
      <c r="J17" s="123"/>
      <c r="K17" s="123"/>
      <c r="L17" s="123"/>
      <c r="M17" s="123"/>
      <c r="N17" s="123"/>
      <c r="O17" s="123"/>
      <c r="P17" s="123"/>
      <c r="Q17" s="123"/>
    </row>
    <row r="18" spans="2:52" customFormat="1" ht="36" x14ac:dyDescent="0.25">
      <c r="B18" s="742" t="s">
        <v>701</v>
      </c>
      <c r="C18" s="762"/>
      <c r="D18" s="762"/>
      <c r="E18" s="762"/>
      <c r="F18" s="577"/>
      <c r="G18" s="578"/>
      <c r="H18" s="579" t="s">
        <v>463</v>
      </c>
      <c r="I18" s="123"/>
      <c r="J18" s="123"/>
      <c r="K18" s="123"/>
      <c r="L18" s="123"/>
      <c r="M18" s="123"/>
      <c r="N18" s="123"/>
      <c r="O18" s="123"/>
      <c r="P18" s="123"/>
      <c r="Q18" s="123"/>
      <c r="AA18" s="460" t="s">
        <v>335</v>
      </c>
    </row>
    <row r="19" spans="2:52" customFormat="1" x14ac:dyDescent="0.25">
      <c r="B19" s="461"/>
      <c r="C19" s="582"/>
      <c r="D19" s="582"/>
      <c r="E19" s="582"/>
      <c r="F19" s="577"/>
      <c r="G19" s="578"/>
      <c r="H19" s="579"/>
      <c r="I19" s="123"/>
      <c r="J19" s="123"/>
      <c r="K19" s="123"/>
      <c r="L19" s="123"/>
      <c r="M19" s="123"/>
      <c r="N19" s="123"/>
      <c r="O19" s="123"/>
      <c r="P19" s="123"/>
      <c r="Q19" s="123"/>
    </row>
    <row r="20" spans="2:52" customFormat="1" x14ac:dyDescent="0.25">
      <c r="B20" s="741" t="s">
        <v>319</v>
      </c>
      <c r="C20" s="744"/>
      <c r="D20" s="744"/>
      <c r="E20" s="744"/>
      <c r="F20" s="577"/>
      <c r="G20" s="578"/>
      <c r="H20" s="579" t="s">
        <v>466</v>
      </c>
      <c r="I20" s="123"/>
      <c r="J20" s="123"/>
      <c r="K20" s="123"/>
      <c r="L20" s="123"/>
      <c r="M20" s="123"/>
      <c r="N20" s="123"/>
      <c r="O20" s="123"/>
      <c r="P20" s="123"/>
      <c r="Q20" s="123"/>
      <c r="AA20" s="583" t="s">
        <v>319</v>
      </c>
    </row>
    <row r="21" spans="2:52" customFormat="1" x14ac:dyDescent="0.25">
      <c r="B21" s="585"/>
      <c r="C21" s="586"/>
      <c r="D21" s="586"/>
      <c r="E21" s="614"/>
      <c r="F21" s="577"/>
      <c r="G21" s="578"/>
      <c r="H21" s="579"/>
      <c r="I21" s="123"/>
      <c r="J21" s="123"/>
      <c r="K21" s="123"/>
      <c r="L21" s="123"/>
      <c r="M21" s="123"/>
      <c r="N21" s="123"/>
      <c r="O21" s="123"/>
      <c r="P21" s="123"/>
      <c r="Q21" s="123"/>
    </row>
    <row r="22" spans="2:52" customFormat="1" x14ac:dyDescent="0.25">
      <c r="B22" s="739" t="s">
        <v>320</v>
      </c>
      <c r="C22" s="740"/>
      <c r="D22" s="587" t="s">
        <v>229</v>
      </c>
      <c r="E22" s="615">
        <f>'6. Rev2Cost_GDPIPI'!$G$17</f>
        <v>15.751275</v>
      </c>
      <c r="F22" s="577"/>
      <c r="G22" s="578"/>
      <c r="H22" s="579" t="s">
        <v>463</v>
      </c>
      <c r="I22" s="123"/>
      <c r="J22" s="123"/>
      <c r="K22" s="123"/>
      <c r="L22" s="123"/>
      <c r="M22" s="123" t="s">
        <v>467</v>
      </c>
      <c r="N22" s="123"/>
      <c r="O22" s="123"/>
      <c r="P22" s="123"/>
      <c r="Q22" s="123"/>
      <c r="Z22" s="462" t="s">
        <v>467</v>
      </c>
    </row>
    <row r="23" spans="2:52" customFormat="1" x14ac:dyDescent="0.25">
      <c r="B23" s="739" t="s">
        <v>321</v>
      </c>
      <c r="C23" s="740"/>
      <c r="D23" s="587" t="s">
        <v>229</v>
      </c>
      <c r="E23" s="589">
        <v>0.79</v>
      </c>
      <c r="F23" s="577"/>
      <c r="G23" s="578"/>
      <c r="H23" s="579" t="s">
        <v>463</v>
      </c>
      <c r="I23" s="123"/>
      <c r="J23" s="123"/>
      <c r="K23" s="123"/>
      <c r="L23" s="123"/>
      <c r="M23" s="123" t="s">
        <v>468</v>
      </c>
      <c r="N23" s="123"/>
      <c r="O23" s="123"/>
      <c r="P23" s="123"/>
      <c r="Q23" s="580">
        <v>43404</v>
      </c>
      <c r="Z23" s="462" t="s">
        <v>468</v>
      </c>
    </row>
    <row r="24" spans="2:52" customFormat="1" x14ac:dyDescent="0.25">
      <c r="B24" s="739" t="s">
        <v>322</v>
      </c>
      <c r="C24" s="740"/>
      <c r="D24" s="587" t="s">
        <v>97</v>
      </c>
      <c r="E24" s="616">
        <f>'6. Rev2Cost_GDPIPI'!$H$17</f>
        <v>1.0195000000000001E-2</v>
      </c>
      <c r="F24" s="577"/>
      <c r="G24" s="578"/>
      <c r="H24" s="579" t="s">
        <v>463</v>
      </c>
      <c r="I24" s="123"/>
      <c r="J24" s="123"/>
      <c r="K24" s="123"/>
      <c r="L24" s="123"/>
      <c r="M24" s="123" t="s">
        <v>469</v>
      </c>
      <c r="N24" s="123"/>
      <c r="O24" s="123"/>
      <c r="P24" s="123"/>
      <c r="Q24" s="123"/>
      <c r="Z24" s="462" t="s">
        <v>469</v>
      </c>
    </row>
    <row r="25" spans="2:52" customFormat="1" ht="15" customHeight="1" x14ac:dyDescent="0.25">
      <c r="B25" s="739" t="s">
        <v>687</v>
      </c>
      <c r="C25" s="750"/>
      <c r="D25" s="587" t="s">
        <v>97</v>
      </c>
      <c r="E25" s="591">
        <f>'5. Summary of Def-Var RR'!E8</f>
        <v>2.533485181620619E-4</v>
      </c>
      <c r="F25" s="577"/>
      <c r="G25" s="578"/>
      <c r="H25" s="579" t="s">
        <v>463</v>
      </c>
      <c r="I25" s="123"/>
      <c r="J25" s="123"/>
      <c r="K25" s="123"/>
      <c r="L25" s="123"/>
      <c r="M25" s="123" t="s">
        <v>470</v>
      </c>
      <c r="N25" s="123"/>
      <c r="O25" s="123"/>
      <c r="P25" s="123"/>
      <c r="Q25" s="123"/>
      <c r="Z25" s="462" t="s">
        <v>471</v>
      </c>
    </row>
    <row r="26" spans="2:52" customFormat="1" ht="23.25" customHeight="1" x14ac:dyDescent="0.25">
      <c r="B26" s="739" t="s">
        <v>689</v>
      </c>
      <c r="C26" s="750"/>
      <c r="D26" s="587" t="s">
        <v>97</v>
      </c>
      <c r="E26" s="591">
        <f>'5. Summary of Def-Var RR'!F22</f>
        <v>1.2924336521215813E-3</v>
      </c>
      <c r="F26" s="577"/>
      <c r="G26" s="578"/>
      <c r="H26" s="579" t="s">
        <v>463</v>
      </c>
      <c r="I26" s="123"/>
      <c r="J26" s="123"/>
      <c r="K26" s="123"/>
      <c r="L26" s="123"/>
      <c r="M26" s="123" t="s">
        <v>472</v>
      </c>
      <c r="N26" s="123"/>
      <c r="O26" s="123"/>
      <c r="P26" s="123"/>
      <c r="Q26" s="123"/>
      <c r="Z26" s="462" t="s">
        <v>323</v>
      </c>
    </row>
    <row r="27" spans="2:52" customFormat="1" ht="15" customHeight="1" x14ac:dyDescent="0.25">
      <c r="B27" s="739" t="s">
        <v>323</v>
      </c>
      <c r="C27" s="740"/>
      <c r="D27" s="587" t="s">
        <v>97</v>
      </c>
      <c r="E27" s="591">
        <v>2.0000000000000001E-4</v>
      </c>
      <c r="F27" s="577"/>
      <c r="G27" s="578"/>
      <c r="H27" s="579" t="s">
        <v>463</v>
      </c>
      <c r="I27" s="123"/>
      <c r="J27" s="123"/>
      <c r="K27" s="123"/>
      <c r="L27" s="123"/>
      <c r="M27" s="123" t="s">
        <v>473</v>
      </c>
      <c r="N27" s="123"/>
      <c r="O27" s="123"/>
      <c r="P27" s="123"/>
      <c r="Q27" s="123"/>
      <c r="Z27" s="462" t="s">
        <v>474</v>
      </c>
    </row>
    <row r="28" spans="2:52" customFormat="1" ht="15" customHeight="1" x14ac:dyDescent="0.25">
      <c r="B28" s="739" t="s">
        <v>694</v>
      </c>
      <c r="C28" s="750"/>
      <c r="D28" s="587" t="s">
        <v>229</v>
      </c>
      <c r="E28" s="589">
        <f>+'8. Shared Tax - Rate Rider'!F29</f>
        <v>0.01</v>
      </c>
      <c r="F28" s="577"/>
      <c r="G28" s="578"/>
      <c r="H28" s="579"/>
      <c r="I28" s="123"/>
      <c r="J28" s="123"/>
      <c r="K28" s="123"/>
      <c r="L28" s="123"/>
      <c r="M28" s="123"/>
      <c r="N28" s="123"/>
      <c r="O28" s="123"/>
      <c r="P28" s="123"/>
      <c r="Q28" s="123"/>
      <c r="Z28" s="462"/>
    </row>
    <row r="29" spans="2:52" customFormat="1" ht="24" customHeight="1" x14ac:dyDescent="0.25">
      <c r="B29" s="739" t="s">
        <v>696</v>
      </c>
      <c r="C29" s="764"/>
      <c r="D29" s="587" t="s">
        <v>229</v>
      </c>
      <c r="E29" s="589">
        <f>'[12]12. Opt 1-Rate Rider Calc F &amp; V'!$O$17</f>
        <v>1.03</v>
      </c>
      <c r="F29" s="577"/>
      <c r="G29" s="578"/>
      <c r="H29" s="579"/>
      <c r="I29" s="123"/>
      <c r="J29" s="123"/>
      <c r="K29" s="123"/>
      <c r="L29" s="123"/>
      <c r="M29" s="123"/>
      <c r="N29" s="123"/>
      <c r="O29" s="123"/>
      <c r="P29" s="123"/>
      <c r="Q29" s="123"/>
      <c r="Z29" s="462"/>
    </row>
    <row r="30" spans="2:52" customFormat="1" x14ac:dyDescent="0.25">
      <c r="B30" s="739" t="s">
        <v>204</v>
      </c>
      <c r="C30" s="740"/>
      <c r="D30" s="587" t="s">
        <v>97</v>
      </c>
      <c r="E30" s="590">
        <f>+'14. RTSR  Rates to Forecast '!J41</f>
        <v>7.9374910817094635E-3</v>
      </c>
      <c r="F30" s="577"/>
      <c r="G30" s="578"/>
      <c r="H30" s="579" t="s">
        <v>463</v>
      </c>
      <c r="I30" s="123"/>
      <c r="J30" s="123"/>
      <c r="K30" s="123"/>
      <c r="L30" s="123"/>
      <c r="M30" s="123" t="s">
        <v>475</v>
      </c>
      <c r="N30" s="123"/>
      <c r="O30" s="123"/>
      <c r="P30" s="123"/>
      <c r="Q30" s="123"/>
      <c r="Z30" s="462" t="s">
        <v>475</v>
      </c>
      <c r="AZ30" t="s">
        <v>476</v>
      </c>
    </row>
    <row r="31" spans="2:52" customFormat="1" x14ac:dyDescent="0.25">
      <c r="B31" s="739" t="s">
        <v>205</v>
      </c>
      <c r="C31" s="740"/>
      <c r="D31" s="587" t="s">
        <v>97</v>
      </c>
      <c r="E31" s="590">
        <f>+'14. RTSR  Rates to Forecast '!J53</f>
        <v>6.3816041687175329E-3</v>
      </c>
      <c r="F31" s="577"/>
      <c r="G31" s="578"/>
      <c r="H31" s="579" t="s">
        <v>463</v>
      </c>
      <c r="I31" s="123"/>
      <c r="J31" s="123"/>
      <c r="K31" s="123"/>
      <c r="L31" s="123"/>
      <c r="M31" s="123" t="s">
        <v>477</v>
      </c>
      <c r="N31" s="123"/>
      <c r="O31" s="123"/>
      <c r="P31" s="123"/>
      <c r="Q31" s="123"/>
      <c r="Z31" s="462" t="s">
        <v>477</v>
      </c>
      <c r="AZ31" t="s">
        <v>478</v>
      </c>
    </row>
    <row r="32" spans="2:52" customFormat="1" x14ac:dyDescent="0.25">
      <c r="B32" s="592"/>
      <c r="C32" s="593"/>
      <c r="D32" s="587"/>
      <c r="E32" s="591"/>
      <c r="F32" s="577"/>
      <c r="G32" s="578"/>
      <c r="H32" s="579"/>
      <c r="I32" s="123"/>
      <c r="J32" s="123"/>
      <c r="K32" s="123"/>
      <c r="L32" s="123"/>
      <c r="M32" s="123"/>
      <c r="N32" s="123"/>
      <c r="O32" s="123"/>
      <c r="P32" s="123"/>
      <c r="Q32" s="123"/>
    </row>
    <row r="33" spans="2:45" customFormat="1" x14ac:dyDescent="0.25">
      <c r="B33" s="741" t="s">
        <v>324</v>
      </c>
      <c r="C33" s="740"/>
      <c r="D33" s="587"/>
      <c r="E33" s="594"/>
      <c r="F33" s="577"/>
      <c r="G33" s="578"/>
      <c r="H33" s="579" t="s">
        <v>479</v>
      </c>
      <c r="I33" s="123"/>
      <c r="J33" s="123"/>
      <c r="K33" s="123"/>
      <c r="L33" s="123"/>
      <c r="M33" s="123"/>
      <c r="N33" s="123"/>
      <c r="O33" s="123"/>
      <c r="P33" s="123"/>
      <c r="Q33" s="123"/>
      <c r="Z33" s="583" t="s">
        <v>324</v>
      </c>
    </row>
    <row r="34" spans="2:45" customFormat="1" x14ac:dyDescent="0.25">
      <c r="B34" s="585"/>
      <c r="C34" s="593"/>
      <c r="D34" s="587"/>
      <c r="E34" s="594"/>
      <c r="F34" s="577"/>
      <c r="G34" s="578"/>
      <c r="H34" s="579"/>
      <c r="I34" s="123"/>
      <c r="J34" s="123"/>
      <c r="K34" s="123"/>
      <c r="L34" s="123"/>
      <c r="M34" s="123"/>
      <c r="N34" s="123"/>
      <c r="O34" s="123"/>
      <c r="P34" s="123"/>
      <c r="Q34" s="123"/>
    </row>
    <row r="35" spans="2:45" customFormat="1" x14ac:dyDescent="0.25">
      <c r="B35" s="739" t="s">
        <v>311</v>
      </c>
      <c r="C35" s="740"/>
      <c r="D35" s="587" t="s">
        <v>97</v>
      </c>
      <c r="E35" s="594">
        <v>4.4000000000000003E-3</v>
      </c>
      <c r="F35" s="577"/>
      <c r="G35" s="578"/>
      <c r="H35" s="579" t="s">
        <v>463</v>
      </c>
      <c r="I35" s="123"/>
      <c r="J35" s="123"/>
      <c r="K35" s="123"/>
      <c r="L35" s="123"/>
      <c r="M35" s="123" t="s">
        <v>480</v>
      </c>
      <c r="N35" s="123"/>
      <c r="O35" s="123"/>
      <c r="P35" s="123"/>
      <c r="Q35" s="123"/>
      <c r="Z35" s="462" t="s">
        <v>311</v>
      </c>
    </row>
    <row r="36" spans="2:45" customFormat="1" x14ac:dyDescent="0.25">
      <c r="B36" s="739" t="s">
        <v>312</v>
      </c>
      <c r="C36" s="740"/>
      <c r="D36" s="587" t="s">
        <v>97</v>
      </c>
      <c r="E36" s="594">
        <v>1.2999999999999999E-3</v>
      </c>
      <c r="F36" s="577"/>
      <c r="G36" s="578"/>
      <c r="H36" s="579" t="s">
        <v>463</v>
      </c>
      <c r="I36" s="123"/>
      <c r="J36" s="123"/>
      <c r="K36" s="123"/>
      <c r="L36" s="123"/>
      <c r="M36" s="123" t="s">
        <v>481</v>
      </c>
      <c r="N36" s="123"/>
      <c r="O36" s="123"/>
      <c r="P36" s="123"/>
      <c r="Q36" s="123"/>
      <c r="Z36" s="462" t="s">
        <v>312</v>
      </c>
    </row>
    <row r="37" spans="2:45" customFormat="1" x14ac:dyDescent="0.25">
      <c r="B37" s="739" t="s">
        <v>313</v>
      </c>
      <c r="C37" s="740"/>
      <c r="D37" s="587" t="s">
        <v>229</v>
      </c>
      <c r="E37" s="594">
        <v>0.25</v>
      </c>
      <c r="F37" s="577"/>
      <c r="G37" s="578"/>
      <c r="H37" s="579" t="s">
        <v>463</v>
      </c>
      <c r="I37" s="123"/>
      <c r="J37" s="123"/>
      <c r="K37" s="123"/>
      <c r="L37" s="123"/>
      <c r="M37" s="123" t="s">
        <v>482</v>
      </c>
      <c r="N37" s="123"/>
      <c r="O37" s="123"/>
      <c r="P37" s="123"/>
      <c r="Q37" s="123"/>
      <c r="Z37" s="462" t="s">
        <v>313</v>
      </c>
      <c r="AS37" t="s">
        <v>460</v>
      </c>
    </row>
    <row r="38" spans="2:45" customFormat="1" ht="20.25" customHeight="1" x14ac:dyDescent="0.25">
      <c r="B38" s="761" t="s">
        <v>305</v>
      </c>
      <c r="C38" s="743"/>
      <c r="D38" s="743"/>
      <c r="E38" s="743"/>
      <c r="F38" s="577"/>
      <c r="G38" s="578"/>
      <c r="H38" s="579" t="s">
        <v>483</v>
      </c>
      <c r="I38" s="123"/>
      <c r="J38" s="123"/>
      <c r="K38" s="123"/>
      <c r="L38" s="123"/>
      <c r="M38" s="123"/>
      <c r="N38" s="123"/>
      <c r="O38" s="123"/>
      <c r="P38" s="123"/>
      <c r="Q38" s="123"/>
      <c r="AA38" s="581" t="s">
        <v>305</v>
      </c>
    </row>
    <row r="39" spans="2:45" customFormat="1" ht="29.25" customHeight="1" x14ac:dyDescent="0.25">
      <c r="B39" s="742" t="s">
        <v>325</v>
      </c>
      <c r="C39" s="743"/>
      <c r="D39" s="743"/>
      <c r="E39" s="743"/>
      <c r="F39" s="577"/>
      <c r="G39" s="578"/>
      <c r="H39" s="579" t="s">
        <v>483</v>
      </c>
      <c r="I39" s="123"/>
      <c r="J39" s="123"/>
      <c r="K39" s="123"/>
      <c r="L39" s="123"/>
      <c r="M39" s="123"/>
      <c r="N39" s="123"/>
      <c r="O39" s="123"/>
      <c r="P39" s="123"/>
      <c r="Q39" s="123"/>
      <c r="AA39" s="460" t="s">
        <v>325</v>
      </c>
    </row>
    <row r="40" spans="2:45" customFormat="1" x14ac:dyDescent="0.25">
      <c r="B40" s="461"/>
      <c r="C40" s="582"/>
      <c r="D40" s="582"/>
      <c r="E40" s="582"/>
      <c r="F40" s="577"/>
      <c r="G40" s="578"/>
      <c r="H40" s="579"/>
      <c r="I40" s="123"/>
      <c r="J40" s="123"/>
      <c r="K40" s="123"/>
      <c r="L40" s="123"/>
      <c r="M40" s="123"/>
      <c r="N40" s="123"/>
      <c r="O40" s="123"/>
      <c r="P40" s="123"/>
      <c r="Q40" s="123"/>
    </row>
    <row r="41" spans="2:45" customFormat="1" x14ac:dyDescent="0.25">
      <c r="B41" s="746" t="s">
        <v>272</v>
      </c>
      <c r="C41" s="743"/>
      <c r="D41" s="743"/>
      <c r="E41" s="743"/>
      <c r="F41" s="577"/>
      <c r="G41" s="578"/>
      <c r="H41" s="579" t="s">
        <v>484</v>
      </c>
      <c r="I41" s="123"/>
      <c r="J41" s="123"/>
      <c r="K41" s="123"/>
      <c r="L41" s="123"/>
      <c r="M41" s="123"/>
      <c r="N41" s="123"/>
      <c r="O41" s="123"/>
      <c r="P41" s="123"/>
      <c r="Q41" s="123"/>
      <c r="AA41" s="583" t="s">
        <v>272</v>
      </c>
    </row>
    <row r="42" spans="2:45" customFormat="1" x14ac:dyDescent="0.25">
      <c r="B42" s="584"/>
      <c r="C42" s="582"/>
      <c r="D42" s="582"/>
      <c r="E42" s="582"/>
      <c r="F42" s="577"/>
      <c r="G42" s="578"/>
      <c r="H42" s="579"/>
      <c r="I42" s="123"/>
      <c r="J42" s="123"/>
      <c r="K42" s="123"/>
      <c r="L42" s="123"/>
      <c r="M42" s="123"/>
      <c r="N42" s="123"/>
      <c r="O42" s="123"/>
      <c r="P42" s="123"/>
      <c r="Q42" s="123"/>
    </row>
    <row r="43" spans="2:45" customFormat="1" ht="36" x14ac:dyDescent="0.25">
      <c r="B43" s="742" t="s">
        <v>273</v>
      </c>
      <c r="C43" s="743"/>
      <c r="D43" s="743"/>
      <c r="E43" s="743"/>
      <c r="F43" s="577"/>
      <c r="G43" s="578"/>
      <c r="H43" s="579" t="s">
        <v>483</v>
      </c>
      <c r="I43" s="123"/>
      <c r="J43" s="123"/>
      <c r="K43" s="123"/>
      <c r="L43" s="123"/>
      <c r="M43" s="123"/>
      <c r="N43" s="123"/>
      <c r="O43" s="123"/>
      <c r="P43" s="123"/>
      <c r="Q43" s="123"/>
      <c r="AA43" s="460" t="s">
        <v>273</v>
      </c>
    </row>
    <row r="44" spans="2:45" customFormat="1" x14ac:dyDescent="0.25">
      <c r="B44" s="461"/>
      <c r="C44" s="582"/>
      <c r="D44" s="582"/>
      <c r="E44" s="582"/>
      <c r="F44" s="577"/>
      <c r="G44" s="578"/>
      <c r="H44" s="579"/>
      <c r="I44" s="123"/>
      <c r="J44" s="123"/>
      <c r="K44" s="123"/>
      <c r="L44" s="123"/>
      <c r="M44" s="123"/>
      <c r="N44" s="123"/>
      <c r="O44" s="123"/>
      <c r="P44" s="123"/>
      <c r="Q44" s="123"/>
    </row>
    <row r="45" spans="2:45" customFormat="1" ht="48" x14ac:dyDescent="0.25">
      <c r="B45" s="742" t="s">
        <v>318</v>
      </c>
      <c r="C45" s="743"/>
      <c r="D45" s="743"/>
      <c r="E45" s="743"/>
      <c r="F45" s="577"/>
      <c r="G45" s="578"/>
      <c r="H45" s="579" t="s">
        <v>483</v>
      </c>
      <c r="I45" s="123"/>
      <c r="J45" s="123"/>
      <c r="K45" s="123"/>
      <c r="L45" s="123"/>
      <c r="M45" s="123"/>
      <c r="N45" s="123"/>
      <c r="O45" s="123"/>
      <c r="P45" s="123"/>
      <c r="Q45" s="123"/>
      <c r="AA45" s="460" t="s">
        <v>318</v>
      </c>
    </row>
    <row r="46" spans="2:45" customFormat="1" x14ac:dyDescent="0.25">
      <c r="B46" s="461"/>
      <c r="C46" s="582"/>
      <c r="D46" s="582"/>
      <c r="E46" s="582"/>
      <c r="F46" s="577"/>
      <c r="G46" s="578"/>
      <c r="H46" s="579"/>
      <c r="I46" s="123"/>
      <c r="J46" s="123"/>
      <c r="K46" s="123"/>
      <c r="L46" s="123"/>
      <c r="M46" s="123"/>
      <c r="N46" s="123"/>
      <c r="O46" s="123"/>
      <c r="P46" s="123"/>
      <c r="Q46" s="123"/>
    </row>
    <row r="47" spans="2:45" customFormat="1" ht="48" x14ac:dyDescent="0.25">
      <c r="B47" s="742" t="s">
        <v>485</v>
      </c>
      <c r="C47" s="743"/>
      <c r="D47" s="743"/>
      <c r="E47" s="743"/>
      <c r="F47" s="577"/>
      <c r="G47" s="578"/>
      <c r="H47" s="579" t="s">
        <v>483</v>
      </c>
      <c r="I47" s="123"/>
      <c r="J47" s="123"/>
      <c r="K47" s="123"/>
      <c r="L47" s="123"/>
      <c r="M47" s="123"/>
      <c r="N47" s="123"/>
      <c r="O47" s="123"/>
      <c r="P47" s="123"/>
      <c r="Q47" s="123"/>
      <c r="AA47" s="460" t="s">
        <v>485</v>
      </c>
    </row>
    <row r="48" spans="2:45" customFormat="1" x14ac:dyDescent="0.25">
      <c r="B48" s="461"/>
      <c r="C48" s="582"/>
      <c r="D48" s="582"/>
      <c r="E48" s="582"/>
      <c r="F48" s="577"/>
      <c r="G48" s="578"/>
      <c r="H48" s="579"/>
      <c r="I48" s="123"/>
      <c r="J48" s="123"/>
      <c r="K48" s="123"/>
      <c r="L48" s="123"/>
      <c r="M48" s="123"/>
      <c r="N48" s="123"/>
      <c r="O48" s="123"/>
      <c r="P48" s="123"/>
      <c r="Q48" s="123"/>
    </row>
    <row r="49" spans="2:52" customFormat="1" ht="36" x14ac:dyDescent="0.25">
      <c r="B49" s="742" t="s">
        <v>701</v>
      </c>
      <c r="C49" s="743"/>
      <c r="D49" s="743"/>
      <c r="E49" s="743"/>
      <c r="F49" s="577"/>
      <c r="G49" s="578"/>
      <c r="H49" s="579" t="s">
        <v>483</v>
      </c>
      <c r="I49" s="123"/>
      <c r="J49" s="123"/>
      <c r="K49" s="123"/>
      <c r="L49" s="123"/>
      <c r="M49" s="123"/>
      <c r="N49" s="123"/>
      <c r="O49" s="123"/>
      <c r="P49" s="123"/>
      <c r="Q49" s="123"/>
      <c r="AA49" s="460" t="s">
        <v>335</v>
      </c>
    </row>
    <row r="50" spans="2:52" customFormat="1" x14ac:dyDescent="0.25">
      <c r="B50" s="461"/>
      <c r="C50" s="582"/>
      <c r="D50" s="582"/>
      <c r="E50" s="582"/>
      <c r="F50" s="577"/>
      <c r="G50" s="578"/>
      <c r="H50" s="579"/>
      <c r="I50" s="123"/>
      <c r="J50" s="123"/>
      <c r="K50" s="123"/>
      <c r="L50" s="123"/>
      <c r="M50" s="123"/>
      <c r="N50" s="123"/>
      <c r="O50" s="123"/>
      <c r="P50" s="123"/>
      <c r="Q50" s="123"/>
    </row>
    <row r="51" spans="2:52" customFormat="1" x14ac:dyDescent="0.25">
      <c r="B51" s="741" t="s">
        <v>319</v>
      </c>
      <c r="C51" s="744"/>
      <c r="D51" s="744"/>
      <c r="E51" s="744"/>
      <c r="F51" s="577"/>
      <c r="G51" s="578"/>
      <c r="H51" s="579" t="s">
        <v>486</v>
      </c>
      <c r="I51" s="123"/>
      <c r="J51" s="123"/>
      <c r="K51" s="123"/>
      <c r="L51" s="123"/>
      <c r="M51" s="123"/>
      <c r="N51" s="123"/>
      <c r="O51" s="123"/>
      <c r="P51" s="123"/>
      <c r="Q51" s="123"/>
      <c r="AA51" s="583" t="s">
        <v>319</v>
      </c>
    </row>
    <row r="52" spans="2:52" customFormat="1" x14ac:dyDescent="0.25">
      <c r="B52" s="585"/>
      <c r="C52" s="586"/>
      <c r="D52" s="586"/>
      <c r="E52" s="586"/>
      <c r="F52" s="577"/>
      <c r="G52" s="578"/>
      <c r="H52" s="579"/>
      <c r="I52" s="123"/>
      <c r="J52" s="123"/>
      <c r="K52" s="123"/>
      <c r="L52" s="123"/>
      <c r="M52" s="123"/>
      <c r="N52" s="123"/>
      <c r="O52" s="123"/>
      <c r="P52" s="123"/>
      <c r="Q52" s="123"/>
    </row>
    <row r="53" spans="2:52" customFormat="1" x14ac:dyDescent="0.25">
      <c r="B53" s="739" t="s">
        <v>320</v>
      </c>
      <c r="C53" s="740"/>
      <c r="D53" s="587" t="s">
        <v>229</v>
      </c>
      <c r="E53" s="588">
        <f>'6. Rev2Cost_GDPIPI'!$G$18</f>
        <v>41.473260000000003</v>
      </c>
      <c r="F53" s="577"/>
      <c r="G53" s="578"/>
      <c r="H53" s="579" t="s">
        <v>483</v>
      </c>
      <c r="I53" s="123"/>
      <c r="J53" s="123"/>
      <c r="K53" s="123"/>
      <c r="L53" s="123"/>
      <c r="M53" s="123" t="s">
        <v>487</v>
      </c>
      <c r="N53" s="123"/>
      <c r="O53" s="123"/>
      <c r="P53" s="123"/>
      <c r="Q53" s="123"/>
      <c r="Z53" s="462" t="s">
        <v>487</v>
      </c>
    </row>
    <row r="54" spans="2:52" customFormat="1" x14ac:dyDescent="0.25">
      <c r="B54" s="739" t="s">
        <v>321</v>
      </c>
      <c r="C54" s="740"/>
      <c r="D54" s="587" t="s">
        <v>229</v>
      </c>
      <c r="E54" s="589">
        <v>0.79</v>
      </c>
      <c r="F54" s="577"/>
      <c r="G54" s="578"/>
      <c r="H54" s="579" t="s">
        <v>483</v>
      </c>
      <c r="I54" s="123"/>
      <c r="J54" s="123"/>
      <c r="K54" s="123"/>
      <c r="L54" s="123"/>
      <c r="M54" s="123" t="s">
        <v>488</v>
      </c>
      <c r="N54" s="123"/>
      <c r="O54" s="123"/>
      <c r="P54" s="123"/>
      <c r="Q54" s="580">
        <v>43404</v>
      </c>
      <c r="Z54" s="462" t="s">
        <v>488</v>
      </c>
    </row>
    <row r="55" spans="2:52" customFormat="1" x14ac:dyDescent="0.25">
      <c r="B55" s="739" t="s">
        <v>322</v>
      </c>
      <c r="C55" s="740"/>
      <c r="D55" s="587" t="s">
        <v>97</v>
      </c>
      <c r="E55" s="590">
        <f>'6. Rev2Cost_GDPIPI'!$H$18</f>
        <v>1.2132050000000002E-2</v>
      </c>
      <c r="F55" s="577"/>
      <c r="G55" s="578"/>
      <c r="H55" s="579" t="s">
        <v>483</v>
      </c>
      <c r="I55" s="123"/>
      <c r="J55" s="123"/>
      <c r="K55" s="123"/>
      <c r="L55" s="123"/>
      <c r="M55" s="123" t="s">
        <v>489</v>
      </c>
      <c r="N55" s="123"/>
      <c r="O55" s="123"/>
      <c r="P55" s="123"/>
      <c r="Q55" s="123"/>
      <c r="Z55" s="462" t="s">
        <v>489</v>
      </c>
    </row>
    <row r="56" spans="2:52" customFormat="1" x14ac:dyDescent="0.25">
      <c r="B56" s="739" t="s">
        <v>687</v>
      </c>
      <c r="C56" s="750"/>
      <c r="D56" s="587" t="s">
        <v>97</v>
      </c>
      <c r="E56" s="288">
        <f>'5. Summary of Def-Var RR'!E9</f>
        <v>2.533485181620619E-4</v>
      </c>
      <c r="F56" s="577"/>
      <c r="G56" s="578"/>
      <c r="H56" s="579" t="s">
        <v>483</v>
      </c>
      <c r="I56" s="123"/>
      <c r="J56" s="123"/>
      <c r="K56" s="123"/>
      <c r="L56" s="123"/>
      <c r="M56" s="123" t="s">
        <v>490</v>
      </c>
      <c r="N56" s="123"/>
      <c r="O56" s="123"/>
      <c r="P56" s="123"/>
      <c r="Q56" s="123"/>
      <c r="Z56" s="462" t="s">
        <v>491</v>
      </c>
    </row>
    <row r="57" spans="2:52" customFormat="1" ht="27" customHeight="1" x14ac:dyDescent="0.25">
      <c r="B57" s="739" t="s">
        <v>689</v>
      </c>
      <c r="C57" s="750"/>
      <c r="D57" s="587" t="s">
        <v>97</v>
      </c>
      <c r="E57" s="288">
        <f>'5. Summary of Def-Var RR'!F23</f>
        <v>2.1013684053532715E-3</v>
      </c>
      <c r="F57" s="577"/>
      <c r="G57" s="578"/>
      <c r="H57" s="579" t="s">
        <v>483</v>
      </c>
      <c r="I57" s="123"/>
      <c r="J57" s="123"/>
      <c r="K57" s="123"/>
      <c r="L57" s="123"/>
      <c r="M57" s="123" t="s">
        <v>492</v>
      </c>
      <c r="N57" s="123"/>
      <c r="O57" s="123"/>
      <c r="P57" s="123"/>
      <c r="Q57" s="123"/>
      <c r="Z57" s="462" t="s">
        <v>493</v>
      </c>
    </row>
    <row r="58" spans="2:52" customFormat="1" x14ac:dyDescent="0.25">
      <c r="B58" s="739" t="s">
        <v>323</v>
      </c>
      <c r="C58" s="740"/>
      <c r="D58" s="587" t="s">
        <v>97</v>
      </c>
      <c r="E58" s="591">
        <v>2.0000000000000001E-4</v>
      </c>
      <c r="F58" s="577"/>
      <c r="G58" s="578"/>
      <c r="H58" s="579" t="s">
        <v>483</v>
      </c>
      <c r="I58" s="123"/>
      <c r="J58" s="123"/>
      <c r="K58" s="123"/>
      <c r="L58" s="123"/>
      <c r="M58" s="123" t="s">
        <v>494</v>
      </c>
      <c r="N58" s="123"/>
      <c r="O58" s="123"/>
      <c r="P58" s="123"/>
      <c r="Q58" s="123"/>
      <c r="Z58" s="462" t="s">
        <v>323</v>
      </c>
    </row>
    <row r="59" spans="2:52" customFormat="1" ht="18" hidden="1" customHeight="1" x14ac:dyDescent="0.25">
      <c r="B59" s="739" t="s">
        <v>694</v>
      </c>
      <c r="C59" s="750"/>
      <c r="D59" s="587" t="s">
        <v>97</v>
      </c>
      <c r="E59" s="591">
        <f>+'8. Shared Tax - Rate Rider'!F30</f>
        <v>6.2570921254264158E-6</v>
      </c>
      <c r="F59" s="577"/>
      <c r="G59" s="578"/>
      <c r="H59" s="579"/>
      <c r="I59" s="123"/>
      <c r="J59" s="123"/>
      <c r="K59" s="123"/>
      <c r="L59" s="123"/>
      <c r="M59" s="123"/>
      <c r="N59" s="123"/>
      <c r="O59" s="123"/>
      <c r="P59" s="123"/>
      <c r="Q59" s="123"/>
      <c r="Z59" s="462"/>
    </row>
    <row r="60" spans="2:52" customFormat="1" ht="27" customHeight="1" x14ac:dyDescent="0.25">
      <c r="B60" s="739" t="s">
        <v>696</v>
      </c>
      <c r="C60" s="764"/>
      <c r="D60" s="587" t="s">
        <v>229</v>
      </c>
      <c r="E60" s="589">
        <f>'[12]12. Opt 1-Rate Rider Calc F &amp; V'!$O$18</f>
        <v>1.88</v>
      </c>
      <c r="F60" s="577"/>
      <c r="G60" s="578"/>
      <c r="H60" s="579"/>
      <c r="I60" s="123"/>
      <c r="J60" s="123"/>
      <c r="K60" s="123"/>
      <c r="L60" s="123"/>
      <c r="M60" s="123"/>
      <c r="N60" s="123"/>
      <c r="O60" s="123"/>
      <c r="P60" s="123"/>
      <c r="Q60" s="123"/>
      <c r="Z60" s="462"/>
    </row>
    <row r="61" spans="2:52" customFormat="1" ht="24" customHeight="1" x14ac:dyDescent="0.25">
      <c r="B61" s="739" t="s">
        <v>696</v>
      </c>
      <c r="C61" s="764"/>
      <c r="D61" s="587" t="s">
        <v>97</v>
      </c>
      <c r="E61" s="591">
        <f>'[12]12. Opt 1-Rate Rider Calc F &amp; V'!$P$18</f>
        <v>5.0000000000000001E-4</v>
      </c>
      <c r="F61" s="577"/>
      <c r="G61" s="578"/>
      <c r="H61" s="579"/>
      <c r="I61" s="123"/>
      <c r="J61" s="123"/>
      <c r="K61" s="123"/>
      <c r="L61" s="123"/>
      <c r="M61" s="123"/>
      <c r="N61" s="123"/>
      <c r="O61" s="123"/>
      <c r="P61" s="123"/>
      <c r="Q61" s="123"/>
      <c r="Z61" s="462"/>
    </row>
    <row r="62" spans="2:52" customFormat="1" x14ac:dyDescent="0.25">
      <c r="B62" s="739" t="s">
        <v>204</v>
      </c>
      <c r="C62" s="740"/>
      <c r="D62" s="587" t="s">
        <v>97</v>
      </c>
      <c r="E62" s="590">
        <f>+'14. RTSR  Rates to Forecast '!J42</f>
        <v>7.4475224959026989E-3</v>
      </c>
      <c r="F62" s="577"/>
      <c r="G62" s="578"/>
      <c r="H62" s="579" t="s">
        <v>483</v>
      </c>
      <c r="I62" s="123"/>
      <c r="J62" s="123"/>
      <c r="K62" s="123"/>
      <c r="L62" s="123"/>
      <c r="M62" s="123" t="s">
        <v>495</v>
      </c>
      <c r="N62" s="123"/>
      <c r="O62" s="123"/>
      <c r="P62" s="123"/>
      <c r="Q62" s="123"/>
      <c r="Z62" s="462" t="s">
        <v>495</v>
      </c>
      <c r="AZ62" t="s">
        <v>496</v>
      </c>
    </row>
    <row r="63" spans="2:52" customFormat="1" x14ac:dyDescent="0.25">
      <c r="B63" s="739" t="s">
        <v>205</v>
      </c>
      <c r="C63" s="740"/>
      <c r="D63" s="587" t="s">
        <v>97</v>
      </c>
      <c r="E63" s="590">
        <f>+'14. RTSR  Rates to Forecast '!J54</f>
        <v>5.7640295638366704E-3</v>
      </c>
      <c r="F63" s="577"/>
      <c r="G63" s="578"/>
      <c r="H63" s="579" t="s">
        <v>483</v>
      </c>
      <c r="I63" s="123"/>
      <c r="J63" s="123"/>
      <c r="K63" s="123"/>
      <c r="L63" s="123"/>
      <c r="M63" s="123" t="s">
        <v>497</v>
      </c>
      <c r="N63" s="123"/>
      <c r="O63" s="123"/>
      <c r="P63" s="123"/>
      <c r="Q63" s="123"/>
      <c r="Z63" s="462" t="s">
        <v>497</v>
      </c>
      <c r="AZ63" t="s">
        <v>498</v>
      </c>
    </row>
    <row r="64" spans="2:52" customFormat="1" x14ac:dyDescent="0.25">
      <c r="B64" s="592"/>
      <c r="C64" s="593"/>
      <c r="D64" s="587"/>
      <c r="E64" s="591"/>
      <c r="F64" s="577"/>
      <c r="G64" s="578"/>
      <c r="H64" s="579"/>
      <c r="I64" s="123"/>
      <c r="J64" s="123"/>
      <c r="K64" s="123"/>
      <c r="L64" s="123"/>
      <c r="M64" s="123"/>
      <c r="N64" s="123"/>
      <c r="O64" s="123"/>
      <c r="P64" s="123"/>
      <c r="Q64" s="123"/>
    </row>
    <row r="65" spans="2:45" customFormat="1" x14ac:dyDescent="0.25">
      <c r="B65" s="741" t="s">
        <v>324</v>
      </c>
      <c r="C65" s="740"/>
      <c r="D65" s="587"/>
      <c r="E65" s="594"/>
      <c r="F65" s="577"/>
      <c r="G65" s="578"/>
      <c r="H65" s="579" t="s">
        <v>499</v>
      </c>
      <c r="I65" s="123"/>
      <c r="J65" s="123"/>
      <c r="K65" s="123"/>
      <c r="L65" s="123"/>
      <c r="M65" s="123"/>
      <c r="N65" s="123"/>
      <c r="O65" s="123"/>
      <c r="P65" s="123"/>
      <c r="Q65" s="123"/>
      <c r="Z65" s="583" t="s">
        <v>324</v>
      </c>
    </row>
    <row r="66" spans="2:45" customFormat="1" x14ac:dyDescent="0.25">
      <c r="B66" s="585"/>
      <c r="C66" s="593"/>
      <c r="D66" s="587"/>
      <c r="E66" s="594"/>
      <c r="F66" s="577"/>
      <c r="G66" s="578"/>
      <c r="H66" s="579"/>
      <c r="I66" s="123"/>
      <c r="J66" s="123"/>
      <c r="K66" s="123"/>
      <c r="L66" s="123"/>
      <c r="M66" s="123"/>
      <c r="N66" s="123"/>
      <c r="O66" s="123"/>
      <c r="P66" s="123"/>
      <c r="Q66" s="123"/>
    </row>
    <row r="67" spans="2:45" customFormat="1" x14ac:dyDescent="0.25">
      <c r="B67" s="739" t="s">
        <v>311</v>
      </c>
      <c r="C67" s="740"/>
      <c r="D67" s="587" t="s">
        <v>97</v>
      </c>
      <c r="E67" s="594">
        <v>4.4000000000000003E-3</v>
      </c>
      <c r="F67" s="577"/>
      <c r="G67" s="578"/>
      <c r="H67" s="579" t="s">
        <v>483</v>
      </c>
      <c r="I67" s="123"/>
      <c r="J67" s="123"/>
      <c r="K67" s="123"/>
      <c r="L67" s="123"/>
      <c r="M67" s="123" t="s">
        <v>500</v>
      </c>
      <c r="N67" s="123"/>
      <c r="O67" s="123"/>
      <c r="P67" s="123"/>
      <c r="Q67" s="123"/>
      <c r="Z67" s="462" t="s">
        <v>311</v>
      </c>
    </row>
    <row r="68" spans="2:45" customFormat="1" x14ac:dyDescent="0.25">
      <c r="B68" s="739" t="s">
        <v>312</v>
      </c>
      <c r="C68" s="740"/>
      <c r="D68" s="587" t="s">
        <v>97</v>
      </c>
      <c r="E68" s="594">
        <v>1.2999999999999999E-3</v>
      </c>
      <c r="F68" s="577"/>
      <c r="G68" s="578"/>
      <c r="H68" s="579" t="s">
        <v>483</v>
      </c>
      <c r="I68" s="123"/>
      <c r="J68" s="123"/>
      <c r="K68" s="123"/>
      <c r="L68" s="123"/>
      <c r="M68" s="123" t="s">
        <v>501</v>
      </c>
      <c r="N68" s="123"/>
      <c r="O68" s="123"/>
      <c r="P68" s="123"/>
      <c r="Q68" s="123"/>
      <c r="Z68" s="462" t="s">
        <v>312</v>
      </c>
    </row>
    <row r="69" spans="2:45" customFormat="1" x14ac:dyDescent="0.25">
      <c r="B69" s="739" t="s">
        <v>313</v>
      </c>
      <c r="C69" s="740"/>
      <c r="D69" s="587" t="s">
        <v>229</v>
      </c>
      <c r="E69" s="594">
        <v>0.25</v>
      </c>
      <c r="F69" s="577"/>
      <c r="G69" s="578"/>
      <c r="H69" s="579" t="s">
        <v>483</v>
      </c>
      <c r="I69" s="123"/>
      <c r="J69" s="123"/>
      <c r="K69" s="123"/>
      <c r="L69" s="123"/>
      <c r="M69" s="123" t="s">
        <v>502</v>
      </c>
      <c r="N69" s="123"/>
      <c r="O69" s="123"/>
      <c r="P69" s="123"/>
      <c r="Q69" s="123"/>
      <c r="Z69" s="462" t="s">
        <v>313</v>
      </c>
      <c r="AS69" t="s">
        <v>460</v>
      </c>
    </row>
    <row r="70" spans="2:45" customFormat="1" ht="18" x14ac:dyDescent="0.25">
      <c r="B70" s="761" t="s">
        <v>307</v>
      </c>
      <c r="C70" s="743"/>
      <c r="D70" s="743"/>
      <c r="E70" s="743"/>
      <c r="F70" s="577"/>
      <c r="G70" s="578"/>
      <c r="H70" s="579" t="s">
        <v>503</v>
      </c>
      <c r="I70" s="123"/>
      <c r="J70" s="123"/>
      <c r="K70" s="123"/>
      <c r="L70" s="123"/>
      <c r="M70" s="123"/>
      <c r="N70" s="123"/>
      <c r="O70" s="123"/>
      <c r="P70" s="123"/>
      <c r="Q70" s="123"/>
      <c r="AA70" s="581" t="s">
        <v>307</v>
      </c>
    </row>
    <row r="71" spans="2:45" customFormat="1" ht="36" x14ac:dyDescent="0.25">
      <c r="B71" s="742" t="s">
        <v>327</v>
      </c>
      <c r="C71" s="743"/>
      <c r="D71" s="743"/>
      <c r="E71" s="743"/>
      <c r="F71" s="577"/>
      <c r="G71" s="578"/>
      <c r="H71" s="579" t="s">
        <v>503</v>
      </c>
      <c r="I71" s="123"/>
      <c r="J71" s="123"/>
      <c r="K71" s="123"/>
      <c r="L71" s="123"/>
      <c r="M71" s="123"/>
      <c r="N71" s="123"/>
      <c r="O71" s="123"/>
      <c r="P71" s="123"/>
      <c r="Q71" s="123"/>
      <c r="AA71" s="460" t="s">
        <v>327</v>
      </c>
    </row>
    <row r="72" spans="2:45" customFormat="1" x14ac:dyDescent="0.25">
      <c r="B72" s="461"/>
      <c r="C72" s="582"/>
      <c r="D72" s="582"/>
      <c r="E72" s="582"/>
      <c r="F72" s="577"/>
      <c r="G72" s="578"/>
      <c r="H72" s="579"/>
      <c r="I72" s="123"/>
      <c r="J72" s="123"/>
      <c r="K72" s="123"/>
      <c r="L72" s="123"/>
      <c r="M72" s="123"/>
      <c r="N72" s="123"/>
      <c r="O72" s="123"/>
      <c r="P72" s="123"/>
      <c r="Q72" s="123"/>
    </row>
    <row r="73" spans="2:45" customFormat="1" x14ac:dyDescent="0.25">
      <c r="B73" s="746" t="s">
        <v>272</v>
      </c>
      <c r="C73" s="743"/>
      <c r="D73" s="743"/>
      <c r="E73" s="743"/>
      <c r="F73" s="577"/>
      <c r="G73" s="578"/>
      <c r="H73" s="579" t="s">
        <v>504</v>
      </c>
      <c r="I73" s="123"/>
      <c r="J73" s="123"/>
      <c r="K73" s="123"/>
      <c r="L73" s="123"/>
      <c r="M73" s="123"/>
      <c r="N73" s="123"/>
      <c r="O73" s="123"/>
      <c r="P73" s="123"/>
      <c r="Q73" s="123"/>
      <c r="AA73" s="583" t="s">
        <v>272</v>
      </c>
    </row>
    <row r="74" spans="2:45" customFormat="1" x14ac:dyDescent="0.25">
      <c r="B74" s="584"/>
      <c r="C74" s="582"/>
      <c r="D74" s="582"/>
      <c r="E74" s="582"/>
      <c r="F74" s="577"/>
      <c r="G74" s="578"/>
      <c r="H74" s="579"/>
      <c r="I74" s="123"/>
      <c r="J74" s="123"/>
      <c r="K74" s="123"/>
      <c r="L74" s="123"/>
      <c r="M74" s="123"/>
      <c r="N74" s="123"/>
      <c r="O74" s="123"/>
      <c r="P74" s="123"/>
      <c r="Q74" s="123"/>
    </row>
    <row r="75" spans="2:45" customFormat="1" ht="36" x14ac:dyDescent="0.25">
      <c r="B75" s="742" t="s">
        <v>273</v>
      </c>
      <c r="C75" s="743"/>
      <c r="D75" s="743"/>
      <c r="E75" s="743"/>
      <c r="F75" s="577"/>
      <c r="G75" s="578"/>
      <c r="H75" s="579" t="s">
        <v>503</v>
      </c>
      <c r="I75" s="123"/>
      <c r="J75" s="123"/>
      <c r="K75" s="123"/>
      <c r="L75" s="123"/>
      <c r="M75" s="123"/>
      <c r="N75" s="123"/>
      <c r="O75" s="123"/>
      <c r="P75" s="123"/>
      <c r="Q75" s="123"/>
      <c r="AA75" s="460" t="s">
        <v>273</v>
      </c>
    </row>
    <row r="76" spans="2:45" customFormat="1" x14ac:dyDescent="0.25">
      <c r="B76" s="461"/>
      <c r="C76" s="582"/>
      <c r="D76" s="582"/>
      <c r="E76" s="582"/>
      <c r="F76" s="577"/>
      <c r="G76" s="578"/>
      <c r="H76" s="579"/>
      <c r="I76" s="123"/>
      <c r="J76" s="123"/>
      <c r="K76" s="123"/>
      <c r="L76" s="123"/>
      <c r="M76" s="123"/>
      <c r="N76" s="123"/>
      <c r="O76" s="123"/>
      <c r="P76" s="123"/>
      <c r="Q76" s="123"/>
    </row>
    <row r="77" spans="2:45" customFormat="1" ht="48" x14ac:dyDescent="0.25">
      <c r="B77" s="742" t="s">
        <v>318</v>
      </c>
      <c r="C77" s="743"/>
      <c r="D77" s="743"/>
      <c r="E77" s="743"/>
      <c r="F77" s="577"/>
      <c r="G77" s="578"/>
      <c r="H77" s="579" t="s">
        <v>503</v>
      </c>
      <c r="I77" s="123"/>
      <c r="J77" s="123"/>
      <c r="K77" s="123"/>
      <c r="L77" s="123"/>
      <c r="M77" s="123"/>
      <c r="N77" s="123"/>
      <c r="O77" s="123"/>
      <c r="P77" s="123"/>
      <c r="Q77" s="123"/>
      <c r="AA77" s="460" t="s">
        <v>318</v>
      </c>
    </row>
    <row r="78" spans="2:45" customFormat="1" x14ac:dyDescent="0.25">
      <c r="B78" s="461"/>
      <c r="C78" s="582"/>
      <c r="D78" s="582"/>
      <c r="E78" s="582"/>
      <c r="F78" s="577"/>
      <c r="G78" s="578"/>
      <c r="H78" s="579"/>
      <c r="I78" s="123"/>
      <c r="J78" s="123"/>
      <c r="K78" s="123"/>
      <c r="L78" s="123"/>
      <c r="M78" s="123"/>
      <c r="N78" s="123"/>
      <c r="O78" s="123"/>
      <c r="P78" s="123"/>
      <c r="Q78" s="123"/>
    </row>
    <row r="79" spans="2:45" customFormat="1" ht="48" x14ac:dyDescent="0.25">
      <c r="B79" s="742" t="s">
        <v>485</v>
      </c>
      <c r="C79" s="743"/>
      <c r="D79" s="743"/>
      <c r="E79" s="743"/>
      <c r="F79" s="577"/>
      <c r="G79" s="578"/>
      <c r="H79" s="579" t="s">
        <v>503</v>
      </c>
      <c r="I79" s="123"/>
      <c r="J79" s="123"/>
      <c r="K79" s="123"/>
      <c r="L79" s="123"/>
      <c r="M79" s="123"/>
      <c r="N79" s="123"/>
      <c r="O79" s="123"/>
      <c r="P79" s="123"/>
      <c r="Q79" s="123"/>
      <c r="AA79" s="460" t="s">
        <v>485</v>
      </c>
    </row>
    <row r="80" spans="2:45" customFormat="1" x14ac:dyDescent="0.25">
      <c r="B80" s="461"/>
      <c r="C80" s="582"/>
      <c r="D80" s="582"/>
      <c r="E80" s="582"/>
      <c r="F80" s="577"/>
      <c r="G80" s="578"/>
      <c r="H80" s="579"/>
      <c r="I80" s="123"/>
      <c r="J80" s="123"/>
      <c r="K80" s="123"/>
      <c r="L80" s="123"/>
      <c r="M80" s="123"/>
      <c r="N80" s="123"/>
      <c r="O80" s="123"/>
      <c r="P80" s="123"/>
      <c r="Q80" s="123"/>
    </row>
    <row r="81" spans="2:52" customFormat="1" ht="36" x14ac:dyDescent="0.25">
      <c r="B81" s="742" t="s">
        <v>701</v>
      </c>
      <c r="C81" s="743"/>
      <c r="D81" s="743"/>
      <c r="E81" s="743"/>
      <c r="F81" s="577"/>
      <c r="G81" s="578"/>
      <c r="H81" s="579" t="s">
        <v>503</v>
      </c>
      <c r="I81" s="123"/>
      <c r="J81" s="123"/>
      <c r="K81" s="123"/>
      <c r="L81" s="123"/>
      <c r="M81" s="123"/>
      <c r="N81" s="123"/>
      <c r="O81" s="123"/>
      <c r="P81" s="123"/>
      <c r="Q81" s="123"/>
      <c r="AA81" s="460" t="s">
        <v>335</v>
      </c>
    </row>
    <row r="82" spans="2:52" customFormat="1" x14ac:dyDescent="0.25">
      <c r="B82" s="742" t="s">
        <v>505</v>
      </c>
      <c r="C82" s="743"/>
      <c r="D82" s="743"/>
      <c r="E82" s="743"/>
      <c r="F82" s="577"/>
      <c r="G82" s="578"/>
      <c r="H82" s="579" t="s">
        <v>503</v>
      </c>
      <c r="I82" s="123"/>
      <c r="J82" s="123"/>
      <c r="K82" s="123"/>
      <c r="L82" s="123"/>
      <c r="M82" s="123"/>
      <c r="N82" s="123"/>
      <c r="O82" s="123"/>
      <c r="P82" s="123"/>
      <c r="Q82" s="123"/>
      <c r="AA82" s="460" t="s">
        <v>505</v>
      </c>
    </row>
    <row r="83" spans="2:52" customFormat="1" x14ac:dyDescent="0.25">
      <c r="B83" s="461"/>
      <c r="C83" s="582"/>
      <c r="D83" s="582"/>
      <c r="E83" s="582"/>
      <c r="F83" s="577"/>
      <c r="G83" s="578"/>
      <c r="H83" s="579"/>
      <c r="I83" s="123"/>
      <c r="J83" s="123"/>
      <c r="K83" s="123"/>
      <c r="L83" s="123"/>
      <c r="M83" s="123"/>
      <c r="N83" s="123"/>
      <c r="O83" s="123"/>
      <c r="P83" s="123"/>
      <c r="Q83" s="123"/>
    </row>
    <row r="84" spans="2:52" customFormat="1" x14ac:dyDescent="0.25">
      <c r="B84" s="741" t="s">
        <v>319</v>
      </c>
      <c r="C84" s="744"/>
      <c r="D84" s="744"/>
      <c r="E84" s="744"/>
      <c r="F84" s="577"/>
      <c r="G84" s="578"/>
      <c r="H84" s="579" t="s">
        <v>506</v>
      </c>
      <c r="I84" s="123"/>
      <c r="J84" s="123"/>
      <c r="K84" s="123"/>
      <c r="L84" s="123"/>
      <c r="M84" s="123"/>
      <c r="N84" s="123"/>
      <c r="O84" s="123"/>
      <c r="P84" s="123"/>
      <c r="Q84" s="123"/>
      <c r="AA84" s="583" t="s">
        <v>319</v>
      </c>
    </row>
    <row r="85" spans="2:52" customFormat="1" x14ac:dyDescent="0.25">
      <c r="B85" s="585"/>
      <c r="C85" s="586"/>
      <c r="D85" s="586"/>
      <c r="E85" s="586"/>
      <c r="F85" s="577"/>
      <c r="G85" s="578"/>
      <c r="H85" s="579"/>
      <c r="I85" s="123"/>
      <c r="J85" s="123"/>
      <c r="K85" s="123"/>
      <c r="L85" s="123"/>
      <c r="M85" s="123"/>
      <c r="N85" s="123"/>
      <c r="O85" s="123"/>
      <c r="P85" s="123"/>
      <c r="Q85" s="123"/>
    </row>
    <row r="86" spans="2:52" customFormat="1" x14ac:dyDescent="0.25">
      <c r="B86" s="739" t="s">
        <v>320</v>
      </c>
      <c r="C86" s="740"/>
      <c r="D86" s="587" t="s">
        <v>229</v>
      </c>
      <c r="E86" s="588">
        <f>'6. Rev2Cost_GDPIPI'!$G$19</f>
        <v>73.03698</v>
      </c>
      <c r="F86" s="577"/>
      <c r="G86" s="578"/>
      <c r="H86" s="579" t="s">
        <v>503</v>
      </c>
      <c r="I86" s="123"/>
      <c r="J86" s="123"/>
      <c r="K86" s="123"/>
      <c r="L86" s="123"/>
      <c r="M86" s="123" t="s">
        <v>507</v>
      </c>
      <c r="N86" s="123"/>
      <c r="O86" s="123"/>
      <c r="P86" s="123"/>
      <c r="Q86" s="123"/>
      <c r="Z86" s="462" t="s">
        <v>507</v>
      </c>
    </row>
    <row r="87" spans="2:52" customFormat="1" x14ac:dyDescent="0.25">
      <c r="B87" s="739" t="s">
        <v>322</v>
      </c>
      <c r="C87" s="740"/>
      <c r="D87" s="587" t="s">
        <v>101</v>
      </c>
      <c r="E87" s="590">
        <f>'6. Rev2Cost_GDPIPI'!$H$19</f>
        <v>4.3958801000000003</v>
      </c>
      <c r="F87" s="577"/>
      <c r="G87" s="578"/>
      <c r="H87" s="579" t="s">
        <v>503</v>
      </c>
      <c r="I87" s="123"/>
      <c r="J87" s="123"/>
      <c r="K87" s="123"/>
      <c r="L87" s="123"/>
      <c r="M87" s="123" t="s">
        <v>508</v>
      </c>
      <c r="N87" s="123"/>
      <c r="O87" s="123"/>
      <c r="P87" s="123"/>
      <c r="Q87" s="123"/>
      <c r="Z87" s="462" t="s">
        <v>508</v>
      </c>
    </row>
    <row r="88" spans="2:52" customFormat="1" ht="24.75" customHeight="1" x14ac:dyDescent="0.25">
      <c r="B88" s="739" t="s">
        <v>687</v>
      </c>
      <c r="C88" s="750"/>
      <c r="D88" s="587" t="s">
        <v>101</v>
      </c>
      <c r="E88" s="288">
        <f>+'5. Summary of Def-Var RR'!C11</f>
        <v>0.49080000000000001</v>
      </c>
      <c r="F88" s="577"/>
      <c r="G88" s="578"/>
      <c r="H88" s="579" t="s">
        <v>503</v>
      </c>
      <c r="I88" s="123"/>
      <c r="J88" s="123"/>
      <c r="K88" s="123"/>
      <c r="L88" s="123"/>
      <c r="M88" s="123" t="s">
        <v>509</v>
      </c>
      <c r="N88" s="123"/>
      <c r="O88" s="123"/>
      <c r="P88" s="123"/>
      <c r="Q88" s="123"/>
      <c r="Z88" s="462" t="s">
        <v>510</v>
      </c>
    </row>
    <row r="89" spans="2:52" customFormat="1" ht="24.75" customHeight="1" x14ac:dyDescent="0.25">
      <c r="B89" s="739" t="s">
        <v>688</v>
      </c>
      <c r="C89" s="750"/>
      <c r="D89" s="587" t="s">
        <v>101</v>
      </c>
      <c r="E89" s="288">
        <f>+'5. Summary of Def-Var RR'!D11</f>
        <v>-0.4005272204371314</v>
      </c>
      <c r="F89" s="577"/>
      <c r="G89" s="578"/>
      <c r="H89" s="579"/>
      <c r="I89" s="123"/>
      <c r="J89" s="123"/>
      <c r="K89" s="123"/>
      <c r="L89" s="123"/>
      <c r="M89" s="123"/>
      <c r="N89" s="123"/>
      <c r="O89" s="123"/>
      <c r="P89" s="123"/>
      <c r="Q89" s="123"/>
      <c r="Z89" s="462"/>
    </row>
    <row r="90" spans="2:52" customFormat="1" ht="27" customHeight="1" x14ac:dyDescent="0.25">
      <c r="B90" s="739" t="s">
        <v>690</v>
      </c>
      <c r="C90" s="750"/>
      <c r="D90" s="587" t="s">
        <v>101</v>
      </c>
      <c r="E90" s="288">
        <f>'5. Summary of Def-Var RR'!F25</f>
        <v>0.79081051823270265</v>
      </c>
      <c r="F90" s="577"/>
      <c r="G90" s="578"/>
      <c r="H90" s="579" t="s">
        <v>503</v>
      </c>
      <c r="I90" s="123"/>
      <c r="J90" s="123"/>
      <c r="K90" s="123"/>
      <c r="L90" s="123"/>
      <c r="M90" s="123" t="s">
        <v>511</v>
      </c>
      <c r="N90" s="123"/>
      <c r="O90" s="123"/>
      <c r="P90" s="123"/>
      <c r="Q90" s="123"/>
      <c r="Z90" s="462" t="s">
        <v>512</v>
      </c>
    </row>
    <row r="91" spans="2:52" customFormat="1" ht="27" customHeight="1" x14ac:dyDescent="0.25">
      <c r="B91" s="739" t="s">
        <v>691</v>
      </c>
      <c r="C91" s="750"/>
      <c r="D91" s="587" t="s">
        <v>101</v>
      </c>
      <c r="E91" s="288">
        <f>'5. Summary of Def-Var RR'!F26</f>
        <v>0.53101051823270262</v>
      </c>
      <c r="F91" s="577"/>
      <c r="G91" s="578"/>
      <c r="H91" s="579"/>
      <c r="I91" s="123"/>
      <c r="J91" s="123"/>
      <c r="K91" s="123"/>
      <c r="L91" s="123"/>
      <c r="M91" s="123"/>
      <c r="N91" s="123"/>
      <c r="O91" s="123"/>
      <c r="P91" s="123"/>
      <c r="Q91" s="123"/>
      <c r="Z91" s="462"/>
    </row>
    <row r="92" spans="2:52" customFormat="1" ht="15.75" customHeight="1" x14ac:dyDescent="0.25">
      <c r="B92" s="739" t="s">
        <v>323</v>
      </c>
      <c r="C92" s="740"/>
      <c r="D92" s="587" t="s">
        <v>101</v>
      </c>
      <c r="E92" s="591">
        <v>8.0199999999999994E-2</v>
      </c>
      <c r="F92" s="577"/>
      <c r="G92" s="578"/>
      <c r="H92" s="579" t="s">
        <v>503</v>
      </c>
      <c r="I92" s="123"/>
      <c r="J92" s="123"/>
      <c r="K92" s="123"/>
      <c r="L92" s="123"/>
      <c r="M92" s="123" t="s">
        <v>513</v>
      </c>
      <c r="N92" s="123"/>
      <c r="O92" s="123"/>
      <c r="P92" s="123"/>
      <c r="Q92" s="123"/>
      <c r="Z92" s="462" t="s">
        <v>323</v>
      </c>
    </row>
    <row r="93" spans="2:52" customFormat="1" ht="15.75" customHeight="1" x14ac:dyDescent="0.25">
      <c r="B93" s="739" t="s">
        <v>694</v>
      </c>
      <c r="C93" s="750"/>
      <c r="D93" s="587" t="s">
        <v>101</v>
      </c>
      <c r="E93" s="591">
        <f>+'8. Shared Tax - Rate Rider'!F31</f>
        <v>1.2755268423373465E-3</v>
      </c>
      <c r="F93" s="577"/>
      <c r="G93" s="578"/>
      <c r="H93" s="579"/>
      <c r="I93" s="123"/>
      <c r="J93" s="123"/>
      <c r="K93" s="123"/>
      <c r="L93" s="123"/>
      <c r="M93" s="123"/>
      <c r="N93" s="123"/>
      <c r="O93" s="123"/>
      <c r="P93" s="123"/>
      <c r="Q93" s="123"/>
      <c r="Z93" s="462"/>
    </row>
    <row r="94" spans="2:52" customFormat="1" ht="27" customHeight="1" x14ac:dyDescent="0.25">
      <c r="B94" s="739" t="s">
        <v>696</v>
      </c>
      <c r="C94" s="764"/>
      <c r="D94" s="587" t="s">
        <v>229</v>
      </c>
      <c r="E94" s="589">
        <f>'[12]12. Opt 1-Rate Rider Calc F &amp; V'!$O$19</f>
        <v>3.31</v>
      </c>
      <c r="F94" s="577"/>
      <c r="G94" s="578"/>
      <c r="H94" s="579" t="s">
        <v>503</v>
      </c>
      <c r="I94" s="123"/>
      <c r="J94" s="123"/>
      <c r="K94" s="123"/>
      <c r="L94" s="123"/>
      <c r="M94" s="123" t="s">
        <v>514</v>
      </c>
      <c r="N94" s="123"/>
      <c r="O94" s="123"/>
      <c r="P94" s="123"/>
      <c r="Q94" s="123"/>
      <c r="Z94" s="462" t="s">
        <v>515</v>
      </c>
    </row>
    <row r="95" spans="2:52" customFormat="1" ht="27" customHeight="1" x14ac:dyDescent="0.25">
      <c r="B95" s="739" t="s">
        <v>696</v>
      </c>
      <c r="C95" s="764"/>
      <c r="D95" s="587" t="s">
        <v>101</v>
      </c>
      <c r="E95" s="591">
        <f>'[12]12. Opt 1-Rate Rider Calc F &amp; V'!$Q$19</f>
        <v>0.19889999999999999</v>
      </c>
      <c r="F95" s="577"/>
      <c r="G95" s="578"/>
      <c r="H95" s="579"/>
      <c r="I95" s="123"/>
      <c r="J95" s="123"/>
      <c r="K95" s="123"/>
      <c r="L95" s="123"/>
      <c r="M95" s="123"/>
      <c r="N95" s="123"/>
      <c r="O95" s="123"/>
      <c r="P95" s="123"/>
      <c r="Q95" s="123"/>
      <c r="Z95" s="462"/>
    </row>
    <row r="96" spans="2:52" customFormat="1" x14ac:dyDescent="0.25">
      <c r="B96" s="739" t="s">
        <v>204</v>
      </c>
      <c r="C96" s="740"/>
      <c r="D96" s="587" t="s">
        <v>101</v>
      </c>
      <c r="E96" s="590">
        <f>+'14. RTSR  Rates to Forecast '!J43</f>
        <v>2.8684720859699291</v>
      </c>
      <c r="F96" s="577"/>
      <c r="G96" s="578"/>
      <c r="H96" s="579" t="s">
        <v>503</v>
      </c>
      <c r="I96" s="123"/>
      <c r="J96" s="123"/>
      <c r="K96" s="123"/>
      <c r="L96" s="123"/>
      <c r="M96" s="123" t="s">
        <v>516</v>
      </c>
      <c r="N96" s="123"/>
      <c r="O96" s="123"/>
      <c r="P96" s="123"/>
      <c r="Q96" s="123"/>
      <c r="Z96" s="462" t="s">
        <v>516</v>
      </c>
      <c r="AZ96" t="s">
        <v>517</v>
      </c>
    </row>
    <row r="97" spans="2:52" customFormat="1" x14ac:dyDescent="0.25">
      <c r="B97" s="739" t="s">
        <v>205</v>
      </c>
      <c r="C97" s="740"/>
      <c r="D97" s="587" t="s">
        <v>101</v>
      </c>
      <c r="E97" s="590">
        <f>+'14. RTSR  Rates to Forecast '!J55</f>
        <v>2.2603230253694222</v>
      </c>
      <c r="F97" s="577"/>
      <c r="G97" s="578"/>
      <c r="H97" s="579" t="s">
        <v>503</v>
      </c>
      <c r="I97" s="123"/>
      <c r="J97" s="123"/>
      <c r="K97" s="123"/>
      <c r="L97" s="123"/>
      <c r="M97" s="123" t="s">
        <v>518</v>
      </c>
      <c r="N97" s="123"/>
      <c r="O97" s="123"/>
      <c r="P97" s="123"/>
      <c r="Q97" s="123"/>
      <c r="Z97" s="462" t="s">
        <v>518</v>
      </c>
      <c r="AZ97" t="s">
        <v>519</v>
      </c>
    </row>
    <row r="98" spans="2:52" customFormat="1" x14ac:dyDescent="0.25">
      <c r="B98" s="592"/>
      <c r="C98" s="593"/>
      <c r="D98" s="587"/>
      <c r="E98" s="591"/>
      <c r="F98" s="577"/>
      <c r="G98" s="578"/>
      <c r="H98" s="579"/>
      <c r="I98" s="123"/>
      <c r="J98" s="123"/>
      <c r="K98" s="123"/>
      <c r="L98" s="123"/>
      <c r="M98" s="123"/>
      <c r="N98" s="123"/>
      <c r="O98" s="123"/>
      <c r="P98" s="123"/>
      <c r="Q98" s="123"/>
    </row>
    <row r="99" spans="2:52" customFormat="1" x14ac:dyDescent="0.25">
      <c r="B99" s="741" t="s">
        <v>324</v>
      </c>
      <c r="C99" s="740"/>
      <c r="D99" s="587"/>
      <c r="E99" s="594"/>
      <c r="F99" s="577"/>
      <c r="G99" s="578"/>
      <c r="H99" s="579" t="s">
        <v>520</v>
      </c>
      <c r="I99" s="123"/>
      <c r="J99" s="123"/>
      <c r="K99" s="123"/>
      <c r="L99" s="123"/>
      <c r="M99" s="123"/>
      <c r="N99" s="123"/>
      <c r="O99" s="123"/>
      <c r="P99" s="123"/>
      <c r="Q99" s="123"/>
      <c r="Z99" s="583" t="s">
        <v>324</v>
      </c>
    </row>
    <row r="100" spans="2:52" customFormat="1" x14ac:dyDescent="0.25">
      <c r="B100" s="585"/>
      <c r="C100" s="593"/>
      <c r="D100" s="587"/>
      <c r="E100" s="594"/>
      <c r="F100" s="577"/>
      <c r="G100" s="578"/>
      <c r="H100" s="579"/>
      <c r="I100" s="123"/>
      <c r="J100" s="123"/>
      <c r="K100" s="123"/>
      <c r="L100" s="123"/>
      <c r="M100" s="123"/>
      <c r="N100" s="123"/>
      <c r="O100" s="123"/>
      <c r="P100" s="123"/>
      <c r="Q100" s="123"/>
    </row>
    <row r="101" spans="2:52" customFormat="1" x14ac:dyDescent="0.25">
      <c r="B101" s="739" t="s">
        <v>311</v>
      </c>
      <c r="C101" s="740"/>
      <c r="D101" s="587" t="s">
        <v>97</v>
      </c>
      <c r="E101" s="594">
        <v>4.4000000000000003E-3</v>
      </c>
      <c r="F101" s="577"/>
      <c r="G101" s="578"/>
      <c r="H101" s="579" t="s">
        <v>503</v>
      </c>
      <c r="I101" s="123"/>
      <c r="J101" s="123"/>
      <c r="K101" s="123"/>
      <c r="L101" s="123"/>
      <c r="M101" s="123" t="s">
        <v>521</v>
      </c>
      <c r="N101" s="123"/>
      <c r="O101" s="123"/>
      <c r="P101" s="123"/>
      <c r="Q101" s="123"/>
      <c r="Z101" s="462" t="s">
        <v>311</v>
      </c>
    </row>
    <row r="102" spans="2:52" customFormat="1" x14ac:dyDescent="0.25">
      <c r="B102" s="739" t="s">
        <v>312</v>
      </c>
      <c r="C102" s="740"/>
      <c r="D102" s="587" t="s">
        <v>97</v>
      </c>
      <c r="E102" s="594">
        <v>1.2999999999999999E-3</v>
      </c>
      <c r="F102" s="577"/>
      <c r="G102" s="578"/>
      <c r="H102" s="579" t="s">
        <v>503</v>
      </c>
      <c r="I102" s="123"/>
      <c r="J102" s="123"/>
      <c r="K102" s="123"/>
      <c r="L102" s="123"/>
      <c r="M102" s="123" t="s">
        <v>522</v>
      </c>
      <c r="N102" s="123"/>
      <c r="O102" s="123"/>
      <c r="P102" s="123"/>
      <c r="Q102" s="123"/>
      <c r="Z102" s="462" t="s">
        <v>312</v>
      </c>
    </row>
    <row r="103" spans="2:52" customFormat="1" x14ac:dyDescent="0.25">
      <c r="B103" s="739" t="s">
        <v>313</v>
      </c>
      <c r="C103" s="740"/>
      <c r="D103" s="587" t="s">
        <v>229</v>
      </c>
      <c r="E103" s="594">
        <v>0.25</v>
      </c>
      <c r="F103" s="577"/>
      <c r="G103" s="578"/>
      <c r="H103" s="579" t="s">
        <v>503</v>
      </c>
      <c r="I103" s="123"/>
      <c r="J103" s="123"/>
      <c r="K103" s="123"/>
      <c r="L103" s="123"/>
      <c r="M103" s="123" t="s">
        <v>523</v>
      </c>
      <c r="N103" s="123"/>
      <c r="O103" s="123"/>
      <c r="P103" s="123"/>
      <c r="Q103" s="123"/>
      <c r="Z103" s="462" t="s">
        <v>313</v>
      </c>
      <c r="AS103" t="s">
        <v>460</v>
      </c>
    </row>
    <row r="104" spans="2:52" customFormat="1" ht="20.25" customHeight="1" x14ac:dyDescent="0.25">
      <c r="B104" s="761" t="s">
        <v>308</v>
      </c>
      <c r="C104" s="743"/>
      <c r="D104" s="743"/>
      <c r="E104" s="743"/>
      <c r="F104" s="577"/>
      <c r="G104" s="578"/>
      <c r="H104" s="579" t="s">
        <v>524</v>
      </c>
      <c r="I104" s="123"/>
      <c r="J104" s="123"/>
      <c r="K104" s="123"/>
      <c r="L104" s="123"/>
      <c r="M104" s="123"/>
      <c r="N104" s="123"/>
      <c r="O104" s="123"/>
      <c r="P104" s="123"/>
      <c r="Q104" s="123"/>
      <c r="AA104" s="581" t="s">
        <v>308</v>
      </c>
    </row>
    <row r="105" spans="2:52" customFormat="1" ht="36" x14ac:dyDescent="0.25">
      <c r="B105" s="742" t="s">
        <v>328</v>
      </c>
      <c r="C105" s="743"/>
      <c r="D105" s="743"/>
      <c r="E105" s="743"/>
      <c r="F105" s="577"/>
      <c r="G105" s="578"/>
      <c r="H105" s="579" t="s">
        <v>524</v>
      </c>
      <c r="I105" s="123"/>
      <c r="J105" s="123"/>
      <c r="K105" s="123"/>
      <c r="L105" s="123"/>
      <c r="M105" s="123"/>
      <c r="N105" s="123"/>
      <c r="O105" s="123"/>
      <c r="P105" s="123"/>
      <c r="Q105" s="123"/>
      <c r="AA105" s="460" t="s">
        <v>328</v>
      </c>
    </row>
    <row r="106" spans="2:52" customFormat="1" x14ac:dyDescent="0.25">
      <c r="B106" s="461"/>
      <c r="C106" s="582"/>
      <c r="D106" s="582"/>
      <c r="E106" s="582"/>
      <c r="F106" s="577"/>
      <c r="G106" s="578"/>
      <c r="H106" s="579"/>
      <c r="I106" s="123"/>
      <c r="J106" s="123"/>
      <c r="K106" s="123"/>
      <c r="L106" s="123"/>
      <c r="M106" s="123"/>
      <c r="N106" s="123"/>
      <c r="O106" s="123"/>
      <c r="P106" s="123"/>
      <c r="Q106" s="123"/>
    </row>
    <row r="107" spans="2:52" customFormat="1" x14ac:dyDescent="0.25">
      <c r="B107" s="746" t="s">
        <v>272</v>
      </c>
      <c r="C107" s="743"/>
      <c r="D107" s="743"/>
      <c r="E107" s="743"/>
      <c r="F107" s="577"/>
      <c r="G107" s="578"/>
      <c r="H107" s="579" t="s">
        <v>525</v>
      </c>
      <c r="I107" s="123"/>
      <c r="J107" s="123"/>
      <c r="K107" s="123"/>
      <c r="L107" s="123"/>
      <c r="M107" s="123"/>
      <c r="N107" s="123"/>
      <c r="O107" s="123"/>
      <c r="P107" s="123"/>
      <c r="Q107" s="123"/>
      <c r="AA107" s="583" t="s">
        <v>272</v>
      </c>
    </row>
    <row r="108" spans="2:52" customFormat="1" x14ac:dyDescent="0.25">
      <c r="B108" s="584"/>
      <c r="C108" s="582"/>
      <c r="D108" s="582"/>
      <c r="E108" s="582"/>
      <c r="F108" s="577"/>
      <c r="G108" s="578"/>
      <c r="H108" s="579"/>
      <c r="I108" s="123"/>
      <c r="J108" s="123"/>
      <c r="K108" s="123"/>
      <c r="L108" s="123"/>
      <c r="M108" s="123"/>
      <c r="N108" s="123"/>
      <c r="O108" s="123"/>
      <c r="P108" s="123"/>
      <c r="Q108" s="123"/>
    </row>
    <row r="109" spans="2:52" customFormat="1" ht="36" x14ac:dyDescent="0.25">
      <c r="B109" s="742" t="s">
        <v>273</v>
      </c>
      <c r="C109" s="743"/>
      <c r="D109" s="743"/>
      <c r="E109" s="743"/>
      <c r="F109" s="577"/>
      <c r="G109" s="578"/>
      <c r="H109" s="579" t="s">
        <v>524</v>
      </c>
      <c r="I109" s="123"/>
      <c r="J109" s="123"/>
      <c r="K109" s="123"/>
      <c r="L109" s="123"/>
      <c r="M109" s="123"/>
      <c r="N109" s="123"/>
      <c r="O109" s="123"/>
      <c r="P109" s="123"/>
      <c r="Q109" s="123"/>
      <c r="AA109" s="460" t="s">
        <v>273</v>
      </c>
    </row>
    <row r="110" spans="2:52" customFormat="1" x14ac:dyDescent="0.25">
      <c r="B110" s="461"/>
      <c r="C110" s="582"/>
      <c r="D110" s="582"/>
      <c r="E110" s="582"/>
      <c r="F110" s="577"/>
      <c r="G110" s="578"/>
      <c r="H110" s="579"/>
      <c r="I110" s="123"/>
      <c r="J110" s="123"/>
      <c r="K110" s="123"/>
      <c r="L110" s="123"/>
      <c r="M110" s="123"/>
      <c r="N110" s="123"/>
      <c r="O110" s="123"/>
      <c r="P110" s="123"/>
      <c r="Q110" s="123"/>
    </row>
    <row r="111" spans="2:52" customFormat="1" ht="48" x14ac:dyDescent="0.25">
      <c r="B111" s="742" t="s">
        <v>318</v>
      </c>
      <c r="C111" s="743"/>
      <c r="D111" s="743"/>
      <c r="E111" s="743"/>
      <c r="F111" s="577"/>
      <c r="G111" s="578"/>
      <c r="H111" s="579" t="s">
        <v>524</v>
      </c>
      <c r="I111" s="123"/>
      <c r="J111" s="123"/>
      <c r="K111" s="123"/>
      <c r="L111" s="123"/>
      <c r="M111" s="123"/>
      <c r="N111" s="123"/>
      <c r="O111" s="123"/>
      <c r="P111" s="123"/>
      <c r="Q111" s="123"/>
      <c r="AA111" s="460" t="s">
        <v>318</v>
      </c>
    </row>
    <row r="112" spans="2:52" customFormat="1" x14ac:dyDescent="0.25">
      <c r="B112" s="461"/>
      <c r="C112" s="582"/>
      <c r="D112" s="582"/>
      <c r="E112" s="582"/>
      <c r="F112" s="577"/>
      <c r="G112" s="578"/>
      <c r="H112" s="579"/>
      <c r="I112" s="123"/>
      <c r="J112" s="123"/>
      <c r="K112" s="123"/>
      <c r="L112" s="123"/>
      <c r="M112" s="123"/>
      <c r="N112" s="123"/>
      <c r="O112" s="123"/>
      <c r="P112" s="123"/>
      <c r="Q112" s="123"/>
    </row>
    <row r="113" spans="2:27" customFormat="1" ht="48" x14ac:dyDescent="0.25">
      <c r="B113" s="742" t="s">
        <v>485</v>
      </c>
      <c r="C113" s="743"/>
      <c r="D113" s="743"/>
      <c r="E113" s="743"/>
      <c r="F113" s="577"/>
      <c r="G113" s="578"/>
      <c r="H113" s="579" t="s">
        <v>524</v>
      </c>
      <c r="I113" s="123"/>
      <c r="J113" s="123"/>
      <c r="K113" s="123"/>
      <c r="L113" s="123"/>
      <c r="M113" s="123"/>
      <c r="N113" s="123"/>
      <c r="O113" s="123"/>
      <c r="P113" s="123"/>
      <c r="Q113" s="123"/>
      <c r="AA113" s="460" t="s">
        <v>485</v>
      </c>
    </row>
    <row r="114" spans="2:27" customFormat="1" x14ac:dyDescent="0.25">
      <c r="B114" s="461"/>
      <c r="C114" s="582"/>
      <c r="D114" s="582"/>
      <c r="E114" s="582"/>
      <c r="F114" s="577"/>
      <c r="G114" s="578"/>
      <c r="H114" s="579"/>
      <c r="I114" s="123"/>
      <c r="J114" s="123"/>
      <c r="K114" s="123"/>
      <c r="L114" s="123"/>
      <c r="M114" s="123"/>
      <c r="N114" s="123"/>
      <c r="O114" s="123"/>
      <c r="P114" s="123"/>
      <c r="Q114" s="123"/>
    </row>
    <row r="115" spans="2:27" customFormat="1" ht="36" x14ac:dyDescent="0.25">
      <c r="B115" s="742" t="s">
        <v>701</v>
      </c>
      <c r="C115" s="743"/>
      <c r="D115" s="743"/>
      <c r="E115" s="743"/>
      <c r="F115" s="577"/>
      <c r="G115" s="578"/>
      <c r="H115" s="579" t="s">
        <v>524</v>
      </c>
      <c r="I115" s="123"/>
      <c r="J115" s="123"/>
      <c r="K115" s="123"/>
      <c r="L115" s="123"/>
      <c r="M115" s="123"/>
      <c r="N115" s="123"/>
      <c r="O115" s="123"/>
      <c r="P115" s="123"/>
      <c r="Q115" s="123"/>
      <c r="AA115" s="460" t="s">
        <v>335</v>
      </c>
    </row>
    <row r="116" spans="2:27" customFormat="1" x14ac:dyDescent="0.25">
      <c r="B116" s="742" t="s">
        <v>505</v>
      </c>
      <c r="C116" s="743"/>
      <c r="D116" s="743"/>
      <c r="E116" s="743"/>
      <c r="F116" s="577"/>
      <c r="G116" s="578"/>
      <c r="H116" s="579" t="s">
        <v>524</v>
      </c>
      <c r="I116" s="123"/>
      <c r="J116" s="123"/>
      <c r="K116" s="123"/>
      <c r="L116" s="123"/>
      <c r="M116" s="123"/>
      <c r="N116" s="123"/>
      <c r="O116" s="123"/>
      <c r="P116" s="123"/>
      <c r="Q116" s="123"/>
      <c r="AA116" s="460" t="s">
        <v>505</v>
      </c>
    </row>
    <row r="117" spans="2:27" customFormat="1" x14ac:dyDescent="0.25">
      <c r="B117" s="461"/>
      <c r="C117" s="582"/>
      <c r="D117" s="582"/>
      <c r="E117" s="582"/>
      <c r="F117" s="577"/>
      <c r="G117" s="578"/>
      <c r="H117" s="579"/>
      <c r="I117" s="123"/>
      <c r="J117" s="123"/>
      <c r="K117" s="123"/>
      <c r="L117" s="123"/>
      <c r="M117" s="123"/>
      <c r="N117" s="123"/>
      <c r="O117" s="123"/>
      <c r="P117" s="123"/>
      <c r="Q117" s="123"/>
    </row>
    <row r="118" spans="2:27" customFormat="1" x14ac:dyDescent="0.25">
      <c r="B118" s="741" t="s">
        <v>319</v>
      </c>
      <c r="C118" s="744"/>
      <c r="D118" s="744"/>
      <c r="E118" s="744"/>
      <c r="F118" s="577"/>
      <c r="G118" s="578"/>
      <c r="H118" s="579" t="s">
        <v>526</v>
      </c>
      <c r="I118" s="123"/>
      <c r="J118" s="123"/>
      <c r="K118" s="123"/>
      <c r="L118" s="123"/>
      <c r="M118" s="123"/>
      <c r="N118" s="123"/>
      <c r="O118" s="123"/>
      <c r="P118" s="123"/>
      <c r="Q118" s="123"/>
      <c r="AA118" s="583" t="s">
        <v>319</v>
      </c>
    </row>
    <row r="119" spans="2:27" customFormat="1" x14ac:dyDescent="0.25">
      <c r="B119" s="585"/>
      <c r="C119" s="586"/>
      <c r="D119" s="586"/>
      <c r="E119" s="586"/>
      <c r="F119" s="577"/>
      <c r="G119" s="578"/>
      <c r="H119" s="579"/>
      <c r="I119" s="123"/>
      <c r="J119" s="123"/>
      <c r="K119" s="123"/>
      <c r="L119" s="123"/>
      <c r="M119" s="123"/>
      <c r="N119" s="123"/>
      <c r="O119" s="123"/>
      <c r="P119" s="123"/>
      <c r="Q119" s="123"/>
    </row>
    <row r="120" spans="2:27" customFormat="1" x14ac:dyDescent="0.25">
      <c r="B120" s="739" t="s">
        <v>320</v>
      </c>
      <c r="C120" s="740"/>
      <c r="D120" s="587" t="s">
        <v>229</v>
      </c>
      <c r="E120" s="588">
        <f>'6. Rev2Cost_GDPIPI'!$G$20</f>
        <v>1663.3754200000001</v>
      </c>
      <c r="F120" s="577"/>
      <c r="G120" s="578"/>
      <c r="H120" s="579" t="s">
        <v>524</v>
      </c>
      <c r="I120" s="123"/>
      <c r="J120" s="123"/>
      <c r="K120" s="123"/>
      <c r="L120" s="123"/>
      <c r="M120" s="123" t="s">
        <v>527</v>
      </c>
      <c r="N120" s="123"/>
      <c r="O120" s="123"/>
      <c r="P120" s="123"/>
      <c r="Q120" s="123"/>
      <c r="Z120" s="462" t="s">
        <v>527</v>
      </c>
    </row>
    <row r="121" spans="2:27" customFormat="1" x14ac:dyDescent="0.25">
      <c r="B121" s="739" t="s">
        <v>322</v>
      </c>
      <c r="C121" s="740"/>
      <c r="D121" s="587" t="s">
        <v>101</v>
      </c>
      <c r="E121" s="590">
        <f>'6. Rev2Cost_GDPIPI'!$H$20</f>
        <v>2.2619646500000004</v>
      </c>
      <c r="F121" s="577"/>
      <c r="G121" s="578"/>
      <c r="H121" s="579" t="s">
        <v>524</v>
      </c>
      <c r="I121" s="123"/>
      <c r="J121" s="123"/>
      <c r="K121" s="123"/>
      <c r="L121" s="123"/>
      <c r="M121" s="123" t="s">
        <v>528</v>
      </c>
      <c r="N121" s="123"/>
      <c r="O121" s="123"/>
      <c r="P121" s="123"/>
      <c r="Q121" s="123"/>
      <c r="Z121" s="462" t="s">
        <v>528</v>
      </c>
    </row>
    <row r="122" spans="2:27" customFormat="1" ht="23.25" customHeight="1" x14ac:dyDescent="0.25">
      <c r="B122" s="739" t="s">
        <v>687</v>
      </c>
      <c r="C122" s="750"/>
      <c r="D122" s="587" t="s">
        <v>101</v>
      </c>
      <c r="E122" s="288">
        <f>+'5. Summary of Def-Var RR'!C13</f>
        <v>0.62219999999999998</v>
      </c>
      <c r="F122" s="577"/>
      <c r="G122" s="578"/>
      <c r="H122" s="579" t="s">
        <v>524</v>
      </c>
      <c r="I122" s="123"/>
      <c r="J122" s="123"/>
      <c r="K122" s="123"/>
      <c r="L122" s="123"/>
      <c r="M122" s="123" t="s">
        <v>529</v>
      </c>
      <c r="N122" s="123"/>
      <c r="O122" s="123"/>
      <c r="P122" s="123"/>
      <c r="Q122" s="123"/>
      <c r="Z122" s="462" t="s">
        <v>530</v>
      </c>
    </row>
    <row r="123" spans="2:27" customFormat="1" ht="23.25" customHeight="1" x14ac:dyDescent="0.25">
      <c r="B123" s="739" t="s">
        <v>688</v>
      </c>
      <c r="C123" s="750"/>
      <c r="D123" s="587" t="s">
        <v>101</v>
      </c>
      <c r="E123" s="288">
        <f>+'5. Summary of Def-Var RR'!D13</f>
        <v>-0.50724625267569023</v>
      </c>
      <c r="F123" s="577"/>
      <c r="G123" s="578"/>
      <c r="H123" s="579"/>
      <c r="I123" s="123"/>
      <c r="J123" s="123"/>
      <c r="K123" s="123"/>
      <c r="L123" s="123"/>
      <c r="M123" s="123"/>
      <c r="N123" s="123"/>
      <c r="O123" s="123"/>
      <c r="P123" s="123"/>
      <c r="Q123" s="123"/>
      <c r="Z123" s="462"/>
    </row>
    <row r="124" spans="2:27" customFormat="1" ht="30.75" customHeight="1" x14ac:dyDescent="0.25">
      <c r="B124" s="739" t="s">
        <v>690</v>
      </c>
      <c r="C124" s="750"/>
      <c r="D124" s="587" t="s">
        <v>101</v>
      </c>
      <c r="E124" s="288">
        <f>'5. Summary of Def-Var RR'!F27</f>
        <v>1.3011865481679119</v>
      </c>
      <c r="F124" s="577"/>
      <c r="G124" s="578"/>
      <c r="H124" s="579" t="s">
        <v>524</v>
      </c>
      <c r="I124" s="123"/>
      <c r="J124" s="123"/>
      <c r="K124" s="123"/>
      <c r="L124" s="123"/>
      <c r="M124" s="123" t="s">
        <v>531</v>
      </c>
      <c r="N124" s="123"/>
      <c r="O124" s="123"/>
      <c r="P124" s="123"/>
      <c r="Q124" s="123"/>
      <c r="Z124" s="462" t="s">
        <v>532</v>
      </c>
    </row>
    <row r="125" spans="2:27" customFormat="1" ht="30.75" customHeight="1" x14ac:dyDescent="0.25">
      <c r="B125" s="739" t="s">
        <v>699</v>
      </c>
      <c r="C125" s="750"/>
      <c r="D125" s="587" t="s">
        <v>101</v>
      </c>
      <c r="E125" s="288">
        <f>'5. Summary of Def-Var RR'!F28</f>
        <v>0.9966865481679118</v>
      </c>
      <c r="F125" s="577"/>
      <c r="G125" s="578"/>
      <c r="H125" s="579"/>
      <c r="I125" s="123"/>
      <c r="J125" s="123"/>
      <c r="K125" s="123"/>
      <c r="L125" s="123"/>
      <c r="M125" s="123"/>
      <c r="N125" s="123"/>
      <c r="O125" s="123"/>
      <c r="P125" s="123"/>
      <c r="Q125" s="123"/>
      <c r="Z125" s="462"/>
    </row>
    <row r="126" spans="2:27" customFormat="1" x14ac:dyDescent="0.25">
      <c r="B126" s="739" t="s">
        <v>323</v>
      </c>
      <c r="C126" s="740"/>
      <c r="D126" s="587" t="s">
        <v>101</v>
      </c>
      <c r="E126" s="591">
        <v>7.8399999999999997E-2</v>
      </c>
      <c r="F126" s="577"/>
      <c r="G126" s="578"/>
      <c r="H126" s="579" t="s">
        <v>524</v>
      </c>
      <c r="I126" s="123"/>
      <c r="J126" s="123"/>
      <c r="K126" s="123"/>
      <c r="L126" s="123"/>
      <c r="M126" s="123" t="s">
        <v>533</v>
      </c>
      <c r="N126" s="123"/>
      <c r="O126" s="123"/>
      <c r="P126" s="123"/>
      <c r="Q126" s="123"/>
      <c r="Z126" s="462" t="s">
        <v>323</v>
      </c>
    </row>
    <row r="127" spans="2:27" customFormat="1" x14ac:dyDescent="0.25">
      <c r="B127" s="739" t="s">
        <v>694</v>
      </c>
      <c r="C127" s="750"/>
      <c r="D127" s="587" t="s">
        <v>101</v>
      </c>
      <c r="E127" s="591">
        <f>+'8. Shared Tax - Rate Rider'!F32</f>
        <v>1.1099212040085529E-3</v>
      </c>
      <c r="F127" s="577"/>
      <c r="G127" s="578"/>
      <c r="H127" s="579"/>
      <c r="I127" s="123"/>
      <c r="J127" s="123"/>
      <c r="K127" s="123"/>
      <c r="L127" s="123"/>
      <c r="M127" s="123"/>
      <c r="N127" s="123"/>
      <c r="O127" s="123"/>
      <c r="P127" s="123"/>
      <c r="Q127" s="123"/>
      <c r="Z127" s="462"/>
    </row>
    <row r="128" spans="2:27" customFormat="1" ht="25.5" customHeight="1" x14ac:dyDescent="0.25">
      <c r="B128" s="739" t="s">
        <v>696</v>
      </c>
      <c r="C128" s="764"/>
      <c r="D128" s="587" t="s">
        <v>229</v>
      </c>
      <c r="E128" s="589">
        <f>'[12]12. Opt 1-Rate Rider Calc F &amp; V'!$O$20</f>
        <v>75.28</v>
      </c>
      <c r="F128" s="577"/>
      <c r="G128" s="578"/>
      <c r="H128" s="579" t="s">
        <v>524</v>
      </c>
      <c r="I128" s="123"/>
      <c r="J128" s="123"/>
      <c r="K128" s="123"/>
      <c r="L128" s="123"/>
      <c r="M128" s="123" t="s">
        <v>534</v>
      </c>
      <c r="N128" s="123"/>
      <c r="O128" s="123"/>
      <c r="P128" s="123"/>
      <c r="Q128" s="123"/>
      <c r="Z128" s="462" t="s">
        <v>535</v>
      </c>
    </row>
    <row r="129" spans="2:52" customFormat="1" ht="25.5" customHeight="1" x14ac:dyDescent="0.25">
      <c r="B129" s="739" t="s">
        <v>696</v>
      </c>
      <c r="C129" s="764"/>
      <c r="D129" s="587" t="s">
        <v>101</v>
      </c>
      <c r="E129" s="591">
        <f>'[12]12. Opt 1-Rate Rider Calc F &amp; V'!$Q$20</f>
        <v>0.1024</v>
      </c>
      <c r="F129" s="577"/>
      <c r="G129" s="578"/>
      <c r="H129" s="579"/>
      <c r="I129" s="123"/>
      <c r="J129" s="123"/>
      <c r="K129" s="123"/>
      <c r="L129" s="123"/>
      <c r="M129" s="123"/>
      <c r="N129" s="123"/>
      <c r="O129" s="123"/>
      <c r="P129" s="123"/>
      <c r="Q129" s="123"/>
      <c r="Z129" s="462"/>
    </row>
    <row r="130" spans="2:52" customFormat="1" x14ac:dyDescent="0.25">
      <c r="B130" s="739" t="s">
        <v>697</v>
      </c>
      <c r="C130" s="740"/>
      <c r="D130" s="587" t="s">
        <v>101</v>
      </c>
      <c r="E130" s="590">
        <f>+'14. RTSR  Rates to Forecast '!J45</f>
        <v>2.7751820655069266</v>
      </c>
      <c r="F130" s="577"/>
      <c r="G130" s="578"/>
      <c r="H130" s="579" t="s">
        <v>524</v>
      </c>
      <c r="I130" s="123"/>
      <c r="J130" s="123"/>
      <c r="K130" s="123"/>
      <c r="L130" s="123"/>
      <c r="M130" s="123" t="s">
        <v>536</v>
      </c>
      <c r="N130" s="123"/>
      <c r="O130" s="123"/>
      <c r="P130" s="123"/>
      <c r="Q130" s="123"/>
      <c r="Z130" s="462" t="s">
        <v>536</v>
      </c>
      <c r="AZ130" t="s">
        <v>537</v>
      </c>
    </row>
    <row r="131" spans="2:52" customFormat="1" ht="22.5" x14ac:dyDescent="0.25">
      <c r="B131" s="739" t="s">
        <v>698</v>
      </c>
      <c r="C131" s="740"/>
      <c r="D131" s="587" t="s">
        <v>101</v>
      </c>
      <c r="E131" s="590">
        <f>+'14. RTSR  Rates to Forecast '!J57</f>
        <v>2.2117404893612655</v>
      </c>
      <c r="F131" s="577"/>
      <c r="G131" s="578"/>
      <c r="H131" s="579" t="s">
        <v>524</v>
      </c>
      <c r="I131" s="123"/>
      <c r="J131" s="123"/>
      <c r="K131" s="123"/>
      <c r="L131" s="123"/>
      <c r="M131" s="123" t="s">
        <v>538</v>
      </c>
      <c r="N131" s="123"/>
      <c r="O131" s="123"/>
      <c r="P131" s="123"/>
      <c r="Q131" s="123"/>
      <c r="Z131" s="462" t="s">
        <v>538</v>
      </c>
      <c r="AZ131" t="s">
        <v>539</v>
      </c>
    </row>
    <row r="132" spans="2:52" customFormat="1" x14ac:dyDescent="0.25">
      <c r="B132" s="592"/>
      <c r="C132" s="593"/>
      <c r="D132" s="587"/>
      <c r="E132" s="591"/>
      <c r="F132" s="577"/>
      <c r="G132" s="578"/>
      <c r="H132" s="579"/>
      <c r="I132" s="123"/>
      <c r="J132" s="123"/>
      <c r="K132" s="123"/>
      <c r="L132" s="123"/>
      <c r="M132" s="123"/>
      <c r="N132" s="123"/>
      <c r="O132" s="123"/>
      <c r="P132" s="123"/>
      <c r="Q132" s="123"/>
    </row>
    <row r="133" spans="2:52" customFormat="1" x14ac:dyDescent="0.25">
      <c r="B133" s="741" t="s">
        <v>324</v>
      </c>
      <c r="C133" s="740"/>
      <c r="D133" s="587"/>
      <c r="E133" s="594"/>
      <c r="F133" s="577"/>
      <c r="G133" s="578"/>
      <c r="H133" s="579" t="s">
        <v>540</v>
      </c>
      <c r="I133" s="123"/>
      <c r="J133" s="123"/>
      <c r="K133" s="123"/>
      <c r="L133" s="123"/>
      <c r="M133" s="123"/>
      <c r="N133" s="123"/>
      <c r="O133" s="123"/>
      <c r="P133" s="123"/>
      <c r="Q133" s="123"/>
      <c r="Z133" s="583" t="s">
        <v>324</v>
      </c>
    </row>
    <row r="134" spans="2:52" customFormat="1" x14ac:dyDescent="0.25">
      <c r="B134" s="585"/>
      <c r="C134" s="593"/>
      <c r="D134" s="587"/>
      <c r="E134" s="594"/>
      <c r="F134" s="577"/>
      <c r="G134" s="578"/>
      <c r="H134" s="579"/>
      <c r="I134" s="123"/>
      <c r="J134" s="123"/>
      <c r="K134" s="123"/>
      <c r="L134" s="123"/>
      <c r="M134" s="123"/>
      <c r="N134" s="123"/>
      <c r="O134" s="123"/>
      <c r="P134" s="123"/>
      <c r="Q134" s="123"/>
    </row>
    <row r="135" spans="2:52" customFormat="1" x14ac:dyDescent="0.25">
      <c r="B135" s="739" t="s">
        <v>311</v>
      </c>
      <c r="C135" s="740"/>
      <c r="D135" s="587" t="s">
        <v>97</v>
      </c>
      <c r="E135" s="594">
        <v>4.4000000000000003E-3</v>
      </c>
      <c r="F135" s="577"/>
      <c r="G135" s="578"/>
      <c r="H135" s="579" t="s">
        <v>524</v>
      </c>
      <c r="I135" s="123"/>
      <c r="J135" s="123"/>
      <c r="K135" s="123"/>
      <c r="L135" s="123"/>
      <c r="M135" s="123" t="s">
        <v>541</v>
      </c>
      <c r="N135" s="123"/>
      <c r="O135" s="123"/>
      <c r="P135" s="123"/>
      <c r="Q135" s="123"/>
      <c r="Z135" s="462" t="s">
        <v>311</v>
      </c>
    </row>
    <row r="136" spans="2:52" customFormat="1" x14ac:dyDescent="0.25">
      <c r="B136" s="739" t="s">
        <v>312</v>
      </c>
      <c r="C136" s="740"/>
      <c r="D136" s="587" t="s">
        <v>97</v>
      </c>
      <c r="E136" s="594">
        <v>1.2999999999999999E-3</v>
      </c>
      <c r="F136" s="577"/>
      <c r="G136" s="578"/>
      <c r="H136" s="579" t="s">
        <v>524</v>
      </c>
      <c r="I136" s="123"/>
      <c r="J136" s="123"/>
      <c r="K136" s="123"/>
      <c r="L136" s="123"/>
      <c r="M136" s="123" t="s">
        <v>542</v>
      </c>
      <c r="N136" s="123"/>
      <c r="O136" s="123"/>
      <c r="P136" s="123"/>
      <c r="Q136" s="123"/>
      <c r="Z136" s="462" t="s">
        <v>312</v>
      </c>
    </row>
    <row r="137" spans="2:52" customFormat="1" x14ac:dyDescent="0.25">
      <c r="B137" s="739" t="s">
        <v>313</v>
      </c>
      <c r="C137" s="740"/>
      <c r="D137" s="587" t="s">
        <v>229</v>
      </c>
      <c r="E137" s="594">
        <v>0.25</v>
      </c>
      <c r="F137" s="577"/>
      <c r="G137" s="578"/>
      <c r="H137" s="579" t="s">
        <v>524</v>
      </c>
      <c r="I137" s="123"/>
      <c r="J137" s="123"/>
      <c r="K137" s="123"/>
      <c r="L137" s="123"/>
      <c r="M137" s="123" t="s">
        <v>543</v>
      </c>
      <c r="N137" s="123"/>
      <c r="O137" s="123"/>
      <c r="P137" s="123"/>
      <c r="Q137" s="123"/>
      <c r="Z137" s="462" t="s">
        <v>313</v>
      </c>
      <c r="AS137" t="s">
        <v>460</v>
      </c>
    </row>
    <row r="138" spans="2:52" customFormat="1" x14ac:dyDescent="0.25">
      <c r="B138" s="673"/>
      <c r="C138" s="674"/>
      <c r="D138" s="587"/>
      <c r="E138" s="594"/>
      <c r="F138" s="577"/>
      <c r="G138" s="578"/>
      <c r="H138" s="579"/>
      <c r="I138" s="123"/>
      <c r="J138" s="123"/>
      <c r="K138" s="123"/>
      <c r="L138" s="123"/>
      <c r="M138" s="123"/>
      <c r="N138" s="123"/>
      <c r="O138" s="123"/>
      <c r="P138" s="123"/>
      <c r="Q138" s="123"/>
      <c r="Z138" s="462"/>
    </row>
    <row r="139" spans="2:52" customFormat="1" ht="46.5" customHeight="1" x14ac:dyDescent="0.25">
      <c r="B139" s="763" t="s">
        <v>700</v>
      </c>
      <c r="C139" s="763"/>
      <c r="D139" s="763"/>
      <c r="E139" s="763"/>
      <c r="F139" s="577"/>
      <c r="G139" s="578"/>
      <c r="H139" s="579"/>
      <c r="I139" s="123"/>
      <c r="J139" s="123"/>
      <c r="K139" s="123"/>
      <c r="L139" s="123"/>
      <c r="M139" s="123"/>
      <c r="N139" s="123"/>
      <c r="O139" s="123"/>
      <c r="P139" s="123"/>
      <c r="Q139" s="123"/>
      <c r="Z139" s="462"/>
    </row>
    <row r="140" spans="2:52" customFormat="1" ht="18" x14ac:dyDescent="0.25">
      <c r="B140" s="761" t="s">
        <v>444</v>
      </c>
      <c r="C140" s="743"/>
      <c r="D140" s="743"/>
      <c r="E140" s="743"/>
      <c r="F140" s="577"/>
      <c r="G140" s="578"/>
      <c r="H140" s="579" t="s">
        <v>544</v>
      </c>
      <c r="I140" s="123"/>
      <c r="J140" s="123"/>
      <c r="K140" s="123"/>
      <c r="L140" s="123"/>
      <c r="M140" s="123"/>
      <c r="N140" s="123"/>
      <c r="O140" s="123"/>
      <c r="P140" s="123"/>
      <c r="Q140" s="123"/>
      <c r="AA140" s="581" t="s">
        <v>444</v>
      </c>
    </row>
    <row r="141" spans="2:52" customFormat="1" ht="36" x14ac:dyDescent="0.25">
      <c r="B141" s="742" t="s">
        <v>329</v>
      </c>
      <c r="C141" s="743"/>
      <c r="D141" s="743"/>
      <c r="E141" s="743"/>
      <c r="F141" s="577"/>
      <c r="G141" s="578"/>
      <c r="H141" s="579" t="s">
        <v>544</v>
      </c>
      <c r="I141" s="123"/>
      <c r="J141" s="123"/>
      <c r="K141" s="123"/>
      <c r="L141" s="123"/>
      <c r="M141" s="123"/>
      <c r="N141" s="123"/>
      <c r="O141" s="123"/>
      <c r="P141" s="123"/>
      <c r="Q141" s="123"/>
      <c r="AA141" s="460" t="s">
        <v>329</v>
      </c>
    </row>
    <row r="142" spans="2:52" customFormat="1" ht="12" customHeight="1" x14ac:dyDescent="0.25">
      <c r="B142" s="461"/>
      <c r="C142" s="582"/>
      <c r="D142" s="582"/>
      <c r="E142" s="582"/>
      <c r="F142" s="577"/>
      <c r="G142" s="578"/>
      <c r="H142" s="579"/>
      <c r="I142" s="123"/>
      <c r="J142" s="123"/>
      <c r="K142" s="123"/>
      <c r="L142" s="123"/>
      <c r="M142" s="123"/>
      <c r="N142" s="123"/>
      <c r="O142" s="123"/>
      <c r="P142" s="123"/>
      <c r="Q142" s="123"/>
    </row>
    <row r="143" spans="2:52" customFormat="1" x14ac:dyDescent="0.25">
      <c r="B143" s="746" t="s">
        <v>272</v>
      </c>
      <c r="C143" s="743"/>
      <c r="D143" s="743"/>
      <c r="E143" s="743"/>
      <c r="F143" s="577"/>
      <c r="G143" s="578"/>
      <c r="H143" s="579" t="s">
        <v>545</v>
      </c>
      <c r="I143" s="123"/>
      <c r="J143" s="123"/>
      <c r="K143" s="123"/>
      <c r="L143" s="123"/>
      <c r="M143" s="123"/>
      <c r="N143" s="123"/>
      <c r="O143" s="123"/>
      <c r="P143" s="123"/>
      <c r="Q143" s="123"/>
      <c r="AA143" s="583" t="s">
        <v>272</v>
      </c>
    </row>
    <row r="144" spans="2:52" customFormat="1" ht="12" customHeight="1" x14ac:dyDescent="0.25">
      <c r="B144" s="584"/>
      <c r="C144" s="582"/>
      <c r="D144" s="582"/>
      <c r="E144" s="582"/>
      <c r="F144" s="577"/>
      <c r="G144" s="578"/>
      <c r="H144" s="579"/>
      <c r="I144" s="123"/>
      <c r="J144" s="123"/>
      <c r="K144" s="123"/>
      <c r="L144" s="123"/>
      <c r="M144" s="123"/>
      <c r="N144" s="123"/>
      <c r="O144" s="123"/>
      <c r="P144" s="123"/>
      <c r="Q144" s="123"/>
    </row>
    <row r="145" spans="2:27" customFormat="1" ht="36" x14ac:dyDescent="0.25">
      <c r="B145" s="742" t="s">
        <v>273</v>
      </c>
      <c r="C145" s="743"/>
      <c r="D145" s="743"/>
      <c r="E145" s="743"/>
      <c r="F145" s="577"/>
      <c r="G145" s="578"/>
      <c r="H145" s="579" t="s">
        <v>544</v>
      </c>
      <c r="I145" s="123"/>
      <c r="J145" s="123"/>
      <c r="K145" s="123"/>
      <c r="L145" s="123"/>
      <c r="M145" s="123"/>
      <c r="N145" s="123"/>
      <c r="O145" s="123"/>
      <c r="P145" s="123"/>
      <c r="Q145" s="123"/>
      <c r="AA145" s="460" t="s">
        <v>273</v>
      </c>
    </row>
    <row r="146" spans="2:27" customFormat="1" ht="12" customHeight="1" x14ac:dyDescent="0.25">
      <c r="B146" s="461"/>
      <c r="C146" s="582"/>
      <c r="D146" s="582"/>
      <c r="E146" s="582"/>
      <c r="F146" s="577"/>
      <c r="G146" s="578"/>
      <c r="H146" s="579"/>
      <c r="I146" s="123"/>
      <c r="J146" s="123"/>
      <c r="K146" s="123"/>
      <c r="L146" s="123"/>
      <c r="M146" s="123"/>
      <c r="N146" s="123"/>
      <c r="O146" s="123"/>
      <c r="P146" s="123"/>
      <c r="Q146" s="123"/>
    </row>
    <row r="147" spans="2:27" customFormat="1" ht="48" x14ac:dyDescent="0.25">
      <c r="B147" s="742" t="s">
        <v>318</v>
      </c>
      <c r="C147" s="743"/>
      <c r="D147" s="743"/>
      <c r="E147" s="743"/>
      <c r="F147" s="577"/>
      <c r="G147" s="578"/>
      <c r="H147" s="579" t="s">
        <v>544</v>
      </c>
      <c r="I147" s="123"/>
      <c r="J147" s="123"/>
      <c r="K147" s="123"/>
      <c r="L147" s="123"/>
      <c r="M147" s="123"/>
      <c r="N147" s="123"/>
      <c r="O147" s="123"/>
      <c r="P147" s="123"/>
      <c r="Q147" s="123"/>
      <c r="AA147" s="460" t="s">
        <v>318</v>
      </c>
    </row>
    <row r="148" spans="2:27" customFormat="1" ht="12" customHeight="1" x14ac:dyDescent="0.25">
      <c r="B148" s="461"/>
      <c r="C148" s="582"/>
      <c r="D148" s="582"/>
      <c r="E148" s="582"/>
      <c r="F148" s="577"/>
      <c r="G148" s="578"/>
      <c r="H148" s="579"/>
      <c r="I148" s="123"/>
      <c r="J148" s="123"/>
      <c r="K148" s="123"/>
      <c r="L148" s="123"/>
      <c r="M148" s="123"/>
      <c r="N148" s="123"/>
      <c r="O148" s="123"/>
      <c r="P148" s="123"/>
      <c r="Q148" s="123"/>
    </row>
    <row r="149" spans="2:27" customFormat="1" ht="60" x14ac:dyDescent="0.25">
      <c r="B149" s="742" t="s">
        <v>546</v>
      </c>
      <c r="C149" s="743"/>
      <c r="D149" s="743"/>
      <c r="E149" s="743"/>
      <c r="F149" s="577"/>
      <c r="G149" s="578"/>
      <c r="H149" s="579" t="s">
        <v>544</v>
      </c>
      <c r="I149" s="123"/>
      <c r="J149" s="123"/>
      <c r="K149" s="123"/>
      <c r="L149" s="123"/>
      <c r="M149" s="123"/>
      <c r="N149" s="123"/>
      <c r="O149" s="123"/>
      <c r="P149" s="123"/>
      <c r="Q149" s="123"/>
      <c r="AA149" s="460" t="s">
        <v>546</v>
      </c>
    </row>
    <row r="150" spans="2:27" customFormat="1" ht="12" customHeight="1" x14ac:dyDescent="0.25">
      <c r="B150" s="461"/>
      <c r="C150" s="582"/>
      <c r="D150" s="582"/>
      <c r="E150" s="582"/>
      <c r="F150" s="577"/>
      <c r="G150" s="578"/>
      <c r="H150" s="579"/>
      <c r="I150" s="123"/>
      <c r="J150" s="123"/>
      <c r="K150" s="123"/>
      <c r="L150" s="123"/>
      <c r="M150" s="123"/>
      <c r="N150" s="123"/>
      <c r="O150" s="123"/>
      <c r="P150" s="123"/>
      <c r="Q150" s="123"/>
    </row>
    <row r="151" spans="2:27" customFormat="1" ht="36" x14ac:dyDescent="0.25">
      <c r="B151" s="742" t="s">
        <v>701</v>
      </c>
      <c r="C151" s="743"/>
      <c r="D151" s="743"/>
      <c r="E151" s="743"/>
      <c r="F151" s="577"/>
      <c r="G151" s="578"/>
      <c r="H151" s="579" t="s">
        <v>544</v>
      </c>
      <c r="I151" s="123"/>
      <c r="J151" s="123"/>
      <c r="K151" s="123"/>
      <c r="L151" s="123"/>
      <c r="M151" s="123"/>
      <c r="N151" s="123"/>
      <c r="O151" s="123"/>
      <c r="P151" s="123"/>
      <c r="Q151" s="123"/>
      <c r="AA151" s="460" t="s">
        <v>335</v>
      </c>
    </row>
    <row r="152" spans="2:27" customFormat="1" x14ac:dyDescent="0.25">
      <c r="B152" s="742" t="s">
        <v>505</v>
      </c>
      <c r="C152" s="743"/>
      <c r="D152" s="743"/>
      <c r="E152" s="743"/>
      <c r="F152" s="577"/>
      <c r="G152" s="578"/>
      <c r="H152" s="579" t="s">
        <v>544</v>
      </c>
      <c r="I152" s="123"/>
      <c r="J152" s="123"/>
      <c r="K152" s="123"/>
      <c r="L152" s="123"/>
      <c r="M152" s="123"/>
      <c r="N152" s="123"/>
      <c r="O152" s="123"/>
      <c r="P152" s="123"/>
      <c r="Q152" s="123"/>
      <c r="AA152" s="460" t="s">
        <v>505</v>
      </c>
    </row>
    <row r="153" spans="2:27" customFormat="1" ht="12" customHeight="1" x14ac:dyDescent="0.25">
      <c r="B153" s="461"/>
      <c r="C153" s="582"/>
      <c r="D153" s="582"/>
      <c r="E153" s="582"/>
      <c r="F153" s="577"/>
      <c r="G153" s="578"/>
      <c r="H153" s="579"/>
      <c r="I153" s="123"/>
      <c r="J153" s="123"/>
      <c r="K153" s="123"/>
      <c r="L153" s="123"/>
      <c r="M153" s="123"/>
      <c r="N153" s="123"/>
      <c r="O153" s="123"/>
      <c r="P153" s="123"/>
      <c r="Q153" s="123"/>
    </row>
    <row r="154" spans="2:27" customFormat="1" x14ac:dyDescent="0.25">
      <c r="B154" s="741" t="s">
        <v>319</v>
      </c>
      <c r="C154" s="744"/>
      <c r="D154" s="744"/>
      <c r="E154" s="744"/>
      <c r="F154" s="577"/>
      <c r="G154" s="578"/>
      <c r="H154" s="579" t="s">
        <v>547</v>
      </c>
      <c r="I154" s="123"/>
      <c r="J154" s="123"/>
      <c r="K154" s="123"/>
      <c r="L154" s="123"/>
      <c r="M154" s="123"/>
      <c r="N154" s="123"/>
      <c r="O154" s="123"/>
      <c r="P154" s="123"/>
      <c r="Q154" s="123"/>
      <c r="AA154" s="583" t="s">
        <v>319</v>
      </c>
    </row>
    <row r="155" spans="2:27" customFormat="1" ht="12" customHeight="1" x14ac:dyDescent="0.25">
      <c r="B155" s="585"/>
      <c r="C155" s="586"/>
      <c r="D155" s="586"/>
      <c r="E155" s="586"/>
      <c r="F155" s="577"/>
      <c r="G155" s="578"/>
      <c r="H155" s="579"/>
      <c r="I155" s="123"/>
      <c r="J155" s="123"/>
      <c r="K155" s="123"/>
      <c r="L155" s="123"/>
      <c r="M155" s="123"/>
      <c r="N155" s="123"/>
      <c r="O155" s="123"/>
      <c r="P155" s="123"/>
      <c r="Q155" s="123"/>
    </row>
    <row r="156" spans="2:27" customFormat="1" x14ac:dyDescent="0.25">
      <c r="B156" s="739" t="s">
        <v>320</v>
      </c>
      <c r="C156" s="740"/>
      <c r="D156" s="587" t="s">
        <v>229</v>
      </c>
      <c r="E156" s="588">
        <f>'6. Rev2Cost_GDPIPI'!$G$21</f>
        <v>13115.07229</v>
      </c>
      <c r="F156" s="577"/>
      <c r="G156" s="578"/>
      <c r="H156" s="579" t="s">
        <v>544</v>
      </c>
      <c r="I156" s="123"/>
      <c r="J156" s="123"/>
      <c r="K156" s="123"/>
      <c r="L156" s="123"/>
      <c r="M156" s="123" t="s">
        <v>548</v>
      </c>
      <c r="N156" s="123"/>
      <c r="O156" s="123"/>
      <c r="P156" s="123"/>
      <c r="Q156" s="123"/>
      <c r="Z156" s="462" t="s">
        <v>548</v>
      </c>
    </row>
    <row r="157" spans="2:27" customFormat="1" x14ac:dyDescent="0.25">
      <c r="B157" s="739" t="s">
        <v>322</v>
      </c>
      <c r="C157" s="740"/>
      <c r="D157" s="587" t="s">
        <v>101</v>
      </c>
      <c r="E157" s="590">
        <f>'6. Rev2Cost_GDPIPI'!$H$21</f>
        <v>2.8076010500000002</v>
      </c>
      <c r="F157" s="577"/>
      <c r="G157" s="578"/>
      <c r="H157" s="579" t="s">
        <v>544</v>
      </c>
      <c r="I157" s="123"/>
      <c r="J157" s="123"/>
      <c r="K157" s="123"/>
      <c r="L157" s="123"/>
      <c r="M157" s="123" t="s">
        <v>549</v>
      </c>
      <c r="N157" s="123"/>
      <c r="O157" s="123"/>
      <c r="P157" s="123"/>
      <c r="Q157" s="123"/>
      <c r="Z157" s="462" t="s">
        <v>549</v>
      </c>
    </row>
    <row r="158" spans="2:27" customFormat="1" ht="21" customHeight="1" x14ac:dyDescent="0.25">
      <c r="B158" s="739" t="s">
        <v>687</v>
      </c>
      <c r="C158" s="750"/>
      <c r="D158" s="587" t="s">
        <v>101</v>
      </c>
      <c r="E158" s="288">
        <f>+'5. Summary of Def-Var RR'!E15</f>
        <v>0.1443271105158227</v>
      </c>
      <c r="F158" s="577"/>
      <c r="G158" s="578"/>
      <c r="H158" s="579" t="s">
        <v>544</v>
      </c>
      <c r="I158" s="123"/>
      <c r="J158" s="123"/>
      <c r="K158" s="123"/>
      <c r="L158" s="123"/>
      <c r="M158" s="123" t="s">
        <v>550</v>
      </c>
      <c r="N158" s="123"/>
      <c r="O158" s="123"/>
      <c r="P158" s="123"/>
      <c r="Q158" s="123"/>
      <c r="Z158" s="462" t="s">
        <v>551</v>
      </c>
    </row>
    <row r="159" spans="2:27" customFormat="1" ht="21" customHeight="1" x14ac:dyDescent="0.25">
      <c r="B159" s="739" t="s">
        <v>692</v>
      </c>
      <c r="C159" s="750"/>
      <c r="D159" s="587"/>
      <c r="E159" s="288">
        <f>'5. Summary of Def-Var RR'!F29</f>
        <v>-0.17612156712340105</v>
      </c>
      <c r="F159" s="577"/>
      <c r="G159" s="578"/>
      <c r="H159" s="579"/>
      <c r="I159" s="123"/>
      <c r="J159" s="123"/>
      <c r="K159" s="123"/>
      <c r="L159" s="123"/>
      <c r="M159" s="123"/>
      <c r="N159" s="123"/>
      <c r="O159" s="123"/>
      <c r="P159" s="123"/>
      <c r="Q159" s="123"/>
      <c r="Z159" s="462"/>
    </row>
    <row r="160" spans="2:27" customFormat="1" ht="27.75" customHeight="1" x14ac:dyDescent="0.25">
      <c r="B160" s="739" t="s">
        <v>693</v>
      </c>
      <c r="C160" s="750"/>
      <c r="D160" s="587" t="s">
        <v>101</v>
      </c>
      <c r="E160" s="288">
        <f>'5. Summary of Def-Var RR'!F30</f>
        <v>1.055178432876599</v>
      </c>
      <c r="F160" s="577"/>
      <c r="G160" s="578"/>
      <c r="H160" s="579" t="s">
        <v>544</v>
      </c>
      <c r="I160" s="123"/>
      <c r="J160" s="123"/>
      <c r="K160" s="123"/>
      <c r="L160" s="123"/>
      <c r="M160" s="123" t="s">
        <v>552</v>
      </c>
      <c r="N160" s="123"/>
      <c r="O160" s="123"/>
      <c r="P160" s="123"/>
      <c r="Q160" s="123"/>
      <c r="Z160" s="462" t="s">
        <v>553</v>
      </c>
    </row>
    <row r="161" spans="2:52" customFormat="1" x14ac:dyDescent="0.25">
      <c r="B161" s="739" t="s">
        <v>323</v>
      </c>
      <c r="C161" s="740"/>
      <c r="D161" s="587" t="s">
        <v>101</v>
      </c>
      <c r="E161" s="591">
        <v>8.3799999999999999E-2</v>
      </c>
      <c r="F161" s="577"/>
      <c r="G161" s="578"/>
      <c r="H161" s="579" t="s">
        <v>544</v>
      </c>
      <c r="I161" s="123"/>
      <c r="J161" s="123"/>
      <c r="K161" s="123"/>
      <c r="L161" s="123"/>
      <c r="M161" s="123" t="s">
        <v>554</v>
      </c>
      <c r="N161" s="123"/>
      <c r="O161" s="123"/>
      <c r="P161" s="123"/>
      <c r="Q161" s="123"/>
      <c r="Z161" s="462" t="s">
        <v>323</v>
      </c>
    </row>
    <row r="162" spans="2:52" customFormat="1" x14ac:dyDescent="0.25">
      <c r="B162" s="739" t="s">
        <v>695</v>
      </c>
      <c r="C162" s="750"/>
      <c r="D162" s="587" t="s">
        <v>101</v>
      </c>
      <c r="E162" s="591">
        <f>+'8. Shared Tax - Rate Rider'!F33</f>
        <v>9.031658521577486E-4</v>
      </c>
      <c r="F162" s="577"/>
      <c r="G162" s="578"/>
      <c r="H162" s="579"/>
      <c r="I162" s="123"/>
      <c r="J162" s="123"/>
      <c r="K162" s="123"/>
      <c r="L162" s="123"/>
      <c r="M162" s="123"/>
      <c r="N162" s="123"/>
      <c r="O162" s="123"/>
      <c r="P162" s="123"/>
      <c r="Q162" s="123"/>
      <c r="Z162" s="462"/>
    </row>
    <row r="163" spans="2:52" customFormat="1" ht="22.5" customHeight="1" x14ac:dyDescent="0.25">
      <c r="B163" s="739" t="s">
        <v>696</v>
      </c>
      <c r="C163" s="764"/>
      <c r="D163" s="587" t="s">
        <v>229</v>
      </c>
      <c r="E163" s="589">
        <f>'[12]12. Opt 1-Rate Rider Calc F &amp; V'!$O$21</f>
        <v>593.53</v>
      </c>
      <c r="F163" s="577"/>
      <c r="G163" s="578"/>
      <c r="H163" s="579" t="s">
        <v>544</v>
      </c>
      <c r="I163" s="123"/>
      <c r="J163" s="123"/>
      <c r="K163" s="123"/>
      <c r="L163" s="123"/>
      <c r="M163" s="123" t="s">
        <v>555</v>
      </c>
      <c r="N163" s="123"/>
      <c r="O163" s="123"/>
      <c r="P163" s="123"/>
      <c r="Q163" s="123"/>
      <c r="Z163" s="462" t="s">
        <v>556</v>
      </c>
    </row>
    <row r="164" spans="2:52" customFormat="1" ht="28.5" customHeight="1" x14ac:dyDescent="0.25">
      <c r="B164" s="739" t="s">
        <v>696</v>
      </c>
      <c r="C164" s="764"/>
      <c r="D164" s="587" t="s">
        <v>101</v>
      </c>
      <c r="E164" s="591">
        <f>'[12]12. Opt 1-Rate Rider Calc F &amp; V'!$Q$21</f>
        <v>0.12709999999999999</v>
      </c>
      <c r="F164" s="577"/>
      <c r="G164" s="578"/>
      <c r="H164" s="579"/>
      <c r="I164" s="123"/>
      <c r="J164" s="123"/>
      <c r="K164" s="123"/>
      <c r="L164" s="123"/>
      <c r="M164" s="123"/>
      <c r="N164" s="123"/>
      <c r="O164" s="123"/>
      <c r="P164" s="123"/>
      <c r="Q164" s="123"/>
      <c r="Z164" s="462"/>
    </row>
    <row r="165" spans="2:52" customFormat="1" x14ac:dyDescent="0.25">
      <c r="B165" s="739" t="s">
        <v>204</v>
      </c>
      <c r="C165" s="740"/>
      <c r="D165" s="587" t="s">
        <v>101</v>
      </c>
      <c r="E165" s="590">
        <f>+'14. RTSR  Rates to Forecast '!J46</f>
        <v>2.9613701318676164</v>
      </c>
      <c r="F165" s="577"/>
      <c r="G165" s="578"/>
      <c r="H165" s="579" t="s">
        <v>544</v>
      </c>
      <c r="I165" s="123"/>
      <c r="J165" s="123"/>
      <c r="K165" s="123"/>
      <c r="L165" s="123"/>
      <c r="M165" s="123" t="s">
        <v>557</v>
      </c>
      <c r="N165" s="123"/>
      <c r="O165" s="123"/>
      <c r="P165" s="123"/>
      <c r="Q165" s="123"/>
      <c r="Z165" s="462" t="s">
        <v>557</v>
      </c>
      <c r="AZ165" t="s">
        <v>558</v>
      </c>
    </row>
    <row r="166" spans="2:52" customFormat="1" x14ac:dyDescent="0.25">
      <c r="B166" s="739" t="s">
        <v>205</v>
      </c>
      <c r="C166" s="740"/>
      <c r="D166" s="587" t="s">
        <v>101</v>
      </c>
      <c r="E166" s="590">
        <f>+'14. RTSR  Rates to Forecast '!J58</f>
        <v>2.3622228326760251</v>
      </c>
      <c r="F166" s="577"/>
      <c r="G166" s="578"/>
      <c r="H166" s="579" t="s">
        <v>544</v>
      </c>
      <c r="I166" s="123"/>
      <c r="J166" s="123"/>
      <c r="K166" s="123"/>
      <c r="L166" s="123"/>
      <c r="M166" s="123" t="s">
        <v>559</v>
      </c>
      <c r="N166" s="123"/>
      <c r="O166" s="123"/>
      <c r="P166" s="123"/>
      <c r="Q166" s="123"/>
      <c r="Z166" s="462" t="s">
        <v>559</v>
      </c>
      <c r="AZ166" t="s">
        <v>560</v>
      </c>
    </row>
    <row r="167" spans="2:52" customFormat="1" x14ac:dyDescent="0.25">
      <c r="B167" s="741" t="s">
        <v>324</v>
      </c>
      <c r="C167" s="740"/>
      <c r="D167" s="587"/>
      <c r="E167" s="594"/>
      <c r="F167" s="577"/>
      <c r="G167" s="578"/>
      <c r="H167" s="579" t="s">
        <v>561</v>
      </c>
      <c r="I167" s="123"/>
      <c r="J167" s="123"/>
      <c r="K167" s="123"/>
      <c r="L167" s="123"/>
      <c r="M167" s="123"/>
      <c r="N167" s="123"/>
      <c r="O167" s="123"/>
      <c r="P167" s="123"/>
      <c r="Q167" s="123"/>
      <c r="Z167" s="583" t="s">
        <v>324</v>
      </c>
    </row>
    <row r="168" spans="2:52" customFormat="1" x14ac:dyDescent="0.25">
      <c r="B168" s="585"/>
      <c r="C168" s="593"/>
      <c r="D168" s="587"/>
      <c r="E168" s="594"/>
      <c r="F168" s="577"/>
      <c r="G168" s="578"/>
      <c r="H168" s="579"/>
      <c r="I168" s="123"/>
      <c r="J168" s="123"/>
      <c r="K168" s="123"/>
      <c r="L168" s="123"/>
      <c r="M168" s="123"/>
      <c r="N168" s="123"/>
      <c r="O168" s="123"/>
      <c r="P168" s="123"/>
      <c r="Q168" s="123"/>
    </row>
    <row r="169" spans="2:52" customFormat="1" x14ac:dyDescent="0.25">
      <c r="B169" s="739" t="s">
        <v>311</v>
      </c>
      <c r="C169" s="740"/>
      <c r="D169" s="587" t="s">
        <v>97</v>
      </c>
      <c r="E169" s="594">
        <v>4.4000000000000003E-3</v>
      </c>
      <c r="F169" s="577"/>
      <c r="G169" s="578"/>
      <c r="H169" s="579" t="s">
        <v>544</v>
      </c>
      <c r="I169" s="123"/>
      <c r="J169" s="123"/>
      <c r="K169" s="123"/>
      <c r="L169" s="123"/>
      <c r="M169" s="123" t="s">
        <v>562</v>
      </c>
      <c r="N169" s="123"/>
      <c r="O169" s="123"/>
      <c r="P169" s="123"/>
      <c r="Q169" s="123"/>
      <c r="Z169" s="462" t="s">
        <v>311</v>
      </c>
    </row>
    <row r="170" spans="2:52" customFormat="1" x14ac:dyDescent="0.25">
      <c r="B170" s="739" t="s">
        <v>312</v>
      </c>
      <c r="C170" s="740"/>
      <c r="D170" s="587" t="s">
        <v>97</v>
      </c>
      <c r="E170" s="594">
        <v>1.2999999999999999E-3</v>
      </c>
      <c r="F170" s="577"/>
      <c r="G170" s="578"/>
      <c r="H170" s="579" t="s">
        <v>544</v>
      </c>
      <c r="I170" s="123"/>
      <c r="J170" s="123"/>
      <c r="K170" s="123"/>
      <c r="L170" s="123"/>
      <c r="M170" s="123" t="s">
        <v>563</v>
      </c>
      <c r="N170" s="123"/>
      <c r="O170" s="123"/>
      <c r="P170" s="123"/>
      <c r="Q170" s="123"/>
      <c r="Z170" s="462" t="s">
        <v>312</v>
      </c>
    </row>
    <row r="171" spans="2:52" customFormat="1" x14ac:dyDescent="0.25">
      <c r="B171" s="739" t="s">
        <v>313</v>
      </c>
      <c r="C171" s="740"/>
      <c r="D171" s="587" t="s">
        <v>229</v>
      </c>
      <c r="E171" s="594">
        <v>0.25</v>
      </c>
      <c r="F171" s="577"/>
      <c r="G171" s="578"/>
      <c r="H171" s="579" t="s">
        <v>544</v>
      </c>
      <c r="I171" s="123"/>
      <c r="J171" s="123"/>
      <c r="K171" s="123"/>
      <c r="L171" s="123"/>
      <c r="M171" s="123" t="s">
        <v>564</v>
      </c>
      <c r="N171" s="123"/>
      <c r="O171" s="123"/>
      <c r="P171" s="123"/>
      <c r="Q171" s="123"/>
      <c r="Z171" s="462" t="s">
        <v>313</v>
      </c>
      <c r="AS171" t="s">
        <v>460</v>
      </c>
    </row>
    <row r="172" spans="2:52" customFormat="1" ht="18" x14ac:dyDescent="0.25">
      <c r="B172" s="761" t="s">
        <v>306</v>
      </c>
      <c r="C172" s="743"/>
      <c r="D172" s="743"/>
      <c r="E172" s="743"/>
      <c r="F172" s="577"/>
      <c r="G172" s="578"/>
      <c r="H172" s="579" t="s">
        <v>565</v>
      </c>
      <c r="I172" s="123"/>
      <c r="J172" s="123"/>
      <c r="K172" s="123"/>
      <c r="L172" s="123"/>
      <c r="M172" s="123"/>
      <c r="N172" s="123"/>
      <c r="O172" s="123"/>
      <c r="P172" s="123"/>
      <c r="Q172" s="123"/>
      <c r="AA172" s="581" t="s">
        <v>306</v>
      </c>
    </row>
    <row r="173" spans="2:52" customFormat="1" ht="84" x14ac:dyDescent="0.25">
      <c r="B173" s="742" t="s">
        <v>566</v>
      </c>
      <c r="C173" s="743"/>
      <c r="D173" s="743"/>
      <c r="E173" s="743"/>
      <c r="F173" s="577"/>
      <c r="G173" s="578"/>
      <c r="H173" s="579" t="s">
        <v>565</v>
      </c>
      <c r="I173" s="123"/>
      <c r="J173" s="123"/>
      <c r="K173" s="123"/>
      <c r="L173" s="123"/>
      <c r="M173" s="123"/>
      <c r="N173" s="123"/>
      <c r="O173" s="123"/>
      <c r="P173" s="123"/>
      <c r="Q173" s="123"/>
      <c r="AA173" s="460" t="s">
        <v>566</v>
      </c>
    </row>
    <row r="174" spans="2:52" customFormat="1" ht="12" customHeight="1" x14ac:dyDescent="0.25">
      <c r="B174" s="461"/>
      <c r="C174" s="582"/>
      <c r="D174" s="582"/>
      <c r="E174" s="582"/>
      <c r="F174" s="577"/>
      <c r="G174" s="578"/>
      <c r="H174" s="579"/>
      <c r="I174" s="123"/>
      <c r="J174" s="123"/>
      <c r="K174" s="123"/>
      <c r="L174" s="123"/>
      <c r="M174" s="123"/>
      <c r="N174" s="123"/>
      <c r="O174" s="123"/>
      <c r="P174" s="123"/>
      <c r="Q174" s="123"/>
    </row>
    <row r="175" spans="2:52" customFormat="1" x14ac:dyDescent="0.25">
      <c r="B175" s="746" t="s">
        <v>272</v>
      </c>
      <c r="C175" s="743"/>
      <c r="D175" s="743"/>
      <c r="E175" s="743"/>
      <c r="F175" s="577"/>
      <c r="G175" s="578"/>
      <c r="H175" s="579" t="s">
        <v>567</v>
      </c>
      <c r="I175" s="123"/>
      <c r="J175" s="123"/>
      <c r="K175" s="123"/>
      <c r="L175" s="123"/>
      <c r="M175" s="123"/>
      <c r="N175" s="123"/>
      <c r="O175" s="123"/>
      <c r="P175" s="123"/>
      <c r="Q175" s="123"/>
      <c r="AA175" s="583" t="s">
        <v>272</v>
      </c>
    </row>
    <row r="176" spans="2:52" customFormat="1" ht="12" customHeight="1" x14ac:dyDescent="0.25">
      <c r="B176" s="584"/>
      <c r="C176" s="582"/>
      <c r="D176" s="582"/>
      <c r="E176" s="582"/>
      <c r="F176" s="577"/>
      <c r="G176" s="578"/>
      <c r="H176" s="579"/>
      <c r="I176" s="123"/>
      <c r="J176" s="123"/>
      <c r="K176" s="123"/>
      <c r="L176" s="123"/>
      <c r="M176" s="123"/>
      <c r="N176" s="123"/>
      <c r="O176" s="123"/>
      <c r="P176" s="123"/>
      <c r="Q176" s="123"/>
    </row>
    <row r="177" spans="2:27" customFormat="1" ht="36" x14ac:dyDescent="0.25">
      <c r="B177" s="742" t="s">
        <v>273</v>
      </c>
      <c r="C177" s="743"/>
      <c r="D177" s="743"/>
      <c r="E177" s="743"/>
      <c r="F177" s="577"/>
      <c r="G177" s="578"/>
      <c r="H177" s="579" t="s">
        <v>565</v>
      </c>
      <c r="I177" s="123"/>
      <c r="J177" s="123"/>
      <c r="K177" s="123"/>
      <c r="L177" s="123"/>
      <c r="M177" s="123"/>
      <c r="N177" s="123"/>
      <c r="O177" s="123"/>
      <c r="P177" s="123"/>
      <c r="Q177" s="123"/>
      <c r="AA177" s="460" t="s">
        <v>273</v>
      </c>
    </row>
    <row r="178" spans="2:27" customFormat="1" ht="12" customHeight="1" x14ac:dyDescent="0.25">
      <c r="B178" s="461"/>
      <c r="C178" s="582"/>
      <c r="D178" s="582"/>
      <c r="E178" s="582"/>
      <c r="F178" s="577"/>
      <c r="G178" s="578"/>
      <c r="H178" s="579"/>
      <c r="I178" s="123"/>
      <c r="J178" s="123"/>
      <c r="K178" s="123"/>
      <c r="L178" s="123"/>
      <c r="M178" s="123"/>
      <c r="N178" s="123"/>
      <c r="O178" s="123"/>
      <c r="P178" s="123"/>
      <c r="Q178" s="123"/>
    </row>
    <row r="179" spans="2:27" customFormat="1" ht="48" x14ac:dyDescent="0.25">
      <c r="B179" s="742" t="s">
        <v>318</v>
      </c>
      <c r="C179" s="743"/>
      <c r="D179" s="743"/>
      <c r="E179" s="743"/>
      <c r="F179" s="577"/>
      <c r="G179" s="578"/>
      <c r="H179" s="579" t="s">
        <v>565</v>
      </c>
      <c r="I179" s="123"/>
      <c r="J179" s="123"/>
      <c r="K179" s="123"/>
      <c r="L179" s="123"/>
      <c r="M179" s="123"/>
      <c r="N179" s="123"/>
      <c r="O179" s="123"/>
      <c r="P179" s="123"/>
      <c r="Q179" s="123"/>
      <c r="AA179" s="460" t="s">
        <v>318</v>
      </c>
    </row>
    <row r="180" spans="2:27" customFormat="1" ht="12" customHeight="1" x14ac:dyDescent="0.25">
      <c r="B180" s="461"/>
      <c r="C180" s="582"/>
      <c r="D180" s="582"/>
      <c r="E180" s="582"/>
      <c r="F180" s="577"/>
      <c r="G180" s="578"/>
      <c r="H180" s="579"/>
      <c r="I180" s="123"/>
      <c r="J180" s="123"/>
      <c r="K180" s="123"/>
      <c r="L180" s="123"/>
      <c r="M180" s="123"/>
      <c r="N180" s="123"/>
      <c r="O180" s="123"/>
      <c r="P180" s="123"/>
      <c r="Q180" s="123"/>
    </row>
    <row r="181" spans="2:27" customFormat="1" ht="60" x14ac:dyDescent="0.25">
      <c r="B181" s="742" t="s">
        <v>546</v>
      </c>
      <c r="C181" s="743"/>
      <c r="D181" s="743"/>
      <c r="E181" s="743"/>
      <c r="F181" s="577"/>
      <c r="G181" s="578"/>
      <c r="H181" s="579" t="s">
        <v>565</v>
      </c>
      <c r="I181" s="123"/>
      <c r="J181" s="123"/>
      <c r="K181" s="123"/>
      <c r="L181" s="123"/>
      <c r="M181" s="123"/>
      <c r="N181" s="123"/>
      <c r="O181" s="123"/>
      <c r="P181" s="123"/>
      <c r="Q181" s="123"/>
      <c r="AA181" s="460" t="s">
        <v>546</v>
      </c>
    </row>
    <row r="182" spans="2:27" customFormat="1" ht="12" customHeight="1" x14ac:dyDescent="0.25">
      <c r="B182" s="461"/>
      <c r="C182" s="582"/>
      <c r="D182" s="582"/>
      <c r="E182" s="582"/>
      <c r="F182" s="577"/>
      <c r="G182" s="578"/>
      <c r="H182" s="579"/>
      <c r="I182" s="123"/>
      <c r="J182" s="123"/>
      <c r="K182" s="123"/>
      <c r="L182" s="123"/>
      <c r="M182" s="123"/>
      <c r="N182" s="123"/>
      <c r="O182" s="123"/>
      <c r="P182" s="123"/>
      <c r="Q182" s="123"/>
    </row>
    <row r="183" spans="2:27" customFormat="1" ht="36" x14ac:dyDescent="0.25">
      <c r="B183" s="742" t="s">
        <v>701</v>
      </c>
      <c r="C183" s="743"/>
      <c r="D183" s="743"/>
      <c r="E183" s="743"/>
      <c r="F183" s="577"/>
      <c r="G183" s="578"/>
      <c r="H183" s="579" t="s">
        <v>565</v>
      </c>
      <c r="I183" s="123"/>
      <c r="J183" s="123"/>
      <c r="K183" s="123"/>
      <c r="L183" s="123"/>
      <c r="M183" s="123"/>
      <c r="N183" s="123"/>
      <c r="O183" s="123"/>
      <c r="P183" s="123"/>
      <c r="Q183" s="123"/>
      <c r="AA183" s="460" t="s">
        <v>335</v>
      </c>
    </row>
    <row r="184" spans="2:27" customFormat="1" ht="12" customHeight="1" x14ac:dyDescent="0.25">
      <c r="B184" s="461"/>
      <c r="C184" s="582"/>
      <c r="D184" s="582"/>
      <c r="E184" s="582"/>
      <c r="F184" s="577"/>
      <c r="G184" s="578"/>
      <c r="H184" s="579"/>
      <c r="I184" s="123"/>
      <c r="J184" s="123"/>
      <c r="K184" s="123"/>
      <c r="L184" s="123"/>
      <c r="M184" s="123"/>
      <c r="N184" s="123"/>
      <c r="O184" s="123"/>
      <c r="P184" s="123"/>
      <c r="Q184" s="123"/>
    </row>
    <row r="185" spans="2:27" customFormat="1" x14ac:dyDescent="0.25">
      <c r="B185" s="741" t="s">
        <v>319</v>
      </c>
      <c r="C185" s="744"/>
      <c r="D185" s="744"/>
      <c r="E185" s="744"/>
      <c r="F185" s="577"/>
      <c r="G185" s="578"/>
      <c r="H185" s="579" t="s">
        <v>568</v>
      </c>
      <c r="I185" s="123"/>
      <c r="J185" s="123"/>
      <c r="K185" s="123"/>
      <c r="L185" s="123"/>
      <c r="M185" s="123"/>
      <c r="N185" s="123"/>
      <c r="O185" s="123"/>
      <c r="P185" s="123"/>
      <c r="Q185" s="123"/>
      <c r="AA185" s="583" t="s">
        <v>319</v>
      </c>
    </row>
    <row r="186" spans="2:27" customFormat="1" ht="12" customHeight="1" x14ac:dyDescent="0.25">
      <c r="B186" s="585"/>
      <c r="C186" s="586"/>
      <c r="D186" s="586"/>
      <c r="E186" s="586"/>
      <c r="F186" s="577"/>
      <c r="G186" s="578"/>
      <c r="H186" s="579"/>
      <c r="I186" s="123"/>
      <c r="J186" s="123"/>
      <c r="K186" s="123"/>
      <c r="L186" s="123"/>
      <c r="M186" s="123"/>
      <c r="N186" s="123"/>
      <c r="O186" s="123"/>
      <c r="P186" s="123"/>
      <c r="Q186" s="123"/>
    </row>
    <row r="187" spans="2:27" customFormat="1" x14ac:dyDescent="0.25">
      <c r="B187" s="739" t="s">
        <v>326</v>
      </c>
      <c r="C187" s="740"/>
      <c r="D187" s="587" t="s">
        <v>229</v>
      </c>
      <c r="E187" s="588">
        <f>'6. Rev2Cost_GDPIPI'!$G$22</f>
        <v>8.5638000000000005</v>
      </c>
      <c r="F187" s="577"/>
      <c r="G187" s="578"/>
      <c r="H187" s="579" t="s">
        <v>565</v>
      </c>
      <c r="I187" s="123"/>
      <c r="J187" s="123"/>
      <c r="K187" s="123"/>
      <c r="L187" s="123"/>
      <c r="M187" s="123" t="s">
        <v>569</v>
      </c>
      <c r="N187" s="123"/>
      <c r="O187" s="123"/>
      <c r="P187" s="123"/>
      <c r="Q187" s="123"/>
      <c r="Z187" s="462" t="s">
        <v>569</v>
      </c>
    </row>
    <row r="188" spans="2:27" customFormat="1" x14ac:dyDescent="0.25">
      <c r="B188" s="739" t="s">
        <v>322</v>
      </c>
      <c r="C188" s="740"/>
      <c r="D188" s="587" t="s">
        <v>97</v>
      </c>
      <c r="E188" s="590">
        <f>'6. Rev2Cost_GDPIPI'!$H$22</f>
        <v>1.559835E-2</v>
      </c>
      <c r="F188" s="577"/>
      <c r="G188" s="578"/>
      <c r="H188" s="579" t="s">
        <v>565</v>
      </c>
      <c r="I188" s="123"/>
      <c r="J188" s="123"/>
      <c r="K188" s="123"/>
      <c r="L188" s="123"/>
      <c r="M188" s="123" t="s">
        <v>570</v>
      </c>
      <c r="N188" s="123"/>
      <c r="O188" s="123"/>
      <c r="P188" s="123"/>
      <c r="Q188" s="123"/>
      <c r="Z188" s="462" t="s">
        <v>570</v>
      </c>
    </row>
    <row r="189" spans="2:27" customFormat="1" ht="22.5" customHeight="1" x14ac:dyDescent="0.25">
      <c r="B189" s="739" t="s">
        <v>687</v>
      </c>
      <c r="C189" s="750"/>
      <c r="D189" s="587" t="s">
        <v>97</v>
      </c>
      <c r="E189" s="288">
        <f>+'5. Summary of Def-Var RR'!E10</f>
        <v>2.533485181620619E-4</v>
      </c>
      <c r="F189" s="577"/>
      <c r="G189" s="578"/>
      <c r="H189" s="579" t="s">
        <v>565</v>
      </c>
      <c r="I189" s="123"/>
      <c r="J189" s="123"/>
      <c r="K189" s="123"/>
      <c r="L189" s="123"/>
      <c r="M189" s="123" t="s">
        <v>571</v>
      </c>
      <c r="N189" s="123"/>
      <c r="O189" s="123"/>
      <c r="P189" s="123"/>
      <c r="Q189" s="123"/>
      <c r="Z189" s="462" t="s">
        <v>572</v>
      </c>
    </row>
    <row r="190" spans="2:27" customFormat="1" ht="25.5" customHeight="1" x14ac:dyDescent="0.25">
      <c r="B190" s="739" t="s">
        <v>689</v>
      </c>
      <c r="C190" s="750"/>
      <c r="D190" s="587" t="s">
        <v>97</v>
      </c>
      <c r="E190" s="288">
        <f>'5. Summary of Def-Var RR'!F24</f>
        <v>1.7502005592373213E-3</v>
      </c>
      <c r="F190" s="577"/>
      <c r="G190" s="578"/>
      <c r="H190" s="579" t="s">
        <v>565</v>
      </c>
      <c r="I190" s="123"/>
      <c r="J190" s="123"/>
      <c r="K190" s="123"/>
      <c r="L190" s="123"/>
      <c r="M190" s="123" t="s">
        <v>573</v>
      </c>
      <c r="N190" s="123"/>
      <c r="O190" s="123"/>
      <c r="P190" s="123"/>
      <c r="Q190" s="123"/>
      <c r="Z190" s="462" t="s">
        <v>574</v>
      </c>
    </row>
    <row r="191" spans="2:27" customFormat="1" x14ac:dyDescent="0.25">
      <c r="B191" s="739" t="s">
        <v>323</v>
      </c>
      <c r="C191" s="740"/>
      <c r="D191" s="587" t="s">
        <v>97</v>
      </c>
      <c r="E191" s="591">
        <v>2.0000000000000001E-4</v>
      </c>
      <c r="F191" s="577"/>
      <c r="G191" s="578"/>
      <c r="H191" s="579" t="s">
        <v>565</v>
      </c>
      <c r="I191" s="123"/>
      <c r="J191" s="123"/>
      <c r="K191" s="123"/>
      <c r="L191" s="123"/>
      <c r="M191" s="123" t="s">
        <v>575</v>
      </c>
      <c r="N191" s="123"/>
      <c r="O191" s="123"/>
      <c r="P191" s="123"/>
      <c r="Q191" s="123"/>
      <c r="Z191" s="462" t="s">
        <v>323</v>
      </c>
    </row>
    <row r="192" spans="2:27" customFormat="1" hidden="1" x14ac:dyDescent="0.25">
      <c r="B192" s="739" t="s">
        <v>695</v>
      </c>
      <c r="C192" s="750"/>
      <c r="D192" s="587" t="s">
        <v>97</v>
      </c>
      <c r="E192" s="591">
        <f>+'8. Shared Tax - Rate Rider'!F34</f>
        <v>1.0094607982198839E-5</v>
      </c>
      <c r="F192" s="577"/>
      <c r="G192" s="578"/>
      <c r="H192" s="579"/>
      <c r="I192" s="123"/>
      <c r="J192" s="123"/>
      <c r="K192" s="123"/>
      <c r="L192" s="123"/>
      <c r="M192" s="123"/>
      <c r="N192" s="123"/>
      <c r="O192" s="123"/>
      <c r="P192" s="123"/>
      <c r="Q192" s="123"/>
      <c r="Z192" s="462"/>
    </row>
    <row r="193" spans="2:52" customFormat="1" ht="30" customHeight="1" x14ac:dyDescent="0.25">
      <c r="B193" s="739" t="s">
        <v>696</v>
      </c>
      <c r="C193" s="764"/>
      <c r="D193" s="587" t="s">
        <v>229</v>
      </c>
      <c r="E193" s="589">
        <f>'[12]12. Opt 1-Rate Rider Calc F &amp; V'!$O$22</f>
        <v>0.39</v>
      </c>
      <c r="F193" s="577"/>
      <c r="G193" s="578"/>
      <c r="H193" s="579"/>
      <c r="I193" s="123"/>
      <c r="J193" s="123"/>
      <c r="K193" s="123"/>
      <c r="L193" s="123"/>
      <c r="M193" s="123"/>
      <c r="N193" s="123"/>
      <c r="O193" s="123"/>
      <c r="P193" s="123"/>
      <c r="Q193" s="123"/>
      <c r="Z193" s="462"/>
    </row>
    <row r="194" spans="2:52" customFormat="1" ht="30" customHeight="1" x14ac:dyDescent="0.25">
      <c r="B194" s="739" t="s">
        <v>696</v>
      </c>
      <c r="C194" s="764"/>
      <c r="D194" s="587" t="s">
        <v>97</v>
      </c>
      <c r="E194" s="591">
        <f>'[12]12. Opt 1-Rate Rider Calc F &amp; V'!$P$22</f>
        <v>6.9999999999999999E-4</v>
      </c>
      <c r="F194" s="577"/>
      <c r="G194" s="578"/>
      <c r="H194" s="579"/>
      <c r="I194" s="123"/>
      <c r="J194" s="123"/>
      <c r="K194" s="123"/>
      <c r="L194" s="123"/>
      <c r="M194" s="123"/>
      <c r="N194" s="123"/>
      <c r="O194" s="123"/>
      <c r="P194" s="123"/>
      <c r="Q194" s="123"/>
      <c r="Z194" s="462"/>
    </row>
    <row r="195" spans="2:52" customFormat="1" x14ac:dyDescent="0.25">
      <c r="B195" s="739" t="s">
        <v>204</v>
      </c>
      <c r="C195" s="740"/>
      <c r="D195" s="587" t="s">
        <v>97</v>
      </c>
      <c r="E195" s="590">
        <f>+'14. RTSR  Rates to Forecast '!J47</f>
        <v>7.4475227425682871E-3</v>
      </c>
      <c r="F195" s="577"/>
      <c r="G195" s="578"/>
      <c r="H195" s="579" t="s">
        <v>565</v>
      </c>
      <c r="I195" s="123"/>
      <c r="J195" s="123"/>
      <c r="K195" s="123"/>
      <c r="L195" s="123"/>
      <c r="M195" s="123" t="s">
        <v>576</v>
      </c>
      <c r="N195" s="123"/>
      <c r="O195" s="123"/>
      <c r="P195" s="123"/>
      <c r="Q195" s="123"/>
      <c r="Z195" s="462" t="s">
        <v>576</v>
      </c>
      <c r="AZ195" t="s">
        <v>577</v>
      </c>
    </row>
    <row r="196" spans="2:52" customFormat="1" x14ac:dyDescent="0.25">
      <c r="B196" s="739" t="s">
        <v>205</v>
      </c>
      <c r="C196" s="740"/>
      <c r="D196" s="587" t="s">
        <v>97</v>
      </c>
      <c r="E196" s="590">
        <f>+'14. RTSR  Rates to Forecast '!J59</f>
        <v>5.7640295507585537E-3</v>
      </c>
      <c r="F196" s="577"/>
      <c r="G196" s="578"/>
      <c r="H196" s="579" t="s">
        <v>565</v>
      </c>
      <c r="I196" s="123"/>
      <c r="J196" s="123"/>
      <c r="K196" s="123"/>
      <c r="L196" s="123"/>
      <c r="M196" s="123" t="s">
        <v>578</v>
      </c>
      <c r="N196" s="123"/>
      <c r="O196" s="123"/>
      <c r="P196" s="123"/>
      <c r="Q196" s="123"/>
      <c r="Z196" s="462" t="s">
        <v>578</v>
      </c>
      <c r="AZ196" t="s">
        <v>579</v>
      </c>
    </row>
    <row r="197" spans="2:52" customFormat="1" x14ac:dyDescent="0.25">
      <c r="B197" s="741" t="s">
        <v>324</v>
      </c>
      <c r="C197" s="740"/>
      <c r="D197" s="587"/>
      <c r="E197" s="594"/>
      <c r="F197" s="577"/>
      <c r="G197" s="578"/>
      <c r="H197" s="579" t="s">
        <v>580</v>
      </c>
      <c r="I197" s="123"/>
      <c r="J197" s="123"/>
      <c r="K197" s="123"/>
      <c r="L197" s="123"/>
      <c r="M197" s="123"/>
      <c r="N197" s="123"/>
      <c r="O197" s="123"/>
      <c r="P197" s="123"/>
      <c r="Q197" s="123"/>
      <c r="Z197" s="583" t="s">
        <v>324</v>
      </c>
    </row>
    <row r="198" spans="2:52" customFormat="1" ht="12" customHeight="1" x14ac:dyDescent="0.25">
      <c r="B198" s="585"/>
      <c r="C198" s="593"/>
      <c r="D198" s="587"/>
      <c r="E198" s="594"/>
      <c r="F198" s="577"/>
      <c r="G198" s="578"/>
      <c r="H198" s="579"/>
      <c r="I198" s="123"/>
      <c r="J198" s="123"/>
      <c r="K198" s="123"/>
      <c r="L198" s="123"/>
      <c r="M198" s="123"/>
      <c r="N198" s="123"/>
      <c r="O198" s="123"/>
      <c r="P198" s="123"/>
      <c r="Q198" s="123"/>
    </row>
    <row r="199" spans="2:52" customFormat="1" x14ac:dyDescent="0.25">
      <c r="B199" s="739" t="s">
        <v>311</v>
      </c>
      <c r="C199" s="740"/>
      <c r="D199" s="587" t="s">
        <v>97</v>
      </c>
      <c r="E199" s="594">
        <v>4.4000000000000003E-3</v>
      </c>
      <c r="F199" s="577"/>
      <c r="G199" s="578"/>
      <c r="H199" s="579" t="s">
        <v>565</v>
      </c>
      <c r="I199" s="123"/>
      <c r="J199" s="123"/>
      <c r="K199" s="123"/>
      <c r="L199" s="123"/>
      <c r="M199" s="123" t="s">
        <v>581</v>
      </c>
      <c r="N199" s="123"/>
      <c r="O199" s="123"/>
      <c r="P199" s="123"/>
      <c r="Q199" s="123"/>
      <c r="Z199" s="462" t="s">
        <v>311</v>
      </c>
    </row>
    <row r="200" spans="2:52" customFormat="1" x14ac:dyDescent="0.25">
      <c r="B200" s="739" t="s">
        <v>312</v>
      </c>
      <c r="C200" s="740"/>
      <c r="D200" s="587" t="s">
        <v>97</v>
      </c>
      <c r="E200" s="594">
        <v>1.2999999999999999E-3</v>
      </c>
      <c r="F200" s="577"/>
      <c r="G200" s="578"/>
      <c r="H200" s="579" t="s">
        <v>565</v>
      </c>
      <c r="I200" s="123"/>
      <c r="J200" s="123"/>
      <c r="K200" s="123"/>
      <c r="L200" s="123"/>
      <c r="M200" s="123" t="s">
        <v>582</v>
      </c>
      <c r="N200" s="123"/>
      <c r="O200" s="123"/>
      <c r="P200" s="123"/>
      <c r="Q200" s="123"/>
      <c r="Z200" s="462" t="s">
        <v>312</v>
      </c>
    </row>
    <row r="201" spans="2:52" customFormat="1" x14ac:dyDescent="0.25">
      <c r="B201" s="739" t="s">
        <v>313</v>
      </c>
      <c r="C201" s="740"/>
      <c r="D201" s="587" t="s">
        <v>229</v>
      </c>
      <c r="E201" s="594">
        <v>0.25</v>
      </c>
      <c r="F201" s="577"/>
      <c r="G201" s="578"/>
      <c r="H201" s="579" t="s">
        <v>565</v>
      </c>
      <c r="I201" s="123"/>
      <c r="J201" s="123"/>
      <c r="K201" s="123"/>
      <c r="L201" s="123"/>
      <c r="M201" s="123" t="s">
        <v>583</v>
      </c>
      <c r="N201" s="123"/>
      <c r="O201" s="123"/>
      <c r="P201" s="123"/>
      <c r="Q201" s="123"/>
      <c r="Z201" s="462" t="s">
        <v>313</v>
      </c>
      <c r="AS201" t="s">
        <v>460</v>
      </c>
    </row>
    <row r="202" spans="2:52" customFormat="1" ht="18" x14ac:dyDescent="0.25">
      <c r="B202" s="747" t="s">
        <v>309</v>
      </c>
      <c r="C202" s="743"/>
      <c r="D202" s="743"/>
      <c r="E202" s="743"/>
      <c r="F202" s="577"/>
      <c r="G202" s="578"/>
      <c r="H202" s="579" t="s">
        <v>584</v>
      </c>
      <c r="I202" s="123"/>
      <c r="J202" s="123"/>
      <c r="K202" s="123"/>
      <c r="L202" s="123"/>
      <c r="M202" s="123"/>
      <c r="N202" s="123"/>
      <c r="O202" s="123"/>
      <c r="P202" s="123"/>
      <c r="Q202" s="123"/>
      <c r="AA202" s="581" t="s">
        <v>309</v>
      </c>
    </row>
    <row r="203" spans="2:52" customFormat="1" ht="48" x14ac:dyDescent="0.25">
      <c r="B203" s="742" t="s">
        <v>330</v>
      </c>
      <c r="C203" s="743"/>
      <c r="D203" s="743"/>
      <c r="E203" s="743"/>
      <c r="F203" s="577"/>
      <c r="G203" s="578"/>
      <c r="H203" s="579" t="s">
        <v>584</v>
      </c>
      <c r="I203" s="123"/>
      <c r="J203" s="123"/>
      <c r="K203" s="123"/>
      <c r="L203" s="123"/>
      <c r="M203" s="123"/>
      <c r="N203" s="123"/>
      <c r="O203" s="123"/>
      <c r="P203" s="123"/>
      <c r="Q203" s="123"/>
      <c r="AA203" s="460" t="s">
        <v>330</v>
      </c>
    </row>
    <row r="204" spans="2:52" customFormat="1" x14ac:dyDescent="0.25">
      <c r="B204" s="461"/>
      <c r="C204" s="582"/>
      <c r="D204" s="582"/>
      <c r="E204" s="582"/>
      <c r="F204" s="577"/>
      <c r="G204" s="578"/>
      <c r="H204" s="579"/>
      <c r="I204" s="123"/>
      <c r="J204" s="123"/>
      <c r="K204" s="123"/>
      <c r="L204" s="123"/>
      <c r="M204" s="123"/>
      <c r="N204" s="123"/>
      <c r="O204" s="123"/>
      <c r="P204" s="123"/>
      <c r="Q204" s="123"/>
    </row>
    <row r="205" spans="2:52" customFormat="1" x14ac:dyDescent="0.25">
      <c r="B205" s="746" t="s">
        <v>272</v>
      </c>
      <c r="C205" s="743"/>
      <c r="D205" s="743"/>
      <c r="E205" s="743"/>
      <c r="F205" s="577"/>
      <c r="G205" s="578"/>
      <c r="H205" s="579" t="s">
        <v>585</v>
      </c>
      <c r="I205" s="123"/>
      <c r="J205" s="123"/>
      <c r="K205" s="123"/>
      <c r="L205" s="123"/>
      <c r="M205" s="123"/>
      <c r="N205" s="123"/>
      <c r="O205" s="123"/>
      <c r="P205" s="123"/>
      <c r="Q205" s="123"/>
      <c r="AA205" s="583" t="s">
        <v>272</v>
      </c>
    </row>
    <row r="206" spans="2:52" customFormat="1" x14ac:dyDescent="0.25">
      <c r="B206" s="584"/>
      <c r="C206" s="582"/>
      <c r="D206" s="582"/>
      <c r="E206" s="582"/>
      <c r="F206" s="577"/>
      <c r="G206" s="578"/>
      <c r="H206" s="579"/>
      <c r="I206" s="123"/>
      <c r="J206" s="123"/>
      <c r="K206" s="123"/>
      <c r="L206" s="123"/>
      <c r="M206" s="123"/>
      <c r="N206" s="123"/>
      <c r="O206" s="123"/>
      <c r="P206" s="123"/>
      <c r="Q206" s="123"/>
    </row>
    <row r="207" spans="2:52" customFormat="1" ht="36" x14ac:dyDescent="0.25">
      <c r="B207" s="742" t="s">
        <v>273</v>
      </c>
      <c r="C207" s="743"/>
      <c r="D207" s="743"/>
      <c r="E207" s="743"/>
      <c r="F207" s="577"/>
      <c r="G207" s="578"/>
      <c r="H207" s="579" t="s">
        <v>584</v>
      </c>
      <c r="I207" s="123"/>
      <c r="J207" s="123"/>
      <c r="K207" s="123"/>
      <c r="L207" s="123"/>
      <c r="M207" s="123"/>
      <c r="N207" s="123"/>
      <c r="O207" s="123"/>
      <c r="P207" s="123"/>
      <c r="Q207" s="123"/>
      <c r="AA207" s="460" t="s">
        <v>273</v>
      </c>
    </row>
    <row r="208" spans="2:52" customFormat="1" x14ac:dyDescent="0.25">
      <c r="B208" s="461"/>
      <c r="C208" s="582"/>
      <c r="D208" s="582"/>
      <c r="E208" s="582"/>
      <c r="F208" s="577"/>
      <c r="G208" s="578"/>
      <c r="H208" s="579"/>
      <c r="I208" s="123"/>
      <c r="J208" s="123"/>
      <c r="K208" s="123"/>
      <c r="L208" s="123"/>
      <c r="M208" s="123"/>
      <c r="N208" s="123"/>
      <c r="O208" s="123"/>
      <c r="P208" s="123"/>
      <c r="Q208" s="123"/>
    </row>
    <row r="209" spans="2:27" customFormat="1" ht="48" x14ac:dyDescent="0.25">
      <c r="B209" s="742" t="s">
        <v>318</v>
      </c>
      <c r="C209" s="743"/>
      <c r="D209" s="743"/>
      <c r="E209" s="743"/>
      <c r="F209" s="577"/>
      <c r="G209" s="578"/>
      <c r="H209" s="579" t="s">
        <v>584</v>
      </c>
      <c r="I209" s="123"/>
      <c r="J209" s="123"/>
      <c r="K209" s="123"/>
      <c r="L209" s="123"/>
      <c r="M209" s="123"/>
      <c r="N209" s="123"/>
      <c r="O209" s="123"/>
      <c r="P209" s="123"/>
      <c r="Q209" s="123"/>
      <c r="AA209" s="460" t="s">
        <v>318</v>
      </c>
    </row>
    <row r="210" spans="2:27" customFormat="1" x14ac:dyDescent="0.25">
      <c r="B210" s="461"/>
      <c r="C210" s="582"/>
      <c r="D210" s="582"/>
      <c r="E210" s="582"/>
      <c r="F210" s="577"/>
      <c r="G210" s="578"/>
      <c r="H210" s="579"/>
      <c r="I210" s="123"/>
      <c r="J210" s="123"/>
      <c r="K210" s="123"/>
      <c r="L210" s="123"/>
      <c r="M210" s="123"/>
      <c r="N210" s="123"/>
      <c r="O210" s="123"/>
      <c r="P210" s="123"/>
      <c r="Q210" s="123"/>
    </row>
    <row r="211" spans="2:27" customFormat="1" ht="48" x14ac:dyDescent="0.25">
      <c r="B211" s="742" t="s">
        <v>485</v>
      </c>
      <c r="C211" s="743"/>
      <c r="D211" s="743"/>
      <c r="E211" s="743"/>
      <c r="F211" s="577"/>
      <c r="G211" s="578"/>
      <c r="H211" s="579" t="s">
        <v>584</v>
      </c>
      <c r="I211" s="123"/>
      <c r="J211" s="123"/>
      <c r="K211" s="123"/>
      <c r="L211" s="123"/>
      <c r="M211" s="123"/>
      <c r="N211" s="123"/>
      <c r="O211" s="123"/>
      <c r="P211" s="123"/>
      <c r="Q211" s="123"/>
      <c r="AA211" s="460" t="s">
        <v>485</v>
      </c>
    </row>
    <row r="212" spans="2:27" customFormat="1" x14ac:dyDescent="0.25">
      <c r="B212" s="461"/>
      <c r="C212" s="582"/>
      <c r="D212" s="582"/>
      <c r="E212" s="582"/>
      <c r="F212" s="577"/>
      <c r="G212" s="578"/>
      <c r="H212" s="579"/>
      <c r="I212" s="123"/>
      <c r="J212" s="123"/>
      <c r="K212" s="123"/>
      <c r="L212" s="123"/>
      <c r="M212" s="123"/>
      <c r="N212" s="123"/>
      <c r="O212" s="123"/>
      <c r="P212" s="123"/>
      <c r="Q212" s="123"/>
    </row>
    <row r="213" spans="2:27" customFormat="1" ht="36" x14ac:dyDescent="0.25">
      <c r="B213" s="742" t="s">
        <v>701</v>
      </c>
      <c r="C213" s="743"/>
      <c r="D213" s="743"/>
      <c r="E213" s="743"/>
      <c r="F213" s="577"/>
      <c r="G213" s="578"/>
      <c r="H213" s="579" t="s">
        <v>584</v>
      </c>
      <c r="I213" s="123"/>
      <c r="J213" s="123"/>
      <c r="K213" s="123"/>
      <c r="L213" s="123"/>
      <c r="M213" s="123"/>
      <c r="N213" s="123"/>
      <c r="O213" s="123"/>
      <c r="P213" s="123"/>
      <c r="Q213" s="123"/>
      <c r="AA213" s="460" t="s">
        <v>335</v>
      </c>
    </row>
    <row r="214" spans="2:27" customFormat="1" x14ac:dyDescent="0.25">
      <c r="B214" s="461"/>
      <c r="C214" s="582"/>
      <c r="D214" s="582"/>
      <c r="E214" s="582"/>
      <c r="F214" s="577"/>
      <c r="G214" s="578"/>
      <c r="H214" s="579"/>
      <c r="I214" s="123"/>
      <c r="J214" s="123"/>
      <c r="K214" s="123"/>
      <c r="L214" s="123"/>
      <c r="M214" s="123"/>
      <c r="N214" s="123"/>
      <c r="O214" s="123"/>
      <c r="P214" s="123"/>
      <c r="Q214" s="123"/>
    </row>
    <row r="215" spans="2:27" customFormat="1" x14ac:dyDescent="0.25">
      <c r="B215" s="741" t="s">
        <v>319</v>
      </c>
      <c r="C215" s="744"/>
      <c r="D215" s="744"/>
      <c r="E215" s="744"/>
      <c r="F215" s="577"/>
      <c r="G215" s="578"/>
      <c r="H215" s="579" t="s">
        <v>586</v>
      </c>
      <c r="I215" s="123"/>
      <c r="J215" s="123"/>
      <c r="K215" s="123"/>
      <c r="L215" s="123"/>
      <c r="M215" s="123"/>
      <c r="N215" s="123"/>
      <c r="O215" s="123"/>
      <c r="P215" s="123"/>
      <c r="Q215" s="123"/>
      <c r="AA215" s="583" t="s">
        <v>319</v>
      </c>
    </row>
    <row r="216" spans="2:27" customFormat="1" x14ac:dyDescent="0.25">
      <c r="B216" s="585"/>
      <c r="C216" s="586"/>
      <c r="D216" s="586"/>
      <c r="E216" s="586"/>
      <c r="F216" s="577"/>
      <c r="G216" s="578"/>
      <c r="H216" s="579"/>
      <c r="I216" s="123"/>
      <c r="J216" s="123"/>
      <c r="K216" s="123"/>
      <c r="L216" s="123"/>
      <c r="M216" s="123"/>
      <c r="N216" s="123"/>
      <c r="O216" s="123"/>
      <c r="P216" s="123"/>
      <c r="Q216" s="123"/>
    </row>
    <row r="217" spans="2:27" customFormat="1" x14ac:dyDescent="0.25">
      <c r="B217" s="739" t="s">
        <v>331</v>
      </c>
      <c r="C217" s="740"/>
      <c r="D217" s="587" t="s">
        <v>229</v>
      </c>
      <c r="E217" s="588">
        <f>'6. Rev2Cost_GDPIPI'!$G$23</f>
        <v>1.437495</v>
      </c>
      <c r="F217" s="577"/>
      <c r="G217" s="578"/>
      <c r="H217" s="579" t="s">
        <v>584</v>
      </c>
      <c r="I217" s="123"/>
      <c r="J217" s="123"/>
      <c r="K217" s="123"/>
      <c r="L217" s="123"/>
      <c r="M217" s="123" t="s">
        <v>587</v>
      </c>
      <c r="N217" s="123"/>
      <c r="O217" s="123"/>
      <c r="P217" s="123"/>
      <c r="Q217" s="123"/>
      <c r="Z217" s="462" t="s">
        <v>587</v>
      </c>
    </row>
    <row r="218" spans="2:27" customFormat="1" x14ac:dyDescent="0.25">
      <c r="B218" s="739" t="s">
        <v>322</v>
      </c>
      <c r="C218" s="740"/>
      <c r="D218" s="587" t="s">
        <v>101</v>
      </c>
      <c r="E218" s="590">
        <f>'6. Rev2Cost_GDPIPI'!$H$23</f>
        <v>10.9832774</v>
      </c>
      <c r="F218" s="577"/>
      <c r="G218" s="578"/>
      <c r="H218" s="579" t="s">
        <v>584</v>
      </c>
      <c r="I218" s="123"/>
      <c r="J218" s="123"/>
      <c r="K218" s="123"/>
      <c r="L218" s="123"/>
      <c r="M218" s="123" t="s">
        <v>588</v>
      </c>
      <c r="N218" s="123"/>
      <c r="O218" s="123"/>
      <c r="P218" s="123"/>
      <c r="Q218" s="123"/>
      <c r="Z218" s="462" t="s">
        <v>588</v>
      </c>
    </row>
    <row r="219" spans="2:27" customFormat="1" x14ac:dyDescent="0.25">
      <c r="B219" s="739" t="s">
        <v>687</v>
      </c>
      <c r="C219" s="750"/>
      <c r="D219" s="587" t="s">
        <v>589</v>
      </c>
      <c r="E219" s="288">
        <f>+'5. Summary of Def-Var RR'!E17</f>
        <v>0.13245821782963163</v>
      </c>
      <c r="F219" s="577"/>
      <c r="G219" s="578"/>
      <c r="H219" s="579" t="s">
        <v>584</v>
      </c>
      <c r="I219" s="123"/>
      <c r="J219" s="123"/>
      <c r="K219" s="123"/>
      <c r="L219" s="123"/>
      <c r="M219" s="123" t="s">
        <v>590</v>
      </c>
      <c r="N219" s="123"/>
      <c r="O219" s="123"/>
      <c r="P219" s="123"/>
      <c r="Q219" s="123"/>
      <c r="Z219" s="462" t="s">
        <v>591</v>
      </c>
    </row>
    <row r="220" spans="2:27" customFormat="1" ht="25.5" customHeight="1" x14ac:dyDescent="0.25">
      <c r="B220" s="739" t="s">
        <v>689</v>
      </c>
      <c r="C220" s="750"/>
      <c r="D220" s="587" t="s">
        <v>589</v>
      </c>
      <c r="E220" s="288">
        <f>'5. Summary of Def-Var RR'!F31</f>
        <v>0.90782012608327678</v>
      </c>
      <c r="F220" s="577"/>
      <c r="G220" s="578"/>
      <c r="H220" s="579" t="s">
        <v>584</v>
      </c>
      <c r="I220" s="123"/>
      <c r="J220" s="123"/>
      <c r="K220" s="123"/>
      <c r="L220" s="123"/>
      <c r="M220" s="123"/>
      <c r="N220" s="123"/>
      <c r="O220" s="123"/>
      <c r="P220" s="123"/>
      <c r="Q220" s="123"/>
      <c r="Z220" s="462" t="s">
        <v>592</v>
      </c>
    </row>
    <row r="221" spans="2:27" customFormat="1" x14ac:dyDescent="0.25">
      <c r="B221" s="739" t="s">
        <v>323</v>
      </c>
      <c r="C221" s="740"/>
      <c r="D221" s="587" t="s">
        <v>101</v>
      </c>
      <c r="E221" s="591">
        <v>5.8000000000000003E-2</v>
      </c>
      <c r="F221" s="577"/>
      <c r="G221" s="578"/>
      <c r="H221" s="579" t="s">
        <v>584</v>
      </c>
      <c r="I221" s="123"/>
      <c r="J221" s="123"/>
      <c r="K221" s="123"/>
      <c r="L221" s="123"/>
      <c r="M221" s="123" t="s">
        <v>593</v>
      </c>
      <c r="N221" s="123"/>
      <c r="O221" s="123"/>
      <c r="P221" s="123"/>
      <c r="Q221" s="123"/>
      <c r="Z221" s="462" t="s">
        <v>323</v>
      </c>
    </row>
    <row r="222" spans="2:27" customFormat="1" x14ac:dyDescent="0.25">
      <c r="B222" s="739" t="s">
        <v>695</v>
      </c>
      <c r="C222" s="764"/>
      <c r="D222" s="587" t="s">
        <v>101</v>
      </c>
      <c r="E222" s="591">
        <f>+'8. Shared Tax - Rate Rider'!F35</f>
        <v>3.9040158550995591E-3</v>
      </c>
      <c r="F222" s="577"/>
      <c r="G222" s="578"/>
      <c r="H222" s="579"/>
      <c r="I222" s="123"/>
      <c r="J222" s="123"/>
      <c r="K222" s="123"/>
      <c r="L222" s="123"/>
      <c r="M222" s="123"/>
      <c r="N222" s="123"/>
      <c r="O222" s="123"/>
      <c r="P222" s="123"/>
      <c r="Q222" s="123"/>
      <c r="Z222" s="462"/>
    </row>
    <row r="223" spans="2:27" customFormat="1" ht="26.25" customHeight="1" x14ac:dyDescent="0.25">
      <c r="B223" s="739" t="s">
        <v>696</v>
      </c>
      <c r="C223" s="764"/>
      <c r="D223" s="587" t="s">
        <v>229</v>
      </c>
      <c r="E223" s="589">
        <f>'[12]12. Opt 1-Rate Rider Calc F &amp; V'!$O$23</f>
        <v>7.0000000000000007E-2</v>
      </c>
      <c r="F223" s="577"/>
      <c r="G223" s="578"/>
      <c r="H223" s="579" t="s">
        <v>584</v>
      </c>
      <c r="I223" s="123"/>
      <c r="J223" s="123"/>
      <c r="K223" s="123"/>
      <c r="L223" s="123"/>
      <c r="M223" s="123" t="s">
        <v>594</v>
      </c>
      <c r="N223" s="123"/>
      <c r="O223" s="123"/>
      <c r="P223" s="123"/>
      <c r="Q223" s="123"/>
      <c r="Z223" s="462" t="s">
        <v>595</v>
      </c>
    </row>
    <row r="224" spans="2:27" customFormat="1" ht="26.25" customHeight="1" x14ac:dyDescent="0.25">
      <c r="B224" s="739" t="s">
        <v>696</v>
      </c>
      <c r="C224" s="764"/>
      <c r="D224" s="587" t="s">
        <v>101</v>
      </c>
      <c r="E224" s="591">
        <f>'[12]12. Opt 1-Rate Rider Calc F &amp; V'!$Q$23</f>
        <v>0.49709999999999999</v>
      </c>
      <c r="F224" s="577"/>
      <c r="G224" s="578"/>
      <c r="H224" s="579"/>
      <c r="I224" s="123"/>
      <c r="J224" s="123"/>
      <c r="K224" s="123"/>
      <c r="L224" s="123"/>
      <c r="M224" s="123"/>
      <c r="N224" s="123"/>
      <c r="O224" s="123"/>
      <c r="P224" s="123"/>
      <c r="Q224" s="123"/>
      <c r="Z224" s="462"/>
    </row>
    <row r="225" spans="2:52" customFormat="1" x14ac:dyDescent="0.25">
      <c r="B225" s="739" t="s">
        <v>204</v>
      </c>
      <c r="C225" s="739"/>
      <c r="D225" s="587" t="s">
        <v>101</v>
      </c>
      <c r="E225" s="616">
        <f>+'14. RTSR  Rates to Forecast '!J48</f>
        <v>1.9864306872540418</v>
      </c>
      <c r="F225" s="577"/>
      <c r="G225" s="578"/>
      <c r="H225" s="579" t="s">
        <v>584</v>
      </c>
      <c r="I225" s="123"/>
      <c r="J225" s="123"/>
      <c r="K225" s="123"/>
      <c r="L225" s="123"/>
      <c r="M225" s="123" t="s">
        <v>596</v>
      </c>
      <c r="N225" s="123"/>
      <c r="O225" s="123"/>
      <c r="P225" s="123"/>
      <c r="Q225" s="123"/>
      <c r="Z225" s="462" t="s">
        <v>596</v>
      </c>
      <c r="AZ225" t="s">
        <v>597</v>
      </c>
    </row>
    <row r="226" spans="2:52" customFormat="1" x14ac:dyDescent="0.25">
      <c r="B226" s="739" t="s">
        <v>205</v>
      </c>
      <c r="C226" s="740"/>
      <c r="D226" s="587" t="s">
        <v>101</v>
      </c>
      <c r="E226" s="590">
        <f>+'14. RTSR  Rates to Forecast '!J60</f>
        <v>1.6344112314362624</v>
      </c>
      <c r="F226" s="577"/>
      <c r="G226" s="578"/>
      <c r="H226" s="579" t="s">
        <v>584</v>
      </c>
      <c r="I226" s="123"/>
      <c r="J226" s="123"/>
      <c r="K226" s="123"/>
      <c r="L226" s="123"/>
      <c r="M226" s="123" t="s">
        <v>598</v>
      </c>
      <c r="N226" s="123"/>
      <c r="O226" s="123"/>
      <c r="P226" s="123"/>
      <c r="Q226" s="123"/>
      <c r="Z226" s="462" t="s">
        <v>598</v>
      </c>
      <c r="AZ226" t="s">
        <v>599</v>
      </c>
    </row>
    <row r="227" spans="2:52" customFormat="1" x14ac:dyDescent="0.25">
      <c r="B227" s="592"/>
      <c r="C227" s="593"/>
      <c r="D227" s="587"/>
      <c r="E227" s="591"/>
      <c r="F227" s="577"/>
      <c r="G227" s="578"/>
      <c r="H227" s="579"/>
      <c r="I227" s="123"/>
      <c r="J227" s="123"/>
      <c r="K227" s="123"/>
      <c r="L227" s="123"/>
      <c r="M227" s="123"/>
      <c r="N227" s="123"/>
      <c r="O227" s="123"/>
      <c r="P227" s="123"/>
      <c r="Q227" s="123"/>
    </row>
    <row r="228" spans="2:52" customFormat="1" x14ac:dyDescent="0.25">
      <c r="B228" s="741" t="s">
        <v>324</v>
      </c>
      <c r="C228" s="740"/>
      <c r="D228" s="587"/>
      <c r="E228" s="594"/>
      <c r="F228" s="577"/>
      <c r="G228" s="578"/>
      <c r="H228" s="579" t="s">
        <v>600</v>
      </c>
      <c r="I228" s="123"/>
      <c r="J228" s="123"/>
      <c r="K228" s="123"/>
      <c r="L228" s="123"/>
      <c r="M228" s="123"/>
      <c r="N228" s="123"/>
      <c r="O228" s="123"/>
      <c r="P228" s="123"/>
      <c r="Q228" s="123"/>
      <c r="Z228" s="583" t="s">
        <v>324</v>
      </c>
    </row>
    <row r="229" spans="2:52" customFormat="1" x14ac:dyDescent="0.25">
      <c r="B229" s="585"/>
      <c r="C229" s="593"/>
      <c r="D229" s="587"/>
      <c r="E229" s="594"/>
      <c r="F229" s="577"/>
      <c r="G229" s="578"/>
      <c r="H229" s="579"/>
      <c r="I229" s="123"/>
      <c r="J229" s="123"/>
      <c r="K229" s="123"/>
      <c r="L229" s="123"/>
      <c r="M229" s="123"/>
      <c r="N229" s="123"/>
      <c r="O229" s="123"/>
      <c r="P229" s="123"/>
      <c r="Q229" s="123"/>
    </row>
    <row r="230" spans="2:52" customFormat="1" x14ac:dyDescent="0.25">
      <c r="B230" s="739" t="s">
        <v>311</v>
      </c>
      <c r="C230" s="740"/>
      <c r="D230" s="587" t="s">
        <v>97</v>
      </c>
      <c r="E230" s="594">
        <v>4.4000000000000003E-3</v>
      </c>
      <c r="F230" s="577"/>
      <c r="G230" s="578"/>
      <c r="H230" s="579" t="s">
        <v>584</v>
      </c>
      <c r="I230" s="123"/>
      <c r="J230" s="123"/>
      <c r="K230" s="123"/>
      <c r="L230" s="123"/>
      <c r="M230" s="123" t="s">
        <v>601</v>
      </c>
      <c r="N230" s="123"/>
      <c r="O230" s="123"/>
      <c r="P230" s="123"/>
      <c r="Q230" s="123"/>
      <c r="Z230" s="462" t="s">
        <v>311</v>
      </c>
    </row>
    <row r="231" spans="2:52" customFormat="1" x14ac:dyDescent="0.25">
      <c r="B231" s="739" t="s">
        <v>312</v>
      </c>
      <c r="C231" s="740"/>
      <c r="D231" s="587" t="s">
        <v>97</v>
      </c>
      <c r="E231" s="594">
        <v>1.2999999999999999E-3</v>
      </c>
      <c r="F231" s="577"/>
      <c r="G231" s="578"/>
      <c r="H231" s="579" t="s">
        <v>584</v>
      </c>
      <c r="I231" s="123"/>
      <c r="J231" s="123"/>
      <c r="K231" s="123"/>
      <c r="L231" s="123"/>
      <c r="M231" s="123" t="s">
        <v>602</v>
      </c>
      <c r="N231" s="123"/>
      <c r="O231" s="123"/>
      <c r="P231" s="123"/>
      <c r="Q231" s="123"/>
      <c r="Z231" s="462" t="s">
        <v>312</v>
      </c>
    </row>
    <row r="232" spans="2:52" customFormat="1" x14ac:dyDescent="0.25">
      <c r="B232" s="739" t="s">
        <v>313</v>
      </c>
      <c r="C232" s="740"/>
      <c r="D232" s="587" t="s">
        <v>229</v>
      </c>
      <c r="E232" s="594">
        <v>0.25</v>
      </c>
      <c r="F232" s="577"/>
      <c r="G232" s="578"/>
      <c r="H232" s="579" t="s">
        <v>584</v>
      </c>
      <c r="I232" s="123"/>
      <c r="J232" s="123"/>
      <c r="K232" s="123"/>
      <c r="L232" s="123"/>
      <c r="M232" s="123" t="s">
        <v>603</v>
      </c>
      <c r="N232" s="123"/>
      <c r="O232" s="123"/>
      <c r="P232" s="123"/>
      <c r="Q232" s="123"/>
      <c r="Z232" s="462" t="s">
        <v>313</v>
      </c>
      <c r="AS232" t="s">
        <v>460</v>
      </c>
    </row>
    <row r="233" spans="2:52" customFormat="1" ht="18" x14ac:dyDescent="0.25">
      <c r="B233" s="747" t="s">
        <v>459</v>
      </c>
      <c r="C233" s="743"/>
      <c r="D233" s="743"/>
      <c r="E233" s="743"/>
      <c r="F233" s="577"/>
      <c r="G233" s="578"/>
      <c r="H233" s="579" t="s">
        <v>604</v>
      </c>
      <c r="I233" s="123"/>
      <c r="J233" s="123"/>
      <c r="K233" s="123"/>
      <c r="L233" s="123"/>
      <c r="M233" s="123"/>
      <c r="N233" s="123"/>
      <c r="O233" s="123"/>
      <c r="P233" s="123"/>
      <c r="Q233" s="123"/>
      <c r="AA233" s="581" t="s">
        <v>459</v>
      </c>
    </row>
    <row r="234" spans="2:52" customFormat="1" ht="36" x14ac:dyDescent="0.25">
      <c r="B234" s="742" t="s">
        <v>332</v>
      </c>
      <c r="C234" s="743"/>
      <c r="D234" s="743"/>
      <c r="E234" s="743"/>
      <c r="F234" s="577"/>
      <c r="G234" s="578"/>
      <c r="H234" s="579" t="s">
        <v>604</v>
      </c>
      <c r="I234" s="123"/>
      <c r="J234" s="123"/>
      <c r="K234" s="123"/>
      <c r="L234" s="123"/>
      <c r="M234" s="123"/>
      <c r="N234" s="123"/>
      <c r="O234" s="123"/>
      <c r="P234" s="123"/>
      <c r="Q234" s="123"/>
      <c r="AA234" s="460" t="s">
        <v>332</v>
      </c>
    </row>
    <row r="235" spans="2:52" customFormat="1" x14ac:dyDescent="0.25">
      <c r="B235" s="461"/>
      <c r="C235" s="582"/>
      <c r="D235" s="582"/>
      <c r="E235" s="582"/>
      <c r="F235" s="577"/>
      <c r="G235" s="578"/>
      <c r="H235" s="579"/>
      <c r="I235" s="123"/>
      <c r="J235" s="123"/>
      <c r="K235" s="123"/>
      <c r="L235" s="123"/>
      <c r="M235" s="123"/>
      <c r="N235" s="123"/>
      <c r="O235" s="123"/>
      <c r="P235" s="123"/>
      <c r="Q235" s="123"/>
    </row>
    <row r="236" spans="2:52" customFormat="1" x14ac:dyDescent="0.25">
      <c r="B236" s="746" t="s">
        <v>272</v>
      </c>
      <c r="C236" s="743"/>
      <c r="D236" s="743"/>
      <c r="E236" s="743"/>
      <c r="F236" s="577"/>
      <c r="G236" s="578"/>
      <c r="H236" s="579" t="s">
        <v>605</v>
      </c>
      <c r="I236" s="123"/>
      <c r="J236" s="123"/>
      <c r="K236" s="123"/>
      <c r="L236" s="123"/>
      <c r="M236" s="123"/>
      <c r="N236" s="123"/>
      <c r="O236" s="123"/>
      <c r="P236" s="123"/>
      <c r="Q236" s="123"/>
      <c r="AA236" s="583" t="s">
        <v>272</v>
      </c>
    </row>
    <row r="237" spans="2:52" customFormat="1" x14ac:dyDescent="0.25">
      <c r="B237" s="584"/>
      <c r="C237" s="582"/>
      <c r="D237" s="582"/>
      <c r="E237" s="582"/>
      <c r="F237" s="577"/>
      <c r="G237" s="578"/>
      <c r="H237" s="579"/>
      <c r="I237" s="123"/>
      <c r="J237" s="123"/>
      <c r="K237" s="123"/>
      <c r="L237" s="123"/>
      <c r="M237" s="123"/>
      <c r="N237" s="123"/>
      <c r="O237" s="123"/>
      <c r="P237" s="123"/>
      <c r="Q237" s="123"/>
    </row>
    <row r="238" spans="2:52" customFormat="1" ht="36" x14ac:dyDescent="0.25">
      <c r="B238" s="742" t="s">
        <v>273</v>
      </c>
      <c r="C238" s="743"/>
      <c r="D238" s="743"/>
      <c r="E238" s="743"/>
      <c r="F238" s="577"/>
      <c r="G238" s="578"/>
      <c r="H238" s="579" t="s">
        <v>604</v>
      </c>
      <c r="I238" s="123"/>
      <c r="J238" s="123"/>
      <c r="K238" s="123"/>
      <c r="L238" s="123"/>
      <c r="M238" s="123"/>
      <c r="N238" s="123"/>
      <c r="O238" s="123"/>
      <c r="P238" s="123"/>
      <c r="Q238" s="123"/>
      <c r="AA238" s="460" t="s">
        <v>273</v>
      </c>
    </row>
    <row r="239" spans="2:52" customFormat="1" x14ac:dyDescent="0.25">
      <c r="B239" s="461"/>
      <c r="C239" s="582"/>
      <c r="D239" s="582"/>
      <c r="E239" s="582"/>
      <c r="F239" s="577"/>
      <c r="G239" s="578"/>
      <c r="H239" s="579"/>
      <c r="I239" s="123"/>
      <c r="J239" s="123"/>
      <c r="K239" s="123"/>
      <c r="L239" s="123"/>
      <c r="M239" s="123"/>
      <c r="N239" s="123"/>
      <c r="O239" s="123"/>
      <c r="P239" s="123"/>
      <c r="Q239" s="123"/>
    </row>
    <row r="240" spans="2:52" customFormat="1" ht="48" x14ac:dyDescent="0.25">
      <c r="B240" s="742" t="s">
        <v>318</v>
      </c>
      <c r="C240" s="743"/>
      <c r="D240" s="743"/>
      <c r="E240" s="743"/>
      <c r="F240" s="577"/>
      <c r="G240" s="578"/>
      <c r="H240" s="579" t="s">
        <v>604</v>
      </c>
      <c r="I240" s="123"/>
      <c r="J240" s="123"/>
      <c r="K240" s="123"/>
      <c r="L240" s="123"/>
      <c r="M240" s="123"/>
      <c r="N240" s="123"/>
      <c r="O240" s="123"/>
      <c r="P240" s="123"/>
      <c r="Q240" s="123"/>
      <c r="AA240" s="460" t="s">
        <v>318</v>
      </c>
    </row>
    <row r="241" spans="2:45" customFormat="1" x14ac:dyDescent="0.25">
      <c r="B241" s="461"/>
      <c r="C241" s="582"/>
      <c r="D241" s="582"/>
      <c r="E241" s="582"/>
      <c r="F241" s="577"/>
      <c r="G241" s="578"/>
      <c r="H241" s="579"/>
      <c r="I241" s="123"/>
      <c r="J241" s="123"/>
      <c r="K241" s="123"/>
      <c r="L241" s="123"/>
      <c r="M241" s="123"/>
      <c r="N241" s="123"/>
      <c r="O241" s="123"/>
      <c r="P241" s="123"/>
      <c r="Q241" s="123"/>
    </row>
    <row r="242" spans="2:45" customFormat="1" ht="24" x14ac:dyDescent="0.25">
      <c r="B242" s="742" t="s">
        <v>287</v>
      </c>
      <c r="C242" s="743"/>
      <c r="D242" s="743"/>
      <c r="E242" s="743"/>
      <c r="F242" s="577"/>
      <c r="G242" s="578"/>
      <c r="H242" s="579" t="s">
        <v>604</v>
      </c>
      <c r="I242" s="123"/>
      <c r="J242" s="123"/>
      <c r="K242" s="123"/>
      <c r="L242" s="123"/>
      <c r="M242" s="123"/>
      <c r="N242" s="123"/>
      <c r="O242" s="123"/>
      <c r="P242" s="123"/>
      <c r="Q242" s="123"/>
      <c r="AA242" s="460" t="s">
        <v>287</v>
      </c>
    </row>
    <row r="243" spans="2:45" customFormat="1" x14ac:dyDescent="0.25">
      <c r="B243" s="461"/>
      <c r="C243" s="582"/>
      <c r="D243" s="582"/>
      <c r="E243" s="582"/>
      <c r="F243" s="577"/>
      <c r="G243" s="578"/>
      <c r="H243" s="579"/>
      <c r="I243" s="123"/>
      <c r="J243" s="123"/>
      <c r="K243" s="123"/>
      <c r="L243" s="123"/>
      <c r="M243" s="123"/>
      <c r="N243" s="123"/>
      <c r="O243" s="123"/>
      <c r="P243" s="123"/>
      <c r="Q243" s="123"/>
    </row>
    <row r="244" spans="2:45" customFormat="1" ht="36" x14ac:dyDescent="0.25">
      <c r="B244" s="742" t="s">
        <v>701</v>
      </c>
      <c r="C244" s="743"/>
      <c r="D244" s="743"/>
      <c r="E244" s="743"/>
      <c r="F244" s="577"/>
      <c r="G244" s="578"/>
      <c r="H244" s="579" t="s">
        <v>604</v>
      </c>
      <c r="I244" s="123"/>
      <c r="J244" s="123"/>
      <c r="K244" s="123"/>
      <c r="L244" s="123"/>
      <c r="M244" s="123"/>
      <c r="N244" s="123"/>
      <c r="O244" s="123"/>
      <c r="P244" s="123"/>
      <c r="Q244" s="123"/>
      <c r="AA244" s="460" t="s">
        <v>335</v>
      </c>
    </row>
    <row r="245" spans="2:45" customFormat="1" x14ac:dyDescent="0.25">
      <c r="B245" s="461"/>
      <c r="C245" s="582"/>
      <c r="D245" s="582"/>
      <c r="E245" s="582"/>
      <c r="F245" s="577"/>
      <c r="G245" s="578"/>
      <c r="H245" s="579"/>
      <c r="I245" s="123"/>
      <c r="J245" s="123"/>
      <c r="K245" s="123"/>
      <c r="L245" s="123"/>
      <c r="M245" s="123"/>
      <c r="N245" s="123"/>
      <c r="O245" s="123"/>
      <c r="P245" s="123"/>
      <c r="Q245" s="123"/>
    </row>
    <row r="246" spans="2:45" customFormat="1" x14ac:dyDescent="0.25">
      <c r="B246" s="741" t="s">
        <v>319</v>
      </c>
      <c r="C246" s="744"/>
      <c r="D246" s="744"/>
      <c r="E246" s="744"/>
      <c r="F246" s="577"/>
      <c r="G246" s="578"/>
      <c r="H246" s="579" t="s">
        <v>606</v>
      </c>
      <c r="I246" s="123"/>
      <c r="J246" s="123"/>
      <c r="K246" s="123"/>
      <c r="L246" s="123"/>
      <c r="M246" s="123"/>
      <c r="N246" s="123"/>
      <c r="O246" s="123"/>
      <c r="P246" s="123"/>
      <c r="Q246" s="123"/>
      <c r="AA246" s="583" t="s">
        <v>319</v>
      </c>
    </row>
    <row r="247" spans="2:45" customFormat="1" x14ac:dyDescent="0.25">
      <c r="B247" s="585"/>
      <c r="C247" s="586"/>
      <c r="D247" s="586"/>
      <c r="E247" s="586"/>
      <c r="F247" s="577"/>
      <c r="G247" s="578"/>
      <c r="H247" s="579"/>
      <c r="I247" s="123"/>
      <c r="J247" s="123"/>
      <c r="K247" s="123"/>
      <c r="L247" s="123"/>
      <c r="M247" s="123"/>
      <c r="N247" s="123"/>
      <c r="O247" s="123"/>
      <c r="P247" s="123"/>
      <c r="Q247" s="123"/>
    </row>
    <row r="248" spans="2:45" customFormat="1" ht="51" customHeight="1" x14ac:dyDescent="0.25">
      <c r="B248" s="741" t="s">
        <v>333</v>
      </c>
      <c r="C248" s="741"/>
      <c r="D248" s="741"/>
      <c r="E248" s="741"/>
      <c r="F248" s="577"/>
      <c r="G248" s="578"/>
      <c r="H248" s="579" t="s">
        <v>604</v>
      </c>
      <c r="I248" s="123"/>
      <c r="J248" s="123"/>
      <c r="K248" s="123"/>
      <c r="L248" s="123"/>
      <c r="M248" s="123"/>
      <c r="N248" s="123"/>
      <c r="O248" s="123"/>
      <c r="P248" s="123"/>
      <c r="Q248" s="123"/>
      <c r="Z248" s="583" t="s">
        <v>333</v>
      </c>
      <c r="AS248" t="s">
        <v>460</v>
      </c>
    </row>
    <row r="249" spans="2:45" customFormat="1" ht="18" x14ac:dyDescent="0.25">
      <c r="B249" s="747" t="s">
        <v>334</v>
      </c>
      <c r="C249" s="743"/>
      <c r="D249" s="743"/>
      <c r="E249" s="743"/>
      <c r="F249" s="577"/>
      <c r="G249" s="578"/>
      <c r="H249" s="579" t="s">
        <v>607</v>
      </c>
      <c r="I249" s="123"/>
      <c r="J249" s="123"/>
      <c r="K249" s="123"/>
      <c r="L249" s="123"/>
      <c r="M249" s="123"/>
      <c r="N249" s="123"/>
      <c r="O249" s="123"/>
      <c r="P249" s="123"/>
      <c r="Q249" s="123"/>
      <c r="AA249" s="581" t="s">
        <v>334</v>
      </c>
    </row>
    <row r="250" spans="2:45" customFormat="1" ht="36" x14ac:dyDescent="0.25">
      <c r="B250" s="742" t="s">
        <v>608</v>
      </c>
      <c r="C250" s="743"/>
      <c r="D250" s="743"/>
      <c r="E250" s="743"/>
      <c r="F250" s="577"/>
      <c r="G250" s="578"/>
      <c r="H250" s="579" t="s">
        <v>607</v>
      </c>
      <c r="I250" s="123"/>
      <c r="J250" s="123"/>
      <c r="K250" s="123"/>
      <c r="L250" s="123"/>
      <c r="M250" s="123"/>
      <c r="N250" s="123"/>
      <c r="O250" s="123"/>
      <c r="P250" s="123"/>
      <c r="Q250" s="123"/>
      <c r="AA250" s="460" t="s">
        <v>608</v>
      </c>
    </row>
    <row r="251" spans="2:45" customFormat="1" x14ac:dyDescent="0.25">
      <c r="B251" s="461"/>
      <c r="C251" s="582"/>
      <c r="D251" s="582"/>
      <c r="E251" s="582"/>
      <c r="F251" s="577"/>
      <c r="G251" s="578"/>
      <c r="H251" s="579"/>
      <c r="I251" s="123"/>
      <c r="J251" s="123"/>
      <c r="K251" s="123"/>
      <c r="L251" s="123"/>
      <c r="M251" s="123"/>
      <c r="N251" s="123"/>
      <c r="O251" s="123"/>
      <c r="P251" s="123"/>
      <c r="Q251" s="123"/>
    </row>
    <row r="252" spans="2:45" customFormat="1" x14ac:dyDescent="0.25">
      <c r="B252" s="746" t="s">
        <v>272</v>
      </c>
      <c r="C252" s="743"/>
      <c r="D252" s="743"/>
      <c r="E252" s="743"/>
      <c r="F252" s="577"/>
      <c r="G252" s="578"/>
      <c r="H252" s="579" t="s">
        <v>609</v>
      </c>
      <c r="I252" s="123"/>
      <c r="J252" s="123"/>
      <c r="K252" s="123"/>
      <c r="L252" s="123"/>
      <c r="M252" s="123"/>
      <c r="N252" s="123"/>
      <c r="O252" s="123"/>
      <c r="P252" s="123"/>
      <c r="Q252" s="123"/>
      <c r="AA252" s="583" t="s">
        <v>272</v>
      </c>
    </row>
    <row r="253" spans="2:45" customFormat="1" x14ac:dyDescent="0.25">
      <c r="B253" s="584"/>
      <c r="C253" s="582"/>
      <c r="D253" s="582"/>
      <c r="E253" s="582"/>
      <c r="F253" s="577"/>
      <c r="G253" s="578"/>
      <c r="H253" s="579"/>
      <c r="I253" s="123"/>
      <c r="J253" s="123"/>
      <c r="K253" s="123"/>
      <c r="L253" s="123"/>
      <c r="M253" s="123"/>
      <c r="N253" s="123"/>
      <c r="O253" s="123"/>
      <c r="P253" s="123"/>
      <c r="Q253" s="123"/>
    </row>
    <row r="254" spans="2:45" customFormat="1" ht="36" x14ac:dyDescent="0.25">
      <c r="B254" s="742" t="s">
        <v>273</v>
      </c>
      <c r="C254" s="743"/>
      <c r="D254" s="743"/>
      <c r="E254" s="743"/>
      <c r="F254" s="577"/>
      <c r="G254" s="578"/>
      <c r="H254" s="579" t="s">
        <v>607</v>
      </c>
      <c r="I254" s="123"/>
      <c r="J254" s="123"/>
      <c r="K254" s="123"/>
      <c r="L254" s="123"/>
      <c r="M254" s="123"/>
      <c r="N254" s="123"/>
      <c r="O254" s="123"/>
      <c r="P254" s="123"/>
      <c r="Q254" s="123"/>
      <c r="AA254" s="460" t="s">
        <v>273</v>
      </c>
    </row>
    <row r="255" spans="2:45" customFormat="1" x14ac:dyDescent="0.25">
      <c r="B255" s="461"/>
      <c r="C255" s="582"/>
      <c r="D255" s="582"/>
      <c r="E255" s="582"/>
      <c r="F255" s="577"/>
      <c r="G255" s="578"/>
      <c r="H255" s="579"/>
      <c r="I255" s="123"/>
      <c r="J255" s="123"/>
      <c r="K255" s="123"/>
      <c r="L255" s="123"/>
      <c r="M255" s="123"/>
      <c r="N255" s="123"/>
      <c r="O255" s="123"/>
      <c r="P255" s="123"/>
      <c r="Q255" s="123"/>
    </row>
    <row r="256" spans="2:45" customFormat="1" ht="48" x14ac:dyDescent="0.25">
      <c r="B256" s="742" t="s">
        <v>318</v>
      </c>
      <c r="C256" s="743"/>
      <c r="D256" s="743"/>
      <c r="E256" s="743"/>
      <c r="F256" s="577"/>
      <c r="G256" s="578"/>
      <c r="H256" s="579" t="s">
        <v>607</v>
      </c>
      <c r="I256" s="123"/>
      <c r="J256" s="123"/>
      <c r="K256" s="123"/>
      <c r="L256" s="123"/>
      <c r="M256" s="123"/>
      <c r="N256" s="123"/>
      <c r="O256" s="123"/>
      <c r="P256" s="123"/>
      <c r="Q256" s="123"/>
      <c r="AA256" s="460" t="s">
        <v>318</v>
      </c>
    </row>
    <row r="257" spans="2:45" customFormat="1" x14ac:dyDescent="0.25">
      <c r="B257" s="461"/>
      <c r="C257" s="582"/>
      <c r="D257" s="582"/>
      <c r="E257" s="582"/>
      <c r="F257" s="577"/>
      <c r="G257" s="578"/>
      <c r="H257" s="579"/>
      <c r="I257" s="123"/>
      <c r="J257" s="123"/>
      <c r="K257" s="123"/>
      <c r="L257" s="123"/>
      <c r="M257" s="123"/>
      <c r="N257" s="123"/>
      <c r="O257" s="123"/>
      <c r="P257" s="123"/>
      <c r="Q257" s="123"/>
    </row>
    <row r="258" spans="2:45" customFormat="1" ht="24" x14ac:dyDescent="0.25">
      <c r="B258" s="742" t="s">
        <v>287</v>
      </c>
      <c r="C258" s="743"/>
      <c r="D258" s="743"/>
      <c r="E258" s="743"/>
      <c r="F258" s="577"/>
      <c r="G258" s="578"/>
      <c r="H258" s="579" t="s">
        <v>607</v>
      </c>
      <c r="I258" s="123"/>
      <c r="J258" s="123"/>
      <c r="K258" s="123"/>
      <c r="L258" s="123"/>
      <c r="M258" s="123"/>
      <c r="N258" s="123"/>
      <c r="O258" s="123"/>
      <c r="P258" s="123"/>
      <c r="Q258" s="123"/>
      <c r="AA258" s="460" t="s">
        <v>287</v>
      </c>
    </row>
    <row r="259" spans="2:45" customFormat="1" x14ac:dyDescent="0.25">
      <c r="B259" s="461"/>
      <c r="C259" s="582"/>
      <c r="D259" s="582"/>
      <c r="E259" s="582"/>
      <c r="F259" s="577"/>
      <c r="G259" s="578"/>
      <c r="H259" s="579"/>
      <c r="I259" s="123"/>
      <c r="J259" s="123"/>
      <c r="K259" s="123"/>
      <c r="L259" s="123"/>
      <c r="M259" s="123"/>
      <c r="N259" s="123"/>
      <c r="O259" s="123"/>
      <c r="P259" s="123"/>
      <c r="Q259" s="123"/>
    </row>
    <row r="260" spans="2:45" customFormat="1" ht="36" x14ac:dyDescent="0.25">
      <c r="B260" s="742" t="s">
        <v>701</v>
      </c>
      <c r="C260" s="743"/>
      <c r="D260" s="743"/>
      <c r="E260" s="743"/>
      <c r="F260" s="577"/>
      <c r="G260" s="578"/>
      <c r="H260" s="579" t="s">
        <v>607</v>
      </c>
      <c r="I260" s="123"/>
      <c r="J260" s="123"/>
      <c r="K260" s="123"/>
      <c r="L260" s="123"/>
      <c r="M260" s="123"/>
      <c r="N260" s="123"/>
      <c r="O260" s="123"/>
      <c r="P260" s="123"/>
      <c r="Q260" s="123"/>
      <c r="AA260" s="460" t="s">
        <v>335</v>
      </c>
    </row>
    <row r="261" spans="2:45" customFormat="1" x14ac:dyDescent="0.25">
      <c r="B261" s="461"/>
      <c r="C261" s="582"/>
      <c r="D261" s="582"/>
      <c r="E261" s="582"/>
      <c r="F261" s="577"/>
      <c r="G261" s="578"/>
      <c r="H261" s="579"/>
      <c r="I261" s="123"/>
      <c r="J261" s="123"/>
      <c r="K261" s="123"/>
      <c r="L261" s="123"/>
      <c r="M261" s="123"/>
      <c r="N261" s="123"/>
      <c r="O261" s="123"/>
      <c r="P261" s="123"/>
      <c r="Q261" s="123"/>
    </row>
    <row r="262" spans="2:45" customFormat="1" x14ac:dyDescent="0.25">
      <c r="B262" s="741" t="s">
        <v>319</v>
      </c>
      <c r="C262" s="744"/>
      <c r="D262" s="744"/>
      <c r="E262" s="744"/>
      <c r="F262" s="577"/>
      <c r="G262" s="578"/>
      <c r="H262" s="579" t="s">
        <v>610</v>
      </c>
      <c r="I262" s="123"/>
      <c r="J262" s="123"/>
      <c r="K262" s="123"/>
      <c r="L262" s="123"/>
      <c r="M262" s="123"/>
      <c r="N262" s="123"/>
      <c r="O262" s="123"/>
      <c r="P262" s="123"/>
      <c r="Q262" s="123"/>
      <c r="AA262" s="583" t="s">
        <v>319</v>
      </c>
    </row>
    <row r="263" spans="2:45" customFormat="1" x14ac:dyDescent="0.25">
      <c r="B263" s="585"/>
      <c r="C263" s="586"/>
      <c r="D263" s="586"/>
      <c r="E263" s="586"/>
      <c r="F263" s="577"/>
      <c r="G263" s="578"/>
      <c r="H263" s="579"/>
      <c r="I263" s="123"/>
      <c r="J263" s="123"/>
      <c r="K263" s="123"/>
      <c r="L263" s="123"/>
      <c r="M263" s="123"/>
      <c r="N263" s="123"/>
      <c r="O263" s="123"/>
      <c r="P263" s="123"/>
      <c r="Q263" s="123"/>
    </row>
    <row r="264" spans="2:45" customFormat="1" x14ac:dyDescent="0.25">
      <c r="B264" s="741" t="s">
        <v>320</v>
      </c>
      <c r="C264" s="740"/>
      <c r="D264" s="587" t="s">
        <v>229</v>
      </c>
      <c r="E264" s="588">
        <v>5.4</v>
      </c>
      <c r="F264" s="577"/>
      <c r="G264" s="578"/>
      <c r="H264" s="579" t="s">
        <v>607</v>
      </c>
      <c r="I264" s="123"/>
      <c r="J264" s="123"/>
      <c r="K264" s="123"/>
      <c r="L264" s="123"/>
      <c r="M264" s="123" t="s">
        <v>611</v>
      </c>
      <c r="N264" s="123"/>
      <c r="O264" s="123"/>
      <c r="P264" s="123"/>
      <c r="Q264" s="123"/>
      <c r="Z264" s="583" t="s">
        <v>611</v>
      </c>
    </row>
    <row r="265" spans="2:45" customFormat="1" x14ac:dyDescent="0.25">
      <c r="B265" s="585"/>
      <c r="C265" s="593"/>
      <c r="D265" s="587"/>
      <c r="E265" s="589"/>
      <c r="F265" s="577"/>
      <c r="G265" s="578"/>
      <c r="H265" s="579"/>
      <c r="I265" s="123"/>
      <c r="J265" s="123"/>
      <c r="K265" s="123"/>
      <c r="L265" s="123"/>
      <c r="M265" s="123"/>
      <c r="N265" s="123"/>
      <c r="O265" s="123"/>
      <c r="P265" s="123"/>
      <c r="Q265" s="123"/>
    </row>
    <row r="266" spans="2:45" customFormat="1" ht="18" x14ac:dyDescent="0.25">
      <c r="B266" s="595" t="s">
        <v>268</v>
      </c>
      <c r="C266" s="596"/>
      <c r="D266" s="596"/>
      <c r="E266" s="597"/>
      <c r="F266" s="577"/>
      <c r="G266" s="578"/>
      <c r="H266" s="579" t="s">
        <v>612</v>
      </c>
      <c r="I266" s="123"/>
      <c r="J266" s="123"/>
      <c r="K266" s="123"/>
      <c r="L266" s="123"/>
      <c r="M266" s="123"/>
      <c r="N266" s="123"/>
      <c r="O266" s="123"/>
      <c r="P266" s="123"/>
      <c r="Q266" s="123"/>
    </row>
    <row r="267" spans="2:45" customFormat="1" x14ac:dyDescent="0.25">
      <c r="B267" s="739" t="s">
        <v>269</v>
      </c>
      <c r="C267" s="740"/>
      <c r="D267" s="587" t="s">
        <v>101</v>
      </c>
      <c r="E267" s="598">
        <v>-0.4</v>
      </c>
      <c r="F267" s="577"/>
      <c r="G267" s="578"/>
      <c r="H267" s="579"/>
      <c r="I267" s="123"/>
      <c r="J267" s="123"/>
      <c r="K267" s="123"/>
      <c r="L267" s="123"/>
      <c r="M267" s="123"/>
      <c r="N267" s="123"/>
      <c r="O267" s="123"/>
      <c r="P267" s="123"/>
      <c r="Q267" s="123"/>
      <c r="Z267" s="462" t="s">
        <v>269</v>
      </c>
    </row>
    <row r="268" spans="2:45" customFormat="1" x14ac:dyDescent="0.25">
      <c r="B268" s="739" t="s">
        <v>613</v>
      </c>
      <c r="C268" s="740"/>
      <c r="D268" s="587" t="s">
        <v>270</v>
      </c>
      <c r="E268" s="598">
        <v>-1</v>
      </c>
      <c r="F268" s="577"/>
      <c r="G268" s="578"/>
      <c r="H268" s="579"/>
      <c r="I268" s="123"/>
      <c r="J268" s="123"/>
      <c r="K268" s="123"/>
      <c r="L268" s="123"/>
      <c r="M268" s="123"/>
      <c r="N268" s="123"/>
      <c r="O268" s="123"/>
      <c r="P268" s="123"/>
      <c r="Q268" s="123"/>
      <c r="Z268" s="462" t="s">
        <v>613</v>
      </c>
      <c r="AS268" t="s">
        <v>460</v>
      </c>
    </row>
    <row r="269" spans="2:45" customFormat="1" ht="18" x14ac:dyDescent="0.25">
      <c r="B269" s="599" t="s">
        <v>271</v>
      </c>
      <c r="C269" s="596"/>
      <c r="D269" s="596"/>
      <c r="E269" s="597"/>
      <c r="F269" s="577"/>
      <c r="G269" s="578"/>
      <c r="H269" s="579" t="s">
        <v>614</v>
      </c>
      <c r="I269" s="123"/>
      <c r="J269" s="123"/>
      <c r="K269" s="123"/>
      <c r="L269" s="123"/>
      <c r="M269" s="123"/>
      <c r="N269" s="123"/>
      <c r="O269" s="123"/>
      <c r="P269" s="123"/>
      <c r="Q269" s="123"/>
    </row>
    <row r="270" spans="2:45" customFormat="1" ht="18" x14ac:dyDescent="0.25">
      <c r="B270" s="599"/>
      <c r="C270" s="596"/>
      <c r="D270" s="596"/>
      <c r="E270" s="597"/>
      <c r="F270" s="577"/>
      <c r="G270" s="578"/>
      <c r="H270" s="579"/>
      <c r="I270" s="123"/>
      <c r="J270" s="123"/>
      <c r="K270" s="123"/>
      <c r="L270" s="123"/>
      <c r="M270" s="123"/>
      <c r="N270" s="123"/>
      <c r="O270" s="123"/>
      <c r="P270" s="123"/>
      <c r="Q270" s="123"/>
    </row>
    <row r="271" spans="2:45" customFormat="1" x14ac:dyDescent="0.25">
      <c r="B271" s="742" t="s">
        <v>272</v>
      </c>
      <c r="C271" s="745"/>
      <c r="D271" s="745"/>
      <c r="E271" s="745"/>
      <c r="F271" s="577"/>
      <c r="G271" s="578"/>
      <c r="H271" s="579" t="s">
        <v>609</v>
      </c>
      <c r="I271" s="123"/>
      <c r="J271" s="123"/>
      <c r="K271" s="123"/>
      <c r="L271" s="123"/>
      <c r="M271" s="123"/>
      <c r="N271" s="123"/>
      <c r="O271" s="123"/>
      <c r="P271" s="123"/>
      <c r="Q271" s="123"/>
      <c r="AA271" s="460" t="s">
        <v>272</v>
      </c>
    </row>
    <row r="272" spans="2:45" customFormat="1" x14ac:dyDescent="0.25">
      <c r="B272" s="461"/>
      <c r="C272" s="460"/>
      <c r="D272" s="460"/>
      <c r="E272" s="460"/>
      <c r="F272" s="577"/>
      <c r="G272" s="578"/>
      <c r="H272" s="579"/>
      <c r="I272" s="123"/>
      <c r="J272" s="123"/>
      <c r="K272" s="123"/>
      <c r="L272" s="123"/>
      <c r="M272" s="123"/>
      <c r="N272" s="123"/>
      <c r="O272" s="123"/>
      <c r="P272" s="123"/>
      <c r="Q272" s="123"/>
    </row>
    <row r="273" spans="2:27" customFormat="1" ht="36" x14ac:dyDescent="0.25">
      <c r="B273" s="742" t="s">
        <v>273</v>
      </c>
      <c r="C273" s="745"/>
      <c r="D273" s="745"/>
      <c r="E273" s="745"/>
      <c r="F273" s="577"/>
      <c r="G273" s="578"/>
      <c r="H273" s="579"/>
      <c r="I273" s="123"/>
      <c r="J273" s="123"/>
      <c r="K273" s="123"/>
      <c r="L273" s="123"/>
      <c r="M273" s="123"/>
      <c r="N273" s="123"/>
      <c r="O273" s="123"/>
      <c r="P273" s="123"/>
      <c r="Q273" s="123"/>
      <c r="AA273" s="460" t="s">
        <v>273</v>
      </c>
    </row>
    <row r="274" spans="2:27" customFormat="1" x14ac:dyDescent="0.25">
      <c r="B274" s="461"/>
      <c r="C274" s="460"/>
      <c r="D274" s="460"/>
      <c r="E274" s="460"/>
      <c r="F274" s="577"/>
      <c r="G274" s="578"/>
      <c r="H274" s="579"/>
      <c r="I274" s="123"/>
      <c r="J274" s="123"/>
      <c r="K274" s="123"/>
      <c r="L274" s="123"/>
      <c r="M274" s="123"/>
      <c r="N274" s="123"/>
      <c r="O274" s="123"/>
      <c r="P274" s="123"/>
      <c r="Q274" s="123"/>
    </row>
    <row r="275" spans="2:27" customFormat="1" ht="36" x14ac:dyDescent="0.25">
      <c r="B275" s="742" t="s">
        <v>274</v>
      </c>
      <c r="C275" s="745"/>
      <c r="D275" s="745"/>
      <c r="E275" s="745"/>
      <c r="F275" s="577"/>
      <c r="G275" s="578"/>
      <c r="H275" s="579"/>
      <c r="I275" s="123"/>
      <c r="J275" s="123"/>
      <c r="K275" s="123"/>
      <c r="L275" s="123"/>
      <c r="M275" s="123"/>
      <c r="N275" s="123"/>
      <c r="O275" s="123"/>
      <c r="P275" s="123"/>
      <c r="Q275" s="123"/>
      <c r="AA275" s="460" t="s">
        <v>274</v>
      </c>
    </row>
    <row r="276" spans="2:27" customFormat="1" x14ac:dyDescent="0.25">
      <c r="B276" s="461"/>
      <c r="C276" s="460"/>
      <c r="D276" s="460"/>
      <c r="E276" s="460"/>
      <c r="F276" s="577"/>
      <c r="G276" s="578"/>
      <c r="H276" s="579"/>
      <c r="I276" s="123"/>
      <c r="J276" s="123"/>
      <c r="K276" s="123"/>
      <c r="L276" s="123"/>
      <c r="M276" s="123"/>
      <c r="N276" s="123"/>
      <c r="O276" s="123"/>
      <c r="P276" s="123"/>
      <c r="Q276" s="123"/>
    </row>
    <row r="277" spans="2:27" customFormat="1" ht="51.75" customHeight="1" x14ac:dyDescent="0.25">
      <c r="B277" s="746" t="s">
        <v>701</v>
      </c>
      <c r="C277" s="746"/>
      <c r="D277" s="746"/>
      <c r="E277" s="746"/>
      <c r="F277" s="577"/>
      <c r="G277" s="578"/>
      <c r="H277" s="579"/>
      <c r="I277" s="123"/>
      <c r="J277" s="123"/>
      <c r="K277" s="123"/>
      <c r="L277" s="123"/>
      <c r="M277" s="123"/>
      <c r="N277" s="123"/>
      <c r="O277" s="123"/>
      <c r="P277" s="123"/>
      <c r="Q277" s="123"/>
    </row>
    <row r="278" spans="2:27" customFormat="1" x14ac:dyDescent="0.25">
      <c r="B278" s="600"/>
      <c r="C278" s="601"/>
      <c r="D278" s="601"/>
      <c r="E278" s="597"/>
      <c r="F278" s="577"/>
      <c r="G278" s="578"/>
      <c r="H278" s="579"/>
      <c r="I278" s="123"/>
      <c r="J278" s="123"/>
      <c r="K278" s="123"/>
      <c r="L278" s="123"/>
      <c r="M278" s="123"/>
      <c r="N278" s="123"/>
      <c r="O278" s="123"/>
      <c r="P278" s="123"/>
      <c r="Q278" s="123"/>
    </row>
    <row r="279" spans="2:27" customFormat="1" x14ac:dyDescent="0.25">
      <c r="B279" s="585" t="s">
        <v>275</v>
      </c>
      <c r="C279" s="596"/>
      <c r="D279" s="596"/>
      <c r="E279" s="597"/>
      <c r="F279" s="577"/>
      <c r="G279" s="578"/>
      <c r="H279" s="579" t="s">
        <v>615</v>
      </c>
      <c r="I279" s="123"/>
      <c r="J279" s="123"/>
      <c r="K279" s="123"/>
      <c r="L279" s="123"/>
      <c r="M279" s="123"/>
      <c r="N279" s="123"/>
      <c r="O279" s="123"/>
      <c r="P279" s="123"/>
      <c r="Q279" s="123"/>
    </row>
    <row r="280" spans="2:27" customFormat="1" x14ac:dyDescent="0.25">
      <c r="B280" s="748" t="s">
        <v>276</v>
      </c>
      <c r="C280" s="749"/>
      <c r="D280" s="587" t="s">
        <v>229</v>
      </c>
      <c r="E280" s="589">
        <v>15</v>
      </c>
      <c r="F280" s="577"/>
      <c r="G280" s="578"/>
      <c r="H280" s="579"/>
      <c r="I280" s="123"/>
      <c r="J280" s="123"/>
      <c r="K280" s="123"/>
      <c r="L280" s="123"/>
      <c r="M280" s="123"/>
      <c r="N280" s="123"/>
      <c r="O280" s="123"/>
      <c r="P280" s="123"/>
      <c r="Q280" s="123"/>
      <c r="Z280" s="462" t="s">
        <v>276</v>
      </c>
    </row>
    <row r="281" spans="2:27" customFormat="1" x14ac:dyDescent="0.25">
      <c r="B281" s="748" t="s">
        <v>277</v>
      </c>
      <c r="C281" s="749"/>
      <c r="D281" s="587" t="s">
        <v>229</v>
      </c>
      <c r="E281" s="589">
        <v>15</v>
      </c>
      <c r="F281" s="577"/>
      <c r="G281" s="578"/>
      <c r="H281" s="579"/>
      <c r="I281" s="123"/>
      <c r="J281" s="123"/>
      <c r="K281" s="123"/>
      <c r="L281" s="123"/>
      <c r="M281" s="123"/>
      <c r="N281" s="123"/>
      <c r="O281" s="123"/>
      <c r="P281" s="123"/>
      <c r="Q281" s="123"/>
      <c r="Z281" s="462" t="s">
        <v>277</v>
      </c>
    </row>
    <row r="282" spans="2:27" customFormat="1" x14ac:dyDescent="0.25">
      <c r="B282" s="748" t="s">
        <v>278</v>
      </c>
      <c r="C282" s="749"/>
      <c r="D282" s="587" t="s">
        <v>229</v>
      </c>
      <c r="E282" s="589">
        <v>15</v>
      </c>
      <c r="F282" s="577"/>
      <c r="G282" s="578"/>
      <c r="H282" s="579"/>
      <c r="I282" s="123"/>
      <c r="J282" s="123"/>
      <c r="K282" s="123"/>
      <c r="L282" s="123"/>
      <c r="M282" s="123"/>
      <c r="N282" s="123"/>
      <c r="O282" s="123"/>
      <c r="P282" s="123"/>
      <c r="Q282" s="123"/>
      <c r="Z282" s="462" t="s">
        <v>278</v>
      </c>
    </row>
    <row r="283" spans="2:27" customFormat="1" x14ac:dyDescent="0.25">
      <c r="B283" s="748" t="s">
        <v>616</v>
      </c>
      <c r="C283" s="749"/>
      <c r="D283" s="587" t="s">
        <v>229</v>
      </c>
      <c r="E283" s="589">
        <v>25</v>
      </c>
      <c r="F283" s="577"/>
      <c r="G283" s="578"/>
      <c r="H283" s="579"/>
      <c r="I283" s="123"/>
      <c r="J283" s="123"/>
      <c r="K283" s="123"/>
      <c r="L283" s="123"/>
      <c r="M283" s="123"/>
      <c r="N283" s="123"/>
      <c r="O283" s="123"/>
      <c r="P283" s="123"/>
      <c r="Q283" s="123"/>
      <c r="Z283" s="462" t="s">
        <v>616</v>
      </c>
    </row>
    <row r="284" spans="2:27" customFormat="1" x14ac:dyDescent="0.25">
      <c r="B284" s="748" t="s">
        <v>279</v>
      </c>
      <c r="C284" s="749"/>
      <c r="D284" s="587" t="s">
        <v>229</v>
      </c>
      <c r="E284" s="589">
        <v>15</v>
      </c>
      <c r="F284" s="577"/>
      <c r="G284" s="578"/>
      <c r="H284" s="579"/>
      <c r="I284" s="123"/>
      <c r="J284" s="123"/>
      <c r="K284" s="123"/>
      <c r="L284" s="123"/>
      <c r="M284" s="123"/>
      <c r="N284" s="123"/>
      <c r="O284" s="123"/>
      <c r="P284" s="123"/>
      <c r="Q284" s="123"/>
      <c r="Z284" s="462" t="s">
        <v>279</v>
      </c>
    </row>
    <row r="285" spans="2:27" customFormat="1" x14ac:dyDescent="0.25">
      <c r="B285" s="748" t="s">
        <v>280</v>
      </c>
      <c r="C285" s="749"/>
      <c r="D285" s="587" t="s">
        <v>229</v>
      </c>
      <c r="E285" s="589">
        <v>12.5</v>
      </c>
      <c r="F285" s="577"/>
      <c r="G285" s="578"/>
      <c r="H285" s="579"/>
      <c r="I285" s="123"/>
      <c r="J285" s="123"/>
      <c r="K285" s="123"/>
      <c r="L285" s="123"/>
      <c r="M285" s="123"/>
      <c r="N285" s="123"/>
      <c r="O285" s="123"/>
      <c r="P285" s="123"/>
      <c r="Q285" s="123"/>
      <c r="Z285" s="462" t="s">
        <v>280</v>
      </c>
    </row>
    <row r="286" spans="2:27" customFormat="1" x14ac:dyDescent="0.25">
      <c r="B286" s="748" t="s">
        <v>281</v>
      </c>
      <c r="C286" s="749"/>
      <c r="D286" s="587" t="s">
        <v>229</v>
      </c>
      <c r="E286" s="589">
        <v>30</v>
      </c>
      <c r="F286" s="577"/>
      <c r="G286" s="578"/>
      <c r="H286" s="579"/>
      <c r="I286" s="123"/>
      <c r="J286" s="123"/>
      <c r="K286" s="123"/>
      <c r="L286" s="123"/>
      <c r="M286" s="123"/>
      <c r="N286" s="123"/>
      <c r="O286" s="123"/>
      <c r="P286" s="123"/>
      <c r="Q286" s="123"/>
      <c r="Z286" s="462" t="s">
        <v>281</v>
      </c>
    </row>
    <row r="287" spans="2:27" customFormat="1" x14ac:dyDescent="0.25">
      <c r="B287" s="748" t="s">
        <v>617</v>
      </c>
      <c r="C287" s="749"/>
      <c r="D287" s="587" t="s">
        <v>229</v>
      </c>
      <c r="E287" s="589">
        <v>20</v>
      </c>
      <c r="F287" s="577"/>
      <c r="G287" s="578"/>
      <c r="H287" s="579"/>
      <c r="I287" s="123"/>
      <c r="J287" s="123"/>
      <c r="K287" s="123"/>
      <c r="L287" s="123"/>
      <c r="M287" s="123"/>
      <c r="N287" s="123"/>
      <c r="O287" s="123"/>
      <c r="P287" s="123"/>
      <c r="Q287" s="123"/>
      <c r="Z287" s="462" t="s">
        <v>617</v>
      </c>
    </row>
    <row r="288" spans="2:27" customFormat="1" x14ac:dyDescent="0.25">
      <c r="B288" s="748" t="s">
        <v>282</v>
      </c>
      <c r="C288" s="749"/>
      <c r="D288" s="587" t="s">
        <v>229</v>
      </c>
      <c r="E288" s="589">
        <v>10</v>
      </c>
      <c r="F288" s="577"/>
      <c r="G288" s="578"/>
      <c r="H288" s="579"/>
      <c r="I288" s="123"/>
      <c r="J288" s="123"/>
      <c r="K288" s="123"/>
      <c r="L288" s="123"/>
      <c r="M288" s="123"/>
      <c r="N288" s="123"/>
      <c r="O288" s="123"/>
      <c r="P288" s="123"/>
      <c r="Q288" s="123"/>
      <c r="Z288" s="462" t="s">
        <v>282</v>
      </c>
    </row>
    <row r="289" spans="2:45" customFormat="1" x14ac:dyDescent="0.25">
      <c r="B289" s="585" t="s">
        <v>285</v>
      </c>
      <c r="C289" s="596"/>
      <c r="D289" s="596"/>
      <c r="E289" s="597"/>
      <c r="F289" s="577"/>
      <c r="G289" s="578"/>
      <c r="H289" s="579" t="s">
        <v>618</v>
      </c>
      <c r="I289" s="123"/>
      <c r="J289" s="123"/>
      <c r="K289" s="123"/>
      <c r="L289" s="123"/>
      <c r="M289" s="123"/>
      <c r="N289" s="123"/>
      <c r="O289" s="123"/>
      <c r="P289" s="123"/>
      <c r="Q289" s="123"/>
    </row>
    <row r="290" spans="2:45" customFormat="1" x14ac:dyDescent="0.25">
      <c r="B290" s="748" t="s">
        <v>619</v>
      </c>
      <c r="C290" s="749"/>
      <c r="D290" s="587" t="s">
        <v>270</v>
      </c>
      <c r="E290" s="589">
        <v>1.5</v>
      </c>
      <c r="F290" s="577"/>
      <c r="G290" s="578"/>
      <c r="H290" s="579"/>
      <c r="I290" s="123"/>
      <c r="J290" s="123"/>
      <c r="K290" s="123"/>
      <c r="L290" s="123"/>
      <c r="M290" s="123"/>
      <c r="N290" s="123"/>
      <c r="O290" s="123"/>
      <c r="P290" s="123"/>
      <c r="Q290" s="123"/>
      <c r="Z290" s="462" t="s">
        <v>619</v>
      </c>
    </row>
    <row r="291" spans="2:45" customFormat="1" x14ac:dyDescent="0.25">
      <c r="B291" s="748" t="s">
        <v>620</v>
      </c>
      <c r="C291" s="749"/>
      <c r="D291" s="587" t="s">
        <v>270</v>
      </c>
      <c r="E291" s="589">
        <v>19.559999999999999</v>
      </c>
      <c r="F291" s="577"/>
      <c r="G291" s="578"/>
      <c r="H291" s="579"/>
      <c r="I291" s="123"/>
      <c r="J291" s="123"/>
      <c r="K291" s="123"/>
      <c r="L291" s="123"/>
      <c r="M291" s="123"/>
      <c r="N291" s="123"/>
      <c r="O291" s="123"/>
      <c r="P291" s="123"/>
      <c r="Q291" s="123"/>
      <c r="Z291" s="462" t="s">
        <v>620</v>
      </c>
    </row>
    <row r="292" spans="2:45" customFormat="1" x14ac:dyDescent="0.25">
      <c r="B292" s="748" t="s">
        <v>621</v>
      </c>
      <c r="C292" s="749"/>
      <c r="D292" s="587" t="s">
        <v>229</v>
      </c>
      <c r="E292" s="589">
        <v>9</v>
      </c>
      <c r="F292" s="577"/>
      <c r="G292" s="578"/>
      <c r="H292" s="579"/>
      <c r="I292" s="123"/>
      <c r="J292" s="123"/>
      <c r="K292" s="123"/>
      <c r="L292" s="123"/>
      <c r="M292" s="123"/>
      <c r="N292" s="123"/>
      <c r="O292" s="123"/>
      <c r="P292" s="123"/>
      <c r="Q292" s="123"/>
      <c r="Z292" s="462" t="s">
        <v>621</v>
      </c>
    </row>
    <row r="293" spans="2:45" customFormat="1" x14ac:dyDescent="0.25">
      <c r="B293" s="748" t="s">
        <v>622</v>
      </c>
      <c r="C293" s="749"/>
      <c r="D293" s="587" t="s">
        <v>229</v>
      </c>
      <c r="E293" s="589">
        <v>20</v>
      </c>
      <c r="F293" s="577"/>
      <c r="G293" s="578"/>
      <c r="H293" s="579"/>
      <c r="I293" s="123"/>
      <c r="J293" s="123"/>
      <c r="K293" s="123"/>
      <c r="L293" s="123"/>
      <c r="M293" s="123"/>
      <c r="N293" s="123"/>
      <c r="O293" s="123"/>
      <c r="P293" s="123"/>
      <c r="Q293" s="123"/>
      <c r="Z293" s="462" t="s">
        <v>622</v>
      </c>
    </row>
    <row r="294" spans="2:45" customFormat="1" x14ac:dyDescent="0.25">
      <c r="B294" s="748" t="s">
        <v>623</v>
      </c>
      <c r="C294" s="749"/>
      <c r="D294" s="587" t="s">
        <v>229</v>
      </c>
      <c r="E294" s="589">
        <v>185</v>
      </c>
      <c r="F294" s="577"/>
      <c r="G294" s="578"/>
      <c r="H294" s="579"/>
      <c r="I294" s="123"/>
      <c r="J294" s="123"/>
      <c r="K294" s="123"/>
      <c r="L294" s="123"/>
      <c r="M294" s="123"/>
      <c r="N294" s="123"/>
      <c r="O294" s="123"/>
      <c r="P294" s="123"/>
      <c r="Q294" s="123"/>
      <c r="Z294" s="462" t="s">
        <v>623</v>
      </c>
    </row>
    <row r="295" spans="2:45" customFormat="1" x14ac:dyDescent="0.25">
      <c r="B295" s="748" t="s">
        <v>624</v>
      </c>
      <c r="C295" s="749"/>
      <c r="D295" s="587" t="s">
        <v>229</v>
      </c>
      <c r="E295" s="589">
        <v>415</v>
      </c>
      <c r="F295" s="577"/>
      <c r="G295" s="578"/>
      <c r="H295" s="579"/>
      <c r="I295" s="123"/>
      <c r="J295" s="123"/>
      <c r="K295" s="123"/>
      <c r="L295" s="123"/>
      <c r="M295" s="123"/>
      <c r="N295" s="123"/>
      <c r="O295" s="123"/>
      <c r="P295" s="123"/>
      <c r="Q295" s="123"/>
      <c r="Z295" s="462" t="s">
        <v>624</v>
      </c>
    </row>
    <row r="296" spans="2:45" customFormat="1" x14ac:dyDescent="0.25">
      <c r="B296" s="602"/>
      <c r="C296" s="603"/>
      <c r="D296" s="587"/>
      <c r="E296" s="589"/>
      <c r="F296" s="577"/>
      <c r="G296" s="578"/>
      <c r="H296" s="579"/>
      <c r="I296" s="123"/>
      <c r="J296" s="123"/>
      <c r="K296" s="123"/>
      <c r="L296" s="123"/>
      <c r="M296" s="123"/>
      <c r="N296" s="123"/>
      <c r="O296" s="123"/>
      <c r="P296" s="123"/>
      <c r="Q296" s="123"/>
    </row>
    <row r="297" spans="2:45" customFormat="1" x14ac:dyDescent="0.25">
      <c r="B297" s="585" t="s">
        <v>625</v>
      </c>
      <c r="C297" s="604"/>
      <c r="D297" s="604"/>
      <c r="E297" s="605"/>
      <c r="F297" s="577"/>
      <c r="G297" s="578"/>
      <c r="H297" s="579"/>
      <c r="I297" s="123"/>
      <c r="J297" s="123"/>
      <c r="K297" s="123"/>
      <c r="L297" s="123"/>
      <c r="M297" s="123"/>
      <c r="N297" s="123"/>
      <c r="O297" s="123"/>
      <c r="P297" s="123"/>
      <c r="Q297" s="123"/>
    </row>
    <row r="298" spans="2:45" customFormat="1" x14ac:dyDescent="0.25">
      <c r="B298" s="748" t="s">
        <v>283</v>
      </c>
      <c r="C298" s="749"/>
      <c r="D298" s="587" t="s">
        <v>229</v>
      </c>
      <c r="E298" s="589">
        <v>30</v>
      </c>
      <c r="F298" s="577"/>
      <c r="G298" s="578"/>
      <c r="H298" s="579"/>
      <c r="I298" s="123"/>
      <c r="J298" s="123"/>
      <c r="K298" s="123"/>
      <c r="L298" s="123"/>
      <c r="M298" s="123"/>
      <c r="N298" s="123"/>
      <c r="O298" s="123"/>
      <c r="P298" s="123"/>
      <c r="Q298" s="123"/>
      <c r="Z298" s="462" t="s">
        <v>283</v>
      </c>
    </row>
    <row r="299" spans="2:45" customFormat="1" x14ac:dyDescent="0.25">
      <c r="B299" s="748" t="s">
        <v>284</v>
      </c>
      <c r="C299" s="749"/>
      <c r="D299" s="587" t="s">
        <v>229</v>
      </c>
      <c r="E299" s="589">
        <v>40</v>
      </c>
      <c r="F299" s="577"/>
      <c r="G299" s="578"/>
      <c r="H299" s="579"/>
      <c r="I299" s="123"/>
      <c r="J299" s="123"/>
      <c r="K299" s="123"/>
      <c r="L299" s="123"/>
      <c r="M299" s="123"/>
      <c r="N299" s="123"/>
      <c r="O299" s="123"/>
      <c r="P299" s="123"/>
      <c r="Q299" s="123"/>
      <c r="Z299" s="462" t="s">
        <v>284</v>
      </c>
    </row>
    <row r="300" spans="2:45" customFormat="1" x14ac:dyDescent="0.25">
      <c r="B300" s="748" t="s">
        <v>626</v>
      </c>
      <c r="C300" s="749"/>
      <c r="D300" s="587" t="s">
        <v>229</v>
      </c>
      <c r="E300" s="589">
        <v>400</v>
      </c>
      <c r="F300" s="577"/>
      <c r="G300" s="578"/>
      <c r="H300" s="579"/>
      <c r="I300" s="123"/>
      <c r="J300" s="123"/>
      <c r="K300" s="123"/>
      <c r="L300" s="123"/>
      <c r="M300" s="123"/>
      <c r="N300" s="123"/>
      <c r="O300" s="123"/>
      <c r="P300" s="123"/>
      <c r="Q300" s="123"/>
      <c r="Z300" s="462" t="s">
        <v>626</v>
      </c>
    </row>
    <row r="301" spans="2:45" customFormat="1" x14ac:dyDescent="0.25">
      <c r="B301" s="748" t="s">
        <v>627</v>
      </c>
      <c r="C301" s="749"/>
      <c r="D301" s="587" t="s">
        <v>229</v>
      </c>
      <c r="E301" s="589">
        <v>22.35</v>
      </c>
      <c r="F301" s="577"/>
      <c r="G301" s="578"/>
      <c r="H301" s="579"/>
      <c r="I301" s="123"/>
      <c r="J301" s="123"/>
      <c r="K301" s="123"/>
      <c r="L301" s="123"/>
      <c r="M301" s="123"/>
      <c r="N301" s="123"/>
      <c r="O301" s="123"/>
      <c r="P301" s="123"/>
      <c r="Q301" s="123"/>
      <c r="Z301" s="462" t="s">
        <v>627</v>
      </c>
      <c r="AS301" t="s">
        <v>460</v>
      </c>
    </row>
    <row r="302" spans="2:45" customFormat="1" ht="18" x14ac:dyDescent="0.25">
      <c r="B302" s="599" t="s">
        <v>286</v>
      </c>
      <c r="C302" s="596"/>
      <c r="D302" s="596"/>
      <c r="E302" s="597"/>
      <c r="F302" s="577"/>
      <c r="G302" s="578"/>
      <c r="H302" s="579" t="s">
        <v>628</v>
      </c>
      <c r="I302" s="123"/>
      <c r="J302" s="123"/>
      <c r="K302" s="123"/>
      <c r="L302" s="123"/>
      <c r="M302" s="123"/>
      <c r="N302" s="123"/>
      <c r="O302" s="123"/>
      <c r="P302" s="123"/>
      <c r="Q302" s="123"/>
    </row>
    <row r="303" spans="2:45" customFormat="1" ht="18" x14ac:dyDescent="0.25">
      <c r="B303" s="599"/>
      <c r="C303" s="596"/>
      <c r="D303" s="596"/>
      <c r="E303" s="597"/>
      <c r="F303" s="577"/>
      <c r="G303" s="578"/>
      <c r="H303" s="579"/>
      <c r="I303" s="123"/>
      <c r="J303" s="123"/>
      <c r="K303" s="123"/>
      <c r="L303" s="123"/>
      <c r="M303" s="123"/>
      <c r="N303" s="123"/>
      <c r="O303" s="123"/>
      <c r="P303" s="123"/>
      <c r="Q303" s="123"/>
    </row>
    <row r="304" spans="2:45" customFormat="1" ht="36" x14ac:dyDescent="0.25">
      <c r="B304" s="742" t="s">
        <v>273</v>
      </c>
      <c r="C304" s="745"/>
      <c r="D304" s="745"/>
      <c r="E304" s="745"/>
      <c r="F304" s="577"/>
      <c r="G304" s="578"/>
      <c r="H304" s="579"/>
      <c r="I304" s="123"/>
      <c r="J304" s="123"/>
      <c r="K304" s="123"/>
      <c r="L304" s="123"/>
      <c r="M304" s="123"/>
      <c r="N304" s="123"/>
      <c r="O304" s="123"/>
      <c r="P304" s="123"/>
      <c r="Q304" s="123"/>
      <c r="AA304" s="460" t="s">
        <v>273</v>
      </c>
    </row>
    <row r="305" spans="2:27" customFormat="1" x14ac:dyDescent="0.25">
      <c r="B305" s="461"/>
      <c r="C305" s="460"/>
      <c r="D305" s="460"/>
      <c r="E305" s="460"/>
      <c r="F305" s="577"/>
      <c r="G305" s="578"/>
      <c r="H305" s="579"/>
      <c r="I305" s="123"/>
      <c r="J305" s="123"/>
      <c r="K305" s="123"/>
      <c r="L305" s="123"/>
      <c r="M305" s="123"/>
      <c r="N305" s="123"/>
      <c r="O305" s="123"/>
      <c r="P305" s="123"/>
      <c r="Q305" s="123"/>
    </row>
    <row r="306" spans="2:27" customFormat="1" ht="48" x14ac:dyDescent="0.25">
      <c r="B306" s="742" t="s">
        <v>318</v>
      </c>
      <c r="C306" s="745"/>
      <c r="D306" s="745"/>
      <c r="E306" s="745"/>
      <c r="F306" s="577"/>
      <c r="G306" s="578"/>
      <c r="H306" s="579"/>
      <c r="I306" s="123"/>
      <c r="J306" s="123"/>
      <c r="K306" s="123"/>
      <c r="L306" s="123"/>
      <c r="M306" s="123"/>
      <c r="N306" s="123"/>
      <c r="O306" s="123"/>
      <c r="P306" s="123"/>
      <c r="Q306" s="123"/>
      <c r="AA306" s="460" t="s">
        <v>318</v>
      </c>
    </row>
    <row r="307" spans="2:27" customFormat="1" x14ac:dyDescent="0.25">
      <c r="B307" s="461"/>
      <c r="C307" s="460"/>
      <c r="D307" s="460"/>
      <c r="E307" s="460"/>
      <c r="F307" s="577"/>
      <c r="G307" s="578"/>
      <c r="H307" s="579"/>
      <c r="I307" s="123"/>
      <c r="J307" s="123"/>
      <c r="K307" s="123"/>
      <c r="L307" s="123"/>
      <c r="M307" s="123"/>
      <c r="N307" s="123"/>
      <c r="O307" s="123"/>
      <c r="P307" s="123"/>
      <c r="Q307" s="123"/>
    </row>
    <row r="308" spans="2:27" customFormat="1" ht="24" x14ac:dyDescent="0.25">
      <c r="B308" s="742" t="s">
        <v>287</v>
      </c>
      <c r="C308" s="745"/>
      <c r="D308" s="745"/>
      <c r="E308" s="745"/>
      <c r="F308" s="577"/>
      <c r="G308" s="578"/>
      <c r="H308" s="579"/>
      <c r="I308" s="123"/>
      <c r="J308" s="123"/>
      <c r="K308" s="123"/>
      <c r="L308" s="123"/>
      <c r="M308" s="123"/>
      <c r="N308" s="123"/>
      <c r="O308" s="123"/>
      <c r="P308" s="123"/>
      <c r="Q308" s="123"/>
      <c r="AA308" s="460" t="s">
        <v>287</v>
      </c>
    </row>
    <row r="309" spans="2:27" customFormat="1" x14ac:dyDescent="0.25">
      <c r="B309" s="461"/>
      <c r="C309" s="460"/>
      <c r="D309" s="460"/>
      <c r="E309" s="460"/>
      <c r="F309" s="577"/>
      <c r="G309" s="578"/>
      <c r="H309" s="579"/>
      <c r="I309" s="123"/>
      <c r="J309" s="123"/>
      <c r="K309" s="123"/>
      <c r="L309" s="123"/>
      <c r="M309" s="123"/>
      <c r="N309" s="123"/>
      <c r="O309" s="123"/>
      <c r="P309" s="123"/>
      <c r="Q309" s="123"/>
    </row>
    <row r="310" spans="2:27" customFormat="1" ht="36" x14ac:dyDescent="0.25">
      <c r="B310" s="742" t="s">
        <v>701</v>
      </c>
      <c r="C310" s="745"/>
      <c r="D310" s="745"/>
      <c r="E310" s="745"/>
      <c r="F310" s="577"/>
      <c r="G310" s="578"/>
      <c r="H310" s="579"/>
      <c r="I310" s="123"/>
      <c r="J310" s="123"/>
      <c r="K310" s="123"/>
      <c r="L310" s="123"/>
      <c r="M310" s="123"/>
      <c r="N310" s="123"/>
      <c r="O310" s="123"/>
      <c r="P310" s="123"/>
      <c r="Q310" s="123"/>
      <c r="AA310" s="460" t="s">
        <v>335</v>
      </c>
    </row>
    <row r="311" spans="2:27" customFormat="1" x14ac:dyDescent="0.25">
      <c r="B311" s="461"/>
      <c r="C311" s="460"/>
      <c r="D311" s="460"/>
      <c r="E311" s="460"/>
      <c r="F311" s="577"/>
      <c r="G311" s="578"/>
      <c r="H311" s="579"/>
      <c r="I311" s="123"/>
      <c r="J311" s="123"/>
      <c r="K311" s="123"/>
      <c r="L311" s="123"/>
      <c r="M311" s="123"/>
      <c r="N311" s="123"/>
      <c r="O311" s="123"/>
      <c r="P311" s="123"/>
      <c r="Q311" s="123"/>
    </row>
    <row r="312" spans="2:27" customFormat="1" ht="24" x14ac:dyDescent="0.25">
      <c r="B312" s="742" t="s">
        <v>288</v>
      </c>
      <c r="C312" s="745"/>
      <c r="D312" s="745"/>
      <c r="E312" s="745"/>
      <c r="F312" s="577"/>
      <c r="G312" s="578"/>
      <c r="H312" s="579"/>
      <c r="I312" s="123"/>
      <c r="J312" s="123"/>
      <c r="K312" s="123"/>
      <c r="L312" s="123"/>
      <c r="M312" s="123"/>
      <c r="N312" s="123"/>
      <c r="O312" s="123"/>
      <c r="P312" s="123"/>
      <c r="Q312" s="123"/>
      <c r="AA312" s="460" t="s">
        <v>288</v>
      </c>
    </row>
    <row r="313" spans="2:27" customFormat="1" x14ac:dyDescent="0.25">
      <c r="B313" s="739" t="s">
        <v>289</v>
      </c>
      <c r="C313" s="740"/>
      <c r="D313" s="587" t="s">
        <v>229</v>
      </c>
      <c r="E313" s="591">
        <v>100</v>
      </c>
      <c r="F313" s="577"/>
      <c r="G313" s="578"/>
      <c r="H313" s="579"/>
      <c r="I313" s="123"/>
      <c r="J313" s="123"/>
      <c r="K313" s="123"/>
      <c r="L313" s="123"/>
      <c r="M313" s="123"/>
      <c r="N313" s="123"/>
      <c r="O313" s="123"/>
      <c r="P313" s="123"/>
      <c r="Q313" s="123"/>
      <c r="Z313" s="462" t="s">
        <v>289</v>
      </c>
    </row>
    <row r="314" spans="2:27" customFormat="1" x14ac:dyDescent="0.25">
      <c r="B314" s="739" t="s">
        <v>290</v>
      </c>
      <c r="C314" s="740"/>
      <c r="D314" s="587" t="s">
        <v>229</v>
      </c>
      <c r="E314" s="591">
        <v>20</v>
      </c>
      <c r="F314" s="577"/>
      <c r="G314" s="578"/>
      <c r="H314" s="579"/>
      <c r="I314" s="123"/>
      <c r="J314" s="123"/>
      <c r="K314" s="123"/>
      <c r="L314" s="123"/>
      <c r="M314" s="123"/>
      <c r="N314" s="123"/>
      <c r="O314" s="123"/>
      <c r="P314" s="123"/>
      <c r="Q314" s="123"/>
      <c r="Z314" s="462" t="s">
        <v>290</v>
      </c>
    </row>
    <row r="315" spans="2:27" customFormat="1" x14ac:dyDescent="0.25">
      <c r="B315" s="739" t="s">
        <v>291</v>
      </c>
      <c r="C315" s="740"/>
      <c r="D315" s="587" t="s">
        <v>292</v>
      </c>
      <c r="E315" s="591">
        <v>0.5</v>
      </c>
      <c r="F315" s="577"/>
      <c r="G315" s="578"/>
      <c r="H315" s="579"/>
      <c r="I315" s="123"/>
      <c r="J315" s="123"/>
      <c r="K315" s="123"/>
      <c r="L315" s="123"/>
      <c r="M315" s="123"/>
      <c r="N315" s="123"/>
      <c r="O315" s="123"/>
      <c r="P315" s="123"/>
      <c r="Q315" s="123"/>
      <c r="Z315" s="462" t="s">
        <v>291</v>
      </c>
    </row>
    <row r="316" spans="2:27" customFormat="1" x14ac:dyDescent="0.25">
      <c r="B316" s="739" t="s">
        <v>293</v>
      </c>
      <c r="C316" s="740"/>
      <c r="D316" s="587" t="s">
        <v>292</v>
      </c>
      <c r="E316" s="591">
        <v>0.3</v>
      </c>
      <c r="F316" s="577"/>
      <c r="G316" s="578"/>
      <c r="H316" s="579"/>
      <c r="I316" s="123"/>
      <c r="J316" s="123"/>
      <c r="K316" s="123"/>
      <c r="L316" s="123"/>
      <c r="M316" s="123"/>
      <c r="N316" s="123"/>
      <c r="O316" s="123"/>
      <c r="P316" s="123"/>
      <c r="Q316" s="123"/>
      <c r="Z316" s="462" t="s">
        <v>293</v>
      </c>
    </row>
    <row r="317" spans="2:27" customFormat="1" x14ac:dyDescent="0.25">
      <c r="B317" s="739" t="s">
        <v>294</v>
      </c>
      <c r="C317" s="740"/>
      <c r="D317" s="587" t="s">
        <v>292</v>
      </c>
      <c r="E317" s="591">
        <v>-0.3</v>
      </c>
      <c r="F317" s="577"/>
      <c r="G317" s="578"/>
      <c r="H317" s="579"/>
      <c r="I317" s="123"/>
      <c r="J317" s="123"/>
      <c r="K317" s="123"/>
      <c r="L317" s="123"/>
      <c r="M317" s="123"/>
      <c r="N317" s="123"/>
      <c r="O317" s="123"/>
      <c r="P317" s="123"/>
      <c r="Q317" s="123"/>
      <c r="Z317" s="462" t="s">
        <v>294</v>
      </c>
    </row>
    <row r="318" spans="2:27" customFormat="1" x14ac:dyDescent="0.25">
      <c r="B318" s="739" t="s">
        <v>629</v>
      </c>
      <c r="C318" s="740"/>
      <c r="D318" s="587"/>
      <c r="E318" s="591"/>
      <c r="F318" s="577"/>
      <c r="G318" s="578"/>
      <c r="H318" s="579"/>
      <c r="I318" s="123"/>
      <c r="J318" s="123"/>
      <c r="K318" s="123"/>
      <c r="L318" s="123"/>
      <c r="M318" s="123"/>
      <c r="N318" s="123"/>
      <c r="O318" s="123"/>
      <c r="P318" s="123"/>
      <c r="Q318" s="123"/>
      <c r="Z318" s="462" t="s">
        <v>629</v>
      </c>
    </row>
    <row r="319" spans="2:27" customFormat="1" x14ac:dyDescent="0.25">
      <c r="B319" s="765" t="s">
        <v>295</v>
      </c>
      <c r="C319" s="766"/>
      <c r="D319" s="587" t="s">
        <v>229</v>
      </c>
      <c r="E319" s="591">
        <v>0.25</v>
      </c>
      <c r="F319" s="577"/>
      <c r="G319" s="578"/>
      <c r="H319" s="579"/>
      <c r="I319" s="123"/>
      <c r="J319" s="123"/>
      <c r="K319" s="123"/>
      <c r="L319" s="123"/>
      <c r="M319" s="123"/>
      <c r="N319" s="123"/>
      <c r="O319" s="123"/>
      <c r="P319" s="123"/>
      <c r="Q319" s="123"/>
      <c r="Z319" s="462" t="s">
        <v>295</v>
      </c>
    </row>
    <row r="320" spans="2:27" customFormat="1" x14ac:dyDescent="0.25">
      <c r="B320" s="765" t="s">
        <v>296</v>
      </c>
      <c r="C320" s="766"/>
      <c r="D320" s="587" t="s">
        <v>229</v>
      </c>
      <c r="E320" s="591">
        <v>0.5</v>
      </c>
      <c r="F320" s="577"/>
      <c r="G320" s="578"/>
      <c r="H320" s="579"/>
      <c r="I320" s="123"/>
      <c r="J320" s="123"/>
      <c r="K320" s="123"/>
      <c r="L320" s="123"/>
      <c r="M320" s="123"/>
      <c r="N320" s="123"/>
      <c r="O320" s="123"/>
      <c r="P320" s="123"/>
      <c r="Q320" s="123"/>
      <c r="Z320" s="462" t="s">
        <v>296</v>
      </c>
    </row>
    <row r="321" spans="2:27" customFormat="1" x14ac:dyDescent="0.25">
      <c r="B321" s="739" t="s">
        <v>297</v>
      </c>
      <c r="C321" s="740"/>
      <c r="D321" s="587"/>
      <c r="E321" s="591"/>
      <c r="F321" s="577"/>
      <c r="G321" s="578"/>
      <c r="H321" s="579"/>
      <c r="I321" s="123"/>
      <c r="J321" s="123"/>
      <c r="K321" s="123"/>
      <c r="L321" s="123"/>
      <c r="M321" s="123"/>
      <c r="N321" s="123"/>
      <c r="O321" s="123"/>
      <c r="P321" s="123"/>
      <c r="Q321" s="123"/>
      <c r="Z321" s="462" t="s">
        <v>297</v>
      </c>
    </row>
    <row r="322" spans="2:27" customFormat="1" x14ac:dyDescent="0.25">
      <c r="B322" s="739" t="s">
        <v>298</v>
      </c>
      <c r="C322" s="740"/>
      <c r="D322" s="587"/>
      <c r="E322" s="591"/>
      <c r="F322" s="577"/>
      <c r="G322" s="578"/>
      <c r="H322" s="579"/>
      <c r="I322" s="123"/>
      <c r="J322" s="123"/>
      <c r="K322" s="123"/>
      <c r="L322" s="123"/>
      <c r="M322" s="123"/>
      <c r="N322" s="123"/>
      <c r="O322" s="123"/>
      <c r="P322" s="123"/>
      <c r="Q322" s="123"/>
      <c r="Z322" s="462" t="s">
        <v>298</v>
      </c>
    </row>
    <row r="323" spans="2:27" customFormat="1" x14ac:dyDescent="0.25">
      <c r="B323" s="739" t="s">
        <v>630</v>
      </c>
      <c r="C323" s="740"/>
      <c r="D323" s="587"/>
      <c r="E323" s="591"/>
      <c r="F323" s="577"/>
      <c r="G323" s="578"/>
      <c r="H323" s="579"/>
      <c r="I323" s="123"/>
      <c r="J323" s="123"/>
      <c r="K323" s="123"/>
      <c r="L323" s="123"/>
      <c r="M323" s="123"/>
      <c r="N323" s="123"/>
      <c r="O323" s="123"/>
      <c r="P323" s="123"/>
      <c r="Q323" s="123"/>
      <c r="Z323" s="462" t="s">
        <v>630</v>
      </c>
    </row>
    <row r="324" spans="2:27" customFormat="1" x14ac:dyDescent="0.25">
      <c r="B324" s="765" t="s">
        <v>299</v>
      </c>
      <c r="C324" s="766"/>
      <c r="D324" s="587" t="s">
        <v>229</v>
      </c>
      <c r="E324" s="591" t="s">
        <v>300</v>
      </c>
      <c r="F324" s="577"/>
      <c r="G324" s="578"/>
      <c r="H324" s="579"/>
      <c r="I324" s="123"/>
      <c r="J324" s="123"/>
      <c r="K324" s="123"/>
      <c r="L324" s="123"/>
      <c r="M324" s="123"/>
      <c r="N324" s="123"/>
      <c r="O324" s="123"/>
      <c r="P324" s="123"/>
      <c r="Q324" s="123"/>
      <c r="Z324" s="462" t="s">
        <v>299</v>
      </c>
    </row>
    <row r="325" spans="2:27" customFormat="1" x14ac:dyDescent="0.25">
      <c r="B325" s="765" t="s">
        <v>301</v>
      </c>
      <c r="C325" s="766"/>
      <c r="D325" s="587" t="s">
        <v>229</v>
      </c>
      <c r="E325" s="591">
        <v>2</v>
      </c>
      <c r="F325" s="577"/>
      <c r="G325" s="578"/>
      <c r="H325" s="579"/>
      <c r="I325" s="123"/>
      <c r="J325" s="123"/>
      <c r="K325" s="123"/>
      <c r="L325" s="123"/>
      <c r="M325" s="123"/>
      <c r="N325" s="123"/>
      <c r="O325" s="123"/>
      <c r="P325" s="123"/>
      <c r="Q325" s="123"/>
      <c r="Z325" s="462" t="s">
        <v>301</v>
      </c>
    </row>
    <row r="326" spans="2:27" customFormat="1" x14ac:dyDescent="0.25">
      <c r="B326" s="607"/>
      <c r="C326" s="608"/>
      <c r="D326" s="604"/>
      <c r="E326" s="606"/>
      <c r="F326" s="577"/>
      <c r="G326" s="578"/>
      <c r="H326" s="579"/>
      <c r="I326" s="123"/>
      <c r="J326" s="123"/>
      <c r="K326" s="123"/>
      <c r="L326" s="123"/>
      <c r="M326" s="123"/>
      <c r="N326" s="123"/>
      <c r="O326" s="123"/>
      <c r="P326" s="123"/>
      <c r="Q326" s="123"/>
    </row>
    <row r="327" spans="2:27" customFormat="1" ht="18" x14ac:dyDescent="0.25">
      <c r="B327" s="599" t="s">
        <v>302</v>
      </c>
      <c r="C327" s="596"/>
      <c r="D327" s="596"/>
      <c r="E327" s="597"/>
      <c r="F327" s="577"/>
      <c r="G327" s="578"/>
      <c r="H327" s="579" t="s">
        <v>631</v>
      </c>
      <c r="I327" s="123"/>
      <c r="J327" s="123"/>
      <c r="K327" s="123"/>
      <c r="L327" s="123"/>
      <c r="M327" s="123"/>
      <c r="N327" s="123"/>
      <c r="O327" s="123"/>
      <c r="P327" s="123"/>
      <c r="Q327" s="123"/>
    </row>
    <row r="328" spans="2:27" customFormat="1" ht="18" x14ac:dyDescent="0.25">
      <c r="B328" s="599"/>
      <c r="C328" s="596"/>
      <c r="D328" s="596"/>
      <c r="E328" s="597"/>
      <c r="F328" s="577"/>
      <c r="G328" s="578"/>
      <c r="H328" s="579"/>
      <c r="I328" s="123"/>
      <c r="J328" s="123"/>
      <c r="K328" s="123"/>
      <c r="L328" s="123"/>
      <c r="M328" s="123"/>
      <c r="N328" s="123"/>
      <c r="O328" s="123"/>
      <c r="P328" s="123"/>
      <c r="Q328" s="123"/>
    </row>
    <row r="329" spans="2:27" customFormat="1" ht="22.5" x14ac:dyDescent="0.25">
      <c r="B329" s="763" t="s">
        <v>303</v>
      </c>
      <c r="C329" s="767"/>
      <c r="D329" s="767"/>
      <c r="E329" s="767"/>
      <c r="F329" s="577"/>
      <c r="G329" s="578"/>
      <c r="H329" s="579"/>
      <c r="I329" s="123"/>
      <c r="J329" s="123"/>
      <c r="K329" s="123"/>
      <c r="L329" s="123"/>
      <c r="M329" s="123"/>
      <c r="N329" s="123"/>
      <c r="O329" s="123"/>
      <c r="P329" s="123"/>
      <c r="Q329" s="123"/>
      <c r="AA329" s="462" t="s">
        <v>303</v>
      </c>
    </row>
    <row r="330" spans="2:27" customFormat="1" x14ac:dyDescent="0.25">
      <c r="B330" s="739" t="s">
        <v>632</v>
      </c>
      <c r="C330" s="740"/>
      <c r="D330" s="587"/>
      <c r="E330" s="591">
        <v>1.036</v>
      </c>
      <c r="F330" s="577"/>
      <c r="G330" s="578"/>
      <c r="H330" s="579"/>
      <c r="I330" s="123"/>
      <c r="J330" s="123"/>
      <c r="K330" s="123"/>
      <c r="L330" s="123"/>
      <c r="M330" s="123"/>
      <c r="N330" s="123"/>
      <c r="O330" s="123"/>
      <c r="P330" s="123"/>
      <c r="Q330" s="123"/>
      <c r="Z330" s="462" t="s">
        <v>632</v>
      </c>
    </row>
    <row r="331" spans="2:27" customFormat="1" x14ac:dyDescent="0.25">
      <c r="B331" s="739" t="s">
        <v>633</v>
      </c>
      <c r="C331" s="740"/>
      <c r="D331" s="587"/>
      <c r="E331" s="591">
        <v>1.0145</v>
      </c>
      <c r="F331" s="577"/>
      <c r="G331" s="578"/>
      <c r="H331" s="579"/>
      <c r="I331" s="123"/>
      <c r="J331" s="123"/>
      <c r="K331" s="123"/>
      <c r="L331" s="123"/>
      <c r="M331" s="123"/>
      <c r="N331" s="123"/>
      <c r="O331" s="123"/>
      <c r="P331" s="123"/>
      <c r="Q331" s="123"/>
      <c r="Z331" s="462" t="s">
        <v>633</v>
      </c>
    </row>
    <row r="332" spans="2:27" customFormat="1" x14ac:dyDescent="0.25">
      <c r="B332" s="739" t="s">
        <v>634</v>
      </c>
      <c r="C332" s="740"/>
      <c r="D332" s="587"/>
      <c r="E332" s="591">
        <v>1.0256000000000001</v>
      </c>
      <c r="F332" s="577"/>
      <c r="G332" s="578"/>
      <c r="H332" s="579"/>
      <c r="I332" s="123"/>
      <c r="J332" s="123"/>
      <c r="K332" s="123"/>
      <c r="L332" s="123"/>
      <c r="M332" s="123"/>
      <c r="N332" s="123"/>
      <c r="O332" s="123"/>
      <c r="P332" s="123"/>
      <c r="Q332" s="123"/>
      <c r="Z332" s="462" t="s">
        <v>634</v>
      </c>
    </row>
    <row r="333" spans="2:27" customFormat="1" x14ac:dyDescent="0.25">
      <c r="B333" s="739" t="s">
        <v>635</v>
      </c>
      <c r="C333" s="740"/>
      <c r="D333" s="587"/>
      <c r="E333" s="591">
        <v>1.0044999999999999</v>
      </c>
      <c r="F333" s="577"/>
      <c r="G333" s="578" t="s">
        <v>636</v>
      </c>
      <c r="H333" s="579"/>
      <c r="I333" s="123"/>
      <c r="J333" s="123"/>
      <c r="K333" s="123"/>
      <c r="L333" s="123"/>
      <c r="M333" s="123"/>
      <c r="N333" s="123"/>
      <c r="O333" s="123"/>
      <c r="P333" s="123"/>
      <c r="Q333" s="123"/>
      <c r="Z333" s="462" t="s">
        <v>635</v>
      </c>
    </row>
    <row r="344" ht="11.25" customHeight="1" x14ac:dyDescent="0.25"/>
    <row r="345" ht="11.25" customHeight="1" x14ac:dyDescent="0.25"/>
    <row r="346" ht="11.25" customHeight="1" x14ac:dyDescent="0.25"/>
    <row r="347" ht="6.95" customHeight="1" x14ac:dyDescent="0.25"/>
  </sheetData>
  <mergeCells count="236">
    <mergeCell ref="B89:C89"/>
    <mergeCell ref="B93:C93"/>
    <mergeCell ref="B123:C123"/>
    <mergeCell ref="B127:C127"/>
    <mergeCell ref="B140:E140"/>
    <mergeCell ref="B141:E141"/>
    <mergeCell ref="B88:C88"/>
    <mergeCell ref="B115:E115"/>
    <mergeCell ref="B120:C120"/>
    <mergeCell ref="B121:C121"/>
    <mergeCell ref="B122:C122"/>
    <mergeCell ref="B124:C124"/>
    <mergeCell ref="B101:C101"/>
    <mergeCell ref="B105:E105"/>
    <mergeCell ref="B109:E109"/>
    <mergeCell ref="B111:E111"/>
    <mergeCell ref="B113:E113"/>
    <mergeCell ref="B102:C102"/>
    <mergeCell ref="B103:C103"/>
    <mergeCell ref="B104:E104"/>
    <mergeCell ref="B107:E107"/>
    <mergeCell ref="B116:E116"/>
    <mergeCell ref="B118:E118"/>
    <mergeCell ref="B95:C95"/>
    <mergeCell ref="B301:C301"/>
    <mergeCell ref="B304:E304"/>
    <mergeCell ref="B143:E143"/>
    <mergeCell ref="B145:E145"/>
    <mergeCell ref="B147:E147"/>
    <mergeCell ref="B125:C125"/>
    <mergeCell ref="B152:E152"/>
    <mergeCell ref="B156:C156"/>
    <mergeCell ref="B126:C126"/>
    <mergeCell ref="B128:C128"/>
    <mergeCell ref="B130:C130"/>
    <mergeCell ref="B135:C135"/>
    <mergeCell ref="B149:E149"/>
    <mergeCell ref="B151:E151"/>
    <mergeCell ref="B154:E154"/>
    <mergeCell ref="B136:C136"/>
    <mergeCell ref="B131:C131"/>
    <mergeCell ref="B133:C133"/>
    <mergeCell ref="B137:C137"/>
    <mergeCell ref="B287:C287"/>
    <mergeCell ref="B288:C288"/>
    <mergeCell ref="B273:E273"/>
    <mergeCell ref="B275:E275"/>
    <mergeCell ref="B280:C280"/>
    <mergeCell ref="B333:C333"/>
    <mergeCell ref="B295:C295"/>
    <mergeCell ref="B298:C298"/>
    <mergeCell ref="B299:C299"/>
    <mergeCell ref="B330:C330"/>
    <mergeCell ref="B331:C331"/>
    <mergeCell ref="B332:C332"/>
    <mergeCell ref="B313:C313"/>
    <mergeCell ref="B314:C314"/>
    <mergeCell ref="B315:C315"/>
    <mergeCell ref="B316:C316"/>
    <mergeCell ref="B317:C317"/>
    <mergeCell ref="B318:C318"/>
    <mergeCell ref="B319:C319"/>
    <mergeCell ref="B320:C320"/>
    <mergeCell ref="B321:C321"/>
    <mergeCell ref="B322:C322"/>
    <mergeCell ref="B323:C323"/>
    <mergeCell ref="B324:C324"/>
    <mergeCell ref="B325:C325"/>
    <mergeCell ref="B329:E329"/>
    <mergeCell ref="B300:C300"/>
    <mergeCell ref="B306:E306"/>
    <mergeCell ref="B308:E308"/>
    <mergeCell ref="B283:C283"/>
    <mergeCell ref="B284:C284"/>
    <mergeCell ref="B285:C285"/>
    <mergeCell ref="B286:C286"/>
    <mergeCell ref="B231:C231"/>
    <mergeCell ref="B218:C218"/>
    <mergeCell ref="B219:C219"/>
    <mergeCell ref="B220:C220"/>
    <mergeCell ref="B250:E250"/>
    <mergeCell ref="B252:E252"/>
    <mergeCell ref="B254:E254"/>
    <mergeCell ref="B256:E256"/>
    <mergeCell ref="B258:E258"/>
    <mergeCell ref="B222:C222"/>
    <mergeCell ref="B248:E248"/>
    <mergeCell ref="B277:E277"/>
    <mergeCell ref="B232:C232"/>
    <mergeCell ref="B233:E233"/>
    <mergeCell ref="B268:C268"/>
    <mergeCell ref="B271:E271"/>
    <mergeCell ref="B281:C281"/>
    <mergeCell ref="B282:C282"/>
    <mergeCell ref="B201:C201"/>
    <mergeCell ref="B202:E202"/>
    <mergeCell ref="B203:E203"/>
    <mergeCell ref="B205:E205"/>
    <mergeCell ref="B207:E207"/>
    <mergeCell ref="B221:C221"/>
    <mergeCell ref="B223:C223"/>
    <mergeCell ref="B225:C225"/>
    <mergeCell ref="B230:C230"/>
    <mergeCell ref="B211:E211"/>
    <mergeCell ref="B213:E213"/>
    <mergeCell ref="B224:C224"/>
    <mergeCell ref="B209:E209"/>
    <mergeCell ref="B215:E215"/>
    <mergeCell ref="B217:C217"/>
    <mergeCell ref="B226:C226"/>
    <mergeCell ref="B228:C228"/>
    <mergeCell ref="B195:C195"/>
    <mergeCell ref="B199:C199"/>
    <mergeCell ref="B200:C200"/>
    <mergeCell ref="B183:E183"/>
    <mergeCell ref="B187:C187"/>
    <mergeCell ref="B188:C188"/>
    <mergeCell ref="B189:C189"/>
    <mergeCell ref="B190:C190"/>
    <mergeCell ref="B191:C191"/>
    <mergeCell ref="B185:E185"/>
    <mergeCell ref="B196:C196"/>
    <mergeCell ref="B197:C197"/>
    <mergeCell ref="B192:C192"/>
    <mergeCell ref="B193:C193"/>
    <mergeCell ref="B194:C194"/>
    <mergeCell ref="B179:E179"/>
    <mergeCell ref="B181:E181"/>
    <mergeCell ref="B157:C157"/>
    <mergeCell ref="B158:C158"/>
    <mergeCell ref="B160:C160"/>
    <mergeCell ref="B161:C161"/>
    <mergeCell ref="B163:C163"/>
    <mergeCell ref="B167:C167"/>
    <mergeCell ref="B165:C165"/>
    <mergeCell ref="B166:C166"/>
    <mergeCell ref="B170:C170"/>
    <mergeCell ref="B171:C171"/>
    <mergeCell ref="B172:E172"/>
    <mergeCell ref="B175:E175"/>
    <mergeCell ref="B162:C162"/>
    <mergeCell ref="B169:C169"/>
    <mergeCell ref="B173:E173"/>
    <mergeCell ref="B177:E177"/>
    <mergeCell ref="B164:C164"/>
    <mergeCell ref="B159:C159"/>
    <mergeCell ref="B129:C129"/>
    <mergeCell ref="B39:E39"/>
    <mergeCell ref="B41:E41"/>
    <mergeCell ref="B43:E43"/>
    <mergeCell ref="B45:E45"/>
    <mergeCell ref="B47:E47"/>
    <mergeCell ref="B62:C62"/>
    <mergeCell ref="B63:C63"/>
    <mergeCell ref="B68:C68"/>
    <mergeCell ref="B69:C69"/>
    <mergeCell ref="B56:C56"/>
    <mergeCell ref="B57:C57"/>
    <mergeCell ref="B58:C58"/>
    <mergeCell ref="B49:E49"/>
    <mergeCell ref="B51:E51"/>
    <mergeCell ref="B53:C53"/>
    <mergeCell ref="B54:C54"/>
    <mergeCell ref="B55:C55"/>
    <mergeCell ref="B65:C65"/>
    <mergeCell ref="B67:C67"/>
    <mergeCell ref="B91:C91"/>
    <mergeCell ref="B90:C90"/>
    <mergeCell ref="B92:C92"/>
    <mergeCell ref="B94:C94"/>
    <mergeCell ref="B139:E139"/>
    <mergeCell ref="B60:C60"/>
    <mergeCell ref="B61:C61"/>
    <mergeCell ref="B36:C36"/>
    <mergeCell ref="B37:C37"/>
    <mergeCell ref="B26:C26"/>
    <mergeCell ref="B27:C27"/>
    <mergeCell ref="B30:C30"/>
    <mergeCell ref="B31:C31"/>
    <mergeCell ref="B33:C33"/>
    <mergeCell ref="B35:C35"/>
    <mergeCell ref="B38:E38"/>
    <mergeCell ref="B29:C29"/>
    <mergeCell ref="B28:C28"/>
    <mergeCell ref="B59:C59"/>
    <mergeCell ref="B70:E70"/>
    <mergeCell ref="B71:E71"/>
    <mergeCell ref="B73:E73"/>
    <mergeCell ref="B75:E75"/>
    <mergeCell ref="B77:E77"/>
    <mergeCell ref="B79:E79"/>
    <mergeCell ref="B81:E81"/>
    <mergeCell ref="B86:C86"/>
    <mergeCell ref="B87:C87"/>
    <mergeCell ref="B25:C25"/>
    <mergeCell ref="B1:E1"/>
    <mergeCell ref="B2:E2"/>
    <mergeCell ref="B3:E3"/>
    <mergeCell ref="B5:E5"/>
    <mergeCell ref="B6:E6"/>
    <mergeCell ref="B7:E7"/>
    <mergeCell ref="B4:E4"/>
    <mergeCell ref="B8:E8"/>
    <mergeCell ref="B10:E10"/>
    <mergeCell ref="B12:E12"/>
    <mergeCell ref="B14:E14"/>
    <mergeCell ref="B16:E16"/>
    <mergeCell ref="B18:E18"/>
    <mergeCell ref="B20:E20"/>
    <mergeCell ref="B22:C22"/>
    <mergeCell ref="B23:C23"/>
    <mergeCell ref="B24:C24"/>
    <mergeCell ref="B96:C96"/>
    <mergeCell ref="B97:C97"/>
    <mergeCell ref="B99:C99"/>
    <mergeCell ref="B82:E82"/>
    <mergeCell ref="B84:E84"/>
    <mergeCell ref="B310:E310"/>
    <mergeCell ref="B312:E312"/>
    <mergeCell ref="B234:E234"/>
    <mergeCell ref="B236:E236"/>
    <mergeCell ref="B238:E238"/>
    <mergeCell ref="B240:E240"/>
    <mergeCell ref="B242:E242"/>
    <mergeCell ref="B244:E244"/>
    <mergeCell ref="B246:E246"/>
    <mergeCell ref="B249:E249"/>
    <mergeCell ref="B260:E260"/>
    <mergeCell ref="B262:E262"/>
    <mergeCell ref="B264:C264"/>
    <mergeCell ref="B290:C290"/>
    <mergeCell ref="B291:C291"/>
    <mergeCell ref="B292:C292"/>
    <mergeCell ref="B293:C293"/>
    <mergeCell ref="B294:C294"/>
    <mergeCell ref="B267:C267"/>
  </mergeCells>
  <dataValidations disablePrompts="1" count="1">
    <dataValidation allowBlank="1" showInputMessage="1" showErrorMessage="1" sqref="AA1:AA8"/>
  </dataValidations>
  <printOptions horizontalCentered="1"/>
  <pageMargins left="0.19685039370078741" right="0.19685039370078741" top="0.74803149606299213" bottom="0.11811023622047245" header="0.19685039370078741" footer="0.31496062992125984"/>
  <pageSetup fitToHeight="0" orientation="portrait" r:id="rId1"/>
  <headerFooter differentOddEven="1">
    <oddHeader>&amp;REnersource  Hydro Mississauga Inc.
Filed: September 23, 2015
2016 Price Cap IR Application
Supplementary Evidence
EB-2015-0065
Page &amp;P of &amp;N</oddHeader>
    <evenHeader>&amp;LEnersource  Hydro Mississauga Inc.
Filed: September 23, 2015
2016 Price Cap IR Application
Supplementary Evidence
EB-2015-0065
Page &amp;P of &amp;N</evenHeader>
  </headerFooter>
  <rowBreaks count="11" manualBreakCount="11">
    <brk id="37" max="16383" man="1"/>
    <brk id="69" max="16383" man="1"/>
    <brk id="98" max="16383" man="1"/>
    <brk id="103" max="16383" man="1"/>
    <brk id="139" max="16383" man="1"/>
    <brk id="171" max="16383" man="1"/>
    <brk id="201" max="16383" man="1"/>
    <brk id="232" max="16383" man="1"/>
    <brk id="248" max="16383" man="1"/>
    <brk id="265" max="16383" man="1"/>
    <brk id="3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Button 1">
              <controlPr defaultSize="0" print="0" autoFill="0" autoPict="0" macro="[1]!copysheettonew">
                <anchor moveWithCells="1" sizeWithCells="1">
                  <from>
                    <xdr:col>143</xdr:col>
                    <xdr:colOff>0</xdr:colOff>
                    <xdr:row>0</xdr:row>
                    <xdr:rowOff>104775</xdr:rowOff>
                  </from>
                  <to>
                    <xdr:col>143</xdr:col>
                    <xdr:colOff>0</xdr:colOff>
                    <xdr:row>2</xdr:row>
                    <xdr:rowOff>9525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FL59"/>
  <sheetViews>
    <sheetView workbookViewId="0">
      <selection activeCell="A16" sqref="A16:A18"/>
    </sheetView>
  </sheetViews>
  <sheetFormatPr defaultColWidth="9.140625" defaultRowHeight="12.75" x14ac:dyDescent="0.2"/>
  <cols>
    <col min="1" max="1" width="26.5703125" style="300" customWidth="1"/>
    <col min="2" max="2" width="1.28515625" style="300" customWidth="1"/>
    <col min="3" max="3" width="11.28515625" style="300" customWidth="1"/>
    <col min="4" max="4" width="1.28515625" style="300" customWidth="1"/>
    <col min="5" max="5" width="12.28515625" style="300" customWidth="1"/>
    <col min="6" max="6" width="12.28515625" style="300" bestFit="1" customWidth="1"/>
    <col min="7" max="7" width="14.5703125" style="300" customWidth="1"/>
    <col min="8" max="8" width="2.85546875" style="300" customWidth="1"/>
    <col min="9" max="9" width="12.140625" style="300" customWidth="1"/>
    <col min="10" max="10" width="12.28515625" style="300" customWidth="1"/>
    <col min="11" max="11" width="18.85546875" style="300" customWidth="1"/>
    <col min="12" max="12" width="2.85546875" style="300" customWidth="1"/>
    <col min="13" max="13" width="18.85546875" style="300" customWidth="1"/>
    <col min="14" max="14" width="12.85546875" style="300" customWidth="1"/>
    <col min="15" max="15" width="3.85546875" style="199" customWidth="1"/>
    <col min="16" max="18" width="9.140625" style="199"/>
    <col min="19" max="19" width="0" style="199" hidden="1" customWidth="1"/>
    <col min="20" max="25" width="9.140625" style="199"/>
    <col min="26" max="27" width="0" style="300" hidden="1" customWidth="1"/>
    <col min="28" max="28" width="9.140625" style="300"/>
    <col min="29" max="168" width="9.140625" style="199"/>
    <col min="169" max="16384" width="9.140625" style="300"/>
  </cols>
  <sheetData>
    <row r="1" spans="1:168" s="290" customFormat="1" ht="15" customHeight="1" x14ac:dyDescent="0.2">
      <c r="A1" s="289"/>
      <c r="B1" s="289"/>
      <c r="C1" s="289"/>
      <c r="D1" s="289"/>
      <c r="E1" s="289"/>
      <c r="F1" s="289"/>
      <c r="G1" s="289"/>
      <c r="H1" s="289"/>
      <c r="I1" s="289"/>
      <c r="J1" s="289"/>
      <c r="L1" s="291"/>
      <c r="M1" s="292"/>
      <c r="N1" s="293"/>
      <c r="O1" s="199"/>
      <c r="P1" s="255"/>
      <c r="Q1" s="255"/>
      <c r="R1" s="255"/>
      <c r="S1" s="255">
        <v>1</v>
      </c>
      <c r="T1" s="255"/>
      <c r="U1" s="255"/>
      <c r="V1" s="255"/>
      <c r="W1" s="255"/>
      <c r="X1" s="255"/>
      <c r="Y1" s="255"/>
      <c r="Z1" s="294">
        <f>MATCH(C14, '[1]3. Rate Class Selection'!B19:B40,0)</f>
        <v>1</v>
      </c>
      <c r="AA1" s="295" t="str">
        <f>VLOOKUP(C14, [1]lists!AO:AP,2,0)</f>
        <v>kWh</v>
      </c>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5"/>
      <c r="CA1" s="255"/>
      <c r="CB1" s="255"/>
      <c r="CC1" s="255"/>
      <c r="CD1" s="255"/>
      <c r="CE1" s="255"/>
      <c r="CF1" s="255"/>
      <c r="CG1" s="255"/>
      <c r="CH1" s="255"/>
      <c r="CI1" s="255"/>
      <c r="CJ1" s="255"/>
      <c r="CK1" s="255"/>
      <c r="CL1" s="255"/>
      <c r="CM1" s="255"/>
      <c r="CN1" s="255"/>
      <c r="CO1" s="255"/>
      <c r="CP1" s="255"/>
      <c r="CQ1" s="255"/>
      <c r="CR1" s="255"/>
      <c r="CS1" s="255"/>
      <c r="CT1" s="255"/>
      <c r="CU1" s="255"/>
      <c r="CV1" s="255"/>
      <c r="CW1" s="255"/>
      <c r="CX1" s="255"/>
      <c r="CY1" s="255"/>
      <c r="CZ1" s="255"/>
      <c r="DA1" s="255"/>
      <c r="DB1" s="255"/>
      <c r="DC1" s="255"/>
      <c r="DD1" s="255"/>
      <c r="DE1" s="255"/>
      <c r="DF1" s="255"/>
      <c r="DG1" s="255"/>
      <c r="DH1" s="255"/>
      <c r="DI1" s="255"/>
      <c r="DJ1" s="255"/>
      <c r="DK1" s="255"/>
      <c r="DL1" s="255"/>
      <c r="DM1" s="255"/>
      <c r="DN1" s="255"/>
      <c r="DO1" s="255"/>
      <c r="DP1" s="255"/>
      <c r="DQ1" s="255"/>
      <c r="DR1" s="255"/>
      <c r="DS1" s="255"/>
      <c r="DT1" s="255"/>
      <c r="DU1" s="255"/>
      <c r="DV1" s="255"/>
      <c r="DW1" s="255"/>
      <c r="DX1" s="255"/>
      <c r="DY1" s="255"/>
      <c r="DZ1" s="255"/>
      <c r="EA1" s="255"/>
      <c r="EB1" s="255"/>
      <c r="EC1" s="255"/>
      <c r="ED1" s="255"/>
      <c r="EE1" s="255"/>
      <c r="EF1" s="255"/>
      <c r="EG1" s="255"/>
      <c r="EH1" s="255"/>
      <c r="EI1" s="255"/>
      <c r="EJ1" s="255"/>
      <c r="EK1" s="255"/>
      <c r="EL1" s="255"/>
      <c r="EM1" s="255"/>
      <c r="EN1" s="255"/>
      <c r="EO1" s="255"/>
      <c r="EP1" s="255"/>
      <c r="EQ1" s="255"/>
      <c r="ER1" s="255"/>
      <c r="ES1" s="255"/>
      <c r="ET1" s="255"/>
      <c r="EU1" s="255"/>
      <c r="EV1" s="255"/>
      <c r="EW1" s="255"/>
      <c r="EX1" s="255"/>
      <c r="EY1" s="255"/>
      <c r="EZ1" s="255"/>
      <c r="FA1" s="255"/>
      <c r="FB1" s="255"/>
      <c r="FC1" s="255"/>
      <c r="FD1" s="255"/>
      <c r="FE1" s="255"/>
      <c r="FF1" s="255"/>
      <c r="FG1" s="255"/>
      <c r="FH1" s="255"/>
      <c r="FI1" s="255"/>
      <c r="FJ1" s="255"/>
      <c r="FK1" s="255"/>
      <c r="FL1" s="255"/>
    </row>
    <row r="2" spans="1:168" s="290" customFormat="1" ht="15" customHeight="1" x14ac:dyDescent="0.25">
      <c r="A2" s="296"/>
      <c r="B2" s="296"/>
      <c r="C2" s="296"/>
      <c r="D2" s="296"/>
      <c r="E2" s="296"/>
      <c r="F2" s="296"/>
      <c r="G2" s="296"/>
      <c r="H2" s="296"/>
      <c r="I2" s="296"/>
      <c r="J2" s="296"/>
      <c r="L2" s="291"/>
      <c r="M2" s="292"/>
      <c r="N2" s="297"/>
      <c r="O2" s="199"/>
      <c r="P2" s="255"/>
      <c r="Q2" s="255"/>
      <c r="R2" s="255"/>
      <c r="S2" s="255"/>
      <c r="T2" s="255"/>
      <c r="U2" s="255"/>
      <c r="V2" s="255"/>
      <c r="W2" s="255"/>
      <c r="X2" s="255"/>
      <c r="Y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5"/>
      <c r="BR2" s="255"/>
      <c r="BS2" s="255"/>
      <c r="BT2" s="255"/>
      <c r="BU2" s="255"/>
      <c r="BV2" s="255"/>
      <c r="BW2" s="255"/>
      <c r="BX2" s="255"/>
      <c r="BY2" s="255"/>
      <c r="BZ2" s="255"/>
      <c r="CA2" s="255"/>
      <c r="CB2" s="255"/>
      <c r="CC2" s="255"/>
      <c r="CD2" s="255"/>
      <c r="CE2" s="255"/>
      <c r="CF2" s="255"/>
      <c r="CG2" s="255"/>
      <c r="CH2" s="255"/>
      <c r="CI2" s="255"/>
      <c r="CJ2" s="255"/>
      <c r="CK2" s="255"/>
      <c r="CL2" s="255"/>
      <c r="CM2" s="255"/>
      <c r="CN2" s="255"/>
      <c r="CO2" s="255"/>
      <c r="CP2" s="255"/>
      <c r="CQ2" s="255"/>
      <c r="CR2" s="255"/>
      <c r="CS2" s="255"/>
      <c r="CT2" s="255"/>
      <c r="CU2" s="255"/>
      <c r="CV2" s="255"/>
      <c r="CW2" s="255"/>
      <c r="CX2" s="255"/>
      <c r="CY2" s="255"/>
      <c r="CZ2" s="255"/>
      <c r="DA2" s="255"/>
      <c r="DB2" s="255"/>
      <c r="DC2" s="255"/>
      <c r="DD2" s="255"/>
      <c r="DE2" s="255"/>
      <c r="DF2" s="255"/>
      <c r="DG2" s="255"/>
      <c r="DH2" s="255"/>
      <c r="DI2" s="255"/>
      <c r="DJ2" s="255"/>
      <c r="DK2" s="255"/>
      <c r="DL2" s="255"/>
      <c r="DM2" s="255"/>
      <c r="DN2" s="255"/>
      <c r="DO2" s="255"/>
      <c r="DP2" s="255"/>
      <c r="DQ2" s="255"/>
      <c r="DR2" s="255"/>
      <c r="DS2" s="255"/>
      <c r="DT2" s="255"/>
      <c r="DU2" s="255"/>
      <c r="DV2" s="255"/>
      <c r="DW2" s="255"/>
      <c r="DX2" s="255"/>
      <c r="DY2" s="255"/>
      <c r="DZ2" s="255"/>
      <c r="EA2" s="255"/>
      <c r="EB2" s="255"/>
      <c r="EC2" s="255"/>
      <c r="ED2" s="255"/>
      <c r="EE2" s="255"/>
      <c r="EF2" s="255"/>
      <c r="EG2" s="255"/>
      <c r="EH2" s="255"/>
      <c r="EI2" s="255"/>
      <c r="EJ2" s="255"/>
      <c r="EK2" s="255"/>
      <c r="EL2" s="255"/>
      <c r="EM2" s="255"/>
      <c r="EN2" s="255"/>
      <c r="EO2" s="255"/>
      <c r="EP2" s="255"/>
      <c r="EQ2" s="255"/>
      <c r="ER2" s="255"/>
      <c r="ES2" s="255"/>
      <c r="ET2" s="255"/>
      <c r="EU2" s="255"/>
      <c r="EV2" s="255"/>
      <c r="EW2" s="255"/>
      <c r="EX2" s="255"/>
      <c r="EY2" s="255"/>
      <c r="EZ2" s="255"/>
      <c r="FA2" s="255"/>
      <c r="FB2" s="255"/>
      <c r="FC2" s="255"/>
      <c r="FD2" s="255"/>
      <c r="FE2" s="255"/>
      <c r="FF2" s="255"/>
      <c r="FG2" s="255"/>
      <c r="FH2" s="255"/>
      <c r="FI2" s="255"/>
      <c r="FJ2" s="255"/>
      <c r="FK2" s="255"/>
      <c r="FL2" s="255"/>
    </row>
    <row r="3" spans="1:168" s="290" customFormat="1" ht="15" customHeight="1" x14ac:dyDescent="0.25">
      <c r="A3" s="769"/>
      <c r="B3" s="769"/>
      <c r="C3" s="769"/>
      <c r="D3" s="769"/>
      <c r="E3" s="769"/>
      <c r="F3" s="769"/>
      <c r="G3" s="769"/>
      <c r="H3" s="769"/>
      <c r="I3" s="769"/>
      <c r="J3" s="769"/>
      <c r="L3" s="291"/>
      <c r="M3" s="292"/>
      <c r="N3" s="297"/>
      <c r="O3" s="199"/>
      <c r="P3" s="255"/>
      <c r="Q3" s="255"/>
      <c r="R3" s="255"/>
      <c r="S3" s="255"/>
      <c r="T3" s="255"/>
      <c r="U3" s="255"/>
      <c r="V3" s="255"/>
      <c r="W3" s="255"/>
      <c r="X3" s="255"/>
      <c r="Y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c r="BN3" s="255"/>
      <c r="BO3" s="255"/>
      <c r="BP3" s="255"/>
      <c r="BQ3" s="255"/>
      <c r="BR3" s="255"/>
      <c r="BS3" s="255"/>
      <c r="BT3" s="255"/>
      <c r="BU3" s="255"/>
      <c r="BV3" s="255"/>
      <c r="BW3" s="255"/>
      <c r="BX3" s="255"/>
      <c r="BY3" s="255"/>
      <c r="BZ3" s="255"/>
      <c r="CA3" s="255"/>
      <c r="CB3" s="255"/>
      <c r="CC3" s="255"/>
      <c r="CD3" s="255"/>
      <c r="CE3" s="255"/>
      <c r="CF3" s="255"/>
      <c r="CG3" s="255"/>
      <c r="CH3" s="255"/>
      <c r="CI3" s="255"/>
      <c r="CJ3" s="255"/>
      <c r="CK3" s="255"/>
      <c r="CL3" s="255"/>
      <c r="CM3" s="255"/>
      <c r="CN3" s="255"/>
      <c r="CO3" s="255"/>
      <c r="CP3" s="255"/>
      <c r="CQ3" s="255"/>
      <c r="CR3" s="255"/>
      <c r="CS3" s="255"/>
      <c r="CT3" s="255"/>
      <c r="CU3" s="255"/>
      <c r="CV3" s="255"/>
      <c r="CW3" s="255"/>
      <c r="CX3" s="255"/>
      <c r="CY3" s="255"/>
      <c r="CZ3" s="255"/>
      <c r="DA3" s="255"/>
      <c r="DB3" s="255"/>
      <c r="DC3" s="255"/>
      <c r="DD3" s="255"/>
      <c r="DE3" s="255"/>
      <c r="DF3" s="255"/>
      <c r="DG3" s="255"/>
      <c r="DH3" s="255"/>
      <c r="DI3" s="255"/>
      <c r="DJ3" s="255"/>
      <c r="DK3" s="255"/>
      <c r="DL3" s="255"/>
      <c r="DM3" s="255"/>
      <c r="DN3" s="255"/>
      <c r="DO3" s="255"/>
      <c r="DP3" s="255"/>
      <c r="DQ3" s="255"/>
      <c r="DR3" s="255"/>
      <c r="DS3" s="255"/>
      <c r="DT3" s="255"/>
      <c r="DU3" s="255"/>
      <c r="DV3" s="255"/>
      <c r="DW3" s="255"/>
      <c r="DX3" s="255"/>
      <c r="DY3" s="255"/>
      <c r="DZ3" s="255"/>
      <c r="EA3" s="255"/>
      <c r="EB3" s="255"/>
      <c r="EC3" s="255"/>
      <c r="ED3" s="255"/>
      <c r="EE3" s="255"/>
      <c r="EF3" s="255"/>
      <c r="EG3" s="255"/>
      <c r="EH3" s="255"/>
      <c r="EI3" s="255"/>
      <c r="EJ3" s="255"/>
      <c r="EK3" s="255"/>
      <c r="EL3" s="255"/>
      <c r="EM3" s="255"/>
      <c r="EN3" s="255"/>
      <c r="EO3" s="255"/>
      <c r="EP3" s="255"/>
      <c r="EQ3" s="255"/>
      <c r="ER3" s="255"/>
      <c r="ES3" s="255"/>
      <c r="ET3" s="255"/>
      <c r="EU3" s="255"/>
      <c r="EV3" s="255"/>
      <c r="EW3" s="255"/>
      <c r="EX3" s="255"/>
      <c r="EY3" s="255"/>
      <c r="EZ3" s="255"/>
      <c r="FA3" s="255"/>
      <c r="FB3" s="255"/>
      <c r="FC3" s="255"/>
      <c r="FD3" s="255"/>
      <c r="FE3" s="255"/>
      <c r="FF3" s="255"/>
      <c r="FG3" s="255"/>
      <c r="FH3" s="255"/>
      <c r="FI3" s="255"/>
      <c r="FJ3" s="255"/>
      <c r="FK3" s="255"/>
      <c r="FL3" s="255"/>
    </row>
    <row r="4" spans="1:168" s="290" customFormat="1" ht="15" customHeight="1" x14ac:dyDescent="0.25">
      <c r="A4" s="296"/>
      <c r="B4" s="296"/>
      <c r="C4" s="296"/>
      <c r="D4" s="296"/>
      <c r="E4" s="296"/>
      <c r="F4" s="296"/>
      <c r="G4" s="296"/>
      <c r="H4" s="298"/>
      <c r="I4" s="298"/>
      <c r="J4" s="298"/>
      <c r="L4" s="291"/>
      <c r="M4" s="292"/>
      <c r="N4" s="297"/>
      <c r="O4" s="199"/>
      <c r="P4" s="255"/>
      <c r="Q4" s="255"/>
      <c r="R4" s="255"/>
      <c r="S4" s="255"/>
      <c r="T4" s="255"/>
      <c r="U4" s="255"/>
      <c r="V4" s="255"/>
      <c r="W4" s="255"/>
      <c r="X4" s="255"/>
      <c r="Y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c r="BL4" s="255"/>
      <c r="BM4" s="255"/>
      <c r="BN4" s="255"/>
      <c r="BO4" s="255"/>
      <c r="BP4" s="255"/>
      <c r="BQ4" s="255"/>
      <c r="BR4" s="255"/>
      <c r="BS4" s="255"/>
      <c r="BT4" s="255"/>
      <c r="BU4" s="255"/>
      <c r="BV4" s="255"/>
      <c r="BW4" s="255"/>
      <c r="BX4" s="255"/>
      <c r="BY4" s="255"/>
      <c r="BZ4" s="255"/>
      <c r="CA4" s="255"/>
      <c r="CB4" s="255"/>
      <c r="CC4" s="255"/>
      <c r="CD4" s="255"/>
      <c r="CE4" s="255"/>
      <c r="CF4" s="255"/>
      <c r="CG4" s="255"/>
      <c r="CH4" s="255"/>
      <c r="CI4" s="255"/>
      <c r="CJ4" s="255"/>
      <c r="CK4" s="255"/>
      <c r="CL4" s="255"/>
      <c r="CM4" s="255"/>
      <c r="CN4" s="255"/>
      <c r="CO4" s="255"/>
      <c r="CP4" s="255"/>
      <c r="CQ4" s="255"/>
      <c r="CR4" s="255"/>
      <c r="CS4" s="255"/>
      <c r="CT4" s="255"/>
      <c r="CU4" s="255"/>
      <c r="CV4" s="255"/>
      <c r="CW4" s="255"/>
      <c r="CX4" s="255"/>
      <c r="CY4" s="255"/>
      <c r="CZ4" s="255"/>
      <c r="DA4" s="255"/>
      <c r="DB4" s="255"/>
      <c r="DC4" s="255"/>
      <c r="DD4" s="255"/>
      <c r="DE4" s="255"/>
      <c r="DF4" s="255"/>
      <c r="DG4" s="255"/>
      <c r="DH4" s="255"/>
      <c r="DI4" s="255"/>
      <c r="DJ4" s="255"/>
      <c r="DK4" s="255"/>
      <c r="DL4" s="255"/>
      <c r="DM4" s="255"/>
      <c r="DN4" s="255"/>
      <c r="DO4" s="255"/>
      <c r="DP4" s="255"/>
      <c r="DQ4" s="255"/>
      <c r="DR4" s="255"/>
      <c r="DS4" s="255"/>
      <c r="DT4" s="255"/>
      <c r="DU4" s="255"/>
      <c r="DV4" s="255"/>
      <c r="DW4" s="255"/>
      <c r="DX4" s="255"/>
      <c r="DY4" s="255"/>
      <c r="DZ4" s="255"/>
      <c r="EA4" s="255"/>
      <c r="EB4" s="255"/>
      <c r="EC4" s="255"/>
      <c r="ED4" s="255"/>
      <c r="EE4" s="255"/>
      <c r="EF4" s="255"/>
      <c r="EG4" s="255"/>
      <c r="EH4" s="255"/>
      <c r="EI4" s="255"/>
      <c r="EJ4" s="255"/>
      <c r="EK4" s="255"/>
      <c r="EL4" s="255"/>
      <c r="EM4" s="255"/>
      <c r="EN4" s="255"/>
      <c r="EO4" s="255"/>
      <c r="EP4" s="255"/>
      <c r="EQ4" s="255"/>
      <c r="ER4" s="255"/>
      <c r="ES4" s="255"/>
      <c r="ET4" s="255"/>
      <c r="EU4" s="255"/>
      <c r="EV4" s="255"/>
      <c r="EW4" s="255"/>
      <c r="EX4" s="255"/>
      <c r="EY4" s="255"/>
      <c r="EZ4" s="255"/>
      <c r="FA4" s="255"/>
      <c r="FB4" s="255"/>
      <c r="FC4" s="255"/>
      <c r="FD4" s="255"/>
      <c r="FE4" s="255"/>
      <c r="FF4" s="255"/>
      <c r="FG4" s="255"/>
      <c r="FH4" s="255"/>
      <c r="FI4" s="255"/>
      <c r="FJ4" s="255"/>
      <c r="FK4" s="255"/>
      <c r="FL4" s="255"/>
    </row>
    <row r="5" spans="1:168" s="290" customFormat="1" ht="15" customHeight="1" x14ac:dyDescent="0.25">
      <c r="B5" s="299"/>
      <c r="C5" s="299"/>
      <c r="D5" s="299"/>
      <c r="L5" s="291"/>
      <c r="M5" s="292"/>
      <c r="N5" s="293"/>
      <c r="O5" s="199"/>
      <c r="P5" s="255"/>
      <c r="Q5" s="255"/>
      <c r="R5" s="255"/>
      <c r="S5" s="255"/>
      <c r="T5" s="255"/>
      <c r="U5" s="255"/>
      <c r="V5" s="255"/>
      <c r="W5" s="255"/>
      <c r="X5" s="255"/>
      <c r="Y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c r="BL5" s="255"/>
      <c r="BM5" s="255"/>
      <c r="BN5" s="255"/>
      <c r="BO5" s="255"/>
      <c r="BP5" s="255"/>
      <c r="BQ5" s="255"/>
      <c r="BR5" s="255"/>
      <c r="BS5" s="255"/>
      <c r="BT5" s="255"/>
      <c r="BU5" s="255"/>
      <c r="BV5" s="255"/>
      <c r="BW5" s="255"/>
      <c r="BX5" s="255"/>
      <c r="BY5" s="255"/>
      <c r="BZ5" s="255"/>
      <c r="CA5" s="255"/>
      <c r="CB5" s="255"/>
      <c r="CC5" s="255"/>
      <c r="CD5" s="255"/>
      <c r="CE5" s="255"/>
      <c r="CF5" s="255"/>
      <c r="CG5" s="255"/>
      <c r="CH5" s="255"/>
      <c r="CI5" s="255"/>
      <c r="CJ5" s="255"/>
      <c r="CK5" s="255"/>
      <c r="CL5" s="255"/>
      <c r="CM5" s="255"/>
      <c r="CN5" s="255"/>
      <c r="CO5" s="255"/>
      <c r="CP5" s="255"/>
      <c r="CQ5" s="255"/>
      <c r="CR5" s="255"/>
      <c r="CS5" s="255"/>
      <c r="CT5" s="255"/>
      <c r="CU5" s="255"/>
      <c r="CV5" s="255"/>
      <c r="CW5" s="255"/>
      <c r="CX5" s="255"/>
      <c r="CY5" s="255"/>
      <c r="CZ5" s="255"/>
      <c r="DA5" s="255"/>
      <c r="DB5" s="255"/>
      <c r="DC5" s="255"/>
      <c r="DD5" s="255"/>
      <c r="DE5" s="255"/>
      <c r="DF5" s="255"/>
      <c r="DG5" s="255"/>
      <c r="DH5" s="255"/>
      <c r="DI5" s="255"/>
      <c r="DJ5" s="255"/>
      <c r="DK5" s="255"/>
      <c r="DL5" s="255"/>
      <c r="DM5" s="255"/>
      <c r="DN5" s="255"/>
      <c r="DO5" s="255"/>
      <c r="DP5" s="255"/>
      <c r="DQ5" s="255"/>
      <c r="DR5" s="255"/>
      <c r="DS5" s="255"/>
      <c r="DT5" s="255"/>
      <c r="DU5" s="255"/>
      <c r="DV5" s="255"/>
      <c r="DW5" s="255"/>
      <c r="DX5" s="255"/>
      <c r="DY5" s="255"/>
      <c r="DZ5" s="255"/>
      <c r="EA5" s="255"/>
      <c r="EB5" s="255"/>
      <c r="EC5" s="255"/>
      <c r="ED5" s="255"/>
      <c r="EE5" s="255"/>
      <c r="EF5" s="255"/>
      <c r="EG5" s="255"/>
      <c r="EH5" s="255"/>
      <c r="EI5" s="255"/>
      <c r="EJ5" s="255"/>
      <c r="EK5" s="255"/>
      <c r="EL5" s="255"/>
      <c r="EM5" s="255"/>
      <c r="EN5" s="255"/>
      <c r="EO5" s="255"/>
      <c r="EP5" s="255"/>
      <c r="EQ5" s="255"/>
      <c r="ER5" s="255"/>
      <c r="ES5" s="255"/>
      <c r="ET5" s="255"/>
      <c r="EU5" s="255"/>
      <c r="EV5" s="255"/>
      <c r="EW5" s="255"/>
      <c r="EX5" s="255"/>
      <c r="EY5" s="255"/>
      <c r="EZ5" s="255"/>
      <c r="FA5" s="255"/>
      <c r="FB5" s="255"/>
      <c r="FC5" s="255"/>
      <c r="FD5" s="255"/>
      <c r="FE5" s="255"/>
      <c r="FF5" s="255"/>
      <c r="FG5" s="255"/>
      <c r="FH5" s="255"/>
      <c r="FI5" s="255"/>
      <c r="FJ5" s="255"/>
      <c r="FK5" s="255"/>
      <c r="FL5" s="255"/>
    </row>
    <row r="6" spans="1:168" s="290" customFormat="1" ht="9" customHeight="1" x14ac:dyDescent="0.2">
      <c r="L6" s="291"/>
      <c r="M6" s="292"/>
      <c r="N6" s="293"/>
      <c r="O6" s="199"/>
      <c r="P6" s="255"/>
      <c r="Q6" s="255"/>
      <c r="R6" s="255"/>
      <c r="S6" s="255"/>
      <c r="T6" s="255"/>
      <c r="U6" s="255"/>
      <c r="V6" s="255"/>
      <c r="W6" s="255"/>
      <c r="X6" s="255"/>
      <c r="Y6" s="255"/>
      <c r="AC6" s="255"/>
      <c r="AD6" s="255"/>
      <c r="AE6" s="255"/>
      <c r="AF6" s="255"/>
      <c r="AG6" s="255"/>
      <c r="AH6" s="255"/>
      <c r="AI6" s="255"/>
      <c r="AJ6" s="255"/>
      <c r="AK6" s="255"/>
      <c r="AL6" s="255"/>
      <c r="AM6" s="255"/>
      <c r="AN6" s="255"/>
      <c r="AO6" s="255"/>
      <c r="AP6" s="255"/>
      <c r="AQ6" s="255"/>
      <c r="AR6" s="255"/>
      <c r="AS6" s="255"/>
      <c r="AT6" s="255"/>
      <c r="AU6" s="255"/>
      <c r="AV6" s="255"/>
      <c r="AW6" s="255"/>
      <c r="AX6" s="255"/>
      <c r="AY6" s="255"/>
      <c r="AZ6" s="255"/>
      <c r="BA6" s="255"/>
      <c r="BB6" s="255"/>
      <c r="BC6" s="255"/>
      <c r="BD6" s="255"/>
      <c r="BE6" s="255"/>
      <c r="BF6" s="255"/>
      <c r="BG6" s="255"/>
      <c r="BH6" s="255"/>
      <c r="BI6" s="255"/>
      <c r="BJ6" s="255"/>
      <c r="BK6" s="255"/>
      <c r="BL6" s="255"/>
      <c r="BM6" s="255"/>
      <c r="BN6" s="255"/>
      <c r="BO6" s="255"/>
      <c r="BP6" s="255"/>
      <c r="BQ6" s="255"/>
      <c r="BR6" s="255"/>
      <c r="BS6" s="255"/>
      <c r="BT6" s="255"/>
      <c r="BU6" s="255"/>
      <c r="BV6" s="255"/>
      <c r="BW6" s="255"/>
      <c r="BX6" s="255"/>
      <c r="BY6" s="255"/>
      <c r="BZ6" s="255"/>
      <c r="CA6" s="255"/>
      <c r="CB6" s="255"/>
      <c r="CC6" s="255"/>
      <c r="CD6" s="255"/>
      <c r="CE6" s="255"/>
      <c r="CF6" s="255"/>
      <c r="CG6" s="255"/>
      <c r="CH6" s="255"/>
      <c r="CI6" s="255"/>
      <c r="CJ6" s="255"/>
      <c r="CK6" s="255"/>
      <c r="CL6" s="255"/>
      <c r="CM6" s="255"/>
      <c r="CN6" s="255"/>
      <c r="CO6" s="255"/>
      <c r="CP6" s="255"/>
      <c r="CQ6" s="255"/>
      <c r="CR6" s="255"/>
      <c r="CS6" s="255"/>
      <c r="CT6" s="255"/>
      <c r="CU6" s="255"/>
      <c r="CV6" s="255"/>
      <c r="CW6" s="255"/>
      <c r="CX6" s="255"/>
      <c r="CY6" s="255"/>
      <c r="CZ6" s="255"/>
      <c r="DA6" s="255"/>
      <c r="DB6" s="255"/>
      <c r="DC6" s="255"/>
      <c r="DD6" s="255"/>
      <c r="DE6" s="255"/>
      <c r="DF6" s="255"/>
      <c r="DG6" s="255"/>
      <c r="DH6" s="255"/>
      <c r="DI6" s="255"/>
      <c r="DJ6" s="255"/>
      <c r="DK6" s="255"/>
      <c r="DL6" s="255"/>
      <c r="DM6" s="255"/>
      <c r="DN6" s="255"/>
      <c r="DO6" s="255"/>
      <c r="DP6" s="255"/>
      <c r="DQ6" s="255"/>
      <c r="DR6" s="255"/>
      <c r="DS6" s="255"/>
      <c r="DT6" s="255"/>
      <c r="DU6" s="255"/>
      <c r="DV6" s="255"/>
      <c r="DW6" s="255"/>
      <c r="DX6" s="255"/>
      <c r="DY6" s="255"/>
      <c r="DZ6" s="255"/>
      <c r="EA6" s="255"/>
      <c r="EB6" s="255"/>
      <c r="EC6" s="255"/>
      <c r="ED6" s="255"/>
      <c r="EE6" s="255"/>
      <c r="EF6" s="255"/>
      <c r="EG6" s="255"/>
      <c r="EH6" s="255"/>
      <c r="EI6" s="255"/>
      <c r="EJ6" s="255"/>
      <c r="EK6" s="255"/>
      <c r="EL6" s="255"/>
      <c r="EM6" s="255"/>
      <c r="EN6" s="255"/>
      <c r="EO6" s="255"/>
      <c r="EP6" s="255"/>
      <c r="EQ6" s="255"/>
      <c r="ER6" s="255"/>
      <c r="ES6" s="255"/>
      <c r="ET6" s="255"/>
      <c r="EU6" s="255"/>
      <c r="EV6" s="255"/>
      <c r="EW6" s="255"/>
      <c r="EX6" s="255"/>
      <c r="EY6" s="255"/>
      <c r="EZ6" s="255"/>
      <c r="FA6" s="255"/>
      <c r="FB6" s="255"/>
      <c r="FC6" s="255"/>
      <c r="FD6" s="255"/>
      <c r="FE6" s="255"/>
      <c r="FF6" s="255"/>
      <c r="FG6" s="255"/>
      <c r="FH6" s="255"/>
      <c r="FI6" s="255"/>
      <c r="FJ6" s="255"/>
      <c r="FK6" s="255"/>
      <c r="FL6" s="255"/>
    </row>
    <row r="7" spans="1:168" s="290" customFormat="1" x14ac:dyDescent="0.2">
      <c r="L7" s="291"/>
      <c r="M7" s="292"/>
      <c r="N7" s="293"/>
      <c r="O7" s="199"/>
      <c r="P7" s="255"/>
      <c r="Q7" s="255"/>
      <c r="R7" s="255"/>
      <c r="S7" s="255"/>
      <c r="T7" s="255"/>
      <c r="U7" s="255"/>
      <c r="V7" s="255"/>
      <c r="W7" s="255"/>
      <c r="X7" s="255"/>
      <c r="Y7" s="255"/>
      <c r="AC7" s="255"/>
      <c r="AD7" s="255"/>
      <c r="AE7" s="255"/>
      <c r="AF7" s="255"/>
      <c r="AG7" s="255"/>
      <c r="AH7" s="255"/>
      <c r="AI7" s="255"/>
      <c r="AJ7" s="255"/>
      <c r="AK7" s="255"/>
      <c r="AL7" s="255"/>
      <c r="AM7" s="255"/>
      <c r="AN7" s="255"/>
      <c r="AO7" s="255"/>
      <c r="AP7" s="255"/>
      <c r="AQ7" s="255"/>
      <c r="AR7" s="255"/>
      <c r="AS7" s="255"/>
      <c r="AT7" s="255"/>
      <c r="AU7" s="255"/>
      <c r="AV7" s="255"/>
      <c r="AW7" s="255"/>
      <c r="AX7" s="255"/>
      <c r="AY7" s="255"/>
      <c r="AZ7" s="255"/>
      <c r="BA7" s="255"/>
      <c r="BB7" s="255"/>
      <c r="BC7" s="255"/>
      <c r="BD7" s="255"/>
      <c r="BE7" s="255"/>
      <c r="BF7" s="255"/>
      <c r="BG7" s="255"/>
      <c r="BH7" s="255"/>
      <c r="BI7" s="255"/>
      <c r="BJ7" s="255"/>
      <c r="BK7" s="255"/>
      <c r="BL7" s="255"/>
      <c r="BM7" s="255"/>
      <c r="BN7" s="255"/>
      <c r="BO7" s="255"/>
      <c r="BP7" s="255"/>
      <c r="BQ7" s="255"/>
      <c r="BR7" s="255"/>
      <c r="BS7" s="255"/>
      <c r="BT7" s="255"/>
      <c r="BU7" s="255"/>
      <c r="BV7" s="255"/>
      <c r="BW7" s="255"/>
      <c r="BX7" s="255"/>
      <c r="BY7" s="255"/>
      <c r="BZ7" s="255"/>
      <c r="CA7" s="255"/>
      <c r="CB7" s="255"/>
      <c r="CC7" s="255"/>
      <c r="CD7" s="255"/>
      <c r="CE7" s="255"/>
      <c r="CF7" s="255"/>
      <c r="CG7" s="255"/>
      <c r="CH7" s="255"/>
      <c r="CI7" s="255"/>
      <c r="CJ7" s="255"/>
      <c r="CK7" s="255"/>
      <c r="CL7" s="255"/>
      <c r="CM7" s="255"/>
      <c r="CN7" s="255"/>
      <c r="CO7" s="255"/>
      <c r="CP7" s="255"/>
      <c r="CQ7" s="255"/>
      <c r="CR7" s="255"/>
      <c r="CS7" s="255"/>
      <c r="CT7" s="255"/>
      <c r="CU7" s="255"/>
      <c r="CV7" s="255"/>
      <c r="CW7" s="255"/>
      <c r="CX7" s="255"/>
      <c r="CY7" s="255"/>
      <c r="CZ7" s="255"/>
      <c r="DA7" s="255"/>
      <c r="DB7" s="255"/>
      <c r="DC7" s="255"/>
      <c r="DD7" s="255"/>
      <c r="DE7" s="255"/>
      <c r="DF7" s="255"/>
      <c r="DG7" s="255"/>
      <c r="DH7" s="255"/>
      <c r="DI7" s="255"/>
      <c r="DJ7" s="255"/>
      <c r="DK7" s="255"/>
      <c r="DL7" s="255"/>
      <c r="DM7" s="255"/>
      <c r="DN7" s="255"/>
      <c r="DO7" s="255"/>
      <c r="DP7" s="255"/>
      <c r="DQ7" s="255"/>
      <c r="DR7" s="255"/>
      <c r="DS7" s="255"/>
      <c r="DT7" s="255"/>
      <c r="DU7" s="255"/>
      <c r="DV7" s="255"/>
      <c r="DW7" s="255"/>
      <c r="DX7" s="255"/>
      <c r="DY7" s="255"/>
      <c r="DZ7" s="255"/>
      <c r="EA7" s="255"/>
      <c r="EB7" s="255"/>
      <c r="EC7" s="255"/>
      <c r="ED7" s="255"/>
      <c r="EE7" s="255"/>
      <c r="EF7" s="255"/>
      <c r="EG7" s="255"/>
      <c r="EH7" s="255"/>
      <c r="EI7" s="255"/>
      <c r="EJ7" s="255"/>
      <c r="EK7" s="255"/>
      <c r="EL7" s="255"/>
      <c r="EM7" s="255"/>
      <c r="EN7" s="255"/>
      <c r="EO7" s="255"/>
      <c r="EP7" s="255"/>
      <c r="EQ7" s="255"/>
      <c r="ER7" s="255"/>
      <c r="ES7" s="255"/>
      <c r="ET7" s="255"/>
      <c r="EU7" s="255"/>
      <c r="EV7" s="255"/>
      <c r="EW7" s="255"/>
      <c r="EX7" s="255"/>
      <c r="EY7" s="255"/>
      <c r="EZ7" s="255"/>
      <c r="FA7" s="255"/>
      <c r="FB7" s="255"/>
      <c r="FC7" s="255"/>
      <c r="FD7" s="255"/>
      <c r="FE7" s="255"/>
      <c r="FF7" s="255"/>
      <c r="FG7" s="255"/>
      <c r="FH7" s="255"/>
      <c r="FI7" s="255"/>
      <c r="FJ7" s="255"/>
      <c r="FK7" s="255"/>
      <c r="FL7" s="255"/>
    </row>
    <row r="8" spans="1:168" s="290" customFormat="1" ht="15" customHeight="1" x14ac:dyDescent="0.2">
      <c r="M8" s="300"/>
      <c r="N8" s="300"/>
      <c r="O8" s="199"/>
      <c r="P8" s="255"/>
      <c r="Q8" s="255"/>
      <c r="R8" s="255"/>
      <c r="S8" s="255"/>
      <c r="T8" s="255"/>
      <c r="U8" s="255"/>
      <c r="V8" s="255"/>
      <c r="W8" s="255"/>
      <c r="X8" s="255"/>
      <c r="Y8" s="255"/>
      <c r="AC8" s="255"/>
      <c r="AD8" s="255"/>
      <c r="AE8" s="255"/>
      <c r="AF8" s="255"/>
      <c r="AG8" s="255"/>
      <c r="AH8" s="255"/>
      <c r="AI8" s="255"/>
      <c r="AJ8" s="255"/>
      <c r="AK8" s="255"/>
      <c r="AL8" s="255"/>
      <c r="AM8" s="255"/>
      <c r="AN8" s="255"/>
      <c r="AO8" s="255"/>
      <c r="AP8" s="255"/>
      <c r="AQ8" s="255"/>
      <c r="AR8" s="255"/>
      <c r="AS8" s="255"/>
      <c r="AT8" s="255"/>
      <c r="AU8" s="255"/>
      <c r="AV8" s="255"/>
      <c r="AW8" s="255"/>
      <c r="AX8" s="255"/>
      <c r="AY8" s="255"/>
      <c r="AZ8" s="255"/>
      <c r="BA8" s="255"/>
      <c r="BB8" s="255"/>
      <c r="BC8" s="255"/>
      <c r="BD8" s="255"/>
      <c r="BE8" s="255"/>
      <c r="BF8" s="255"/>
      <c r="BG8" s="255"/>
      <c r="BH8" s="255"/>
      <c r="BI8" s="255"/>
      <c r="BJ8" s="255"/>
      <c r="BK8" s="255"/>
      <c r="BL8" s="255"/>
      <c r="BM8" s="255"/>
      <c r="BN8" s="255"/>
      <c r="BO8" s="255"/>
      <c r="BP8" s="255"/>
      <c r="BQ8" s="255"/>
      <c r="BR8" s="255"/>
      <c r="BS8" s="255"/>
      <c r="BT8" s="255"/>
      <c r="BU8" s="255"/>
      <c r="BV8" s="255"/>
      <c r="BW8" s="255"/>
      <c r="BX8" s="255"/>
      <c r="BY8" s="255"/>
      <c r="BZ8" s="255"/>
      <c r="CA8" s="255"/>
      <c r="CB8" s="255"/>
      <c r="CC8" s="255"/>
      <c r="CD8" s="255"/>
      <c r="CE8" s="255"/>
      <c r="CF8" s="255"/>
      <c r="CG8" s="255"/>
      <c r="CH8" s="255"/>
      <c r="CI8" s="255"/>
      <c r="CJ8" s="255"/>
      <c r="CK8" s="255"/>
      <c r="CL8" s="255"/>
      <c r="CM8" s="255"/>
      <c r="CN8" s="255"/>
      <c r="CO8" s="255"/>
      <c r="CP8" s="255"/>
      <c r="CQ8" s="255"/>
      <c r="CR8" s="255"/>
      <c r="CS8" s="255"/>
      <c r="CT8" s="255"/>
      <c r="CU8" s="255"/>
      <c r="CV8" s="255"/>
      <c r="CW8" s="255"/>
      <c r="CX8" s="255"/>
      <c r="CY8" s="255"/>
      <c r="CZ8" s="255"/>
      <c r="DA8" s="255"/>
      <c r="DB8" s="255"/>
      <c r="DC8" s="255"/>
      <c r="DD8" s="255"/>
      <c r="DE8" s="255"/>
      <c r="DF8" s="255"/>
      <c r="DG8" s="255"/>
      <c r="DH8" s="255"/>
      <c r="DI8" s="255"/>
      <c r="DJ8" s="255"/>
      <c r="DK8" s="255"/>
      <c r="DL8" s="255"/>
      <c r="DM8" s="255"/>
      <c r="DN8" s="255"/>
      <c r="DO8" s="255"/>
      <c r="DP8" s="255"/>
      <c r="DQ8" s="255"/>
      <c r="DR8" s="255"/>
      <c r="DS8" s="255"/>
      <c r="DT8" s="255"/>
      <c r="DU8" s="255"/>
      <c r="DV8" s="255"/>
      <c r="DW8" s="255"/>
      <c r="DX8" s="255"/>
      <c r="DY8" s="255"/>
      <c r="DZ8" s="255"/>
      <c r="EA8" s="255"/>
      <c r="EB8" s="255"/>
      <c r="EC8" s="255"/>
      <c r="ED8" s="255"/>
      <c r="EE8" s="255"/>
      <c r="EF8" s="255"/>
      <c r="EG8" s="255"/>
      <c r="EH8" s="255"/>
      <c r="EI8" s="255"/>
      <c r="EJ8" s="255"/>
      <c r="EK8" s="255"/>
      <c r="EL8" s="255"/>
      <c r="EM8" s="255"/>
      <c r="EN8" s="255"/>
      <c r="EO8" s="255"/>
      <c r="EP8" s="255"/>
      <c r="EQ8" s="255"/>
      <c r="ER8" s="255"/>
      <c r="ES8" s="255"/>
      <c r="ET8" s="255"/>
      <c r="EU8" s="255"/>
      <c r="EV8" s="255"/>
      <c r="EW8" s="255"/>
      <c r="EX8" s="255"/>
      <c r="EY8" s="255"/>
      <c r="EZ8" s="255"/>
      <c r="FA8" s="255"/>
      <c r="FB8" s="255"/>
      <c r="FC8" s="255"/>
      <c r="FD8" s="255"/>
      <c r="FE8" s="255"/>
      <c r="FF8" s="255"/>
      <c r="FG8" s="255"/>
      <c r="FH8" s="255"/>
      <c r="FI8" s="255"/>
      <c r="FJ8" s="255"/>
      <c r="FK8" s="255"/>
      <c r="FL8" s="255"/>
    </row>
    <row r="9" spans="1:168" ht="7.5" customHeight="1" x14ac:dyDescent="0.2"/>
    <row r="10" spans="1:168" ht="18.75" customHeight="1" x14ac:dyDescent="0.25">
      <c r="A10" s="770"/>
      <c r="B10" s="770"/>
      <c r="C10" s="770"/>
      <c r="D10" s="770"/>
      <c r="E10" s="770"/>
      <c r="F10" s="770"/>
      <c r="G10" s="770"/>
      <c r="H10" s="770"/>
      <c r="I10" s="770"/>
      <c r="J10" s="770"/>
      <c r="K10" s="770"/>
      <c r="L10" s="770"/>
      <c r="M10" s="770"/>
      <c r="N10" s="770"/>
    </row>
    <row r="11" spans="1:168" ht="18.75" customHeight="1" x14ac:dyDescent="0.25">
      <c r="A11" s="770"/>
      <c r="B11" s="770"/>
      <c r="C11" s="770"/>
      <c r="D11" s="770"/>
      <c r="E11" s="770"/>
      <c r="F11" s="770"/>
      <c r="G11" s="770"/>
      <c r="H11" s="770"/>
      <c r="I11" s="770"/>
      <c r="J11" s="770"/>
      <c r="K11" s="770"/>
      <c r="L11" s="770"/>
      <c r="M11" s="770"/>
      <c r="N11" s="770"/>
    </row>
    <row r="12" spans="1:168" s="199" customFormat="1" x14ac:dyDescent="0.2"/>
    <row r="13" spans="1:168" s="199" customFormat="1" x14ac:dyDescent="0.2"/>
    <row r="14" spans="1:168" ht="15.75" x14ac:dyDescent="0.2">
      <c r="A14" s="301" t="s">
        <v>4</v>
      </c>
      <c r="C14" s="771" t="s">
        <v>96</v>
      </c>
      <c r="D14" s="771"/>
      <c r="E14" s="771"/>
      <c r="F14" s="771"/>
      <c r="G14" s="771"/>
      <c r="H14" s="771"/>
      <c r="I14" s="771"/>
      <c r="J14" s="771"/>
      <c r="K14" s="771"/>
      <c r="L14" s="302"/>
      <c r="M14" s="302"/>
      <c r="N14" s="302"/>
    </row>
    <row r="15" spans="1:168" s="199" customFormat="1" ht="15.75" x14ac:dyDescent="0.25">
      <c r="A15" s="303"/>
      <c r="C15" s="304"/>
      <c r="D15" s="305"/>
      <c r="E15" s="305"/>
      <c r="F15" s="305"/>
      <c r="G15" s="305"/>
      <c r="H15" s="305"/>
      <c r="I15" s="305"/>
      <c r="J15" s="305"/>
      <c r="K15" s="305"/>
      <c r="L15" s="305"/>
      <c r="M15" s="305"/>
      <c r="N15" s="305"/>
    </row>
    <row r="16" spans="1:168" ht="12.75" customHeight="1" x14ac:dyDescent="0.25">
      <c r="A16" s="301" t="s">
        <v>336</v>
      </c>
      <c r="C16" s="306"/>
      <c r="D16" s="306"/>
      <c r="E16" s="307">
        <v>1.036</v>
      </c>
      <c r="F16" s="306"/>
      <c r="G16" s="306"/>
      <c r="H16" s="306"/>
      <c r="I16" s="306"/>
      <c r="J16" s="306"/>
      <c r="K16" s="306"/>
      <c r="L16" s="306"/>
      <c r="M16" s="306"/>
      <c r="N16" s="306"/>
    </row>
    <row r="17" spans="1:168" s="199" customFormat="1" ht="12.75" customHeight="1" x14ac:dyDescent="0.25">
      <c r="A17" s="303"/>
      <c r="C17" s="305"/>
      <c r="D17" s="305"/>
      <c r="E17" s="305"/>
      <c r="F17" s="305"/>
      <c r="G17" s="305"/>
      <c r="H17" s="305"/>
      <c r="I17" s="305"/>
      <c r="J17" s="305"/>
      <c r="K17" s="305"/>
      <c r="L17" s="305"/>
      <c r="M17" s="305"/>
      <c r="N17" s="305"/>
    </row>
    <row r="18" spans="1:168" ht="12.75" customHeight="1" x14ac:dyDescent="0.2">
      <c r="A18" s="301" t="s">
        <v>337</v>
      </c>
      <c r="C18" s="308" t="s">
        <v>338</v>
      </c>
      <c r="D18" s="309"/>
      <c r="E18" s="310">
        <v>800</v>
      </c>
    </row>
    <row r="19" spans="1:168" s="199" customFormat="1" ht="12.75" customHeight="1" x14ac:dyDescent="0.2">
      <c r="F19" s="311"/>
    </row>
    <row r="20" spans="1:168" ht="12.75" customHeight="1" x14ac:dyDescent="0.2">
      <c r="A20" s="312" t="s">
        <v>339</v>
      </c>
      <c r="F20" s="309"/>
    </row>
    <row r="21" spans="1:168" ht="12.75" customHeight="1" x14ac:dyDescent="0.2">
      <c r="A21" s="313" t="s">
        <v>340</v>
      </c>
      <c r="B21" s="314"/>
      <c r="C21" s="315" t="s">
        <v>214</v>
      </c>
      <c r="D21" s="316"/>
      <c r="E21" s="317"/>
      <c r="F21" s="309"/>
    </row>
    <row r="22" spans="1:168" ht="12.75" customHeight="1" x14ac:dyDescent="0.2">
      <c r="A22" s="318"/>
      <c r="B22" s="319"/>
      <c r="C22" s="320"/>
      <c r="D22" s="321"/>
      <c r="E22" s="322"/>
      <c r="F22" s="323"/>
      <c r="G22" s="323"/>
      <c r="H22" s="323"/>
      <c r="I22" s="323"/>
      <c r="J22" s="323"/>
    </row>
    <row r="23" spans="1:168" s="199" customFormat="1" x14ac:dyDescent="0.2">
      <c r="A23" s="324"/>
      <c r="B23" s="325"/>
      <c r="C23" s="326"/>
      <c r="D23" s="327"/>
      <c r="E23" s="772"/>
      <c r="F23" s="772"/>
      <c r="G23" s="772"/>
      <c r="H23" s="772"/>
      <c r="I23" s="772"/>
      <c r="J23" s="772"/>
    </row>
    <row r="24" spans="1:168" s="199" customFormat="1" x14ac:dyDescent="0.2">
      <c r="A24" s="328"/>
    </row>
    <row r="25" spans="1:168" s="199" customFormat="1" x14ac:dyDescent="0.2">
      <c r="A25" s="328"/>
      <c r="C25" s="329"/>
      <c r="D25" s="329"/>
      <c r="E25" s="773" t="s">
        <v>341</v>
      </c>
      <c r="F25" s="774"/>
      <c r="G25" s="775"/>
      <c r="I25" s="773" t="s">
        <v>342</v>
      </c>
      <c r="J25" s="774"/>
      <c r="K25" s="775"/>
      <c r="M25" s="773" t="s">
        <v>343</v>
      </c>
      <c r="N25" s="775"/>
    </row>
    <row r="26" spans="1:168" s="199" customFormat="1" x14ac:dyDescent="0.2">
      <c r="A26" s="328"/>
      <c r="C26" s="776"/>
      <c r="D26" s="330"/>
      <c r="E26" s="331" t="s">
        <v>188</v>
      </c>
      <c r="F26" s="331" t="s">
        <v>344</v>
      </c>
      <c r="G26" s="332" t="s">
        <v>345</v>
      </c>
      <c r="I26" s="331" t="s">
        <v>188</v>
      </c>
      <c r="J26" s="333" t="s">
        <v>344</v>
      </c>
      <c r="K26" s="332" t="s">
        <v>345</v>
      </c>
      <c r="M26" s="778" t="s">
        <v>346</v>
      </c>
      <c r="N26" s="780" t="s">
        <v>347</v>
      </c>
    </row>
    <row r="27" spans="1:168" s="199" customFormat="1" x14ac:dyDescent="0.2">
      <c r="A27" s="328"/>
      <c r="C27" s="777"/>
      <c r="D27" s="330"/>
      <c r="E27" s="334" t="s">
        <v>348</v>
      </c>
      <c r="F27" s="334"/>
      <c r="G27" s="335" t="s">
        <v>348</v>
      </c>
      <c r="I27" s="334" t="s">
        <v>348</v>
      </c>
      <c r="J27" s="335"/>
      <c r="K27" s="335" t="s">
        <v>348</v>
      </c>
      <c r="M27" s="779"/>
      <c r="N27" s="781"/>
    </row>
    <row r="28" spans="1:168" ht="14.25" x14ac:dyDescent="0.2">
      <c r="A28" s="336" t="s">
        <v>349</v>
      </c>
      <c r="B28" s="336"/>
      <c r="C28" s="337"/>
      <c r="D28" s="338"/>
      <c r="E28" s="339">
        <v>13.03</v>
      </c>
      <c r="F28" s="340">
        <v>1</v>
      </c>
      <c r="G28" s="341">
        <f>F28*E28</f>
        <v>13.03</v>
      </c>
      <c r="H28" s="342"/>
      <c r="I28" s="339">
        <v>13.23</v>
      </c>
      <c r="J28" s="343">
        <v>1</v>
      </c>
      <c r="K28" s="344">
        <f>J28*I28</f>
        <v>13.23</v>
      </c>
      <c r="L28" s="342"/>
      <c r="M28" s="345">
        <f t="shared" ref="M28:M53" si="0">K28-G28</f>
        <v>0.20000000000000107</v>
      </c>
      <c r="N28" s="346">
        <f t="shared" ref="N28:N53" si="1">IF((G28)=0,"",(M28/G28))</f>
        <v>1.5349194167306299E-2</v>
      </c>
    </row>
    <row r="29" spans="1:168" ht="14.25" x14ac:dyDescent="0.2">
      <c r="A29" s="336" t="s">
        <v>322</v>
      </c>
      <c r="B29" s="336"/>
      <c r="C29" s="337"/>
      <c r="D29" s="338"/>
      <c r="E29" s="347">
        <v>1.3100000000000001E-2</v>
      </c>
      <c r="F29" s="348">
        <v>800</v>
      </c>
      <c r="G29" s="341">
        <f>F29*E29</f>
        <v>10.48</v>
      </c>
      <c r="H29" s="342"/>
      <c r="I29" s="347">
        <v>1.3299999999999999E-2</v>
      </c>
      <c r="J29" s="349">
        <f>F29</f>
        <v>800</v>
      </c>
      <c r="K29" s="341">
        <f>J29*I29</f>
        <v>10.639999999999999</v>
      </c>
      <c r="L29" s="342"/>
      <c r="M29" s="345">
        <f t="shared" si="0"/>
        <v>0.15999999999999837</v>
      </c>
      <c r="N29" s="346">
        <f t="shared" si="1"/>
        <v>1.5267175572518927E-2</v>
      </c>
    </row>
    <row r="30" spans="1:168" ht="14.25" x14ac:dyDescent="0.2">
      <c r="A30" s="350" t="s">
        <v>350</v>
      </c>
      <c r="B30" s="350"/>
      <c r="C30" s="337"/>
      <c r="D30" s="338"/>
      <c r="E30" s="351"/>
      <c r="F30" s="340">
        <v>1</v>
      </c>
      <c r="G30" s="341">
        <f>F30*E30</f>
        <v>0</v>
      </c>
      <c r="H30" s="342"/>
      <c r="I30" s="351">
        <v>0.02</v>
      </c>
      <c r="J30" s="343">
        <v>1</v>
      </c>
      <c r="K30" s="344">
        <f>J30*I30</f>
        <v>0.02</v>
      </c>
      <c r="L30" s="342"/>
      <c r="M30" s="345">
        <f t="shared" si="0"/>
        <v>0.02</v>
      </c>
      <c r="N30" s="346" t="str">
        <f t="shared" si="1"/>
        <v/>
      </c>
    </row>
    <row r="31" spans="1:168" ht="14.25" x14ac:dyDescent="0.2">
      <c r="A31" s="352" t="s">
        <v>351</v>
      </c>
      <c r="B31" s="353"/>
      <c r="C31" s="354"/>
      <c r="D31" s="355"/>
      <c r="E31" s="356">
        <v>5.0000000000000001E-4</v>
      </c>
      <c r="F31" s="357">
        <v>800</v>
      </c>
      <c r="G31" s="358">
        <f>F31*E31</f>
        <v>0.4</v>
      </c>
      <c r="H31" s="359"/>
      <c r="I31" s="356">
        <v>0</v>
      </c>
      <c r="J31" s="360">
        <f>F31</f>
        <v>800</v>
      </c>
      <c r="K31" s="358">
        <f>J31*I31</f>
        <v>0</v>
      </c>
      <c r="L31" s="359"/>
      <c r="M31" s="361">
        <f t="shared" si="0"/>
        <v>-0.4</v>
      </c>
      <c r="N31" s="362">
        <f t="shared" si="1"/>
        <v>-1</v>
      </c>
    </row>
    <row r="32" spans="1:168" s="375" customFormat="1" ht="15" x14ac:dyDescent="0.2">
      <c r="A32" s="363" t="s">
        <v>352</v>
      </c>
      <c r="B32" s="364"/>
      <c r="C32" s="364"/>
      <c r="D32" s="365"/>
      <c r="E32" s="366"/>
      <c r="F32" s="367"/>
      <c r="G32" s="368">
        <f>SUM(G28:G31)</f>
        <v>23.909999999999997</v>
      </c>
      <c r="H32" s="369"/>
      <c r="I32" s="366"/>
      <c r="J32" s="370"/>
      <c r="K32" s="368">
        <f>SUM(K28:K31)</f>
        <v>23.889999999999997</v>
      </c>
      <c r="L32" s="371"/>
      <c r="M32" s="372">
        <f t="shared" si="0"/>
        <v>-1.9999999999999574E-2</v>
      </c>
      <c r="N32" s="373">
        <f t="shared" si="1"/>
        <v>-8.3647009619404336E-4</v>
      </c>
      <c r="O32" s="374"/>
      <c r="P32" s="374"/>
      <c r="Q32" s="374"/>
      <c r="R32" s="374"/>
      <c r="S32" s="374"/>
      <c r="T32" s="374"/>
      <c r="U32" s="374"/>
      <c r="V32" s="374"/>
      <c r="W32" s="374"/>
      <c r="X32" s="374"/>
      <c r="Y32" s="374"/>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c r="BF32" s="374"/>
      <c r="BG32" s="374"/>
      <c r="BH32" s="374"/>
      <c r="BI32" s="374"/>
      <c r="BJ32" s="374"/>
      <c r="BK32" s="374"/>
      <c r="BL32" s="374"/>
      <c r="BM32" s="374"/>
      <c r="BN32" s="374"/>
      <c r="BO32" s="374"/>
      <c r="BP32" s="374"/>
      <c r="BQ32" s="374"/>
      <c r="BR32" s="374"/>
      <c r="BS32" s="374"/>
      <c r="BT32" s="374"/>
      <c r="BU32" s="374"/>
      <c r="BV32" s="374"/>
      <c r="BW32" s="374"/>
      <c r="BX32" s="374"/>
      <c r="BY32" s="374"/>
      <c r="BZ32" s="374"/>
      <c r="CA32" s="374"/>
      <c r="CB32" s="374"/>
      <c r="CC32" s="374"/>
      <c r="CD32" s="374"/>
      <c r="CE32" s="374"/>
      <c r="CF32" s="374"/>
      <c r="CG32" s="374"/>
      <c r="CH32" s="374"/>
      <c r="CI32" s="374"/>
      <c r="CJ32" s="374"/>
      <c r="CK32" s="374"/>
      <c r="CL32" s="374"/>
      <c r="CM32" s="374"/>
      <c r="CN32" s="374"/>
      <c r="CO32" s="374"/>
      <c r="CP32" s="374"/>
      <c r="CQ32" s="374"/>
      <c r="CR32" s="374"/>
      <c r="CS32" s="374"/>
      <c r="CT32" s="374"/>
      <c r="CU32" s="374"/>
      <c r="CV32" s="374"/>
      <c r="CW32" s="374"/>
      <c r="CX32" s="374"/>
      <c r="CY32" s="374"/>
      <c r="CZ32" s="374"/>
      <c r="DA32" s="374"/>
      <c r="DB32" s="374"/>
      <c r="DC32" s="374"/>
      <c r="DD32" s="374"/>
      <c r="DE32" s="374"/>
      <c r="DF32" s="374"/>
      <c r="DG32" s="374"/>
      <c r="DH32" s="374"/>
      <c r="DI32" s="374"/>
      <c r="DJ32" s="374"/>
      <c r="DK32" s="374"/>
      <c r="DL32" s="374"/>
      <c r="DM32" s="374"/>
      <c r="DN32" s="374"/>
      <c r="DO32" s="374"/>
      <c r="DP32" s="374"/>
      <c r="DQ32" s="374"/>
      <c r="DR32" s="374"/>
      <c r="DS32" s="374"/>
      <c r="DT32" s="374"/>
      <c r="DU32" s="374"/>
      <c r="DV32" s="374"/>
      <c r="DW32" s="374"/>
      <c r="DX32" s="374"/>
      <c r="DY32" s="374"/>
      <c r="DZ32" s="374"/>
      <c r="EA32" s="374"/>
      <c r="EB32" s="374"/>
      <c r="EC32" s="374"/>
      <c r="ED32" s="374"/>
      <c r="EE32" s="374"/>
      <c r="EF32" s="374"/>
      <c r="EG32" s="374"/>
      <c r="EH32" s="374"/>
      <c r="EI32" s="374"/>
      <c r="EJ32" s="374"/>
      <c r="EK32" s="374"/>
      <c r="EL32" s="374"/>
      <c r="EM32" s="374"/>
      <c r="EN32" s="374"/>
      <c r="EO32" s="374"/>
      <c r="EP32" s="374"/>
      <c r="EQ32" s="374"/>
      <c r="ER32" s="374"/>
      <c r="ES32" s="374"/>
      <c r="ET32" s="374"/>
      <c r="EU32" s="374"/>
      <c r="EV32" s="374"/>
      <c r="EW32" s="374"/>
      <c r="EX32" s="374"/>
      <c r="EY32" s="374"/>
      <c r="EZ32" s="374"/>
      <c r="FA32" s="374"/>
      <c r="FB32" s="374"/>
      <c r="FC32" s="374"/>
      <c r="FD32" s="374"/>
      <c r="FE32" s="374"/>
      <c r="FF32" s="374"/>
      <c r="FG32" s="374"/>
      <c r="FH32" s="374"/>
      <c r="FI32" s="374"/>
      <c r="FJ32" s="374"/>
      <c r="FK32" s="374"/>
      <c r="FL32" s="374"/>
    </row>
    <row r="33" spans="1:14" s="300" customFormat="1" ht="14.25" x14ac:dyDescent="0.2">
      <c r="A33" s="376" t="s">
        <v>353</v>
      </c>
      <c r="B33" s="260"/>
      <c r="C33" s="377"/>
      <c r="D33" s="378"/>
      <c r="E33" s="347">
        <f>E45*0.64+E46*0.18+E47*0.18</f>
        <v>9.2460000000000001E-2</v>
      </c>
      <c r="F33" s="379">
        <f>E18*(E16-1)</f>
        <v>28.800000000000026</v>
      </c>
      <c r="G33" s="341">
        <f>E33*F33</f>
        <v>2.6628480000000025</v>
      </c>
      <c r="H33" s="369"/>
      <c r="I33" s="347">
        <f>I45*0.64+I46*0.18+I47*0.18</f>
        <v>9.2460000000000001E-2</v>
      </c>
      <c r="J33" s="379">
        <f>F33</f>
        <v>28.800000000000026</v>
      </c>
      <c r="K33" s="341">
        <f>I33*J33</f>
        <v>2.6628480000000025</v>
      </c>
      <c r="L33" s="380"/>
      <c r="M33" s="345">
        <f t="shared" si="0"/>
        <v>0</v>
      </c>
      <c r="N33" s="346">
        <f t="shared" si="1"/>
        <v>0</v>
      </c>
    </row>
    <row r="34" spans="1:14" s="300" customFormat="1" ht="25.5" x14ac:dyDescent="0.2">
      <c r="A34" s="376" t="s">
        <v>354</v>
      </c>
      <c r="B34" s="260"/>
      <c r="C34" s="377"/>
      <c r="D34" s="378"/>
      <c r="E34" s="381">
        <v>-1.1000000000000001E-3</v>
      </c>
      <c r="F34" s="379">
        <v>800</v>
      </c>
      <c r="G34" s="341">
        <f>F34*E34</f>
        <v>-0.88</v>
      </c>
      <c r="H34" s="369"/>
      <c r="I34" s="381">
        <v>0</v>
      </c>
      <c r="J34" s="379">
        <f>F34</f>
        <v>800</v>
      </c>
      <c r="K34" s="341">
        <f>J34*I34</f>
        <v>0</v>
      </c>
      <c r="L34" s="380"/>
      <c r="M34" s="345">
        <f t="shared" si="0"/>
        <v>0.88</v>
      </c>
      <c r="N34" s="346">
        <f t="shared" si="1"/>
        <v>-1</v>
      </c>
    </row>
    <row r="35" spans="1:14" s="300" customFormat="1" ht="14.25" x14ac:dyDescent="0.2">
      <c r="A35" s="382" t="s">
        <v>355</v>
      </c>
      <c r="B35" s="260"/>
      <c r="C35" s="377"/>
      <c r="D35" s="378"/>
      <c r="E35" s="347">
        <v>2.0000000000000001E-4</v>
      </c>
      <c r="F35" s="379">
        <v>800</v>
      </c>
      <c r="G35" s="341">
        <f>F35*E35</f>
        <v>0.16</v>
      </c>
      <c r="H35" s="369"/>
      <c r="I35" s="347">
        <v>2.0000000000000001E-4</v>
      </c>
      <c r="J35" s="379">
        <f>F35</f>
        <v>800</v>
      </c>
      <c r="K35" s="341">
        <f>J35*I35</f>
        <v>0.16</v>
      </c>
      <c r="L35" s="380"/>
      <c r="M35" s="345">
        <f t="shared" si="0"/>
        <v>0</v>
      </c>
      <c r="N35" s="346">
        <f t="shared" si="1"/>
        <v>0</v>
      </c>
    </row>
    <row r="36" spans="1:14" s="300" customFormat="1" ht="14.25" x14ac:dyDescent="0.2">
      <c r="A36" s="382" t="s">
        <v>356</v>
      </c>
      <c r="B36" s="260"/>
      <c r="C36" s="377"/>
      <c r="D36" s="378"/>
      <c r="E36" s="347">
        <v>0.79</v>
      </c>
      <c r="F36" s="379">
        <v>1</v>
      </c>
      <c r="G36" s="341">
        <f>F36*E36</f>
        <v>0.79</v>
      </c>
      <c r="H36" s="369"/>
      <c r="I36" s="347">
        <v>0.79</v>
      </c>
      <c r="J36" s="379">
        <f>F36</f>
        <v>1</v>
      </c>
      <c r="K36" s="341">
        <f>J36*I36</f>
        <v>0.79</v>
      </c>
      <c r="L36" s="380"/>
      <c r="M36" s="345">
        <f t="shared" si="0"/>
        <v>0</v>
      </c>
      <c r="N36" s="346">
        <f t="shared" si="1"/>
        <v>0</v>
      </c>
    </row>
    <row r="37" spans="1:14" s="300" customFormat="1" ht="25.5" x14ac:dyDescent="0.2">
      <c r="A37" s="383" t="s">
        <v>357</v>
      </c>
      <c r="B37" s="384"/>
      <c r="C37" s="384"/>
      <c r="D37" s="385"/>
      <c r="E37" s="386"/>
      <c r="F37" s="386"/>
      <c r="G37" s="387">
        <f>SUM(G32:G36)</f>
        <v>26.642848000000001</v>
      </c>
      <c r="H37" s="369"/>
      <c r="I37" s="386"/>
      <c r="J37" s="388"/>
      <c r="K37" s="387">
        <f>SUM(K32:K36)</f>
        <v>27.502848</v>
      </c>
      <c r="L37" s="371"/>
      <c r="M37" s="389">
        <f t="shared" si="0"/>
        <v>0.85999999999999943</v>
      </c>
      <c r="N37" s="390">
        <f t="shared" si="1"/>
        <v>3.2278831452253132E-2</v>
      </c>
    </row>
    <row r="38" spans="1:14" s="300" customFormat="1" ht="14.25" x14ac:dyDescent="0.2">
      <c r="A38" s="391" t="s">
        <v>358</v>
      </c>
      <c r="B38" s="391"/>
      <c r="C38" s="392"/>
      <c r="D38" s="393"/>
      <c r="E38" s="347">
        <v>7.6E-3</v>
      </c>
      <c r="F38" s="394">
        <v>800</v>
      </c>
      <c r="G38" s="341">
        <f>F38*E38</f>
        <v>6.08</v>
      </c>
      <c r="H38" s="369"/>
      <c r="I38" s="347">
        <v>8.2000000000000007E-3</v>
      </c>
      <c r="J38" s="395">
        <f>F38</f>
        <v>800</v>
      </c>
      <c r="K38" s="341">
        <f>J38*I38</f>
        <v>6.5600000000000005</v>
      </c>
      <c r="L38" s="380"/>
      <c r="M38" s="345">
        <f t="shared" si="0"/>
        <v>0.48000000000000043</v>
      </c>
      <c r="N38" s="346">
        <f t="shared" si="1"/>
        <v>7.8947368421052697E-2</v>
      </c>
    </row>
    <row r="39" spans="1:14" s="300" customFormat="1" ht="14.25" x14ac:dyDescent="0.2">
      <c r="A39" s="782" t="s">
        <v>359</v>
      </c>
      <c r="B39" s="782"/>
      <c r="C39" s="782"/>
      <c r="D39" s="393"/>
      <c r="E39" s="347">
        <v>5.7999999999999996E-3</v>
      </c>
      <c r="F39" s="394">
        <v>800</v>
      </c>
      <c r="G39" s="341">
        <f>F39*E39</f>
        <v>4.6399999999999997</v>
      </c>
      <c r="H39" s="369"/>
      <c r="I39" s="347">
        <v>6.1999999999999998E-3</v>
      </c>
      <c r="J39" s="395">
        <f>F39</f>
        <v>800</v>
      </c>
      <c r="K39" s="341">
        <f>J39*I39</f>
        <v>4.96</v>
      </c>
      <c r="L39" s="380"/>
      <c r="M39" s="345">
        <f t="shared" si="0"/>
        <v>0.32000000000000028</v>
      </c>
      <c r="N39" s="346">
        <f t="shared" si="1"/>
        <v>6.8965517241379379E-2</v>
      </c>
    </row>
    <row r="40" spans="1:14" s="300" customFormat="1" ht="25.5" x14ac:dyDescent="0.2">
      <c r="A40" s="383" t="s">
        <v>360</v>
      </c>
      <c r="B40" s="396"/>
      <c r="C40" s="396"/>
      <c r="D40" s="397"/>
      <c r="E40" s="386"/>
      <c r="F40" s="386"/>
      <c r="G40" s="387">
        <f>SUM(G37:G39)</f>
        <v>37.362848</v>
      </c>
      <c r="H40" s="398"/>
      <c r="I40" s="399"/>
      <c r="J40" s="400"/>
      <c r="K40" s="387">
        <f>SUM(K37:K39)</f>
        <v>39.022848000000003</v>
      </c>
      <c r="L40" s="401"/>
      <c r="M40" s="389">
        <f t="shared" si="0"/>
        <v>1.6600000000000037</v>
      </c>
      <c r="N40" s="390">
        <f t="shared" si="1"/>
        <v>4.4429161288775519E-2</v>
      </c>
    </row>
    <row r="41" spans="1:14" s="300" customFormat="1" ht="25.5" x14ac:dyDescent="0.2">
      <c r="A41" s="402" t="s">
        <v>361</v>
      </c>
      <c r="B41" s="260"/>
      <c r="C41" s="377"/>
      <c r="D41" s="378"/>
      <c r="E41" s="403">
        <v>4.4000000000000003E-3</v>
      </c>
      <c r="F41" s="394">
        <f>E18*E16</f>
        <v>828.80000000000007</v>
      </c>
      <c r="G41" s="404">
        <f t="shared" ref="G41:G47" si="2">F41*E41</f>
        <v>3.6467200000000006</v>
      </c>
      <c r="H41" s="380"/>
      <c r="I41" s="403">
        <v>4.4000000000000003E-3</v>
      </c>
      <c r="J41" s="395">
        <f>E18*E16</f>
        <v>828.80000000000007</v>
      </c>
      <c r="K41" s="404">
        <f t="shared" ref="K41:K47" si="3">J41*I41</f>
        <v>3.6467200000000006</v>
      </c>
      <c r="L41" s="380"/>
      <c r="M41" s="345">
        <f t="shared" si="0"/>
        <v>0</v>
      </c>
      <c r="N41" s="405">
        <f t="shared" si="1"/>
        <v>0</v>
      </c>
    </row>
    <row r="42" spans="1:14" s="300" customFormat="1" ht="25.5" x14ac:dyDescent="0.2">
      <c r="A42" s="402" t="s">
        <v>362</v>
      </c>
      <c r="B42" s="260"/>
      <c r="C42" s="377"/>
      <c r="D42" s="378"/>
      <c r="E42" s="403">
        <v>1.2999999999999999E-3</v>
      </c>
      <c r="F42" s="394">
        <f>E18*E16</f>
        <v>828.80000000000007</v>
      </c>
      <c r="G42" s="404">
        <f t="shared" si="2"/>
        <v>1.07744</v>
      </c>
      <c r="H42" s="380"/>
      <c r="I42" s="403">
        <v>1.2999999999999999E-3</v>
      </c>
      <c r="J42" s="395">
        <f>E18*E16</f>
        <v>828.80000000000007</v>
      </c>
      <c r="K42" s="404">
        <f t="shared" si="3"/>
        <v>1.07744</v>
      </c>
      <c r="L42" s="380"/>
      <c r="M42" s="345">
        <f t="shared" si="0"/>
        <v>0</v>
      </c>
      <c r="N42" s="405">
        <f t="shared" si="1"/>
        <v>0</v>
      </c>
    </row>
    <row r="43" spans="1:14" s="300" customFormat="1" ht="14.25" x14ac:dyDescent="0.2">
      <c r="A43" s="260" t="s">
        <v>363</v>
      </c>
      <c r="B43" s="260"/>
      <c r="C43" s="377"/>
      <c r="D43" s="378"/>
      <c r="E43" s="403">
        <v>0.25</v>
      </c>
      <c r="F43" s="394">
        <v>1</v>
      </c>
      <c r="G43" s="404">
        <f t="shared" si="2"/>
        <v>0.25</v>
      </c>
      <c r="H43" s="380"/>
      <c r="I43" s="403">
        <v>0.25</v>
      </c>
      <c r="J43" s="395">
        <v>1</v>
      </c>
      <c r="K43" s="404">
        <f t="shared" si="3"/>
        <v>0.25</v>
      </c>
      <c r="L43" s="380"/>
      <c r="M43" s="345">
        <f t="shared" si="0"/>
        <v>0</v>
      </c>
      <c r="N43" s="405">
        <f t="shared" si="1"/>
        <v>0</v>
      </c>
    </row>
    <row r="44" spans="1:14" s="300" customFormat="1" ht="14.25" x14ac:dyDescent="0.2">
      <c r="A44" s="260" t="s">
        <v>364</v>
      </c>
      <c r="B44" s="260"/>
      <c r="C44" s="377"/>
      <c r="D44" s="378"/>
      <c r="E44" s="403">
        <v>7.0000000000000001E-3</v>
      </c>
      <c r="F44" s="394">
        <f>E18</f>
        <v>800</v>
      </c>
      <c r="G44" s="404">
        <f t="shared" si="2"/>
        <v>5.6000000000000005</v>
      </c>
      <c r="H44" s="380"/>
      <c r="I44" s="403">
        <v>7.0000000000000001E-3</v>
      </c>
      <c r="J44" s="395">
        <f>E18</f>
        <v>800</v>
      </c>
      <c r="K44" s="404">
        <f t="shared" si="3"/>
        <v>5.6000000000000005</v>
      </c>
      <c r="L44" s="380"/>
      <c r="M44" s="345">
        <f t="shared" si="0"/>
        <v>0</v>
      </c>
      <c r="N44" s="405">
        <f t="shared" si="1"/>
        <v>0</v>
      </c>
    </row>
    <row r="45" spans="1:14" s="300" customFormat="1" ht="14.25" x14ac:dyDescent="0.2">
      <c r="A45" s="382" t="s">
        <v>365</v>
      </c>
      <c r="B45" s="260"/>
      <c r="C45" s="377"/>
      <c r="D45" s="378"/>
      <c r="E45" s="406">
        <v>7.4999999999999997E-2</v>
      </c>
      <c r="F45" s="394">
        <v>512</v>
      </c>
      <c r="G45" s="404">
        <f t="shared" si="2"/>
        <v>38.4</v>
      </c>
      <c r="H45" s="380"/>
      <c r="I45" s="403">
        <v>7.4999999999999997E-2</v>
      </c>
      <c r="J45" s="394">
        <f>F45</f>
        <v>512</v>
      </c>
      <c r="K45" s="404">
        <f t="shared" si="3"/>
        <v>38.4</v>
      </c>
      <c r="L45" s="380"/>
      <c r="M45" s="345">
        <f t="shared" si="0"/>
        <v>0</v>
      </c>
      <c r="N45" s="405">
        <f t="shared" si="1"/>
        <v>0</v>
      </c>
    </row>
    <row r="46" spans="1:14" s="300" customFormat="1" ht="14.25" x14ac:dyDescent="0.2">
      <c r="A46" s="382" t="s">
        <v>366</v>
      </c>
      <c r="B46" s="260"/>
      <c r="C46" s="377"/>
      <c r="D46" s="378"/>
      <c r="E46" s="406">
        <v>0.112</v>
      </c>
      <c r="F46" s="394">
        <v>144</v>
      </c>
      <c r="G46" s="404">
        <f t="shared" si="2"/>
        <v>16.128</v>
      </c>
      <c r="H46" s="380"/>
      <c r="I46" s="403">
        <v>0.112</v>
      </c>
      <c r="J46" s="394">
        <f>F46</f>
        <v>144</v>
      </c>
      <c r="K46" s="404">
        <f t="shared" si="3"/>
        <v>16.128</v>
      </c>
      <c r="L46" s="380"/>
      <c r="M46" s="345">
        <f t="shared" si="0"/>
        <v>0</v>
      </c>
      <c r="N46" s="405">
        <f t="shared" si="1"/>
        <v>0</v>
      </c>
    </row>
    <row r="47" spans="1:14" s="300" customFormat="1" ht="15" thickBot="1" x14ac:dyDescent="0.25">
      <c r="A47" s="328" t="s">
        <v>367</v>
      </c>
      <c r="B47" s="260"/>
      <c r="C47" s="377"/>
      <c r="D47" s="378"/>
      <c r="E47" s="406">
        <v>0.13500000000000001</v>
      </c>
      <c r="F47" s="394">
        <v>144</v>
      </c>
      <c r="G47" s="404">
        <f t="shared" si="2"/>
        <v>19.440000000000001</v>
      </c>
      <c r="H47" s="380"/>
      <c r="I47" s="403">
        <v>0.13500000000000001</v>
      </c>
      <c r="J47" s="394">
        <f>F47</f>
        <v>144</v>
      </c>
      <c r="K47" s="404">
        <f t="shared" si="3"/>
        <v>19.440000000000001</v>
      </c>
      <c r="L47" s="380"/>
      <c r="M47" s="345">
        <f t="shared" si="0"/>
        <v>0</v>
      </c>
      <c r="N47" s="405">
        <f t="shared" si="1"/>
        <v>0</v>
      </c>
    </row>
    <row r="48" spans="1:14" s="300" customFormat="1" ht="15" thickBot="1" x14ac:dyDescent="0.25">
      <c r="A48" s="407"/>
      <c r="B48" s="408"/>
      <c r="C48" s="408"/>
      <c r="D48" s="409"/>
      <c r="E48" s="410"/>
      <c r="F48" s="411"/>
      <c r="G48" s="412"/>
      <c r="H48" s="413"/>
      <c r="I48" s="410"/>
      <c r="J48" s="414"/>
      <c r="K48" s="412"/>
      <c r="L48" s="413"/>
      <c r="M48" s="415"/>
      <c r="N48" s="416"/>
    </row>
    <row r="49" spans="1:14" s="300" customFormat="1" ht="15" x14ac:dyDescent="0.2">
      <c r="A49" s="417" t="s">
        <v>368</v>
      </c>
      <c r="B49" s="260"/>
      <c r="C49" s="260"/>
      <c r="D49" s="418"/>
      <c r="E49" s="419"/>
      <c r="F49" s="420"/>
      <c r="G49" s="421">
        <f>SUM(G40:G44,G45:G47)</f>
        <v>121.905008</v>
      </c>
      <c r="H49" s="422"/>
      <c r="I49" s="423"/>
      <c r="J49" s="423"/>
      <c r="K49" s="424">
        <f>SUM(K40:K44,K45:K47)</f>
        <v>123.56500800000001</v>
      </c>
      <c r="L49" s="425"/>
      <c r="M49" s="426">
        <f>K49-G49</f>
        <v>1.6600000000000108</v>
      </c>
      <c r="N49" s="427">
        <f>IF((G49)=0,"",(M49/G49))</f>
        <v>1.3617160010358318E-2</v>
      </c>
    </row>
    <row r="50" spans="1:14" s="300" customFormat="1" ht="14.25" x14ac:dyDescent="0.2">
      <c r="A50" s="428" t="s">
        <v>369</v>
      </c>
      <c r="B50" s="260"/>
      <c r="C50" s="260"/>
      <c r="D50" s="418"/>
      <c r="E50" s="419">
        <v>0.13</v>
      </c>
      <c r="F50" s="429"/>
      <c r="G50" s="430">
        <f>G49*E50</f>
        <v>15.847651040000001</v>
      </c>
      <c r="H50" s="431"/>
      <c r="I50" s="419">
        <v>0.13</v>
      </c>
      <c r="J50" s="431"/>
      <c r="K50" s="432">
        <f>K49*I50</f>
        <v>16.06345104</v>
      </c>
      <c r="L50" s="433"/>
      <c r="M50" s="434">
        <f t="shared" si="0"/>
        <v>0.21579999999999977</v>
      </c>
      <c r="N50" s="435">
        <f t="shared" si="1"/>
        <v>1.3617160010358214E-2</v>
      </c>
    </row>
    <row r="51" spans="1:14" s="300" customFormat="1" ht="14.25" x14ac:dyDescent="0.2">
      <c r="A51" s="436" t="s">
        <v>370</v>
      </c>
      <c r="B51" s="260"/>
      <c r="C51" s="260"/>
      <c r="D51" s="418"/>
      <c r="E51" s="431"/>
      <c r="F51" s="429"/>
      <c r="G51" s="430">
        <f>G49+G50</f>
        <v>137.75265904</v>
      </c>
      <c r="H51" s="431"/>
      <c r="I51" s="431"/>
      <c r="J51" s="431"/>
      <c r="K51" s="432">
        <f>K49+K50</f>
        <v>139.62845904</v>
      </c>
      <c r="L51" s="433"/>
      <c r="M51" s="434">
        <f t="shared" si="0"/>
        <v>1.8757999999999981</v>
      </c>
      <c r="N51" s="435">
        <f t="shared" si="1"/>
        <v>1.3617160010358216E-2</v>
      </c>
    </row>
    <row r="52" spans="1:14" s="300" customFormat="1" ht="14.25" x14ac:dyDescent="0.2">
      <c r="A52" s="783" t="s">
        <v>371</v>
      </c>
      <c r="B52" s="783"/>
      <c r="C52" s="783"/>
      <c r="D52" s="418"/>
      <c r="E52" s="431"/>
      <c r="F52" s="429"/>
      <c r="G52" s="437">
        <f>ROUND(-G51*10%,2)</f>
        <v>-13.78</v>
      </c>
      <c r="H52" s="431"/>
      <c r="I52" s="431"/>
      <c r="J52" s="431"/>
      <c r="K52" s="438">
        <f>ROUND(-K51*10%,2)</f>
        <v>-13.96</v>
      </c>
      <c r="L52" s="433"/>
      <c r="M52" s="439">
        <f t="shared" si="0"/>
        <v>-0.18000000000000149</v>
      </c>
      <c r="N52" s="440">
        <f t="shared" si="1"/>
        <v>1.3062409288824493E-2</v>
      </c>
    </row>
    <row r="53" spans="1:14" s="300" customFormat="1" ht="15.75" thickBot="1" x14ac:dyDescent="0.25">
      <c r="A53" s="768" t="s">
        <v>372</v>
      </c>
      <c r="B53" s="768"/>
      <c r="C53" s="768"/>
      <c r="D53" s="441"/>
      <c r="E53" s="442"/>
      <c r="F53" s="443"/>
      <c r="G53" s="444">
        <f>G51+G52</f>
        <v>123.97265904</v>
      </c>
      <c r="H53" s="445"/>
      <c r="I53" s="445"/>
      <c r="J53" s="445"/>
      <c r="K53" s="446">
        <f>K51+K52</f>
        <v>125.66845903999999</v>
      </c>
      <c r="L53" s="447"/>
      <c r="M53" s="372">
        <f t="shared" si="0"/>
        <v>1.6957999999999913</v>
      </c>
      <c r="N53" s="373">
        <f t="shared" si="1"/>
        <v>1.3678822517252279E-2</v>
      </c>
    </row>
    <row r="54" spans="1:14" s="300" customFormat="1" ht="13.5" thickBot="1" x14ac:dyDescent="0.25">
      <c r="A54" s="407"/>
      <c r="B54" s="408"/>
      <c r="C54" s="408"/>
      <c r="D54" s="409"/>
      <c r="E54" s="448"/>
      <c r="F54" s="449"/>
      <c r="G54" s="450"/>
      <c r="H54" s="451"/>
      <c r="I54" s="448"/>
      <c r="J54" s="451"/>
      <c r="K54" s="452"/>
      <c r="L54" s="449"/>
      <c r="M54" s="453"/>
      <c r="N54" s="454"/>
    </row>
    <row r="55" spans="1:14" s="300" customFormat="1" x14ac:dyDescent="0.2">
      <c r="A55" s="199"/>
      <c r="B55" s="199"/>
      <c r="C55" s="199"/>
      <c r="K55" s="455"/>
    </row>
    <row r="56" spans="1:14" s="300" customFormat="1" x14ac:dyDescent="0.2">
      <c r="A56" s="199"/>
      <c r="B56" s="199"/>
      <c r="C56" s="199"/>
    </row>
    <row r="57" spans="1:14" s="300" customFormat="1" x14ac:dyDescent="0.2">
      <c r="A57" s="199"/>
      <c r="B57" s="199"/>
      <c r="C57" s="199"/>
    </row>
    <row r="58" spans="1:14" s="300" customFormat="1" x14ac:dyDescent="0.2">
      <c r="A58" s="311" t="s">
        <v>373</v>
      </c>
      <c r="B58" s="199"/>
      <c r="C58" s="199"/>
    </row>
    <row r="59" spans="1:14" s="300" customFormat="1" x14ac:dyDescent="0.2">
      <c r="A59" s="199"/>
      <c r="B59" s="199"/>
      <c r="C59" s="199"/>
    </row>
  </sheetData>
  <mergeCells count="14">
    <mergeCell ref="A53:C53"/>
    <mergeCell ref="A3:J3"/>
    <mergeCell ref="A10:N10"/>
    <mergeCell ref="A11:N11"/>
    <mergeCell ref="C14:K14"/>
    <mergeCell ref="E23:J23"/>
    <mergeCell ref="E25:G25"/>
    <mergeCell ref="I25:K25"/>
    <mergeCell ref="M25:N25"/>
    <mergeCell ref="C26:C27"/>
    <mergeCell ref="M26:M27"/>
    <mergeCell ref="N26:N27"/>
    <mergeCell ref="A39:C39"/>
    <mergeCell ref="A52:C52"/>
  </mergeCells>
  <dataValidations count="4">
    <dataValidation type="list" allowBlank="1" showInputMessage="1" showErrorMessage="1" sqref="C14">
      <formula1>BI_LDCLIST</formula1>
    </dataValidation>
    <dataValidation showDropDown="1" showInputMessage="1" showErrorMessage="1" prompt="Select Charge Unit - monthly, per kWh, per kW" sqref="C28:C31 C34:C36 C38 C41:C47"/>
    <dataValidation type="list" allowBlank="1" showInputMessage="1" showErrorMessage="1" sqref="D38:D39 D54 D28:D31 D34:D36 D41:D48">
      <formula1>#REF!</formula1>
    </dataValidation>
    <dataValidation type="list" allowBlank="1" showInputMessage="1" showErrorMessage="1" prompt="Select Charge Unit - monthly, per kWh, per kW" sqref="C48 C54">
      <formula1>"Monthly, per kWh, per kW"</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M49"/>
  <sheetViews>
    <sheetView workbookViewId="0">
      <pane xSplit="2" ySplit="6" topLeftCell="AG7" activePane="bottomRight" state="frozen"/>
      <selection pane="topRight" activeCell="C1" sqref="C1"/>
      <selection pane="bottomLeft" activeCell="A7" sqref="A7"/>
      <selection pane="bottomRight" activeCell="AK16" sqref="AK16"/>
    </sheetView>
  </sheetViews>
  <sheetFormatPr defaultRowHeight="15" x14ac:dyDescent="0.25"/>
  <cols>
    <col min="1" max="1" width="55.28515625" customWidth="1"/>
    <col min="2" max="2" width="12.140625" customWidth="1"/>
    <col min="3" max="21" width="16.42578125" customWidth="1"/>
    <col min="22" max="31" width="18.28515625" customWidth="1"/>
    <col min="32" max="37" width="21.5703125" customWidth="1"/>
    <col min="38" max="39" width="15.85546875" customWidth="1"/>
  </cols>
  <sheetData>
    <row r="1" spans="1:39" ht="20.25" x14ac:dyDescent="0.25">
      <c r="A1" s="96" t="s">
        <v>113</v>
      </c>
    </row>
    <row r="2" spans="1:39" ht="20.25" x14ac:dyDescent="0.25">
      <c r="A2" s="96" t="s">
        <v>156</v>
      </c>
    </row>
    <row r="3" spans="1:39" ht="20.25" x14ac:dyDescent="0.3">
      <c r="A3" s="100" t="s">
        <v>137</v>
      </c>
    </row>
    <row r="5" spans="1:39" ht="15.75" thickBot="1" x14ac:dyDescent="0.3"/>
    <row r="6" spans="1:39" ht="16.5" thickBot="1" x14ac:dyDescent="0.3">
      <c r="C6" s="687">
        <v>2012</v>
      </c>
      <c r="D6" s="688"/>
      <c r="E6" s="688"/>
      <c r="F6" s="688"/>
      <c r="G6" s="688"/>
      <c r="H6" s="688"/>
      <c r="I6" s="688"/>
      <c r="J6" s="688"/>
      <c r="K6" s="689"/>
      <c r="L6" s="678">
        <v>2013</v>
      </c>
      <c r="M6" s="683"/>
      <c r="N6" s="683"/>
      <c r="O6" s="683"/>
      <c r="P6" s="683"/>
      <c r="Q6" s="683"/>
      <c r="R6" s="683"/>
      <c r="S6" s="683"/>
      <c r="T6" s="683"/>
      <c r="U6" s="679"/>
      <c r="V6" s="678">
        <v>2014</v>
      </c>
      <c r="W6" s="683"/>
      <c r="X6" s="683"/>
      <c r="Y6" s="683"/>
      <c r="Z6" s="683"/>
      <c r="AA6" s="683"/>
      <c r="AB6" s="683"/>
      <c r="AC6" s="683"/>
      <c r="AD6" s="683"/>
      <c r="AE6" s="679"/>
      <c r="AF6" s="678">
        <v>2015</v>
      </c>
      <c r="AG6" s="683"/>
      <c r="AH6" s="683"/>
      <c r="AI6" s="683"/>
      <c r="AJ6" s="683"/>
      <c r="AK6" s="679"/>
      <c r="AL6" s="678" t="s">
        <v>85</v>
      </c>
      <c r="AM6" s="679"/>
    </row>
    <row r="7" spans="1:39" s="16" customFormat="1" ht="12.75" customHeight="1" x14ac:dyDescent="0.2">
      <c r="A7" s="690" t="s">
        <v>49</v>
      </c>
      <c r="B7" s="680" t="s">
        <v>45</v>
      </c>
      <c r="C7" s="680" t="s">
        <v>50</v>
      </c>
      <c r="D7" s="680" t="s">
        <v>38</v>
      </c>
      <c r="E7" s="680" t="s">
        <v>39</v>
      </c>
      <c r="F7" s="680" t="s">
        <v>40</v>
      </c>
      <c r="G7" s="680" t="s">
        <v>41</v>
      </c>
      <c r="H7" s="680" t="s">
        <v>42</v>
      </c>
      <c r="I7" s="680" t="s">
        <v>39</v>
      </c>
      <c r="J7" s="680" t="s">
        <v>43</v>
      </c>
      <c r="K7" s="680" t="s">
        <v>44</v>
      </c>
      <c r="L7" s="680" t="s">
        <v>57</v>
      </c>
      <c r="M7" s="680" t="s">
        <v>58</v>
      </c>
      <c r="N7" s="680" t="s">
        <v>59</v>
      </c>
      <c r="O7" s="680" t="s">
        <v>60</v>
      </c>
      <c r="P7" s="680" t="s">
        <v>61</v>
      </c>
      <c r="Q7" s="680" t="s">
        <v>62</v>
      </c>
      <c r="R7" s="680" t="s">
        <v>63</v>
      </c>
      <c r="S7" s="680" t="s">
        <v>59</v>
      </c>
      <c r="T7" s="680" t="s">
        <v>64</v>
      </c>
      <c r="U7" s="680" t="s">
        <v>65</v>
      </c>
      <c r="V7" s="680" t="s">
        <v>66</v>
      </c>
      <c r="W7" s="680" t="s">
        <v>67</v>
      </c>
      <c r="X7" s="680" t="s">
        <v>68</v>
      </c>
      <c r="Y7" s="680" t="s">
        <v>60</v>
      </c>
      <c r="Z7" s="684" t="s">
        <v>69</v>
      </c>
      <c r="AA7" s="680" t="s">
        <v>70</v>
      </c>
      <c r="AB7" s="680" t="s">
        <v>71</v>
      </c>
      <c r="AC7" s="680" t="s">
        <v>68</v>
      </c>
      <c r="AD7" s="680" t="s">
        <v>60</v>
      </c>
      <c r="AE7" s="684" t="s">
        <v>72</v>
      </c>
      <c r="AF7" s="680" t="s">
        <v>78</v>
      </c>
      <c r="AG7" s="680" t="s">
        <v>79</v>
      </c>
      <c r="AH7" s="680" t="s">
        <v>80</v>
      </c>
      <c r="AI7" s="680" t="s">
        <v>81</v>
      </c>
      <c r="AJ7" s="680" t="s">
        <v>82</v>
      </c>
      <c r="AK7" s="680" t="s">
        <v>83</v>
      </c>
      <c r="AL7" s="680" t="s">
        <v>86</v>
      </c>
      <c r="AM7" s="680" t="s">
        <v>26</v>
      </c>
    </row>
    <row r="8" spans="1:39" s="16" customFormat="1" ht="12.75" x14ac:dyDescent="0.2">
      <c r="A8" s="691"/>
      <c r="B8" s="681"/>
      <c r="C8" s="681"/>
      <c r="D8" s="681"/>
      <c r="E8" s="681"/>
      <c r="F8" s="681"/>
      <c r="G8" s="681"/>
      <c r="H8" s="681"/>
      <c r="I8" s="681"/>
      <c r="J8" s="681"/>
      <c r="K8" s="681"/>
      <c r="L8" s="681"/>
      <c r="M8" s="681"/>
      <c r="N8" s="681"/>
      <c r="O8" s="681"/>
      <c r="P8" s="681"/>
      <c r="Q8" s="681"/>
      <c r="R8" s="681"/>
      <c r="S8" s="681"/>
      <c r="T8" s="681"/>
      <c r="U8" s="681"/>
      <c r="V8" s="681"/>
      <c r="W8" s="681"/>
      <c r="X8" s="681"/>
      <c r="Y8" s="681"/>
      <c r="Z8" s="685"/>
      <c r="AA8" s="681"/>
      <c r="AB8" s="681"/>
      <c r="AC8" s="681"/>
      <c r="AD8" s="681"/>
      <c r="AE8" s="685"/>
      <c r="AF8" s="681"/>
      <c r="AG8" s="681"/>
      <c r="AH8" s="681"/>
      <c r="AI8" s="681"/>
      <c r="AJ8" s="681"/>
      <c r="AK8" s="681"/>
      <c r="AL8" s="681"/>
      <c r="AM8" s="681"/>
    </row>
    <row r="9" spans="1:39" s="16" customFormat="1" ht="59.25" customHeight="1" thickBot="1" x14ac:dyDescent="0.25">
      <c r="A9" s="692"/>
      <c r="B9" s="682"/>
      <c r="C9" s="682"/>
      <c r="D9" s="682"/>
      <c r="E9" s="682"/>
      <c r="F9" s="682"/>
      <c r="G9" s="682"/>
      <c r="H9" s="682"/>
      <c r="I9" s="682"/>
      <c r="J9" s="682"/>
      <c r="K9" s="682"/>
      <c r="L9" s="682"/>
      <c r="M9" s="682"/>
      <c r="N9" s="682"/>
      <c r="O9" s="682"/>
      <c r="P9" s="682"/>
      <c r="Q9" s="682"/>
      <c r="R9" s="682"/>
      <c r="S9" s="682"/>
      <c r="T9" s="682"/>
      <c r="U9" s="682"/>
      <c r="V9" s="682"/>
      <c r="W9" s="682"/>
      <c r="X9" s="682"/>
      <c r="Y9" s="682"/>
      <c r="Z9" s="686"/>
      <c r="AA9" s="682"/>
      <c r="AB9" s="682"/>
      <c r="AC9" s="682"/>
      <c r="AD9" s="682"/>
      <c r="AE9" s="686"/>
      <c r="AF9" s="682"/>
      <c r="AG9" s="682"/>
      <c r="AH9" s="682"/>
      <c r="AI9" s="682"/>
      <c r="AJ9" s="682"/>
      <c r="AK9" s="682" t="s">
        <v>84</v>
      </c>
      <c r="AL9" s="682"/>
      <c r="AM9" s="682"/>
    </row>
    <row r="10" spans="1:39" s="16" customFormat="1" ht="13.5" thickBot="1" x14ac:dyDescent="0.25">
      <c r="A10" s="32" t="s">
        <v>27</v>
      </c>
      <c r="B10" s="31">
        <v>1550</v>
      </c>
      <c r="C10" s="23">
        <v>3492643</v>
      </c>
      <c r="D10" s="17">
        <v>1690690.24</v>
      </c>
      <c r="E10" s="17">
        <v>-2000049</v>
      </c>
      <c r="F10" s="17">
        <f>SUM(C10:E10)</f>
        <v>3183284.24</v>
      </c>
      <c r="G10" s="17">
        <v>50097.1</v>
      </c>
      <c r="H10" s="17">
        <v>38367.72</v>
      </c>
      <c r="I10" s="17">
        <v>43517</v>
      </c>
      <c r="J10" s="17"/>
      <c r="K10" s="24">
        <f t="shared" ref="K10:K22" si="0">G10+H10-I10+J10</f>
        <v>44947.820000000007</v>
      </c>
      <c r="L10" s="23">
        <f>F10</f>
        <v>3183284.24</v>
      </c>
      <c r="M10" s="17">
        <v>804981.85</v>
      </c>
      <c r="N10" s="17">
        <v>-1492593.91</v>
      </c>
      <c r="O10" s="17"/>
      <c r="P10" s="17">
        <f>SUM(L10:O10)</f>
        <v>2495672.1800000006</v>
      </c>
      <c r="Q10" s="17">
        <f>K10</f>
        <v>44947.820000000007</v>
      </c>
      <c r="R10" s="17">
        <v>34705.18</v>
      </c>
      <c r="S10" s="17">
        <v>-28520.75</v>
      </c>
      <c r="T10" s="17"/>
      <c r="U10" s="24">
        <f>SUM(Q10:T10)</f>
        <v>51132.25</v>
      </c>
      <c r="V10" s="23">
        <f>P10</f>
        <v>2495672.1800000006</v>
      </c>
      <c r="W10" s="17">
        <v>938908.09</v>
      </c>
      <c r="X10" s="17">
        <v>-1690690.02</v>
      </c>
      <c r="Y10" s="17">
        <v>-0.09</v>
      </c>
      <c r="Z10" s="17">
        <f>SUM(V10:Y10)</f>
        <v>1743890.1600000004</v>
      </c>
      <c r="AA10" s="17">
        <f>U10</f>
        <v>51132.25</v>
      </c>
      <c r="AB10" s="17">
        <v>20669.599999999999</v>
      </c>
      <c r="AC10" s="17">
        <v>-41280.14</v>
      </c>
      <c r="AD10" s="17">
        <v>1.27</v>
      </c>
      <c r="AE10" s="24">
        <f>SUM(AA10:AD10)</f>
        <v>30522.980000000007</v>
      </c>
      <c r="AF10" s="23">
        <v>0</v>
      </c>
      <c r="AG10" s="17">
        <v>0</v>
      </c>
      <c r="AH10" s="17">
        <f>Z10-AF10</f>
        <v>1743890.1600000004</v>
      </c>
      <c r="AI10" s="17">
        <f>AE10-AG10</f>
        <v>30522.980000000007</v>
      </c>
      <c r="AJ10" s="17">
        <f>(Z10-AF10)*(1.1/100)</f>
        <v>19182.791760000007</v>
      </c>
      <c r="AK10" s="24">
        <f>SUM(AH10:AJ10)</f>
        <v>1793595.9317600003</v>
      </c>
      <c r="AL10" s="23">
        <v>1774413.13</v>
      </c>
      <c r="AM10" s="24">
        <f>AL10-AH10-AI10</f>
        <v>-1.0000000500440365E-2</v>
      </c>
    </row>
    <row r="11" spans="1:39" s="16" customFormat="1" ht="13.5" thickBot="1" x14ac:dyDescent="0.25">
      <c r="A11" s="32" t="s">
        <v>46</v>
      </c>
      <c r="B11" s="31">
        <v>1551</v>
      </c>
      <c r="C11" s="25">
        <v>0</v>
      </c>
      <c r="D11" s="18">
        <v>0</v>
      </c>
      <c r="E11" s="18">
        <v>0</v>
      </c>
      <c r="F11" s="18">
        <f t="shared" ref="F11:F22" si="1">SUM(C11:E11)</f>
        <v>0</v>
      </c>
      <c r="G11" s="18"/>
      <c r="H11" s="18"/>
      <c r="I11" s="18">
        <v>0</v>
      </c>
      <c r="J11" s="18"/>
      <c r="K11" s="26">
        <v>0</v>
      </c>
      <c r="L11" s="25">
        <f t="shared" ref="L11:L23" si="2">F11</f>
        <v>0</v>
      </c>
      <c r="M11" s="18"/>
      <c r="N11" s="18">
        <v>0</v>
      </c>
      <c r="O11" s="18"/>
      <c r="P11" s="17">
        <f t="shared" ref="P11:P22" si="3">SUM(L11:O11)</f>
        <v>0</v>
      </c>
      <c r="Q11" s="17">
        <f t="shared" ref="Q11:Q23" si="4">K11</f>
        <v>0</v>
      </c>
      <c r="R11" s="18"/>
      <c r="S11" s="18">
        <v>0</v>
      </c>
      <c r="T11" s="18"/>
      <c r="U11" s="26">
        <f t="shared" ref="U11:U22" si="5">SUM(Q11:T11)</f>
        <v>0</v>
      </c>
      <c r="V11" s="25">
        <f t="shared" ref="V11:V22" si="6">P11</f>
        <v>0</v>
      </c>
      <c r="W11" s="18">
        <v>-33601.449999999997</v>
      </c>
      <c r="X11" s="18">
        <f>AF11</f>
        <v>0</v>
      </c>
      <c r="Y11" s="18">
        <f>-34937.61-1077.5</f>
        <v>-36015.11</v>
      </c>
      <c r="Z11" s="18">
        <f t="shared" ref="Z11:Z29" si="7">SUM(V11:Y11)</f>
        <v>-69616.56</v>
      </c>
      <c r="AA11" s="18">
        <f t="shared" ref="AA11:AA24" si="8">U11</f>
        <v>0</v>
      </c>
      <c r="AB11" s="18">
        <v>-667.97999999999979</v>
      </c>
      <c r="AC11" s="18">
        <v>0</v>
      </c>
      <c r="AD11" s="18">
        <f>-149.68+1.7</f>
        <v>-147.98000000000002</v>
      </c>
      <c r="AE11" s="24">
        <f t="shared" ref="AE11:AE23" si="9">SUM(AA11:AD11)</f>
        <v>-815.95999999999981</v>
      </c>
      <c r="AF11" s="25">
        <v>0</v>
      </c>
      <c r="AG11" s="18">
        <v>0</v>
      </c>
      <c r="AH11" s="18">
        <f t="shared" ref="AH11:AH23" si="10">Z11-AF11</f>
        <v>-69616.56</v>
      </c>
      <c r="AI11" s="18">
        <f t="shared" ref="AI11:AI23" si="11">AE11-AG11</f>
        <v>-815.95999999999981</v>
      </c>
      <c r="AJ11" s="17">
        <f t="shared" ref="AJ11:AJ23" si="12">(Z11-AF11)*(1.1/100)</f>
        <v>-765.78216000000009</v>
      </c>
      <c r="AK11" s="26">
        <f t="shared" ref="AK11:AK23" si="13">SUM(AH11:AJ11)</f>
        <v>-71198.302160000007</v>
      </c>
      <c r="AL11" s="25">
        <v>-70432.52</v>
      </c>
      <c r="AM11" s="24">
        <f t="shared" ref="AM11:AM23" si="14">AL11-AH11-AI11</f>
        <v>-6.5938365878537297E-12</v>
      </c>
    </row>
    <row r="12" spans="1:39" s="16" customFormat="1" ht="13.5" thickBot="1" x14ac:dyDescent="0.25">
      <c r="A12" s="33" t="s">
        <v>29</v>
      </c>
      <c r="B12" s="31">
        <v>1580</v>
      </c>
      <c r="C12" s="27">
        <v>-18203973.859999999</v>
      </c>
      <c r="D12" s="19">
        <v>-9704716.3300000001</v>
      </c>
      <c r="E12" s="19">
        <v>10401473</v>
      </c>
      <c r="F12" s="20">
        <f t="shared" si="1"/>
        <v>-17507217.189999998</v>
      </c>
      <c r="G12" s="20">
        <v>-274286.79000000004</v>
      </c>
      <c r="H12" s="20">
        <v>-208234.34</v>
      </c>
      <c r="I12" s="20">
        <v>-231638</v>
      </c>
      <c r="J12" s="20"/>
      <c r="K12" s="28">
        <f t="shared" si="0"/>
        <v>-250883.13</v>
      </c>
      <c r="L12" s="43">
        <f t="shared" si="2"/>
        <v>-17507217.189999998</v>
      </c>
      <c r="M12" s="20">
        <v>-4742781.74</v>
      </c>
      <c r="N12" s="20">
        <v>7802410.54</v>
      </c>
      <c r="O12" s="20"/>
      <c r="P12" s="17">
        <f t="shared" si="3"/>
        <v>-14447588.390000001</v>
      </c>
      <c r="Q12" s="17">
        <f t="shared" si="4"/>
        <v>-250883.13</v>
      </c>
      <c r="R12" s="20">
        <v>-209514.37</v>
      </c>
      <c r="S12" s="20">
        <v>157435.46</v>
      </c>
      <c r="T12" s="20"/>
      <c r="U12" s="28">
        <f t="shared" si="5"/>
        <v>-302962.04000000004</v>
      </c>
      <c r="V12" s="43">
        <f t="shared" si="6"/>
        <v>-14447588.390000001</v>
      </c>
      <c r="W12" s="20">
        <v>-1098113.8500000001</v>
      </c>
      <c r="X12" s="20">
        <v>9704806</v>
      </c>
      <c r="Y12" s="20">
        <v>90.18</v>
      </c>
      <c r="Z12" s="20">
        <f t="shared" si="7"/>
        <v>-5840806.0600000005</v>
      </c>
      <c r="AA12" s="20">
        <f t="shared" si="8"/>
        <v>-302962.04000000004</v>
      </c>
      <c r="AB12" s="20">
        <v>-35370.699999999997</v>
      </c>
      <c r="AC12" s="20">
        <v>236108.65</v>
      </c>
      <c r="AD12" s="20">
        <v>-88.31</v>
      </c>
      <c r="AE12" s="24">
        <f t="shared" si="9"/>
        <v>-102312.40000000005</v>
      </c>
      <c r="AF12" s="43">
        <v>0</v>
      </c>
      <c r="AG12" s="20">
        <v>0</v>
      </c>
      <c r="AH12" s="20">
        <f t="shared" si="10"/>
        <v>-5840806.0600000005</v>
      </c>
      <c r="AI12" s="20">
        <f t="shared" si="11"/>
        <v>-102312.40000000005</v>
      </c>
      <c r="AJ12" s="17">
        <f t="shared" si="12"/>
        <v>-64248.866660000014</v>
      </c>
      <c r="AK12" s="28">
        <f t="shared" si="13"/>
        <v>-6007367.3266600007</v>
      </c>
      <c r="AL12" s="43">
        <v>-5943118.46</v>
      </c>
      <c r="AM12" s="24">
        <f t="shared" si="14"/>
        <v>6.1118043959140778E-10</v>
      </c>
    </row>
    <row r="13" spans="1:39" s="16" customFormat="1" ht="13.5" thickBot="1" x14ac:dyDescent="0.25">
      <c r="A13" s="33" t="s">
        <v>30</v>
      </c>
      <c r="B13" s="31">
        <v>1584</v>
      </c>
      <c r="C13" s="25">
        <v>-5712306.0199999996</v>
      </c>
      <c r="D13" s="18">
        <v>1692258.93</v>
      </c>
      <c r="E13" s="18">
        <v>6212255</v>
      </c>
      <c r="F13" s="20">
        <f t="shared" si="1"/>
        <v>2192207.91</v>
      </c>
      <c r="G13" s="20">
        <v>-138023.59</v>
      </c>
      <c r="H13" s="20">
        <v>10026.719999999999</v>
      </c>
      <c r="I13" s="20">
        <v>-140595</v>
      </c>
      <c r="J13" s="20"/>
      <c r="K13" s="28">
        <f t="shared" si="0"/>
        <v>12598.130000000005</v>
      </c>
      <c r="L13" s="43">
        <f t="shared" si="2"/>
        <v>2192207.91</v>
      </c>
      <c r="M13" s="20">
        <v>3416731.5</v>
      </c>
      <c r="N13" s="20">
        <v>-499948.11</v>
      </c>
      <c r="O13" s="20"/>
      <c r="P13" s="17">
        <f t="shared" si="3"/>
        <v>5108991.3</v>
      </c>
      <c r="Q13" s="17">
        <f t="shared" si="4"/>
        <v>12598.130000000005</v>
      </c>
      <c r="R13" s="20">
        <v>46249.35</v>
      </c>
      <c r="S13" s="20">
        <v>-9921.89</v>
      </c>
      <c r="T13" s="20"/>
      <c r="U13" s="28">
        <f t="shared" si="5"/>
        <v>48925.590000000004</v>
      </c>
      <c r="V13" s="43">
        <f t="shared" si="6"/>
        <v>5108991.3</v>
      </c>
      <c r="W13" s="20">
        <v>2422342.59</v>
      </c>
      <c r="X13" s="20">
        <v>-1692260</v>
      </c>
      <c r="Y13" s="20">
        <v>0.09</v>
      </c>
      <c r="Z13" s="20">
        <f t="shared" si="7"/>
        <v>5839073.9799999995</v>
      </c>
      <c r="AA13" s="20">
        <f t="shared" si="8"/>
        <v>48925.590000000004</v>
      </c>
      <c r="AB13" s="20">
        <v>71423.27</v>
      </c>
      <c r="AC13" s="20">
        <v>-27552.22</v>
      </c>
      <c r="AD13" s="20">
        <v>-1.36</v>
      </c>
      <c r="AE13" s="24">
        <f t="shared" si="9"/>
        <v>92795.280000000013</v>
      </c>
      <c r="AF13" s="43">
        <v>0</v>
      </c>
      <c r="AG13" s="20">
        <v>0</v>
      </c>
      <c r="AH13" s="20">
        <f t="shared" si="10"/>
        <v>5839073.9799999995</v>
      </c>
      <c r="AI13" s="20">
        <f t="shared" si="11"/>
        <v>92795.280000000013</v>
      </c>
      <c r="AJ13" s="17">
        <f t="shared" si="12"/>
        <v>64229.813780000004</v>
      </c>
      <c r="AK13" s="28">
        <f t="shared" si="13"/>
        <v>5996099.0737800002</v>
      </c>
      <c r="AL13" s="43">
        <v>5931869.2599999998</v>
      </c>
      <c r="AM13" s="24">
        <f t="shared" si="14"/>
        <v>2.4738255888223648E-10</v>
      </c>
    </row>
    <row r="14" spans="1:39" s="16" customFormat="1" ht="13.5" thickBot="1" x14ac:dyDescent="0.25">
      <c r="A14" s="33" t="s">
        <v>31</v>
      </c>
      <c r="B14" s="31">
        <v>1586</v>
      </c>
      <c r="C14" s="25">
        <v>-4840415.0999999996</v>
      </c>
      <c r="D14" s="18">
        <v>1028935.85</v>
      </c>
      <c r="E14" s="18">
        <v>5293496</v>
      </c>
      <c r="F14" s="20">
        <f t="shared" si="1"/>
        <v>1482016.7500000005</v>
      </c>
      <c r="G14" s="20">
        <v>-119244.44</v>
      </c>
      <c r="H14" s="20">
        <v>2233.29</v>
      </c>
      <c r="I14" s="20">
        <v>-120802</v>
      </c>
      <c r="J14" s="20"/>
      <c r="K14" s="28">
        <f t="shared" si="0"/>
        <v>3790.8499999999913</v>
      </c>
      <c r="L14" s="43">
        <f t="shared" si="2"/>
        <v>1482016.7500000005</v>
      </c>
      <c r="M14" s="20">
        <v>681957.9</v>
      </c>
      <c r="N14" s="20">
        <v>-453078</v>
      </c>
      <c r="O14" s="20"/>
      <c r="P14" s="17">
        <f t="shared" si="3"/>
        <v>1710896.6500000004</v>
      </c>
      <c r="Q14" s="17">
        <f t="shared" si="4"/>
        <v>3790.8499999999913</v>
      </c>
      <c r="R14" s="20">
        <v>18475.439999999999</v>
      </c>
      <c r="S14" s="20">
        <v>-8221</v>
      </c>
      <c r="T14" s="20"/>
      <c r="U14" s="28">
        <f t="shared" si="5"/>
        <v>14045.28999999999</v>
      </c>
      <c r="V14" s="43">
        <f t="shared" si="6"/>
        <v>1710896.6500000004</v>
      </c>
      <c r="W14" s="20">
        <v>2297465.04</v>
      </c>
      <c r="X14" s="20">
        <v>-1028939</v>
      </c>
      <c r="Y14" s="20">
        <v>-2.4500000000000002</v>
      </c>
      <c r="Z14" s="20">
        <f t="shared" si="7"/>
        <v>2979420.24</v>
      </c>
      <c r="AA14" s="20">
        <f t="shared" si="8"/>
        <v>14045.28999999999</v>
      </c>
      <c r="AB14" s="20">
        <v>28329.71</v>
      </c>
      <c r="AC14" s="20">
        <v>-10695.4</v>
      </c>
      <c r="AD14" s="20">
        <v>1.23</v>
      </c>
      <c r="AE14" s="24">
        <f t="shared" si="9"/>
        <v>31680.829999999984</v>
      </c>
      <c r="AF14" s="43">
        <v>0</v>
      </c>
      <c r="AG14" s="20">
        <v>0</v>
      </c>
      <c r="AH14" s="20">
        <f t="shared" si="10"/>
        <v>2979420.24</v>
      </c>
      <c r="AI14" s="20">
        <f t="shared" si="11"/>
        <v>31680.829999999984</v>
      </c>
      <c r="AJ14" s="17">
        <f t="shared" si="12"/>
        <v>32773.622640000009</v>
      </c>
      <c r="AK14" s="28">
        <f t="shared" si="13"/>
        <v>3043874.6926400005</v>
      </c>
      <c r="AL14" s="43">
        <v>3011101.07</v>
      </c>
      <c r="AM14" s="24">
        <f t="shared" si="14"/>
        <v>-3.7471181713044643E-10</v>
      </c>
    </row>
    <row r="15" spans="1:39" s="16" customFormat="1" ht="13.5" thickBot="1" x14ac:dyDescent="0.25">
      <c r="A15" s="33" t="s">
        <v>32</v>
      </c>
      <c r="B15" s="31">
        <v>1588</v>
      </c>
      <c r="C15" s="25">
        <v>4169320.54</v>
      </c>
      <c r="D15" s="18">
        <v>716651.5</v>
      </c>
      <c r="E15" s="18">
        <v>-3755373</v>
      </c>
      <c r="F15" s="20">
        <f t="shared" si="1"/>
        <v>1130599.04</v>
      </c>
      <c r="G15" s="20">
        <v>80408.170000000042</v>
      </c>
      <c r="H15" s="20">
        <v>-11526.07</v>
      </c>
      <c r="I15" s="20">
        <v>77088</v>
      </c>
      <c r="J15" s="20"/>
      <c r="K15" s="28">
        <f t="shared" si="0"/>
        <v>-8205.8999999999651</v>
      </c>
      <c r="L15" s="43">
        <f t="shared" si="2"/>
        <v>1130599.04</v>
      </c>
      <c r="M15" s="20">
        <v>-1860216.32</v>
      </c>
      <c r="N15" s="20">
        <v>-413949.51</v>
      </c>
      <c r="O15" s="20"/>
      <c r="P15" s="17">
        <f t="shared" si="3"/>
        <v>-1143566.79</v>
      </c>
      <c r="Q15" s="17">
        <f t="shared" si="4"/>
        <v>-8205.8999999999651</v>
      </c>
      <c r="R15" s="20">
        <v>-19173.59</v>
      </c>
      <c r="S15" s="20">
        <v>-9403.49</v>
      </c>
      <c r="T15" s="20"/>
      <c r="U15" s="28">
        <f t="shared" si="5"/>
        <v>-36782.979999999967</v>
      </c>
      <c r="V15" s="43">
        <f t="shared" si="6"/>
        <v>-1143566.79</v>
      </c>
      <c r="W15" s="20">
        <v>-490297.98</v>
      </c>
      <c r="X15" s="20">
        <v>-716650</v>
      </c>
      <c r="Y15" s="20">
        <v>2.4300000000000002</v>
      </c>
      <c r="Z15" s="20">
        <f t="shared" si="7"/>
        <v>-2350512.34</v>
      </c>
      <c r="AA15" s="20">
        <f t="shared" si="8"/>
        <v>-36782.979999999967</v>
      </c>
      <c r="AB15" s="20">
        <v>2506.5100000000002</v>
      </c>
      <c r="AC15" s="20">
        <v>7074.25</v>
      </c>
      <c r="AD15" s="20">
        <v>-1.48</v>
      </c>
      <c r="AE15" s="24">
        <f t="shared" si="9"/>
        <v>-27203.699999999964</v>
      </c>
      <c r="AF15" s="43">
        <v>0</v>
      </c>
      <c r="AG15" s="20">
        <v>0</v>
      </c>
      <c r="AH15" s="20">
        <f t="shared" si="10"/>
        <v>-2350512.34</v>
      </c>
      <c r="AI15" s="20">
        <f t="shared" si="11"/>
        <v>-27203.699999999964</v>
      </c>
      <c r="AJ15" s="17">
        <f t="shared" si="12"/>
        <v>-25855.635740000002</v>
      </c>
      <c r="AK15" s="28">
        <f t="shared" si="13"/>
        <v>-2403571.6757399999</v>
      </c>
      <c r="AL15" s="43">
        <v>-2377716.04</v>
      </c>
      <c r="AM15" s="24">
        <f t="shared" si="14"/>
        <v>-2.2191670723259449E-10</v>
      </c>
    </row>
    <row r="16" spans="1:39" s="16" customFormat="1" ht="13.5" thickBot="1" x14ac:dyDescent="0.25">
      <c r="A16" s="33" t="s">
        <v>47</v>
      </c>
      <c r="B16" s="31">
        <v>1589</v>
      </c>
      <c r="C16" s="25">
        <v>-20778819.5</v>
      </c>
      <c r="D16" s="18">
        <v>-2771959.94</v>
      </c>
      <c r="E16" s="18">
        <v>22821333</v>
      </c>
      <c r="F16" s="20">
        <f t="shared" si="1"/>
        <v>-729446.44000000134</v>
      </c>
      <c r="G16" s="20">
        <v>-444920.1</v>
      </c>
      <c r="H16" s="20">
        <v>-31191.42</v>
      </c>
      <c r="I16" s="20">
        <v>-477146</v>
      </c>
      <c r="J16" s="20"/>
      <c r="K16" s="28">
        <f t="shared" si="0"/>
        <v>1034.4800000000396</v>
      </c>
      <c r="L16" s="43">
        <f t="shared" si="2"/>
        <v>-729446.44000000134</v>
      </c>
      <c r="M16" s="20">
        <v>3161417.86</v>
      </c>
      <c r="N16" s="20">
        <v>-2042512.49</v>
      </c>
      <c r="O16" s="20"/>
      <c r="P16" s="17">
        <f t="shared" si="3"/>
        <v>389458.92999999854</v>
      </c>
      <c r="Q16" s="17">
        <f t="shared" si="4"/>
        <v>1034.4800000000396</v>
      </c>
      <c r="R16" s="20">
        <v>40514.370000000003</v>
      </c>
      <c r="S16" s="20">
        <v>-62251.51</v>
      </c>
      <c r="T16" s="20"/>
      <c r="U16" s="28">
        <f t="shared" si="5"/>
        <v>-20702.65999999996</v>
      </c>
      <c r="V16" s="43">
        <f t="shared" si="6"/>
        <v>389458.92999999854</v>
      </c>
      <c r="W16" s="20">
        <v>7999426.6600000001</v>
      </c>
      <c r="X16" s="20">
        <v>2771959</v>
      </c>
      <c r="Y16" s="20">
        <v>-1.51</v>
      </c>
      <c r="Z16" s="20">
        <f t="shared" si="7"/>
        <v>11160843.079999998</v>
      </c>
      <c r="AA16" s="20">
        <f t="shared" si="8"/>
        <v>-20702.65999999996</v>
      </c>
      <c r="AB16" s="20">
        <v>59398.74</v>
      </c>
      <c r="AC16" s="20">
        <v>101964.8</v>
      </c>
      <c r="AD16" s="20">
        <v>0.04</v>
      </c>
      <c r="AE16" s="24">
        <f t="shared" si="9"/>
        <v>140660.92000000004</v>
      </c>
      <c r="AF16" s="43">
        <v>0</v>
      </c>
      <c r="AG16" s="20">
        <v>0</v>
      </c>
      <c r="AH16" s="20">
        <f t="shared" si="10"/>
        <v>11160843.079999998</v>
      </c>
      <c r="AI16" s="20">
        <f>AE16-AG16</f>
        <v>140660.92000000004</v>
      </c>
      <c r="AJ16" s="17">
        <f t="shared" si="12"/>
        <v>122769.27387999999</v>
      </c>
      <c r="AK16" s="28">
        <f t="shared" si="13"/>
        <v>11424273.273879997</v>
      </c>
      <c r="AL16" s="43">
        <v>11301504</v>
      </c>
      <c r="AM16" s="24">
        <f t="shared" si="14"/>
        <v>1.7462298274040222E-9</v>
      </c>
    </row>
    <row r="17" spans="1:39" s="16" customFormat="1" ht="13.5" thickBot="1" x14ac:dyDescent="0.25">
      <c r="A17" s="32" t="s">
        <v>48</v>
      </c>
      <c r="B17" s="31">
        <v>1590</v>
      </c>
      <c r="C17" s="25">
        <v>-7.0000000006984919E-2</v>
      </c>
      <c r="D17" s="18">
        <v>0</v>
      </c>
      <c r="E17" s="18">
        <v>0</v>
      </c>
      <c r="F17" s="20">
        <f t="shared" si="1"/>
        <v>-7.0000000006984919E-2</v>
      </c>
      <c r="G17" s="20">
        <v>0.45999999999912689</v>
      </c>
      <c r="H17" s="20"/>
      <c r="I17" s="20">
        <v>0</v>
      </c>
      <c r="J17" s="20"/>
      <c r="K17" s="28">
        <f t="shared" si="0"/>
        <v>0.45999999999912689</v>
      </c>
      <c r="L17" s="43">
        <f t="shared" si="2"/>
        <v>-7.0000000006984919E-2</v>
      </c>
      <c r="M17" s="20"/>
      <c r="N17" s="20"/>
      <c r="O17" s="20"/>
      <c r="P17" s="17">
        <f t="shared" si="3"/>
        <v>-7.0000000006984919E-2</v>
      </c>
      <c r="Q17" s="17">
        <f t="shared" si="4"/>
        <v>0.45999999999912689</v>
      </c>
      <c r="R17" s="20"/>
      <c r="S17" s="20">
        <v>0</v>
      </c>
      <c r="T17" s="20"/>
      <c r="U17" s="28">
        <f t="shared" si="5"/>
        <v>0.45999999999912689</v>
      </c>
      <c r="V17" s="43">
        <f t="shared" si="6"/>
        <v>-7.0000000006984919E-2</v>
      </c>
      <c r="W17" s="20"/>
      <c r="X17" s="20">
        <v>0</v>
      </c>
      <c r="Y17" s="20">
        <v>7.0000000000000007E-2</v>
      </c>
      <c r="Z17" s="20">
        <f t="shared" si="7"/>
        <v>-6.9849126482779411E-12</v>
      </c>
      <c r="AA17" s="20">
        <f t="shared" si="8"/>
        <v>0.45999999999912689</v>
      </c>
      <c r="AB17" s="20"/>
      <c r="AC17" s="20">
        <v>0</v>
      </c>
      <c r="AD17" s="20">
        <v>-0.46</v>
      </c>
      <c r="AE17" s="24">
        <f t="shared" si="9"/>
        <v>-8.7313489771645436E-13</v>
      </c>
      <c r="AF17" s="43">
        <v>0</v>
      </c>
      <c r="AG17" s="20">
        <v>0</v>
      </c>
      <c r="AH17" s="20">
        <f t="shared" si="10"/>
        <v>-6.9849126482779411E-12</v>
      </c>
      <c r="AI17" s="20">
        <f t="shared" si="11"/>
        <v>-8.7313489771645436E-13</v>
      </c>
      <c r="AJ17" s="17">
        <f t="shared" si="12"/>
        <v>-7.683403913105736E-14</v>
      </c>
      <c r="AK17" s="28">
        <f t="shared" si="13"/>
        <v>-7.9348815851254532E-12</v>
      </c>
      <c r="AL17" s="43">
        <v>0</v>
      </c>
      <c r="AM17" s="24">
        <f t="shared" si="14"/>
        <v>7.8580475459943955E-12</v>
      </c>
    </row>
    <row r="18" spans="1:39" s="16" customFormat="1" thickBot="1" x14ac:dyDescent="0.25">
      <c r="A18" s="34" t="s">
        <v>51</v>
      </c>
      <c r="B18" s="31">
        <v>1595</v>
      </c>
      <c r="C18" s="25">
        <v>-203108</v>
      </c>
      <c r="D18" s="18">
        <v>0</v>
      </c>
      <c r="E18" s="18">
        <v>203108</v>
      </c>
      <c r="F18" s="20">
        <f t="shared" si="1"/>
        <v>0</v>
      </c>
      <c r="G18" s="20">
        <v>-79506</v>
      </c>
      <c r="H18" s="20"/>
      <c r="I18" s="20">
        <v>-80574</v>
      </c>
      <c r="J18" s="20"/>
      <c r="K18" s="28">
        <f t="shared" si="0"/>
        <v>1068</v>
      </c>
      <c r="L18" s="43">
        <f t="shared" si="2"/>
        <v>0</v>
      </c>
      <c r="M18" s="20"/>
      <c r="N18" s="20"/>
      <c r="O18" s="20"/>
      <c r="P18" s="17">
        <f t="shared" si="3"/>
        <v>0</v>
      </c>
      <c r="Q18" s="17">
        <f t="shared" si="4"/>
        <v>1068</v>
      </c>
      <c r="R18" s="20"/>
      <c r="S18" s="20">
        <v>-1068</v>
      </c>
      <c r="T18" s="20"/>
      <c r="U18" s="28">
        <f t="shared" si="5"/>
        <v>0</v>
      </c>
      <c r="V18" s="43">
        <f t="shared" si="6"/>
        <v>0</v>
      </c>
      <c r="W18" s="20"/>
      <c r="X18" s="20">
        <v>0</v>
      </c>
      <c r="Y18" s="20"/>
      <c r="Z18" s="20">
        <f t="shared" si="7"/>
        <v>0</v>
      </c>
      <c r="AA18" s="20">
        <f t="shared" si="8"/>
        <v>0</v>
      </c>
      <c r="AB18" s="20"/>
      <c r="AC18" s="20">
        <v>0</v>
      </c>
      <c r="AD18" s="20"/>
      <c r="AE18" s="24">
        <f t="shared" si="9"/>
        <v>0</v>
      </c>
      <c r="AF18" s="43">
        <v>0</v>
      </c>
      <c r="AG18" s="20">
        <v>0</v>
      </c>
      <c r="AH18" s="20">
        <f t="shared" si="10"/>
        <v>0</v>
      </c>
      <c r="AI18" s="20">
        <f t="shared" si="11"/>
        <v>0</v>
      </c>
      <c r="AJ18" s="17">
        <f t="shared" si="12"/>
        <v>0</v>
      </c>
      <c r="AK18" s="28">
        <f t="shared" si="13"/>
        <v>0</v>
      </c>
      <c r="AL18" s="43"/>
      <c r="AM18" s="24">
        <f t="shared" si="14"/>
        <v>0</v>
      </c>
    </row>
    <row r="19" spans="1:39" s="16" customFormat="1" thickBot="1" x14ac:dyDescent="0.25">
      <c r="A19" s="34" t="s">
        <v>52</v>
      </c>
      <c r="B19" s="31">
        <v>1595</v>
      </c>
      <c r="C19" s="25">
        <v>-2142751.959999999</v>
      </c>
      <c r="D19" s="18">
        <v>-662497.29</v>
      </c>
      <c r="E19" s="18">
        <v>0</v>
      </c>
      <c r="F19" s="20">
        <f t="shared" si="1"/>
        <v>-2805249.2499999991</v>
      </c>
      <c r="G19" s="20">
        <v>-172728.07999999996</v>
      </c>
      <c r="H19" s="20">
        <v>21253.34</v>
      </c>
      <c r="I19" s="20">
        <v>0</v>
      </c>
      <c r="J19" s="20"/>
      <c r="K19" s="28">
        <f t="shared" si="0"/>
        <v>-151474.73999999996</v>
      </c>
      <c r="L19" s="43">
        <f t="shared" si="2"/>
        <v>-2805249.2499999991</v>
      </c>
      <c r="M19" s="20">
        <v>-1854.49</v>
      </c>
      <c r="N19" s="20"/>
      <c r="O19" s="20"/>
      <c r="P19" s="17">
        <f t="shared" si="3"/>
        <v>-2807103.7399999993</v>
      </c>
      <c r="Q19" s="17">
        <f t="shared" si="4"/>
        <v>-151474.73999999996</v>
      </c>
      <c r="R19" s="20">
        <v>-13.51</v>
      </c>
      <c r="S19" s="20"/>
      <c r="T19" s="20">
        <v>-41230.22</v>
      </c>
      <c r="U19" s="28">
        <f t="shared" si="5"/>
        <v>-192718.46999999997</v>
      </c>
      <c r="V19" s="43">
        <f t="shared" si="6"/>
        <v>-2807103.7399999993</v>
      </c>
      <c r="W19" s="20"/>
      <c r="X19" s="20">
        <f>2805249.25+1854.49</f>
        <v>2807103.74</v>
      </c>
      <c r="Y19" s="20"/>
      <c r="Z19" s="20">
        <f t="shared" si="7"/>
        <v>0</v>
      </c>
      <c r="AA19" s="20">
        <f t="shared" si="8"/>
        <v>-192718.46999999997</v>
      </c>
      <c r="AB19" s="20"/>
      <c r="AC19" s="20">
        <v>192718.47</v>
      </c>
      <c r="AD19" s="20"/>
      <c r="AE19" s="24">
        <f t="shared" si="9"/>
        <v>0</v>
      </c>
      <c r="AF19" s="43">
        <v>0</v>
      </c>
      <c r="AG19" s="20">
        <v>0</v>
      </c>
      <c r="AH19" s="20">
        <f t="shared" si="10"/>
        <v>0</v>
      </c>
      <c r="AI19" s="20">
        <f t="shared" si="11"/>
        <v>0</v>
      </c>
      <c r="AJ19" s="17">
        <f t="shared" si="12"/>
        <v>0</v>
      </c>
      <c r="AK19" s="28">
        <f t="shared" si="13"/>
        <v>0</v>
      </c>
      <c r="AL19" s="43">
        <v>0</v>
      </c>
      <c r="AM19" s="24">
        <f t="shared" si="14"/>
        <v>0</v>
      </c>
    </row>
    <row r="20" spans="1:39" s="16" customFormat="1" thickBot="1" x14ac:dyDescent="0.25">
      <c r="A20" s="34" t="s">
        <v>53</v>
      </c>
      <c r="B20" s="31">
        <v>1595</v>
      </c>
      <c r="C20" s="25">
        <v>0</v>
      </c>
      <c r="D20" s="18">
        <v>16473029.02</v>
      </c>
      <c r="E20" s="18">
        <v>-39120922.390000001</v>
      </c>
      <c r="F20" s="20">
        <f>SUM(C20:E20)</f>
        <v>-22647893.370000001</v>
      </c>
      <c r="G20" s="20">
        <v>0</v>
      </c>
      <c r="H20" s="20">
        <f>480042.28-387679.37</f>
        <v>92362.910000000033</v>
      </c>
      <c r="I20" s="20">
        <v>-982233.3</v>
      </c>
      <c r="J20" s="20"/>
      <c r="K20" s="28">
        <f>SUM(G20:J20)</f>
        <v>-889870.39</v>
      </c>
      <c r="L20" s="43">
        <f t="shared" si="2"/>
        <v>-22647893.370000001</v>
      </c>
      <c r="M20" s="20">
        <v>18966816.399999999</v>
      </c>
      <c r="N20" s="20"/>
      <c r="O20" s="20"/>
      <c r="P20" s="17">
        <f t="shared" si="3"/>
        <v>-3681076.9700000025</v>
      </c>
      <c r="Q20" s="17">
        <f t="shared" si="4"/>
        <v>-889870.39</v>
      </c>
      <c r="R20" s="20">
        <v>236847.87999999998</v>
      </c>
      <c r="S20" s="20"/>
      <c r="T20" s="20"/>
      <c r="U20" s="28">
        <f t="shared" si="5"/>
        <v>-653022.51</v>
      </c>
      <c r="V20" s="43">
        <f t="shared" si="6"/>
        <v>-3681076.9700000025</v>
      </c>
      <c r="W20" s="20">
        <v>1560914.15</v>
      </c>
      <c r="X20" s="20">
        <v>0</v>
      </c>
      <c r="Y20" s="20"/>
      <c r="Z20" s="20">
        <f t="shared" si="7"/>
        <v>-2120162.8200000026</v>
      </c>
      <c r="AA20" s="20">
        <f t="shared" si="8"/>
        <v>-653022.51</v>
      </c>
      <c r="AB20" s="20">
        <f>37216.33-33396.19</f>
        <v>3820.1399999999994</v>
      </c>
      <c r="AC20" s="20">
        <v>0</v>
      </c>
      <c r="AD20" s="20"/>
      <c r="AE20" s="24">
        <f t="shared" si="9"/>
        <v>-649202.37</v>
      </c>
      <c r="AF20" s="43">
        <v>0</v>
      </c>
      <c r="AG20" s="20">
        <v>0</v>
      </c>
      <c r="AH20" s="20">
        <f t="shared" si="10"/>
        <v>-2120162.8200000026</v>
      </c>
      <c r="AI20" s="20">
        <f t="shared" si="11"/>
        <v>-649202.37</v>
      </c>
      <c r="AJ20" s="17">
        <f t="shared" si="12"/>
        <v>-23321.79102000003</v>
      </c>
      <c r="AK20" s="28">
        <f t="shared" si="13"/>
        <v>-2792686.9810200026</v>
      </c>
      <c r="AL20" s="43">
        <v>-2769365.19</v>
      </c>
      <c r="AM20" s="24">
        <f t="shared" si="14"/>
        <v>2.6775524020195007E-9</v>
      </c>
    </row>
    <row r="21" spans="1:39" s="16" customFormat="1" thickBot="1" x14ac:dyDescent="0.25">
      <c r="A21" s="34" t="s">
        <v>54</v>
      </c>
      <c r="B21" s="31">
        <v>1595</v>
      </c>
      <c r="C21" s="25">
        <v>0</v>
      </c>
      <c r="D21" s="18">
        <v>0</v>
      </c>
      <c r="E21" s="18">
        <v>0</v>
      </c>
      <c r="F21" s="20">
        <f t="shared" si="1"/>
        <v>0</v>
      </c>
      <c r="G21" s="20">
        <v>0</v>
      </c>
      <c r="H21" s="20"/>
      <c r="I21" s="20"/>
      <c r="J21" s="20"/>
      <c r="K21" s="28">
        <f t="shared" si="0"/>
        <v>0</v>
      </c>
      <c r="L21" s="43">
        <f t="shared" si="2"/>
        <v>0</v>
      </c>
      <c r="M21" s="20"/>
      <c r="N21" s="20"/>
      <c r="O21" s="20"/>
      <c r="P21" s="17">
        <f t="shared" si="3"/>
        <v>0</v>
      </c>
      <c r="Q21" s="17">
        <f t="shared" si="4"/>
        <v>0</v>
      </c>
      <c r="R21" s="20"/>
      <c r="S21" s="20"/>
      <c r="T21" s="20"/>
      <c r="U21" s="28">
        <f t="shared" si="5"/>
        <v>0</v>
      </c>
      <c r="V21" s="43">
        <f t="shared" si="6"/>
        <v>0</v>
      </c>
      <c r="W21" s="20"/>
      <c r="X21" s="20">
        <v>0</v>
      </c>
      <c r="Y21" s="20"/>
      <c r="Z21" s="20">
        <f t="shared" si="7"/>
        <v>0</v>
      </c>
      <c r="AA21" s="20">
        <f t="shared" si="8"/>
        <v>0</v>
      </c>
      <c r="AB21" s="20"/>
      <c r="AC21" s="20">
        <v>0</v>
      </c>
      <c r="AD21" s="20"/>
      <c r="AE21" s="24">
        <f t="shared" si="9"/>
        <v>0</v>
      </c>
      <c r="AF21" s="43">
        <v>0</v>
      </c>
      <c r="AG21" s="20">
        <v>0</v>
      </c>
      <c r="AH21" s="20">
        <f t="shared" si="10"/>
        <v>0</v>
      </c>
      <c r="AI21" s="20">
        <f t="shared" si="11"/>
        <v>0</v>
      </c>
      <c r="AJ21" s="17">
        <f t="shared" si="12"/>
        <v>0</v>
      </c>
      <c r="AK21" s="28">
        <f t="shared" si="13"/>
        <v>0</v>
      </c>
      <c r="AL21" s="43"/>
      <c r="AM21" s="24">
        <f t="shared" si="14"/>
        <v>0</v>
      </c>
    </row>
    <row r="22" spans="1:39" s="16" customFormat="1" thickBot="1" x14ac:dyDescent="0.25">
      <c r="A22" s="34" t="s">
        <v>55</v>
      </c>
      <c r="B22" s="31">
        <v>1595</v>
      </c>
      <c r="C22" s="25">
        <v>0</v>
      </c>
      <c r="D22" s="18">
        <v>0</v>
      </c>
      <c r="E22" s="18">
        <v>0</v>
      </c>
      <c r="F22" s="20">
        <f t="shared" si="1"/>
        <v>0</v>
      </c>
      <c r="G22" s="20">
        <v>0</v>
      </c>
      <c r="H22" s="20"/>
      <c r="I22" s="20"/>
      <c r="J22" s="20"/>
      <c r="K22" s="28">
        <f t="shared" si="0"/>
        <v>0</v>
      </c>
      <c r="L22" s="43">
        <f t="shared" si="2"/>
        <v>0</v>
      </c>
      <c r="M22" s="20">
        <v>2675.19</v>
      </c>
      <c r="N22" s="20"/>
      <c r="O22" s="20"/>
      <c r="P22" s="17">
        <f t="shared" si="3"/>
        <v>2675.19</v>
      </c>
      <c r="Q22" s="17">
        <f t="shared" si="4"/>
        <v>0</v>
      </c>
      <c r="R22" s="20">
        <v>-5659.5</v>
      </c>
      <c r="S22" s="20"/>
      <c r="T22" s="20"/>
      <c r="U22" s="28">
        <f t="shared" si="5"/>
        <v>-5659.5</v>
      </c>
      <c r="V22" s="43">
        <f t="shared" si="6"/>
        <v>2675.19</v>
      </c>
      <c r="W22" s="20">
        <f>377.82+1</f>
        <v>378.82</v>
      </c>
      <c r="X22" s="20">
        <v>0</v>
      </c>
      <c r="Y22" s="20">
        <v>0</v>
      </c>
      <c r="Z22" s="20">
        <f t="shared" si="7"/>
        <v>3054.01</v>
      </c>
      <c r="AA22" s="20">
        <f t="shared" si="8"/>
        <v>-5659.5</v>
      </c>
      <c r="AB22" s="20">
        <v>23.5</v>
      </c>
      <c r="AC22" s="20">
        <v>0</v>
      </c>
      <c r="AD22" s="20"/>
      <c r="AE22" s="24">
        <f t="shared" si="9"/>
        <v>-5636</v>
      </c>
      <c r="AF22" s="43">
        <v>0</v>
      </c>
      <c r="AG22" s="20">
        <v>0</v>
      </c>
      <c r="AH22" s="20">
        <f t="shared" si="10"/>
        <v>3054.01</v>
      </c>
      <c r="AI22" s="20">
        <f t="shared" si="11"/>
        <v>-5636</v>
      </c>
      <c r="AJ22" s="17">
        <f t="shared" si="12"/>
        <v>33.594110000000008</v>
      </c>
      <c r="AK22" s="28">
        <f t="shared" si="13"/>
        <v>-2548.3958899999998</v>
      </c>
      <c r="AL22" s="43">
        <v>-2582.37</v>
      </c>
      <c r="AM22" s="24">
        <f t="shared" si="14"/>
        <v>-0.38000000000010914</v>
      </c>
    </row>
    <row r="23" spans="1:39" s="16" customFormat="1" thickBot="1" x14ac:dyDescent="0.25">
      <c r="A23" s="34" t="s">
        <v>56</v>
      </c>
      <c r="B23" s="31">
        <v>1595</v>
      </c>
      <c r="C23" s="25">
        <v>0</v>
      </c>
      <c r="D23" s="18">
        <v>0</v>
      </c>
      <c r="E23" s="18">
        <v>0</v>
      </c>
      <c r="F23" s="20">
        <v>0</v>
      </c>
      <c r="G23" s="20">
        <v>0</v>
      </c>
      <c r="H23" s="20">
        <v>0</v>
      </c>
      <c r="I23" s="20">
        <v>0</v>
      </c>
      <c r="J23" s="20">
        <v>0</v>
      </c>
      <c r="K23" s="28">
        <f>G23+H23-I23+J23</f>
        <v>0</v>
      </c>
      <c r="L23" s="43">
        <f t="shared" si="2"/>
        <v>0</v>
      </c>
      <c r="M23" s="20"/>
      <c r="N23" s="20"/>
      <c r="O23" s="20"/>
      <c r="P23" s="20"/>
      <c r="Q23" s="20">
        <f t="shared" si="4"/>
        <v>0</v>
      </c>
      <c r="R23" s="20"/>
      <c r="S23" s="20"/>
      <c r="T23" s="20"/>
      <c r="U23" s="28"/>
      <c r="V23" s="43"/>
      <c r="W23" s="20">
        <v>9885176.9800000004</v>
      </c>
      <c r="X23" s="20">
        <v>-10153475</v>
      </c>
      <c r="Y23" s="20">
        <v>0</v>
      </c>
      <c r="Z23" s="20">
        <f t="shared" si="7"/>
        <v>-268298.01999999955</v>
      </c>
      <c r="AA23" s="20">
        <f t="shared" si="8"/>
        <v>0</v>
      </c>
      <c r="AB23" s="20">
        <f>453812.89-70263.22</f>
        <v>383549.67000000004</v>
      </c>
      <c r="AC23" s="20">
        <v>-458332.08</v>
      </c>
      <c r="AD23" s="20">
        <v>0</v>
      </c>
      <c r="AE23" s="24">
        <f t="shared" si="9"/>
        <v>-74782.409999999974</v>
      </c>
      <c r="AF23" s="43">
        <v>0</v>
      </c>
      <c r="AG23" s="20">
        <v>0</v>
      </c>
      <c r="AH23" s="20">
        <f t="shared" si="10"/>
        <v>-268298.01999999955</v>
      </c>
      <c r="AI23" s="20">
        <f t="shared" si="11"/>
        <v>-74782.409999999974</v>
      </c>
      <c r="AJ23" s="17">
        <f t="shared" si="12"/>
        <v>-2951.2782199999956</v>
      </c>
      <c r="AK23" s="28">
        <f t="shared" si="13"/>
        <v>-346031.70821999951</v>
      </c>
      <c r="AL23" s="43">
        <v>-343080.43</v>
      </c>
      <c r="AM23" s="24">
        <f t="shared" si="14"/>
        <v>-4.6566128730773926E-10</v>
      </c>
    </row>
    <row r="24" spans="1:39" s="16" customFormat="1" ht="13.5" thickBot="1" x14ac:dyDescent="0.25">
      <c r="A24" s="34"/>
      <c r="B24" s="31"/>
      <c r="C24" s="25"/>
      <c r="D24" s="18"/>
      <c r="E24" s="18"/>
      <c r="F24" s="20"/>
      <c r="G24" s="20"/>
      <c r="H24" s="20"/>
      <c r="I24" s="20"/>
      <c r="J24" s="20"/>
      <c r="K24" s="28"/>
      <c r="L24" s="43"/>
      <c r="M24" s="20"/>
      <c r="N24" s="20"/>
      <c r="O24" s="20"/>
      <c r="P24" s="20"/>
      <c r="Q24" s="20"/>
      <c r="R24" s="20"/>
      <c r="S24" s="20"/>
      <c r="T24" s="20"/>
      <c r="U24" s="28"/>
      <c r="V24" s="43"/>
      <c r="W24" s="20"/>
      <c r="X24" s="20"/>
      <c r="Y24" s="20"/>
      <c r="Z24" s="20">
        <f t="shared" si="7"/>
        <v>0</v>
      </c>
      <c r="AA24" s="20">
        <f t="shared" si="8"/>
        <v>0</v>
      </c>
      <c r="AB24" s="20"/>
      <c r="AC24" s="20"/>
      <c r="AD24" s="20"/>
      <c r="AE24" s="24"/>
      <c r="AF24" s="43"/>
      <c r="AG24" s="20"/>
      <c r="AH24" s="20"/>
      <c r="AI24" s="20"/>
      <c r="AJ24" s="20"/>
      <c r="AK24" s="28"/>
      <c r="AL24" s="43"/>
      <c r="AM24" s="28"/>
    </row>
    <row r="25" spans="1:39" s="16" customFormat="1" ht="13.5" thickBot="1" x14ac:dyDescent="0.25">
      <c r="A25" s="34" t="s">
        <v>73</v>
      </c>
      <c r="B25" s="31">
        <v>1589</v>
      </c>
      <c r="C25" s="25">
        <f>C16</f>
        <v>-20778819.5</v>
      </c>
      <c r="D25" s="18">
        <f t="shared" ref="D25:K25" si="15">D16</f>
        <v>-2771959.94</v>
      </c>
      <c r="E25" s="18">
        <f t="shared" si="15"/>
        <v>22821333</v>
      </c>
      <c r="F25" s="20">
        <f t="shared" si="15"/>
        <v>-729446.44000000134</v>
      </c>
      <c r="G25" s="20">
        <f t="shared" si="15"/>
        <v>-444920.1</v>
      </c>
      <c r="H25" s="20">
        <f t="shared" si="15"/>
        <v>-31191.42</v>
      </c>
      <c r="I25" s="20">
        <f t="shared" si="15"/>
        <v>-477146</v>
      </c>
      <c r="J25" s="20">
        <f t="shared" si="15"/>
        <v>0</v>
      </c>
      <c r="K25" s="28">
        <f t="shared" si="15"/>
        <v>1034.4800000000396</v>
      </c>
      <c r="L25" s="43">
        <f>L16</f>
        <v>-729446.44000000134</v>
      </c>
      <c r="M25" s="20">
        <f t="shared" ref="M25:U25" si="16">M16</f>
        <v>3161417.86</v>
      </c>
      <c r="N25" s="20">
        <f t="shared" si="16"/>
        <v>-2042512.49</v>
      </c>
      <c r="O25" s="20">
        <f t="shared" si="16"/>
        <v>0</v>
      </c>
      <c r="P25" s="20">
        <f t="shared" si="16"/>
        <v>389458.92999999854</v>
      </c>
      <c r="Q25" s="20">
        <f t="shared" si="16"/>
        <v>1034.4800000000396</v>
      </c>
      <c r="R25" s="20">
        <f t="shared" si="16"/>
        <v>40514.370000000003</v>
      </c>
      <c r="S25" s="20">
        <f t="shared" si="16"/>
        <v>-62251.51</v>
      </c>
      <c r="T25" s="20">
        <f t="shared" si="16"/>
        <v>0</v>
      </c>
      <c r="U25" s="28">
        <f t="shared" si="16"/>
        <v>-20702.65999999996</v>
      </c>
      <c r="V25" s="43">
        <f>V16</f>
        <v>389458.92999999854</v>
      </c>
      <c r="W25" s="20">
        <f t="shared" ref="W25:AE25" si="17">W16</f>
        <v>7999426.6600000001</v>
      </c>
      <c r="X25" s="20">
        <f t="shared" si="17"/>
        <v>2771959</v>
      </c>
      <c r="Y25" s="20">
        <f t="shared" si="17"/>
        <v>-1.51</v>
      </c>
      <c r="Z25" s="20">
        <f t="shared" si="17"/>
        <v>11160843.079999998</v>
      </c>
      <c r="AA25" s="20">
        <f t="shared" si="17"/>
        <v>-20702.65999999996</v>
      </c>
      <c r="AB25" s="20">
        <f t="shared" si="17"/>
        <v>59398.74</v>
      </c>
      <c r="AC25" s="20">
        <f t="shared" si="17"/>
        <v>101964.8</v>
      </c>
      <c r="AD25" s="20">
        <f t="shared" si="17"/>
        <v>0.04</v>
      </c>
      <c r="AE25" s="24">
        <f t="shared" si="17"/>
        <v>140660.92000000004</v>
      </c>
      <c r="AF25" s="43">
        <f t="shared" ref="AF25:AL25" si="18">AF16</f>
        <v>0</v>
      </c>
      <c r="AG25" s="20">
        <f t="shared" si="18"/>
        <v>0</v>
      </c>
      <c r="AH25" s="20">
        <f t="shared" si="18"/>
        <v>11160843.079999998</v>
      </c>
      <c r="AI25" s="20">
        <f t="shared" si="18"/>
        <v>140660.92000000004</v>
      </c>
      <c r="AJ25" s="20">
        <f t="shared" si="18"/>
        <v>122769.27387999999</v>
      </c>
      <c r="AK25" s="28">
        <f t="shared" si="18"/>
        <v>11424273.273879997</v>
      </c>
      <c r="AL25" s="43">
        <f t="shared" si="18"/>
        <v>11301504</v>
      </c>
      <c r="AM25" s="28">
        <f t="shared" ref="AM25" si="19">AM16</f>
        <v>1.7462298274040222E-9</v>
      </c>
    </row>
    <row r="26" spans="1:39" s="16" customFormat="1" ht="13.5" thickBot="1" x14ac:dyDescent="0.25">
      <c r="A26" s="34" t="s">
        <v>74</v>
      </c>
      <c r="B26" s="31"/>
      <c r="C26" s="25">
        <f>SUM(C10:C15,C17:C22)</f>
        <v>-23440591.469999999</v>
      </c>
      <c r="D26" s="18">
        <f t="shared" ref="D26:K26" si="20">SUM(D10:D15,D17:D22)</f>
        <v>11234351.919999998</v>
      </c>
      <c r="E26" s="18">
        <f t="shared" si="20"/>
        <v>-22766012.390000001</v>
      </c>
      <c r="F26" s="20">
        <f t="shared" si="20"/>
        <v>-34972251.939999998</v>
      </c>
      <c r="G26" s="20">
        <f t="shared" si="20"/>
        <v>-653283.16999999993</v>
      </c>
      <c r="H26" s="20">
        <f t="shared" si="20"/>
        <v>-55516.429999999964</v>
      </c>
      <c r="I26" s="20">
        <f t="shared" si="20"/>
        <v>-1435237.3</v>
      </c>
      <c r="J26" s="20">
        <f t="shared" si="20"/>
        <v>0</v>
      </c>
      <c r="K26" s="28">
        <f t="shared" si="20"/>
        <v>-1238028.8999999999</v>
      </c>
      <c r="L26" s="43">
        <f>SUM(L10:L15,L17:L23)</f>
        <v>-34972251.939999998</v>
      </c>
      <c r="M26" s="20">
        <f t="shared" ref="M26:U26" si="21">SUM(M10:M15,M17:M23)</f>
        <v>17268310.289999999</v>
      </c>
      <c r="N26" s="20">
        <f t="shared" si="21"/>
        <v>4942841.01</v>
      </c>
      <c r="O26" s="20">
        <f t="shared" si="21"/>
        <v>0</v>
      </c>
      <c r="P26" s="20">
        <f t="shared" si="21"/>
        <v>-12761100.640000002</v>
      </c>
      <c r="Q26" s="20">
        <f t="shared" si="21"/>
        <v>-1238028.8999999999</v>
      </c>
      <c r="R26" s="20">
        <f t="shared" si="21"/>
        <v>101916.87999999999</v>
      </c>
      <c r="S26" s="20">
        <f t="shared" si="21"/>
        <v>100300.32999999999</v>
      </c>
      <c r="T26" s="20">
        <f t="shared" si="21"/>
        <v>-41230.22</v>
      </c>
      <c r="U26" s="28">
        <f t="shared" si="21"/>
        <v>-1077041.9100000001</v>
      </c>
      <c r="V26" s="43">
        <f>SUM(V10:V15,V17:V23)</f>
        <v>-12761100.640000002</v>
      </c>
      <c r="W26" s="20">
        <f t="shared" ref="W26:AE26" si="22">SUM(W10:W15,W17:W23)</f>
        <v>15483172.390000001</v>
      </c>
      <c r="X26" s="20">
        <f t="shared" si="22"/>
        <v>-2770104.2799999993</v>
      </c>
      <c r="Y26" s="20">
        <f t="shared" si="22"/>
        <v>-35924.879999999997</v>
      </c>
      <c r="Z26" s="20">
        <f t="shared" si="22"/>
        <v>-83957.410000002244</v>
      </c>
      <c r="AA26" s="20">
        <f t="shared" si="22"/>
        <v>-1077041.9100000001</v>
      </c>
      <c r="AB26" s="20">
        <f t="shared" si="22"/>
        <v>474283.72000000003</v>
      </c>
      <c r="AC26" s="20">
        <f t="shared" si="22"/>
        <v>-101958.47000000003</v>
      </c>
      <c r="AD26" s="20">
        <f t="shared" si="22"/>
        <v>-237.09000000000003</v>
      </c>
      <c r="AE26" s="24">
        <f t="shared" si="22"/>
        <v>-704953.75</v>
      </c>
      <c r="AF26" s="43">
        <f t="shared" ref="AF26:AL26" si="23">SUM(AF10:AF15,AF17:AF23)</f>
        <v>0</v>
      </c>
      <c r="AG26" s="20">
        <f t="shared" si="23"/>
        <v>0</v>
      </c>
      <c r="AH26" s="20">
        <f t="shared" si="23"/>
        <v>-83957.410000002244</v>
      </c>
      <c r="AI26" s="20">
        <f t="shared" si="23"/>
        <v>-704953.75</v>
      </c>
      <c r="AJ26" s="20">
        <f t="shared" si="23"/>
        <v>-923.53151000002345</v>
      </c>
      <c r="AK26" s="28">
        <f t="shared" si="23"/>
        <v>-789834.69151000096</v>
      </c>
      <c r="AL26" s="43">
        <f t="shared" si="23"/>
        <v>-788911.54999999958</v>
      </c>
      <c r="AM26" s="28">
        <f t="shared" ref="AM26" si="24">SUM(AM10:AM15,AM17:AM23)</f>
        <v>-0.3899999980254597</v>
      </c>
    </row>
    <row r="27" spans="1:39" s="37" customFormat="1" ht="13.5" thickBot="1" x14ac:dyDescent="0.25">
      <c r="A27" s="35" t="s">
        <v>75</v>
      </c>
      <c r="B27" s="36"/>
      <c r="C27" s="44">
        <f>SUM(C10:C23)</f>
        <v>-44219410.969999999</v>
      </c>
      <c r="D27" s="45">
        <f t="shared" ref="D27:K27" si="25">SUM(D10:D23)</f>
        <v>8462391.9800000004</v>
      </c>
      <c r="E27" s="45">
        <f t="shared" si="25"/>
        <v>55320.609999999404</v>
      </c>
      <c r="F27" s="46">
        <f t="shared" si="25"/>
        <v>-35701698.379999995</v>
      </c>
      <c r="G27" s="46">
        <f t="shared" si="25"/>
        <v>-1098203.27</v>
      </c>
      <c r="H27" s="46">
        <f t="shared" si="25"/>
        <v>-86707.849999999948</v>
      </c>
      <c r="I27" s="46">
        <f t="shared" si="25"/>
        <v>-1912383.3</v>
      </c>
      <c r="J27" s="46">
        <f t="shared" si="25"/>
        <v>0</v>
      </c>
      <c r="K27" s="47">
        <f t="shared" si="25"/>
        <v>-1236994.42</v>
      </c>
      <c r="L27" s="48">
        <f>SUM(L10:L23)</f>
        <v>-35701698.379999995</v>
      </c>
      <c r="M27" s="46">
        <f t="shared" ref="M27:U27" si="26">SUM(M10:M23)</f>
        <v>20429728.149999999</v>
      </c>
      <c r="N27" s="46">
        <f t="shared" si="26"/>
        <v>2900328.5199999996</v>
      </c>
      <c r="O27" s="46">
        <f t="shared" si="26"/>
        <v>0</v>
      </c>
      <c r="P27" s="46">
        <f t="shared" si="26"/>
        <v>-12371641.710000005</v>
      </c>
      <c r="Q27" s="46">
        <f t="shared" si="26"/>
        <v>-1236994.42</v>
      </c>
      <c r="R27" s="46">
        <f t="shared" si="26"/>
        <v>142431.25</v>
      </c>
      <c r="S27" s="46">
        <f t="shared" si="26"/>
        <v>38048.819999999985</v>
      </c>
      <c r="T27" s="46">
        <f t="shared" si="26"/>
        <v>-41230.22</v>
      </c>
      <c r="U27" s="47">
        <f t="shared" si="26"/>
        <v>-1097744.5699999998</v>
      </c>
      <c r="V27" s="48">
        <f>SUM(V10:V23)</f>
        <v>-12371641.710000005</v>
      </c>
      <c r="W27" s="46">
        <f t="shared" ref="W27:AE27" si="27">SUM(W10:W23)</f>
        <v>23482599.050000001</v>
      </c>
      <c r="X27" s="46">
        <f t="shared" si="27"/>
        <v>1854.7200000006706</v>
      </c>
      <c r="Y27" s="46">
        <f t="shared" si="27"/>
        <v>-35926.39</v>
      </c>
      <c r="Z27" s="46">
        <f t="shared" si="27"/>
        <v>11076885.669999996</v>
      </c>
      <c r="AA27" s="46">
        <f t="shared" si="27"/>
        <v>-1097744.5699999998</v>
      </c>
      <c r="AB27" s="46">
        <f t="shared" si="27"/>
        <v>533682.46</v>
      </c>
      <c r="AC27" s="46">
        <f t="shared" si="27"/>
        <v>6.3300000000162981</v>
      </c>
      <c r="AD27" s="46">
        <f t="shared" si="27"/>
        <v>-237.05000000000004</v>
      </c>
      <c r="AE27" s="49">
        <f t="shared" si="27"/>
        <v>-564292.82999999984</v>
      </c>
      <c r="AF27" s="48">
        <f t="shared" ref="AF27:AL27" si="28">SUM(AF10:AF23)</f>
        <v>0</v>
      </c>
      <c r="AG27" s="46">
        <f t="shared" si="28"/>
        <v>0</v>
      </c>
      <c r="AH27" s="46">
        <f t="shared" si="28"/>
        <v>11076885.669999996</v>
      </c>
      <c r="AI27" s="46">
        <f t="shared" si="28"/>
        <v>-564292.82999999984</v>
      </c>
      <c r="AJ27" s="46">
        <f t="shared" si="28"/>
        <v>121845.74236999998</v>
      </c>
      <c r="AK27" s="47">
        <f t="shared" si="28"/>
        <v>10634438.582369998</v>
      </c>
      <c r="AL27" s="48">
        <f t="shared" si="28"/>
        <v>10512592.450000003</v>
      </c>
      <c r="AM27" s="47">
        <f t="shared" ref="AM27" si="29">SUM(AM10:AM23)</f>
        <v>-0.38999999627922988</v>
      </c>
    </row>
    <row r="28" spans="1:39" s="16" customFormat="1" ht="13.5" thickBot="1" x14ac:dyDescent="0.25">
      <c r="A28" s="34"/>
      <c r="B28" s="31"/>
      <c r="C28" s="29"/>
      <c r="D28" s="21"/>
      <c r="E28" s="21"/>
      <c r="F28" s="21"/>
      <c r="G28" s="21"/>
      <c r="H28" s="21"/>
      <c r="I28" s="21"/>
      <c r="J28" s="21"/>
      <c r="K28" s="30"/>
      <c r="L28" s="29"/>
      <c r="M28" s="21"/>
      <c r="N28" s="21"/>
      <c r="O28" s="21"/>
      <c r="P28" s="21"/>
      <c r="Q28" s="21"/>
      <c r="R28" s="21"/>
      <c r="S28" s="21"/>
      <c r="T28" s="21"/>
      <c r="U28" s="30"/>
      <c r="V28" s="29"/>
      <c r="W28" s="21"/>
      <c r="X28" s="21"/>
      <c r="Y28" s="21"/>
      <c r="Z28" s="21"/>
      <c r="AA28" s="21"/>
      <c r="AB28" s="21"/>
      <c r="AC28" s="21"/>
      <c r="AD28" s="21"/>
      <c r="AE28" s="30"/>
      <c r="AF28" s="50"/>
      <c r="AG28" s="51"/>
      <c r="AH28" s="51"/>
      <c r="AI28" s="51"/>
      <c r="AJ28" s="51"/>
      <c r="AK28" s="52"/>
      <c r="AL28" s="50"/>
      <c r="AM28" s="52"/>
    </row>
    <row r="29" spans="1:39" s="16" customFormat="1" ht="13.5" thickBot="1" x14ac:dyDescent="0.25">
      <c r="A29" s="34" t="s">
        <v>76</v>
      </c>
      <c r="B29" s="31">
        <v>1586</v>
      </c>
      <c r="C29" s="25">
        <v>0</v>
      </c>
      <c r="D29" s="18">
        <v>399442.86</v>
      </c>
      <c r="E29" s="18"/>
      <c r="F29" s="20">
        <f>SUM(C29:E29)</f>
        <v>399442.86</v>
      </c>
      <c r="G29" s="20">
        <v>379.85</v>
      </c>
      <c r="H29" s="20">
        <v>0</v>
      </c>
      <c r="I29" s="20"/>
      <c r="J29" s="20"/>
      <c r="K29" s="28">
        <f>G29+H29-I29+J29</f>
        <v>379.85</v>
      </c>
      <c r="L29" s="43">
        <f t="shared" ref="L29" si="30">F29</f>
        <v>399442.86</v>
      </c>
      <c r="M29" s="20">
        <v>-338024.2</v>
      </c>
      <c r="N29" s="20"/>
      <c r="O29" s="20"/>
      <c r="P29" s="17">
        <f t="shared" ref="P29" si="31">SUM(L29:O29)</f>
        <v>61418.659999999974</v>
      </c>
      <c r="Q29" s="17">
        <f t="shared" ref="Q29" si="32">K29</f>
        <v>379.85</v>
      </c>
      <c r="R29" s="17">
        <v>5488.2</v>
      </c>
      <c r="S29" s="20"/>
      <c r="T29" s="20"/>
      <c r="U29" s="28">
        <f t="shared" ref="U29" si="33">SUM(Q29:T29)</f>
        <v>5868.05</v>
      </c>
      <c r="V29" s="43">
        <f t="shared" ref="V29" si="34">P29</f>
        <v>61418.659999999974</v>
      </c>
      <c r="W29" s="20">
        <v>12856.94</v>
      </c>
      <c r="X29" s="20"/>
      <c r="Y29" s="20"/>
      <c r="Z29" s="20">
        <f t="shared" si="7"/>
        <v>74275.599999999977</v>
      </c>
      <c r="AA29" s="20">
        <f t="shared" ref="AA29" si="35">U29</f>
        <v>5868.05</v>
      </c>
      <c r="AB29" s="20">
        <v>688.53</v>
      </c>
      <c r="AC29" s="20"/>
      <c r="AD29" s="20"/>
      <c r="AE29" s="24">
        <f t="shared" ref="AE29" si="36">SUM(AA29:AD29)</f>
        <v>6556.58</v>
      </c>
      <c r="AF29" s="43">
        <v>0</v>
      </c>
      <c r="AG29" s="20">
        <v>0</v>
      </c>
      <c r="AH29" s="20">
        <f t="shared" ref="AH29" si="37">Z29-AF29</f>
        <v>74275.599999999977</v>
      </c>
      <c r="AI29" s="20">
        <f t="shared" ref="AI29" si="38">AE29-AG29</f>
        <v>6556.58</v>
      </c>
      <c r="AJ29" s="20">
        <f t="shared" ref="AJ29" si="39">(Z29-AF29)*(1.19/100)</f>
        <v>883.87963999999965</v>
      </c>
      <c r="AK29" s="28">
        <f t="shared" ref="AK29" si="40">SUM(AH29:AJ29)</f>
        <v>81716.059639999978</v>
      </c>
      <c r="AL29" s="57" t="s">
        <v>87</v>
      </c>
      <c r="AM29" s="58" t="s">
        <v>87</v>
      </c>
    </row>
    <row r="30" spans="1:39" s="16" customFormat="1" ht="12.75" x14ac:dyDescent="0.2">
      <c r="A30" s="34"/>
      <c r="B30" s="31"/>
      <c r="C30" s="29"/>
      <c r="D30" s="21"/>
      <c r="E30" s="21"/>
      <c r="F30" s="21"/>
      <c r="G30" s="21"/>
      <c r="H30" s="21"/>
      <c r="I30" s="21"/>
      <c r="J30" s="21"/>
      <c r="K30" s="30"/>
      <c r="L30" s="29"/>
      <c r="M30" s="21"/>
      <c r="N30" s="21"/>
      <c r="O30" s="21"/>
      <c r="P30" s="21"/>
      <c r="Q30" s="21"/>
      <c r="R30" s="21"/>
      <c r="S30" s="21"/>
      <c r="T30" s="21"/>
      <c r="U30" s="30"/>
      <c r="V30" s="29"/>
      <c r="W30" s="21"/>
      <c r="X30" s="21"/>
      <c r="Y30" s="21"/>
      <c r="Z30" s="21"/>
      <c r="AA30" s="21"/>
      <c r="AB30" s="21"/>
      <c r="AC30" s="21"/>
      <c r="AD30" s="21"/>
      <c r="AE30" s="30"/>
      <c r="AF30" s="50"/>
      <c r="AG30" s="51"/>
      <c r="AH30" s="51"/>
      <c r="AI30" s="51"/>
      <c r="AJ30" s="51"/>
      <c r="AK30" s="52"/>
      <c r="AL30" s="50"/>
      <c r="AM30" s="52"/>
    </row>
    <row r="31" spans="1:39" s="37" customFormat="1" ht="13.5" thickBot="1" x14ac:dyDescent="0.25">
      <c r="A31" s="38" t="s">
        <v>77</v>
      </c>
      <c r="B31" s="39"/>
      <c r="C31" s="40">
        <f t="shared" ref="C31:K31" si="41">C29+C27</f>
        <v>-44219410.969999999</v>
      </c>
      <c r="D31" s="41">
        <f t="shared" si="41"/>
        <v>8861834.8399999999</v>
      </c>
      <c r="E31" s="41">
        <f t="shared" si="41"/>
        <v>55320.609999999404</v>
      </c>
      <c r="F31" s="41">
        <f t="shared" si="41"/>
        <v>-35302255.519999996</v>
      </c>
      <c r="G31" s="41">
        <f t="shared" si="41"/>
        <v>-1097823.42</v>
      </c>
      <c r="H31" s="41">
        <f t="shared" si="41"/>
        <v>-86707.849999999948</v>
      </c>
      <c r="I31" s="41">
        <f t="shared" si="41"/>
        <v>-1912383.3</v>
      </c>
      <c r="J31" s="41">
        <f t="shared" si="41"/>
        <v>0</v>
      </c>
      <c r="K31" s="42">
        <f t="shared" si="41"/>
        <v>-1236614.5699999998</v>
      </c>
      <c r="L31" s="40"/>
      <c r="M31" s="41"/>
      <c r="N31" s="41"/>
      <c r="O31" s="41"/>
      <c r="P31" s="41"/>
      <c r="Q31" s="41"/>
      <c r="R31" s="41"/>
      <c r="S31" s="41"/>
      <c r="T31" s="41"/>
      <c r="U31" s="42"/>
      <c r="V31" s="40"/>
      <c r="W31" s="41"/>
      <c r="X31" s="41"/>
      <c r="Y31" s="41"/>
      <c r="Z31" s="41"/>
      <c r="AA31" s="41"/>
      <c r="AB31" s="41"/>
      <c r="AC31" s="41"/>
      <c r="AD31" s="41"/>
      <c r="AE31" s="42"/>
      <c r="AF31" s="53"/>
      <c r="AG31" s="54"/>
      <c r="AH31" s="54"/>
      <c r="AI31" s="54"/>
      <c r="AJ31" s="54"/>
      <c r="AK31" s="55"/>
      <c r="AL31" s="53"/>
      <c r="AM31" s="56"/>
    </row>
    <row r="32" spans="1:39" s="16" customFormat="1" ht="12.75" x14ac:dyDescent="0.2">
      <c r="AC32" s="22"/>
    </row>
    <row r="33" spans="5:29" x14ac:dyDescent="0.25">
      <c r="AC33" s="22"/>
    </row>
    <row r="34" spans="5:29" x14ac:dyDescent="0.25">
      <c r="T34" s="15">
        <f>+R19+T19</f>
        <v>-41243.730000000003</v>
      </c>
      <c r="AC34" s="22"/>
    </row>
    <row r="35" spans="5:29" x14ac:dyDescent="0.25">
      <c r="N35" s="15">
        <f>-N10</f>
        <v>1492593.91</v>
      </c>
      <c r="S35" s="15">
        <f>-S10</f>
        <v>28520.75</v>
      </c>
      <c r="AC35" s="22"/>
    </row>
    <row r="36" spans="5:29" x14ac:dyDescent="0.25">
      <c r="E36" s="15"/>
      <c r="I36" s="15"/>
      <c r="N36" s="15">
        <f t="shared" ref="N36:N42" si="42">-N11</f>
        <v>0</v>
      </c>
      <c r="S36" s="15">
        <f t="shared" ref="S36:S45" si="43">-S11</f>
        <v>0</v>
      </c>
      <c r="AC36" s="22"/>
    </row>
    <row r="37" spans="5:29" x14ac:dyDescent="0.25">
      <c r="E37" s="15"/>
      <c r="I37" s="15"/>
      <c r="N37" s="15">
        <f t="shared" si="42"/>
        <v>-7802410.54</v>
      </c>
      <c r="S37" s="15">
        <f t="shared" si="43"/>
        <v>-157435.46</v>
      </c>
      <c r="AC37" s="22"/>
    </row>
    <row r="38" spans="5:29" x14ac:dyDescent="0.25">
      <c r="E38" s="15"/>
      <c r="I38" s="15"/>
      <c r="N38" s="15">
        <f t="shared" si="42"/>
        <v>499948.11</v>
      </c>
      <c r="S38" s="15">
        <f t="shared" si="43"/>
        <v>9921.89</v>
      </c>
      <c r="AC38" s="22"/>
    </row>
    <row r="39" spans="5:29" x14ac:dyDescent="0.25">
      <c r="E39" s="15"/>
      <c r="I39" s="15"/>
      <c r="N39" s="15">
        <f t="shared" si="42"/>
        <v>453078</v>
      </c>
      <c r="S39" s="15">
        <f t="shared" si="43"/>
        <v>8221</v>
      </c>
      <c r="AC39" s="22"/>
    </row>
    <row r="40" spans="5:29" x14ac:dyDescent="0.25">
      <c r="E40" s="15"/>
      <c r="I40" s="15"/>
      <c r="N40" s="15">
        <f t="shared" si="42"/>
        <v>413949.51</v>
      </c>
      <c r="S40" s="15">
        <f t="shared" si="43"/>
        <v>9403.49</v>
      </c>
      <c r="AC40" s="22"/>
    </row>
    <row r="41" spans="5:29" x14ac:dyDescent="0.25">
      <c r="E41" s="15"/>
      <c r="I41" s="15"/>
      <c r="N41" s="15">
        <f t="shared" si="42"/>
        <v>2042512.49</v>
      </c>
      <c r="S41" s="15">
        <f t="shared" si="43"/>
        <v>62251.51</v>
      </c>
      <c r="AC41" s="22"/>
    </row>
    <row r="42" spans="5:29" x14ac:dyDescent="0.25">
      <c r="E42" s="15"/>
      <c r="I42" s="15"/>
      <c r="N42" s="15">
        <f t="shared" si="42"/>
        <v>0</v>
      </c>
      <c r="S42" s="15">
        <f t="shared" si="43"/>
        <v>0</v>
      </c>
      <c r="AC42" s="22"/>
    </row>
    <row r="43" spans="5:29" x14ac:dyDescent="0.25">
      <c r="E43" s="15"/>
      <c r="I43" s="15"/>
      <c r="S43" s="15">
        <f t="shared" si="43"/>
        <v>1068</v>
      </c>
      <c r="AC43" s="22"/>
    </row>
    <row r="44" spans="5:29" x14ac:dyDescent="0.25">
      <c r="E44" s="15"/>
      <c r="I44" s="15"/>
      <c r="S44" s="15">
        <f t="shared" si="43"/>
        <v>0</v>
      </c>
      <c r="AC44" s="22"/>
    </row>
    <row r="45" spans="5:29" x14ac:dyDescent="0.25">
      <c r="E45" s="15"/>
      <c r="I45" s="15"/>
      <c r="S45" s="15">
        <f t="shared" si="43"/>
        <v>0</v>
      </c>
      <c r="AC45" s="22"/>
    </row>
    <row r="46" spans="5:29" x14ac:dyDescent="0.25">
      <c r="E46" s="15"/>
      <c r="I46" s="15"/>
    </row>
    <row r="47" spans="5:29" x14ac:dyDescent="0.25">
      <c r="E47" s="15"/>
      <c r="I47" s="15"/>
    </row>
    <row r="48" spans="5:29" x14ac:dyDescent="0.25">
      <c r="E48" s="15"/>
      <c r="I48" s="15"/>
    </row>
    <row r="49" spans="5:9" x14ac:dyDescent="0.25">
      <c r="E49" s="15"/>
      <c r="I49" s="15"/>
    </row>
  </sheetData>
  <mergeCells count="44">
    <mergeCell ref="A7:A9"/>
    <mergeCell ref="B7:B9"/>
    <mergeCell ref="C7:C9"/>
    <mergeCell ref="D7:D9"/>
    <mergeCell ref="E7:E9"/>
    <mergeCell ref="J7:J9"/>
    <mergeCell ref="K7:K9"/>
    <mergeCell ref="C6:K6"/>
    <mergeCell ref="L7:L9"/>
    <mergeCell ref="M7:M9"/>
    <mergeCell ref="F7:F9"/>
    <mergeCell ref="G7:G9"/>
    <mergeCell ref="H7:H9"/>
    <mergeCell ref="I7:I9"/>
    <mergeCell ref="Y7:Y9"/>
    <mergeCell ref="V6:AE6"/>
    <mergeCell ref="O7:O9"/>
    <mergeCell ref="P7:P9"/>
    <mergeCell ref="Q7:Q9"/>
    <mergeCell ref="R7:R9"/>
    <mergeCell ref="S7:S9"/>
    <mergeCell ref="T7:T9"/>
    <mergeCell ref="Z7:Z9"/>
    <mergeCell ref="U7:U9"/>
    <mergeCell ref="L6:U6"/>
    <mergeCell ref="V7:V9"/>
    <mergeCell ref="W7:W9"/>
    <mergeCell ref="X7:X9"/>
    <mergeCell ref="N7:N9"/>
    <mergeCell ref="AA7:AA9"/>
    <mergeCell ref="AB7:AB9"/>
    <mergeCell ref="AC7:AC9"/>
    <mergeCell ref="AD7:AD9"/>
    <mergeCell ref="AF6:AK6"/>
    <mergeCell ref="AE7:AE9"/>
    <mergeCell ref="AL6:AM6"/>
    <mergeCell ref="AL7:AL9"/>
    <mergeCell ref="AM7:AM9"/>
    <mergeCell ref="AF7:AF9"/>
    <mergeCell ref="AG7:AG9"/>
    <mergeCell ref="AH7:AH9"/>
    <mergeCell ref="AI7:AI9"/>
    <mergeCell ref="AJ7:AJ9"/>
    <mergeCell ref="AK7:AK9"/>
  </mergeCells>
  <pageMargins left="0" right="0" top="0.74803149606299213" bottom="0.74803149606299213" header="0.31496062992125984" footer="0.31496062992125984"/>
  <pageSetup scale="18" orientation="landscape"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E21"/>
  <sheetViews>
    <sheetView workbookViewId="0">
      <selection activeCell="E17" sqref="E17"/>
    </sheetView>
  </sheetViews>
  <sheetFormatPr defaultRowHeight="15" x14ac:dyDescent="0.25"/>
  <cols>
    <col min="1" max="1" width="48.5703125" bestFit="1" customWidth="1"/>
    <col min="2" max="5" width="10.7109375" customWidth="1"/>
  </cols>
  <sheetData>
    <row r="1" spans="1:5" x14ac:dyDescent="0.25">
      <c r="A1" s="1" t="s">
        <v>663</v>
      </c>
      <c r="B1" s="659" t="s">
        <v>661</v>
      </c>
      <c r="C1" s="659" t="s">
        <v>342</v>
      </c>
      <c r="D1" s="659" t="s">
        <v>662</v>
      </c>
      <c r="E1" s="659" t="s">
        <v>347</v>
      </c>
    </row>
    <row r="2" spans="1:5" x14ac:dyDescent="0.25">
      <c r="A2" s="199" t="s">
        <v>420</v>
      </c>
      <c r="B2" s="517">
        <v>8.0999999999999996E-3</v>
      </c>
      <c r="C2" s="517">
        <v>7.9374910817094635E-3</v>
      </c>
      <c r="D2" s="657">
        <f>C2-B2</f>
        <v>-1.6250891829053607E-4</v>
      </c>
      <c r="E2" s="658">
        <f>D2/B2</f>
        <v>-2.0062829418584702E-2</v>
      </c>
    </row>
    <row r="3" spans="1:5" x14ac:dyDescent="0.25">
      <c r="A3" s="199" t="s">
        <v>421</v>
      </c>
      <c r="B3" s="517">
        <v>7.6E-3</v>
      </c>
      <c r="C3" s="517">
        <v>7.4475224959026989E-3</v>
      </c>
      <c r="D3" s="657">
        <f t="shared" ref="D3:D9" si="0">C3-B3</f>
        <v>-1.5247750409730105E-4</v>
      </c>
      <c r="E3" s="658">
        <f t="shared" ref="E3:E9" si="1">D3/B3</f>
        <v>-2.006282948648698E-2</v>
      </c>
    </row>
    <row r="4" spans="1:5" x14ac:dyDescent="0.25">
      <c r="A4" s="199" t="s">
        <v>422</v>
      </c>
      <c r="B4" s="517">
        <v>2.9272</v>
      </c>
      <c r="C4" s="517">
        <v>2.8684720859699291</v>
      </c>
      <c r="D4" s="657">
        <f t="shared" si="0"/>
        <v>-5.8727914030070938E-2</v>
      </c>
      <c r="E4" s="658">
        <f t="shared" si="1"/>
        <v>-2.0062829335225109E-2</v>
      </c>
    </row>
    <row r="5" spans="1:5" x14ac:dyDescent="0.25">
      <c r="A5" s="199" t="s">
        <v>422</v>
      </c>
      <c r="B5" s="517">
        <v>2.9272</v>
      </c>
      <c r="C5" s="517">
        <v>2.8684720859699291</v>
      </c>
      <c r="D5" s="657">
        <f t="shared" si="0"/>
        <v>-5.8727914030070938E-2</v>
      </c>
      <c r="E5" s="658">
        <f t="shared" si="1"/>
        <v>-2.0062829335225109E-2</v>
      </c>
    </row>
    <row r="6" spans="1:5" x14ac:dyDescent="0.25">
      <c r="A6" s="199" t="s">
        <v>423</v>
      </c>
      <c r="B6" s="517">
        <v>2.8319999999999999</v>
      </c>
      <c r="C6" s="517">
        <v>2.7751820655069266</v>
      </c>
      <c r="D6" s="657">
        <f t="shared" si="0"/>
        <v>-5.6817934493073263E-2</v>
      </c>
      <c r="E6" s="658">
        <f t="shared" si="1"/>
        <v>-2.0062829976367678E-2</v>
      </c>
    </row>
    <row r="7" spans="1:5" x14ac:dyDescent="0.25">
      <c r="A7" s="199" t="s">
        <v>424</v>
      </c>
      <c r="B7" s="517">
        <v>3.0219999999999998</v>
      </c>
      <c r="C7" s="517">
        <v>2.9613701318676164</v>
      </c>
      <c r="D7" s="657">
        <f t="shared" si="0"/>
        <v>-6.0629868132383358E-2</v>
      </c>
      <c r="E7" s="658">
        <f t="shared" si="1"/>
        <v>-2.0062828634144065E-2</v>
      </c>
    </row>
    <row r="8" spans="1:5" x14ac:dyDescent="0.25">
      <c r="A8" s="199" t="s">
        <v>425</v>
      </c>
      <c r="B8" s="517">
        <v>7.6E-3</v>
      </c>
      <c r="C8" s="517">
        <v>7.4475227425682871E-3</v>
      </c>
      <c r="D8" s="657">
        <f t="shared" si="0"/>
        <v>-1.5247725743171292E-4</v>
      </c>
      <c r="E8" s="658">
        <f t="shared" si="1"/>
        <v>-2.0062797030488543E-2</v>
      </c>
    </row>
    <row r="9" spans="1:5" x14ac:dyDescent="0.25">
      <c r="A9" s="199" t="s">
        <v>426</v>
      </c>
      <c r="B9" s="517">
        <v>2.0270999999999999</v>
      </c>
      <c r="C9" s="517">
        <v>1.9864306872540418</v>
      </c>
      <c r="D9" s="657">
        <f t="shared" si="0"/>
        <v>-4.0669312745958086E-2</v>
      </c>
      <c r="E9" s="658">
        <f t="shared" si="1"/>
        <v>-2.006280536034635E-2</v>
      </c>
    </row>
    <row r="13" spans="1:5" x14ac:dyDescent="0.25">
      <c r="A13" s="1" t="s">
        <v>664</v>
      </c>
      <c r="B13" s="659" t="s">
        <v>661</v>
      </c>
      <c r="C13" s="659" t="s">
        <v>342</v>
      </c>
      <c r="D13" s="659" t="s">
        <v>662</v>
      </c>
      <c r="E13" s="659" t="s">
        <v>347</v>
      </c>
    </row>
    <row r="14" spans="1:5" x14ac:dyDescent="0.25">
      <c r="A14" s="199" t="s">
        <v>420</v>
      </c>
      <c r="B14" s="517">
        <v>6.1999999999999998E-3</v>
      </c>
      <c r="C14" s="517">
        <v>6.3816041687175329E-3</v>
      </c>
      <c r="D14" s="657">
        <f>C14-B14</f>
        <v>1.8160416871753314E-4</v>
      </c>
      <c r="E14" s="658">
        <f>D14/B14</f>
        <v>2.9290994954440829E-2</v>
      </c>
    </row>
    <row r="15" spans="1:5" x14ac:dyDescent="0.25">
      <c r="A15" s="199" t="s">
        <v>421</v>
      </c>
      <c r="B15" s="517">
        <v>5.5999999999999999E-3</v>
      </c>
      <c r="C15" s="517">
        <v>5.7640295638366704E-3</v>
      </c>
      <c r="D15" s="657">
        <f t="shared" ref="D15:D21" si="2">C15-B15</f>
        <v>1.6402956383667049E-4</v>
      </c>
      <c r="E15" s="658">
        <f t="shared" ref="E15:E21" si="3">D15/B15</f>
        <v>2.9290993542262587E-2</v>
      </c>
    </row>
    <row r="16" spans="1:5" x14ac:dyDescent="0.25">
      <c r="A16" s="199" t="s">
        <v>422</v>
      </c>
      <c r="B16" s="517">
        <v>2.1960000000000002</v>
      </c>
      <c r="C16" s="517">
        <v>2.2603230253694222</v>
      </c>
      <c r="D16" s="657">
        <f t="shared" si="2"/>
        <v>6.4323025369422027E-2</v>
      </c>
      <c r="E16" s="658">
        <f t="shared" si="3"/>
        <v>2.9290995159117497E-2</v>
      </c>
    </row>
    <row r="17" spans="1:5" x14ac:dyDescent="0.25">
      <c r="A17" s="199" t="s">
        <v>422</v>
      </c>
      <c r="B17" s="517">
        <v>2.1960000000000002</v>
      </c>
      <c r="C17" s="517">
        <v>2.2603230253694222</v>
      </c>
      <c r="D17" s="657">
        <f t="shared" si="2"/>
        <v>6.4323025369422027E-2</v>
      </c>
      <c r="E17" s="658">
        <f t="shared" si="3"/>
        <v>2.9290995159117497E-2</v>
      </c>
    </row>
    <row r="18" spans="1:5" x14ac:dyDescent="0.25">
      <c r="A18" s="199" t="s">
        <v>423</v>
      </c>
      <c r="B18" s="517">
        <v>2.1488</v>
      </c>
      <c r="C18" s="517">
        <v>2.2117404893612655</v>
      </c>
      <c r="D18" s="657">
        <f t="shared" si="2"/>
        <v>6.2940489361265506E-2</v>
      </c>
      <c r="E18" s="658">
        <f t="shared" si="3"/>
        <v>2.9290994676687224E-2</v>
      </c>
    </row>
    <row r="19" spans="1:5" x14ac:dyDescent="0.25">
      <c r="A19" s="199" t="s">
        <v>424</v>
      </c>
      <c r="B19" s="517">
        <v>2.2949999999999999</v>
      </c>
      <c r="C19" s="517">
        <v>2.3622228326760251</v>
      </c>
      <c r="D19" s="657">
        <f t="shared" si="2"/>
        <v>6.7222832676025135E-2</v>
      </c>
      <c r="E19" s="658">
        <f t="shared" si="3"/>
        <v>2.9290994630076311E-2</v>
      </c>
    </row>
    <row r="20" spans="1:5" x14ac:dyDescent="0.25">
      <c r="A20" s="199" t="s">
        <v>425</v>
      </c>
      <c r="B20" s="517">
        <v>5.5999999999999999E-3</v>
      </c>
      <c r="C20" s="517">
        <v>5.7640295507585537E-3</v>
      </c>
      <c r="D20" s="657">
        <f t="shared" si="2"/>
        <v>1.6402955075855378E-4</v>
      </c>
      <c r="E20" s="658">
        <f t="shared" si="3"/>
        <v>2.9290991206884602E-2</v>
      </c>
    </row>
    <row r="21" spans="1:5" x14ac:dyDescent="0.25">
      <c r="A21" s="199" t="s">
        <v>426</v>
      </c>
      <c r="B21" s="517">
        <v>1.5879000000000001</v>
      </c>
      <c r="C21" s="517">
        <v>1.6344112314362624</v>
      </c>
      <c r="D21" s="657">
        <f t="shared" si="2"/>
        <v>4.6511231436262346E-2</v>
      </c>
      <c r="E21" s="658">
        <f t="shared" si="3"/>
        <v>2.9291033085372092E-2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A36"/>
  <sheetViews>
    <sheetView topLeftCell="A4" workbookViewId="0">
      <selection activeCell="A19" sqref="A19:XFD20"/>
    </sheetView>
  </sheetViews>
  <sheetFormatPr defaultRowHeight="15" x14ac:dyDescent="0.25"/>
  <cols>
    <col min="1" max="1" width="43.42578125" customWidth="1"/>
    <col min="2" max="2" width="6.85546875" bestFit="1" customWidth="1"/>
    <col min="3" max="3" width="13.140625" bestFit="1" customWidth="1"/>
    <col min="4" max="4" width="11.85546875" bestFit="1" customWidth="1"/>
    <col min="5" max="7" width="19.28515625" customWidth="1"/>
    <col min="8" max="13" width="17.5703125" customWidth="1"/>
    <col min="14" max="15" width="18" customWidth="1"/>
    <col min="16" max="22" width="14.5703125" customWidth="1"/>
    <col min="23" max="24" width="19.28515625" customWidth="1"/>
    <col min="54" max="54" width="255.7109375" bestFit="1" customWidth="1"/>
  </cols>
  <sheetData>
    <row r="1" spans="1:27" s="59" customFormat="1" x14ac:dyDescent="0.25"/>
    <row r="2" spans="1:27" s="59" customFormat="1" x14ac:dyDescent="0.25"/>
    <row r="3" spans="1:27" s="59" customFormat="1" x14ac:dyDescent="0.25"/>
    <row r="4" spans="1:27" s="59" customFormat="1" x14ac:dyDescent="0.25"/>
    <row r="5" spans="1:27" s="59" customFormat="1" x14ac:dyDescent="0.25"/>
    <row r="6" spans="1:27" s="59" customFormat="1" x14ac:dyDescent="0.25"/>
    <row r="7" spans="1:27" s="59" customFormat="1" x14ac:dyDescent="0.25"/>
    <row r="8" spans="1:27" s="59" customFormat="1" x14ac:dyDescent="0.25"/>
    <row r="9" spans="1:27" s="59" customFormat="1" x14ac:dyDescent="0.25"/>
    <row r="10" spans="1:27" s="59" customFormat="1" x14ac:dyDescent="0.25"/>
    <row r="11" spans="1:27" s="59" customFormat="1" x14ac:dyDescent="0.25"/>
    <row r="12" spans="1:27" s="59" customFormat="1" x14ac:dyDescent="0.25"/>
    <row r="13" spans="1:27" s="59" customFormat="1" ht="32.25" customHeight="1" x14ac:dyDescent="0.25">
      <c r="A13" s="697"/>
      <c r="B13" s="697"/>
      <c r="C13" s="697"/>
      <c r="D13" s="697"/>
      <c r="E13" s="697"/>
      <c r="F13" s="697"/>
      <c r="G13" s="697"/>
      <c r="H13" s="697"/>
      <c r="I13" s="697"/>
      <c r="J13" s="697"/>
      <c r="K13" s="662"/>
      <c r="L13" s="457"/>
      <c r="M13" s="457"/>
      <c r="N13" s="457"/>
      <c r="O13" s="457"/>
      <c r="P13" s="60"/>
      <c r="Q13" s="60"/>
      <c r="R13" s="60"/>
      <c r="S13" s="60"/>
      <c r="T13" s="60"/>
      <c r="U13" s="60"/>
      <c r="V13" s="60"/>
      <c r="W13" s="60"/>
      <c r="X13" s="60"/>
      <c r="Y13" s="60"/>
      <c r="Z13" s="60"/>
      <c r="AA13" s="60"/>
    </row>
    <row r="14" spans="1:27" s="61" customFormat="1" ht="15" customHeight="1" x14ac:dyDescent="0.25">
      <c r="A14" s="59"/>
      <c r="C14" s="62"/>
      <c r="D14" s="62"/>
      <c r="E14" s="62"/>
      <c r="F14" s="62"/>
      <c r="G14" s="62"/>
      <c r="H14" s="62"/>
      <c r="I14" s="62"/>
      <c r="J14" s="62"/>
      <c r="K14" s="62"/>
      <c r="L14" s="62"/>
      <c r="M14" s="62"/>
      <c r="N14" s="62"/>
      <c r="O14" s="62"/>
      <c r="P14" s="62"/>
      <c r="Q14" s="62"/>
      <c r="R14" s="62"/>
      <c r="S14" s="62"/>
      <c r="T14" s="62"/>
      <c r="U14" s="62"/>
      <c r="V14" s="62"/>
      <c r="W14" s="62"/>
      <c r="X14" s="62"/>
      <c r="Y14" s="62"/>
      <c r="Z14" s="62"/>
    </row>
    <row r="15" spans="1:27" s="61" customFormat="1" ht="22.5" customHeight="1" thickBot="1" x14ac:dyDescent="0.3">
      <c r="A15" s="63"/>
      <c r="B15" s="64"/>
      <c r="C15" s="700" t="s">
        <v>665</v>
      </c>
      <c r="D15" s="700" t="s">
        <v>666</v>
      </c>
      <c r="E15" s="700" t="s">
        <v>667</v>
      </c>
      <c r="F15" s="700" t="s">
        <v>668</v>
      </c>
      <c r="G15" s="698" t="s">
        <v>377</v>
      </c>
      <c r="H15" s="698" t="s">
        <v>378</v>
      </c>
      <c r="I15" s="700" t="s">
        <v>379</v>
      </c>
      <c r="J15" s="700" t="s">
        <v>380</v>
      </c>
      <c r="K15" s="698" t="s">
        <v>669</v>
      </c>
      <c r="L15" s="698" t="s">
        <v>383</v>
      </c>
      <c r="M15" s="698" t="s">
        <v>384</v>
      </c>
      <c r="N15" s="700" t="s">
        <v>385</v>
      </c>
      <c r="O15" s="700" t="s">
        <v>386</v>
      </c>
      <c r="P15" s="698" t="s">
        <v>88</v>
      </c>
      <c r="Q15" s="698" t="s">
        <v>89</v>
      </c>
      <c r="R15" s="698" t="s">
        <v>90</v>
      </c>
      <c r="S15" s="698" t="s">
        <v>91</v>
      </c>
      <c r="T15" s="698" t="s">
        <v>92</v>
      </c>
      <c r="U15" s="698" t="s">
        <v>381</v>
      </c>
      <c r="V15" s="698" t="s">
        <v>382</v>
      </c>
      <c r="W15" s="702" t="s">
        <v>93</v>
      </c>
      <c r="X15" s="704" t="s">
        <v>94</v>
      </c>
      <c r="Y15" s="62"/>
      <c r="Z15" s="62"/>
    </row>
    <row r="16" spans="1:27" s="68" customFormat="1" ht="30.75" customHeight="1" thickBot="1" x14ac:dyDescent="0.3">
      <c r="A16" s="65" t="s">
        <v>4</v>
      </c>
      <c r="B16" s="66" t="s">
        <v>95</v>
      </c>
      <c r="C16" s="701"/>
      <c r="D16" s="701"/>
      <c r="E16" s="701"/>
      <c r="F16" s="701"/>
      <c r="G16" s="699"/>
      <c r="H16" s="699"/>
      <c r="I16" s="701"/>
      <c r="J16" s="701"/>
      <c r="K16" s="699"/>
      <c r="L16" s="699"/>
      <c r="M16" s="699"/>
      <c r="N16" s="701"/>
      <c r="O16" s="701"/>
      <c r="P16" s="699"/>
      <c r="Q16" s="699"/>
      <c r="R16" s="699"/>
      <c r="S16" s="699"/>
      <c r="T16" s="699"/>
      <c r="U16" s="699"/>
      <c r="V16" s="699"/>
      <c r="W16" s="703"/>
      <c r="X16" s="705"/>
      <c r="Y16" s="67"/>
      <c r="Z16" s="67"/>
    </row>
    <row r="17" spans="1:25" s="59" customFormat="1" ht="15.75" thickBot="1" x14ac:dyDescent="0.3">
      <c r="A17" s="59" t="s">
        <v>96</v>
      </c>
      <c r="B17" s="69" t="s">
        <v>97</v>
      </c>
      <c r="C17" s="73">
        <f>+'[4]Non RPP kwh'!$B$36</f>
        <v>1469096846.7337606</v>
      </c>
      <c r="D17" s="73"/>
      <c r="E17" s="73">
        <f>'[4]Non RPP kwh'!$B$8</f>
        <v>91130678.730000257</v>
      </c>
      <c r="F17" s="73">
        <f t="shared" ref="F17:F24" si="0">IF(ISERROR(D17/C17*E17), 0, D17/C17*E17)</f>
        <v>0</v>
      </c>
      <c r="G17" s="73"/>
      <c r="H17" s="73"/>
      <c r="I17" s="73">
        <f>C17-G17</f>
        <v>1469096846.7337606</v>
      </c>
      <c r="J17" s="73">
        <f>D17-H17</f>
        <v>0</v>
      </c>
      <c r="K17" s="73"/>
      <c r="L17" s="73"/>
      <c r="M17" s="73"/>
      <c r="N17" s="73">
        <f>E17-L17</f>
        <v>91130678.730000257</v>
      </c>
      <c r="O17" s="73">
        <f>F17-M17</f>
        <v>0</v>
      </c>
      <c r="P17" s="73"/>
      <c r="Q17" s="73"/>
      <c r="R17" s="74"/>
      <c r="S17" s="74"/>
      <c r="T17" s="74"/>
      <c r="U17" s="464"/>
      <c r="V17" s="464"/>
      <c r="W17" s="94">
        <f>-429021.62*0</f>
        <v>0</v>
      </c>
      <c r="X17" s="71">
        <v>179407</v>
      </c>
      <c r="Y17" s="610">
        <f>X17/(X17+X18)</f>
        <v>0.90940748888629808</v>
      </c>
    </row>
    <row r="18" spans="1:25" s="59" customFormat="1" ht="15.75" thickBot="1" x14ac:dyDescent="0.3">
      <c r="A18" s="59" t="s">
        <v>98</v>
      </c>
      <c r="B18" s="72" t="s">
        <v>97</v>
      </c>
      <c r="C18" s="73">
        <f>+'[4]Non RPP kwh'!$B$37</f>
        <v>647112057.82811737</v>
      </c>
      <c r="D18" s="73"/>
      <c r="E18" s="70">
        <f>'[4]Non RPP kwh'!$B$9</f>
        <v>107176499.05999982</v>
      </c>
      <c r="F18" s="70">
        <f t="shared" si="0"/>
        <v>0</v>
      </c>
      <c r="G18" s="70"/>
      <c r="H18" s="70"/>
      <c r="I18" s="73">
        <f t="shared" ref="I18:I23" si="1">C18-G18</f>
        <v>647112057.82811737</v>
      </c>
      <c r="J18" s="73">
        <f t="shared" ref="J18:J23" si="2">D18-H18</f>
        <v>0</v>
      </c>
      <c r="K18" s="73"/>
      <c r="L18" s="73"/>
      <c r="M18" s="73"/>
      <c r="N18" s="73">
        <f t="shared" ref="N18:N24" si="3">E18-L18</f>
        <v>107176499.05999982</v>
      </c>
      <c r="O18" s="73">
        <f t="shared" ref="O18:O24" si="4">F18-M18</f>
        <v>0</v>
      </c>
      <c r="P18" s="74"/>
      <c r="Q18" s="74"/>
      <c r="R18" s="74"/>
      <c r="S18" s="74"/>
      <c r="T18" s="74"/>
      <c r="U18" s="464"/>
      <c r="V18" s="464"/>
      <c r="W18" s="94">
        <f>-43111.8*0</f>
        <v>0</v>
      </c>
      <c r="X18" s="71">
        <v>17872</v>
      </c>
      <c r="Y18" s="610">
        <f>X18/(X18+X17)</f>
        <v>9.059251111370191E-2</v>
      </c>
    </row>
    <row r="19" spans="1:25" s="59" customFormat="1" ht="15.75" thickBot="1" x14ac:dyDescent="0.3">
      <c r="A19" s="59" t="s">
        <v>100</v>
      </c>
      <c r="B19" s="72" t="s">
        <v>101</v>
      </c>
      <c r="C19" s="73">
        <f>+'[4]Non RPP kwh'!$B$39+'[4]Non RPP kwh'!$B$40</f>
        <v>2104160254.6192284</v>
      </c>
      <c r="D19" s="73">
        <f>+[5]Summary2!$F$6+[5]Summary2!$F$7</f>
        <v>6035820.8381782649</v>
      </c>
      <c r="E19" s="70">
        <f>'[4]Non RPP kwh'!$B$11+'[4]Non RPP kwh'!$B$12</f>
        <v>1752950268.2581725</v>
      </c>
      <c r="F19" s="70">
        <f>[5]Summary2!$D$6+[5]Summary2!$D$7</f>
        <v>5050206.8599356348</v>
      </c>
      <c r="G19" s="463">
        <v>307920</v>
      </c>
      <c r="H19" s="463">
        <v>12796</v>
      </c>
      <c r="I19" s="73">
        <f t="shared" si="1"/>
        <v>2103852334.6192284</v>
      </c>
      <c r="J19" s="73">
        <f t="shared" si="2"/>
        <v>6023024.8381782649</v>
      </c>
      <c r="K19" s="73"/>
      <c r="L19" s="463">
        <f>307920*0</f>
        <v>0</v>
      </c>
      <c r="M19" s="463">
        <f>12796*0</f>
        <v>0</v>
      </c>
      <c r="N19" s="73">
        <f t="shared" si="3"/>
        <v>1752950268.2581725</v>
      </c>
      <c r="O19" s="73">
        <f t="shared" si="4"/>
        <v>5050206.8599356348</v>
      </c>
      <c r="P19" s="74"/>
      <c r="Q19" s="74"/>
      <c r="R19" s="74"/>
      <c r="S19" s="74"/>
      <c r="T19" s="74"/>
      <c r="U19" s="464"/>
      <c r="V19" s="464"/>
      <c r="W19" s="94">
        <f>1421303.08*0</f>
        <v>0</v>
      </c>
    </row>
    <row r="20" spans="1:25" s="59" customFormat="1" ht="15.75" thickBot="1" x14ac:dyDescent="0.3">
      <c r="A20" s="59" t="s">
        <v>102</v>
      </c>
      <c r="B20" s="72" t="s">
        <v>101</v>
      </c>
      <c r="C20" s="73">
        <f>+'[4]Non RPP kwh'!$B$41+'[4]Non RPP kwh'!$B$42</f>
        <v>2087036249.59586</v>
      </c>
      <c r="D20" s="73">
        <f>+[5]Summary2!$F$8+[5]Summary2!$F$9</f>
        <v>4709431.8067152184</v>
      </c>
      <c r="E20" s="70">
        <f>'[4]Non RPP kwh'!$B$13+'[4]Non RPP kwh'!$B$14</f>
        <v>1904049776.5186565</v>
      </c>
      <c r="F20" s="70">
        <f>+[5]Summary2!$D$8+[5]Summary2!$D$9</f>
        <v>4321176.1688892152</v>
      </c>
      <c r="G20" s="463">
        <v>17469875</v>
      </c>
      <c r="H20" s="463">
        <v>31090</v>
      </c>
      <c r="I20" s="73">
        <f t="shared" si="1"/>
        <v>2069566374.59586</v>
      </c>
      <c r="J20" s="73">
        <f t="shared" si="2"/>
        <v>4678341.8067152184</v>
      </c>
      <c r="K20" s="73"/>
      <c r="L20" s="463">
        <f>17469875*0</f>
        <v>0</v>
      </c>
      <c r="M20" s="463">
        <f>31090*0</f>
        <v>0</v>
      </c>
      <c r="N20" s="73">
        <f t="shared" si="3"/>
        <v>1904049776.5186565</v>
      </c>
      <c r="O20" s="73">
        <f t="shared" si="4"/>
        <v>4321176.1688892152</v>
      </c>
      <c r="P20" s="74"/>
      <c r="Q20" s="74"/>
      <c r="R20" s="74"/>
      <c r="S20" s="74"/>
      <c r="T20" s="74"/>
      <c r="U20" s="464"/>
      <c r="V20" s="464"/>
      <c r="W20" s="94">
        <f>313998.93*0</f>
        <v>0</v>
      </c>
    </row>
    <row r="21" spans="1:25" s="59" customFormat="1" ht="15.75" thickBot="1" x14ac:dyDescent="0.3">
      <c r="A21" s="59" t="s">
        <v>103</v>
      </c>
      <c r="B21" s="72" t="s">
        <v>101</v>
      </c>
      <c r="C21" s="73">
        <f>+'[4]Non RPP kwh'!$B$43</f>
        <v>1002165608.5676196</v>
      </c>
      <c r="D21" s="73">
        <f>+[5]Summary2!$F$11</f>
        <v>1741184.6735238209</v>
      </c>
      <c r="E21" s="70">
        <f>'[4]Non RPP kwh'!$B$15</f>
        <v>1002165608.5676196</v>
      </c>
      <c r="F21" s="70">
        <f>+[5]Summary2!$D$11</f>
        <v>1741184.6735238209</v>
      </c>
      <c r="G21" s="70"/>
      <c r="H21" s="70"/>
      <c r="I21" s="73">
        <f t="shared" si="1"/>
        <v>1002165608.5676196</v>
      </c>
      <c r="J21" s="73">
        <f t="shared" si="2"/>
        <v>1741184.6735238209</v>
      </c>
      <c r="K21" s="73"/>
      <c r="L21" s="73">
        <v>920433360.31518149</v>
      </c>
      <c r="M21" s="73">
        <v>1579942</v>
      </c>
      <c r="N21" s="73">
        <f>E21-L21</f>
        <v>81732248.252438068</v>
      </c>
      <c r="O21" s="73">
        <f t="shared" si="4"/>
        <v>161242.67352382094</v>
      </c>
      <c r="P21" s="74"/>
      <c r="Q21" s="74"/>
      <c r="R21" s="74"/>
      <c r="S21" s="74"/>
      <c r="T21" s="74"/>
      <c r="U21" s="464"/>
      <c r="V21" s="464"/>
      <c r="W21" s="94">
        <f>-38746.2*0</f>
        <v>0</v>
      </c>
    </row>
    <row r="22" spans="1:25" s="59" customFormat="1" ht="15.75" thickBot="1" x14ac:dyDescent="0.3">
      <c r="A22" s="59" t="s">
        <v>99</v>
      </c>
      <c r="B22" s="72" t="s">
        <v>97</v>
      </c>
      <c r="C22" s="73">
        <f>+'[4]Non RPP kwh'!$B$38</f>
        <v>11501822.442284448</v>
      </c>
      <c r="D22" s="73"/>
      <c r="E22" s="70">
        <f>'[4]Non RPP kwh'!$B$10</f>
        <v>523144.30000000075</v>
      </c>
      <c r="F22" s="70">
        <f>IF(ISERROR(D22/C22*E22), 0, D22/C22*E22)</f>
        <v>0</v>
      </c>
      <c r="G22" s="70"/>
      <c r="H22" s="70"/>
      <c r="I22" s="73">
        <f t="shared" si="1"/>
        <v>11501822.442284448</v>
      </c>
      <c r="J22" s="73">
        <f t="shared" si="2"/>
        <v>0</v>
      </c>
      <c r="K22" s="73"/>
      <c r="L22" s="73"/>
      <c r="M22" s="73"/>
      <c r="N22" s="73">
        <f t="shared" si="3"/>
        <v>523144.30000000075</v>
      </c>
      <c r="O22" s="73">
        <f t="shared" si="4"/>
        <v>0</v>
      </c>
      <c r="P22" s="74"/>
      <c r="Q22" s="74"/>
      <c r="R22" s="74"/>
      <c r="S22" s="74"/>
      <c r="T22" s="74"/>
      <c r="U22" s="464"/>
      <c r="V22" s="464"/>
      <c r="W22" s="94">
        <v>0</v>
      </c>
    </row>
    <row r="23" spans="1:25" s="59" customFormat="1" ht="15.75" thickBot="1" x14ac:dyDescent="0.3">
      <c r="A23" s="59" t="s">
        <v>104</v>
      </c>
      <c r="B23" s="72" t="s">
        <v>101</v>
      </c>
      <c r="C23" s="73">
        <f>+'[4]Non RPP kwh'!$B$44</f>
        <v>31923315.475764602</v>
      </c>
      <c r="D23" s="73">
        <f>+[5]Summary2!$F$12</f>
        <v>90306.301017051665</v>
      </c>
      <c r="E23" s="70">
        <f>'[4]Non RPP kwh'!$B$16</f>
        <v>31923315.475764602</v>
      </c>
      <c r="F23" s="70">
        <f>+[5]Summary2!$D$12</f>
        <v>90306.301017051665</v>
      </c>
      <c r="G23" s="70"/>
      <c r="H23" s="70"/>
      <c r="I23" s="73">
        <f t="shared" si="1"/>
        <v>31923315.475764602</v>
      </c>
      <c r="J23" s="73">
        <f t="shared" si="2"/>
        <v>90306.301017051665</v>
      </c>
      <c r="K23" s="73"/>
      <c r="L23" s="73"/>
      <c r="M23" s="73"/>
      <c r="N23" s="73">
        <f t="shared" si="3"/>
        <v>31923315.475764602</v>
      </c>
      <c r="O23" s="73">
        <f t="shared" si="4"/>
        <v>90306.301017051665</v>
      </c>
      <c r="P23" s="74"/>
      <c r="Q23" s="74"/>
      <c r="R23" s="74"/>
      <c r="S23" s="74"/>
      <c r="T23" s="74"/>
      <c r="U23" s="464"/>
      <c r="V23" s="464"/>
      <c r="W23" s="94">
        <f>-1142706.38*0</f>
        <v>0</v>
      </c>
    </row>
    <row r="24" spans="1:25" s="59" customFormat="1" ht="15.75" thickBot="1" x14ac:dyDescent="0.3">
      <c r="A24" s="59" t="s">
        <v>105</v>
      </c>
      <c r="B24" s="76"/>
      <c r="C24" s="77"/>
      <c r="D24" s="77"/>
      <c r="E24" s="77"/>
      <c r="F24" s="77">
        <f t="shared" si="0"/>
        <v>0</v>
      </c>
      <c r="G24" s="77"/>
      <c r="H24" s="77"/>
      <c r="I24" s="77"/>
      <c r="J24" s="77"/>
      <c r="K24" s="77"/>
      <c r="L24" s="77"/>
      <c r="M24" s="77"/>
      <c r="N24" s="73">
        <f t="shared" si="3"/>
        <v>0</v>
      </c>
      <c r="O24" s="73">
        <f t="shared" si="4"/>
        <v>0</v>
      </c>
      <c r="P24" s="78"/>
      <c r="Q24" s="78"/>
      <c r="R24" s="78"/>
      <c r="S24" s="78"/>
      <c r="T24" s="74"/>
      <c r="U24" s="464"/>
      <c r="V24" s="464"/>
      <c r="W24" s="75"/>
    </row>
    <row r="25" spans="1:25" s="59" customFormat="1" x14ac:dyDescent="0.25">
      <c r="A25" s="59" t="s">
        <v>106</v>
      </c>
      <c r="B25" s="79"/>
      <c r="C25" s="80"/>
      <c r="D25" s="80"/>
      <c r="E25" s="80"/>
      <c r="F25" s="80"/>
      <c r="G25" s="80"/>
      <c r="H25" s="80"/>
      <c r="I25" s="80"/>
      <c r="J25" s="80"/>
      <c r="K25" s="80"/>
      <c r="L25" s="80"/>
      <c r="M25" s="80"/>
      <c r="N25" s="80"/>
      <c r="O25" s="80"/>
      <c r="P25" s="81"/>
      <c r="Q25" s="81"/>
      <c r="R25" s="81"/>
      <c r="S25" s="81"/>
      <c r="T25" s="81"/>
      <c r="U25" s="81"/>
      <c r="V25" s="81"/>
      <c r="W25" s="82"/>
      <c r="X25" s="83"/>
    </row>
    <row r="26" spans="1:25" s="59" customFormat="1" x14ac:dyDescent="0.25">
      <c r="H26" s="61"/>
      <c r="I26" s="61"/>
      <c r="J26" s="61"/>
      <c r="K26" s="61"/>
      <c r="L26" s="61"/>
      <c r="M26" s="61"/>
      <c r="N26" s="61"/>
      <c r="O26" s="61"/>
    </row>
    <row r="27" spans="1:25" s="59" customFormat="1" ht="15.75" thickBot="1" x14ac:dyDescent="0.3">
      <c r="B27" s="84" t="s">
        <v>24</v>
      </c>
      <c r="C27" s="85">
        <f>SUM(C17:C25)</f>
        <v>7352996155.2626343</v>
      </c>
      <c r="D27" s="85">
        <f t="shared" ref="D27:X27" si="5">SUM(D17:D25)</f>
        <v>12576743.619434355</v>
      </c>
      <c r="E27" s="85">
        <f t="shared" si="5"/>
        <v>4889919290.9102125</v>
      </c>
      <c r="F27" s="85">
        <f t="shared" si="5"/>
        <v>11202874.003365723</v>
      </c>
      <c r="G27" s="85">
        <f t="shared" si="5"/>
        <v>17777795</v>
      </c>
      <c r="H27" s="85">
        <f t="shared" si="5"/>
        <v>43886</v>
      </c>
      <c r="I27" s="85">
        <f t="shared" si="5"/>
        <v>7335218360.2626343</v>
      </c>
      <c r="J27" s="85">
        <f t="shared" si="5"/>
        <v>12532857.619434355</v>
      </c>
      <c r="K27" s="85">
        <f>SUM(K17:K24)</f>
        <v>0</v>
      </c>
      <c r="L27" s="85">
        <f t="shared" si="5"/>
        <v>920433360.31518149</v>
      </c>
      <c r="M27" s="85">
        <f t="shared" si="5"/>
        <v>1579942</v>
      </c>
      <c r="N27" s="85">
        <f t="shared" si="5"/>
        <v>3969485930.5950317</v>
      </c>
      <c r="O27" s="85">
        <f t="shared" si="5"/>
        <v>9622932.0033657234</v>
      </c>
      <c r="P27" s="86">
        <f t="shared" si="5"/>
        <v>0</v>
      </c>
      <c r="Q27" s="86">
        <f t="shared" si="5"/>
        <v>0</v>
      </c>
      <c r="R27" s="86">
        <f t="shared" si="5"/>
        <v>0</v>
      </c>
      <c r="S27" s="86">
        <f t="shared" si="5"/>
        <v>0</v>
      </c>
      <c r="T27" s="86">
        <f t="shared" si="5"/>
        <v>0</v>
      </c>
      <c r="U27" s="86">
        <f t="shared" si="5"/>
        <v>0</v>
      </c>
      <c r="V27" s="86">
        <f t="shared" si="5"/>
        <v>0</v>
      </c>
      <c r="W27" s="85">
        <f t="shared" si="5"/>
        <v>0</v>
      </c>
      <c r="X27" s="85">
        <f t="shared" si="5"/>
        <v>197279</v>
      </c>
    </row>
    <row r="28" spans="1:25" s="59" customFormat="1" ht="15.75" thickTop="1" x14ac:dyDescent="0.25">
      <c r="T28" s="87"/>
      <c r="U28" s="87"/>
      <c r="V28" s="87"/>
      <c r="W28" s="88"/>
    </row>
    <row r="29" spans="1:25" s="59" customFormat="1" x14ac:dyDescent="0.25">
      <c r="T29" s="87"/>
      <c r="U29" s="87"/>
      <c r="V29" s="87"/>
      <c r="W29" s="88"/>
    </row>
    <row r="30" spans="1:25" s="59" customFormat="1" x14ac:dyDescent="0.25"/>
    <row r="31" spans="1:25" s="59" customFormat="1" ht="21" x14ac:dyDescent="0.25">
      <c r="A31" s="89" t="s">
        <v>107</v>
      </c>
    </row>
    <row r="32" spans="1:25" s="59" customFormat="1" ht="15.75" thickBot="1" x14ac:dyDescent="0.3">
      <c r="A32" s="90" t="s">
        <v>108</v>
      </c>
      <c r="B32" s="693">
        <f>'3. Continuity Schedule'!AK27+'3. Continuity Schedule'!AK29</f>
        <v>10716154.642009998</v>
      </c>
      <c r="C32" s="693"/>
    </row>
    <row r="33" spans="1:16" s="59" customFormat="1" ht="30.75" thickBot="1" x14ac:dyDescent="0.3">
      <c r="A33" s="90" t="s">
        <v>109</v>
      </c>
      <c r="B33" s="694">
        <f>'3. Continuity Schedule'!AK27</f>
        <v>10634438.582369998</v>
      </c>
      <c r="C33" s="694"/>
      <c r="D33" s="95"/>
      <c r="H33" s="90"/>
      <c r="I33" s="458"/>
      <c r="J33" s="458"/>
      <c r="K33" s="663"/>
      <c r="L33" s="458"/>
      <c r="M33" s="458"/>
      <c r="N33" s="458"/>
      <c r="O33" s="458"/>
    </row>
    <row r="34" spans="1:16" s="59" customFormat="1" ht="17.25" x14ac:dyDescent="0.25">
      <c r="A34" s="91" t="s">
        <v>110</v>
      </c>
      <c r="B34" s="695">
        <f>IF(ISERROR(B33/C27), 0, B33/C27)</f>
        <v>1.4462728332529852E-3</v>
      </c>
      <c r="C34" s="695"/>
      <c r="D34" s="696" t="str">
        <f>IF(AND(B34&gt;-0.001,B34&lt;0.001),"Claim does not meet the threshold test.","")</f>
        <v/>
      </c>
      <c r="E34" s="697"/>
      <c r="F34" s="697"/>
      <c r="G34" s="697"/>
      <c r="H34" s="697"/>
      <c r="I34" s="697"/>
      <c r="J34" s="697"/>
      <c r="K34" s="697"/>
      <c r="L34" s="697"/>
      <c r="M34" s="697"/>
      <c r="N34" s="697"/>
      <c r="O34" s="697"/>
      <c r="P34" s="697"/>
    </row>
    <row r="35" spans="1:16" s="59" customFormat="1" ht="15.75" thickBot="1" x14ac:dyDescent="0.3">
      <c r="D35" s="90"/>
      <c r="E35" s="90"/>
      <c r="F35" s="90"/>
      <c r="G35" s="458"/>
    </row>
    <row r="36" spans="1:16" s="59" customFormat="1" ht="90.95" customHeight="1" thickBot="1" x14ac:dyDescent="0.3">
      <c r="A36" s="92" t="str">
        <f>IF(AND(B34&gt;-0.001, B34&lt;0.001), BB1, "")</f>
        <v/>
      </c>
      <c r="C36" s="93" t="s">
        <v>111</v>
      </c>
    </row>
  </sheetData>
  <mergeCells count="27">
    <mergeCell ref="A13:J13"/>
    <mergeCell ref="E15:E16"/>
    <mergeCell ref="F15:F16"/>
    <mergeCell ref="H15:H16"/>
    <mergeCell ref="G15:G16"/>
    <mergeCell ref="I15:I16"/>
    <mergeCell ref="J15:J16"/>
    <mergeCell ref="C15:C16"/>
    <mergeCell ref="D15:D16"/>
    <mergeCell ref="R15:R16"/>
    <mergeCell ref="S15:S16"/>
    <mergeCell ref="T15:T16"/>
    <mergeCell ref="W15:W16"/>
    <mergeCell ref="X15:X16"/>
    <mergeCell ref="U15:U16"/>
    <mergeCell ref="V15:V16"/>
    <mergeCell ref="B32:C32"/>
    <mergeCell ref="B33:C33"/>
    <mergeCell ref="B34:C34"/>
    <mergeCell ref="D34:P34"/>
    <mergeCell ref="Q15:Q16"/>
    <mergeCell ref="P15:P16"/>
    <mergeCell ref="L15:L16"/>
    <mergeCell ref="M15:M16"/>
    <mergeCell ref="N15:N16"/>
    <mergeCell ref="O15:O16"/>
    <mergeCell ref="K15:K16"/>
  </mergeCells>
  <dataValidations count="3">
    <dataValidation type="list" allowBlank="1" showInputMessage="1" showErrorMessage="1" sqref="C36">
      <formula1>"YES, NO"</formula1>
    </dataValidation>
    <dataValidation type="list" allowBlank="1" showInputMessage="1" showErrorMessage="1" sqref="B17:B24">
      <formula1>Units1</formula1>
    </dataValidation>
    <dataValidation allowBlank="1" showInputMessage="1" showErrorMessage="1" sqref="B25:W25"/>
  </dataValidations>
  <pageMargins left="0.7" right="0.7" top="0.75" bottom="0.75" header="0.3" footer="0.3"/>
  <pageSetup paperSize="5" scale="1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V92"/>
  <sheetViews>
    <sheetView topLeftCell="H1" workbookViewId="0">
      <selection activeCell="J9" sqref="J9:U9"/>
    </sheetView>
  </sheetViews>
  <sheetFormatPr defaultRowHeight="15" x14ac:dyDescent="0.25"/>
  <cols>
    <col min="1" max="1" width="63.28515625" bestFit="1" customWidth="1"/>
    <col min="2" max="2" width="6.85546875" bestFit="1" customWidth="1"/>
    <col min="3" max="3" width="14.85546875" customWidth="1"/>
    <col min="4" max="4" width="11.140625" customWidth="1"/>
    <col min="5" max="5" width="18" customWidth="1"/>
    <col min="6" max="6" width="12.42578125" customWidth="1"/>
    <col min="7" max="13" width="14.7109375" customWidth="1"/>
    <col min="14" max="22" width="15.5703125" customWidth="1"/>
  </cols>
  <sheetData>
    <row r="1" spans="1:22" ht="20.25" x14ac:dyDescent="0.3">
      <c r="A1" s="96" t="s">
        <v>113</v>
      </c>
      <c r="B1" s="97"/>
      <c r="C1" s="98"/>
      <c r="D1" s="98"/>
      <c r="E1" s="98"/>
      <c r="F1" s="98"/>
      <c r="G1" s="98"/>
      <c r="H1" s="98"/>
      <c r="I1" s="98"/>
      <c r="J1" s="98"/>
      <c r="K1" s="98"/>
    </row>
    <row r="2" spans="1:22" ht="20.25" x14ac:dyDescent="0.25">
      <c r="A2" s="96" t="s">
        <v>156</v>
      </c>
      <c r="B2" s="99"/>
      <c r="C2" s="98"/>
      <c r="D2" s="98"/>
      <c r="E2" s="98"/>
      <c r="F2" s="98"/>
      <c r="G2" s="98"/>
      <c r="H2" s="98"/>
      <c r="I2" s="98"/>
      <c r="J2" s="98"/>
      <c r="K2" s="98"/>
    </row>
    <row r="3" spans="1:22" ht="20.25" x14ac:dyDescent="0.3">
      <c r="A3" s="100" t="s">
        <v>137</v>
      </c>
      <c r="B3" s="97"/>
      <c r="C3" s="98"/>
      <c r="D3" s="98"/>
      <c r="E3" s="98"/>
      <c r="F3" s="98"/>
      <c r="G3" s="98"/>
      <c r="H3" s="98"/>
      <c r="I3" s="98"/>
      <c r="J3" s="98"/>
      <c r="K3" s="98"/>
    </row>
    <row r="4" spans="1:22" ht="20.25" x14ac:dyDescent="0.3">
      <c r="A4" s="100" t="s">
        <v>114</v>
      </c>
      <c r="B4" s="98"/>
      <c r="C4" s="98"/>
      <c r="D4" s="98"/>
      <c r="E4" s="98"/>
      <c r="F4" s="98"/>
      <c r="G4" s="98"/>
      <c r="H4" s="98"/>
      <c r="I4" s="98"/>
      <c r="J4" s="98"/>
      <c r="K4" s="98"/>
    </row>
    <row r="5" spans="1:22" x14ac:dyDescent="0.25">
      <c r="B5" s="98"/>
      <c r="C5" s="101"/>
      <c r="D5" s="98"/>
      <c r="E5" s="98"/>
      <c r="F5" s="98"/>
      <c r="G5" s="98"/>
      <c r="H5" s="98"/>
      <c r="I5" s="98"/>
      <c r="J5" s="98"/>
      <c r="K5" s="98"/>
    </row>
    <row r="6" spans="1:22" ht="18.75" x14ac:dyDescent="0.3">
      <c r="A6" s="102"/>
      <c r="B6" s="98"/>
      <c r="C6" s="98"/>
      <c r="D6" s="98"/>
      <c r="E6" s="98"/>
      <c r="F6" s="98"/>
      <c r="G6" s="98"/>
      <c r="H6" s="98"/>
      <c r="I6" s="98"/>
      <c r="J6" s="98"/>
      <c r="K6" s="98"/>
    </row>
    <row r="7" spans="1:22" x14ac:dyDescent="0.25">
      <c r="B7" s="98"/>
      <c r="C7" s="98"/>
      <c r="D7" s="98"/>
      <c r="E7" s="98"/>
      <c r="F7" s="98"/>
      <c r="G7" s="98"/>
      <c r="H7" s="98"/>
      <c r="I7" s="98"/>
      <c r="J7" s="98"/>
      <c r="K7" s="98"/>
    </row>
    <row r="8" spans="1:22" ht="35.25" customHeight="1" x14ac:dyDescent="0.4">
      <c r="A8" s="497" t="s">
        <v>115</v>
      </c>
      <c r="B8" s="98"/>
      <c r="C8" s="706" t="s">
        <v>665</v>
      </c>
      <c r="D8" s="706" t="s">
        <v>672</v>
      </c>
      <c r="E8" s="706" t="s">
        <v>667</v>
      </c>
      <c r="F8" s="706" t="s">
        <v>684</v>
      </c>
      <c r="G8" s="708" t="s">
        <v>673</v>
      </c>
      <c r="H8" s="706" t="s">
        <v>671</v>
      </c>
      <c r="I8" s="706" t="s">
        <v>670</v>
      </c>
      <c r="J8" s="103" t="s">
        <v>116</v>
      </c>
      <c r="K8" s="103">
        <v>1551</v>
      </c>
      <c r="L8" s="103" t="s">
        <v>117</v>
      </c>
      <c r="M8" s="103" t="s">
        <v>118</v>
      </c>
      <c r="N8" s="103" t="s">
        <v>119</v>
      </c>
      <c r="O8" s="103" t="s">
        <v>120</v>
      </c>
      <c r="P8" s="666" t="s">
        <v>674</v>
      </c>
      <c r="Q8" s="666" t="s">
        <v>675</v>
      </c>
      <c r="R8" s="666" t="s">
        <v>676</v>
      </c>
      <c r="S8" s="666" t="s">
        <v>677</v>
      </c>
      <c r="T8" s="666" t="s">
        <v>678</v>
      </c>
      <c r="U8" s="666" t="s">
        <v>679</v>
      </c>
      <c r="V8" s="666" t="s">
        <v>24</v>
      </c>
    </row>
    <row r="9" spans="1:22" x14ac:dyDescent="0.25">
      <c r="A9" s="104"/>
      <c r="B9" s="105" t="s">
        <v>95</v>
      </c>
      <c r="C9" s="707"/>
      <c r="D9" s="707"/>
      <c r="E9" s="707"/>
      <c r="F9" s="707"/>
      <c r="G9" s="709"/>
      <c r="H9" s="707"/>
      <c r="I9" s="707"/>
      <c r="J9" s="106">
        <f>'3. Continuity Schedule'!AK10</f>
        <v>1793595.9317600003</v>
      </c>
      <c r="K9" s="106">
        <f>'3. Continuity Schedule'!AK11</f>
        <v>-71198.302160000007</v>
      </c>
      <c r="L9" s="106">
        <f>'3. Continuity Schedule'!AK12</f>
        <v>-6007367.3266600007</v>
      </c>
      <c r="M9" s="106">
        <f>'3. Continuity Schedule'!AK13+1</f>
        <v>5996100.0737800002</v>
      </c>
      <c r="N9" s="106">
        <f>'3. Continuity Schedule'!AK14-1</f>
        <v>3043873.6926400005</v>
      </c>
      <c r="O9" s="106">
        <f>'3. Continuity Schedule'!AK15</f>
        <v>-2403571.6757399999</v>
      </c>
      <c r="P9" s="106">
        <f>D22</f>
        <v>-801351.97810169577</v>
      </c>
      <c r="Q9" s="106">
        <f>G22</f>
        <v>-1991335.0496500602</v>
      </c>
      <c r="R9" s="106">
        <f>D35</f>
        <v>-118767.00972188442</v>
      </c>
      <c r="S9" s="106">
        <f>G35</f>
        <v>116218.09748317776</v>
      </c>
      <c r="T9" s="106">
        <f>D47</f>
        <v>436207.10106112959</v>
      </c>
      <c r="U9" s="106">
        <f>G47</f>
        <v>-782239.19804385607</v>
      </c>
      <c r="V9" s="106">
        <f>SUM(J9:U9)</f>
        <v>-789835.64335318806</v>
      </c>
    </row>
    <row r="10" spans="1:22" ht="15.75" thickBot="1" x14ac:dyDescent="0.3">
      <c r="A10" s="59" t="s">
        <v>96</v>
      </c>
      <c r="B10" s="69" t="s">
        <v>97</v>
      </c>
      <c r="C10" s="70">
        <f>'1. Billing Det. for Def-Var'!C17</f>
        <v>1469096846.7337606</v>
      </c>
      <c r="D10" s="107">
        <f>+C10/$C$17</f>
        <v>0.19979567726039255</v>
      </c>
      <c r="E10" s="70">
        <f>'1. Billing Det. for Def-Var'!E17</f>
        <v>91130678.730000257</v>
      </c>
      <c r="F10" s="107">
        <f>+E10/$E$17</f>
        <v>1.8636438212671837E-2</v>
      </c>
      <c r="G10" s="107">
        <f>'1. Billing Det. for Def-Var'!X17/'1. Billing Det. for Def-Var'!X27</f>
        <v>0.90940748888629808</v>
      </c>
      <c r="H10" s="70">
        <f>'1. Billing Det. for Def-Var'!I17</f>
        <v>1469096846.7337606</v>
      </c>
      <c r="I10" s="107">
        <f t="shared" ref="I10:I16" si="0">+H10/$H$17</f>
        <v>0.200279906415923</v>
      </c>
      <c r="J10" s="108">
        <f t="shared" ref="J10:J16" si="1">+$J$9*D10</f>
        <v>358352.71391747409</v>
      </c>
      <c r="K10" s="108">
        <f>K9*G10</f>
        <v>-64748.269180293501</v>
      </c>
      <c r="L10" s="108">
        <f t="shared" ref="L10:L16" si="2">+$L$9*I10</f>
        <v>-1203154.9659895385</v>
      </c>
      <c r="M10" s="108">
        <f t="shared" ref="M10:M16" si="3">+$M$9*$D10</f>
        <v>1197994.8751619649</v>
      </c>
      <c r="N10" s="108">
        <f t="shared" ref="N10:N16" si="4">+$N$9*$D10</f>
        <v>608152.80591610086</v>
      </c>
      <c r="O10" s="108">
        <f t="shared" ref="O10:O16" si="5">+$O$9*$I10</f>
        <v>-481387.1102811704</v>
      </c>
      <c r="P10" s="108">
        <f>D23</f>
        <v>-166311.28984015941</v>
      </c>
      <c r="Q10" s="108">
        <f>G23</f>
        <v>-84616.664027276143</v>
      </c>
      <c r="R10" s="108">
        <f>D36</f>
        <v>-4520.2800763750047</v>
      </c>
      <c r="S10" s="108">
        <f>G36</f>
        <v>4155.0005689529298</v>
      </c>
      <c r="T10" s="108">
        <f>D48</f>
        <v>84375.691755297565</v>
      </c>
      <c r="U10" s="108">
        <f>G48</f>
        <v>-102489.22041934489</v>
      </c>
      <c r="V10" s="108">
        <f>SUM(J10:U10)</f>
        <v>145803.28750563256</v>
      </c>
    </row>
    <row r="11" spans="1:22" ht="15.75" thickBot="1" x14ac:dyDescent="0.3">
      <c r="A11" s="59" t="s">
        <v>98</v>
      </c>
      <c r="B11" s="72" t="s">
        <v>97</v>
      </c>
      <c r="C11" s="70">
        <f>'1. Billing Det. for Def-Var'!C18</f>
        <v>647112057.82811737</v>
      </c>
      <c r="D11" s="107">
        <f t="shared" ref="D11:D16" si="6">+C11/$C$17</f>
        <v>8.8006581829227659E-2</v>
      </c>
      <c r="E11" s="70">
        <f>'1. Billing Det. for Def-Var'!E18</f>
        <v>107176499.05999982</v>
      </c>
      <c r="F11" s="107">
        <f t="shared" ref="F11:F16" si="7">+E11/$E$17</f>
        <v>2.1917846222784983E-2</v>
      </c>
      <c r="G11" s="107">
        <f>'1. Billing Det. for Def-Var'!X18/'1. Billing Det. for Def-Var'!X27</f>
        <v>9.059251111370191E-2</v>
      </c>
      <c r="H11" s="70">
        <f>'1. Billing Det. for Def-Var'!I18</f>
        <v>647112057.82811737</v>
      </c>
      <c r="I11" s="107">
        <f t="shared" si="0"/>
        <v>8.821987649798442E-2</v>
      </c>
      <c r="J11" s="108">
        <f t="shared" si="1"/>
        <v>157848.24713700628</v>
      </c>
      <c r="K11" s="108">
        <f t="shared" ref="K11:K16" si="8">K9*G11</f>
        <v>-6450.0329797065069</v>
      </c>
      <c r="L11" s="108">
        <f t="shared" si="2"/>
        <v>-529969.20363597211</v>
      </c>
      <c r="M11" s="108">
        <f t="shared" si="3"/>
        <v>527696.27179935761</v>
      </c>
      <c r="N11" s="108">
        <f t="shared" si="4"/>
        <v>267880.91920915555</v>
      </c>
      <c r="O11" s="108">
        <f t="shared" si="5"/>
        <v>-212042.79638783625</v>
      </c>
      <c r="P11" s="108">
        <f>D24</f>
        <v>-69505.00371721368</v>
      </c>
      <c r="Q11" s="108">
        <f>G24</f>
        <v>-48199.933345153855</v>
      </c>
      <c r="R11" s="108">
        <f>D37</f>
        <v>-7506.5853180874064</v>
      </c>
      <c r="S11" s="108">
        <f>G37</f>
        <v>2513.3532126353762</v>
      </c>
      <c r="T11" s="108">
        <f>D49</f>
        <v>36624.271276391628</v>
      </c>
      <c r="U11" s="108">
        <f>G49</f>
        <v>-82778.557844422685</v>
      </c>
      <c r="V11" s="108">
        <f t="shared" ref="V11:V16" si="9">SUM(J11:U11)</f>
        <v>36110.949406153974</v>
      </c>
    </row>
    <row r="12" spans="1:22" ht="15.75" thickBot="1" x14ac:dyDescent="0.3">
      <c r="A12" s="59" t="s">
        <v>100</v>
      </c>
      <c r="B12" s="72" t="s">
        <v>101</v>
      </c>
      <c r="C12" s="70">
        <f>'1. Billing Det. for Def-Var'!C19</f>
        <v>2104160254.6192284</v>
      </c>
      <c r="D12" s="107">
        <f t="shared" si="6"/>
        <v>0.28616365494945262</v>
      </c>
      <c r="E12" s="70">
        <f>'1. Billing Det. for Def-Var'!E19</f>
        <v>1752950268.2581725</v>
      </c>
      <c r="F12" s="107">
        <f t="shared" si="7"/>
        <v>0.3584824542026086</v>
      </c>
      <c r="G12" s="107">
        <v>0</v>
      </c>
      <c r="H12" s="70">
        <f>'1. Billing Det. for Def-Var'!I19</f>
        <v>2103852334.6192284</v>
      </c>
      <c r="I12" s="107">
        <f t="shared" si="0"/>
        <v>0.2868152291166286</v>
      </c>
      <c r="J12" s="108">
        <f t="shared" si="1"/>
        <v>513261.9673349107</v>
      </c>
      <c r="K12" s="108">
        <f t="shared" si="8"/>
        <v>0</v>
      </c>
      <c r="L12" s="108">
        <f t="shared" si="2"/>
        <v>-1723004.4361837367</v>
      </c>
      <c r="M12" s="108">
        <f t="shared" si="3"/>
        <v>1715865.9125555675</v>
      </c>
      <c r="N12" s="108">
        <f t="shared" si="4"/>
        <v>871046.0210903493</v>
      </c>
      <c r="O12" s="108">
        <f t="shared" si="5"/>
        <v>-689380.96087560698</v>
      </c>
      <c r="P12" s="108">
        <f>D26</f>
        <v>-221998.55828095129</v>
      </c>
      <c r="Q12" s="108">
        <f>G26</f>
        <v>-673007.65010003874</v>
      </c>
      <c r="R12" s="108">
        <f>D39</f>
        <v>-40153.166619243239</v>
      </c>
      <c r="S12" s="108">
        <f>G39</f>
        <v>39786.49510239566</v>
      </c>
      <c r="T12" s="108">
        <f>D51</f>
        <v>124641.41954438266</v>
      </c>
      <c r="U12" s="108">
        <f>G51</f>
        <v>-1079949.293806823</v>
      </c>
      <c r="V12" s="108">
        <f t="shared" si="9"/>
        <v>-1162892.2502387941</v>
      </c>
    </row>
    <row r="13" spans="1:22" ht="15.75" thickBot="1" x14ac:dyDescent="0.3">
      <c r="A13" s="59" t="s">
        <v>102</v>
      </c>
      <c r="B13" s="72" t="s">
        <v>101</v>
      </c>
      <c r="C13" s="70">
        <f>'1. Billing Det. for Def-Var'!C20</f>
        <v>2087036249.59586</v>
      </c>
      <c r="D13" s="107">
        <f t="shared" si="6"/>
        <v>0.28383480767933505</v>
      </c>
      <c r="E13" s="70">
        <f>'1. Billing Det. for Def-Var'!E20</f>
        <v>1904049776.5186565</v>
      </c>
      <c r="F13" s="107">
        <f t="shared" si="7"/>
        <v>0.38938265914900927</v>
      </c>
      <c r="G13" s="107">
        <v>0</v>
      </c>
      <c r="H13" s="70">
        <f>'1. Billing Det. for Def-Var'!I20</f>
        <v>2069566374.59586</v>
      </c>
      <c r="I13" s="107">
        <f t="shared" si="0"/>
        <v>0.28214107241952102</v>
      </c>
      <c r="J13" s="108">
        <f t="shared" si="1"/>
        <v>509084.95634553744</v>
      </c>
      <c r="K13" s="108">
        <f t="shared" si="8"/>
        <v>0</v>
      </c>
      <c r="L13" s="108">
        <f t="shared" si="2"/>
        <v>-1694925.0599618438</v>
      </c>
      <c r="M13" s="108">
        <f t="shared" si="3"/>
        <v>1701901.911267393</v>
      </c>
      <c r="N13" s="108">
        <f t="shared" si="4"/>
        <v>863957.30415066192</v>
      </c>
      <c r="O13" s="108">
        <f t="shared" si="5"/>
        <v>-678146.29023046885</v>
      </c>
      <c r="P13" s="108">
        <f>D27</f>
        <v>-227712.32010685722</v>
      </c>
      <c r="Q13" s="108">
        <f>G27</f>
        <v>-773030.3087911614</v>
      </c>
      <c r="R13" s="108">
        <f>D40</f>
        <v>-47146.605330232793</v>
      </c>
      <c r="S13" s="108">
        <f>G40</f>
        <v>46380.803305132875</v>
      </c>
      <c r="T13" s="108">
        <f>D52</f>
        <v>130274.28492891445</v>
      </c>
      <c r="U13" s="108">
        <f>G52</f>
        <v>396684.16957966035</v>
      </c>
      <c r="V13" s="108">
        <f t="shared" si="9"/>
        <v>227322.84515673609</v>
      </c>
    </row>
    <row r="14" spans="1:22" ht="15.75" thickBot="1" x14ac:dyDescent="0.3">
      <c r="A14" s="59" t="s">
        <v>121</v>
      </c>
      <c r="B14" s="72" t="s">
        <v>101</v>
      </c>
      <c r="C14" s="70">
        <f>'1. Billing Det. for Def-Var'!C21</f>
        <v>1002165608.5676196</v>
      </c>
      <c r="D14" s="107">
        <f t="shared" si="6"/>
        <v>0.13629350368289758</v>
      </c>
      <c r="E14" s="70">
        <f>'1. Billing Det. for Def-Var'!E21</f>
        <v>1002165608.5676196</v>
      </c>
      <c r="F14" s="107">
        <f t="shared" si="7"/>
        <v>0.20494522484870623</v>
      </c>
      <c r="G14" s="107">
        <v>0</v>
      </c>
      <c r="H14" s="70">
        <f>'1. Billing Det. for Def-Var'!I21</f>
        <v>1002165608.5676196</v>
      </c>
      <c r="I14" s="107">
        <f t="shared" si="0"/>
        <v>0.13662382758728636</v>
      </c>
      <c r="J14" s="108">
        <f t="shared" si="1"/>
        <v>244455.47373096173</v>
      </c>
      <c r="K14" s="108">
        <f t="shared" si="8"/>
        <v>0</v>
      </c>
      <c r="L14" s="108">
        <f t="shared" si="2"/>
        <v>-820749.51789109327</v>
      </c>
      <c r="M14" s="108">
        <f t="shared" si="3"/>
        <v>817229.48748875689</v>
      </c>
      <c r="N14" s="108">
        <f t="shared" si="4"/>
        <v>414860.21033810498</v>
      </c>
      <c r="O14" s="108">
        <f t="shared" si="5"/>
        <v>-328385.16221998673</v>
      </c>
      <c r="P14" s="108">
        <f>D28</f>
        <v>-110436.11709775658</v>
      </c>
      <c r="Q14" s="108">
        <f>G28</f>
        <v>-397066.60909234552</v>
      </c>
      <c r="R14" s="108">
        <f>D41</f>
        <v>-23762.974473515002</v>
      </c>
      <c r="S14" s="108">
        <f>G41</f>
        <v>22460.768334939039</v>
      </c>
      <c r="T14" s="108">
        <f>D53</f>
        <v>58083.674893178766</v>
      </c>
      <c r="U14" s="108">
        <f>G53</f>
        <v>67945.667405143744</v>
      </c>
      <c r="V14" s="108">
        <f t="shared" si="9"/>
        <v>-55365.098583612024</v>
      </c>
    </row>
    <row r="15" spans="1:22" ht="15.75" thickBot="1" x14ac:dyDescent="0.3">
      <c r="A15" s="59" t="s">
        <v>99</v>
      </c>
      <c r="B15" s="72" t="s">
        <v>97</v>
      </c>
      <c r="C15" s="70">
        <f>'1. Billing Det. for Def-Var'!C22</f>
        <v>11501822.442284448</v>
      </c>
      <c r="D15" s="107">
        <f t="shared" si="6"/>
        <v>1.5642361561759345E-3</v>
      </c>
      <c r="E15" s="70">
        <f>'1. Billing Det. for Def-Var'!E22</f>
        <v>523144.30000000075</v>
      </c>
      <c r="F15" s="107">
        <f t="shared" si="7"/>
        <v>1.0698424020463176E-4</v>
      </c>
      <c r="G15" s="107">
        <v>0</v>
      </c>
      <c r="H15" s="70">
        <f>'1. Billing Det. for Def-Var'!I22</f>
        <v>11501822.442284448</v>
      </c>
      <c r="I15" s="107">
        <f t="shared" si="0"/>
        <v>1.5680272729975868E-3</v>
      </c>
      <c r="J15" s="108">
        <f t="shared" si="1"/>
        <v>2805.6076060290566</v>
      </c>
      <c r="K15" s="108">
        <f t="shared" si="8"/>
        <v>0</v>
      </c>
      <c r="L15" s="108">
        <f t="shared" si="2"/>
        <v>-9419.7158071174836</v>
      </c>
      <c r="M15" s="108">
        <f t="shared" si="3"/>
        <v>9379.3165314558646</v>
      </c>
      <c r="N15" s="108">
        <f t="shared" si="4"/>
        <v>4761.3372848602421</v>
      </c>
      <c r="O15" s="108">
        <f t="shared" si="5"/>
        <v>-3768.865940164832</v>
      </c>
      <c r="P15" s="108">
        <f>D25</f>
        <v>-1271.7155897200066</v>
      </c>
      <c r="Q15" s="108">
        <f>G25</f>
        <v>-187.4933228686333</v>
      </c>
      <c r="R15" s="108">
        <f>D38</f>
        <v>263.70299499620921</v>
      </c>
      <c r="S15" s="108">
        <f>G38</f>
        <v>9.2764036144545727</v>
      </c>
      <c r="T15" s="108">
        <f>D50</f>
        <v>621.48719723701424</v>
      </c>
      <c r="U15" s="108">
        <f>G50</f>
        <v>-266.35081432400489</v>
      </c>
      <c r="V15" s="108">
        <f t="shared" si="9"/>
        <v>2926.5865439978807</v>
      </c>
    </row>
    <row r="16" spans="1:22" x14ac:dyDescent="0.25">
      <c r="A16" s="59" t="s">
        <v>104</v>
      </c>
      <c r="B16" s="76" t="s">
        <v>101</v>
      </c>
      <c r="C16" s="665">
        <f>'1. Billing Det. for Def-Var'!C23</f>
        <v>31923315.475764602</v>
      </c>
      <c r="D16" s="269">
        <f t="shared" si="6"/>
        <v>4.3415384425186561E-3</v>
      </c>
      <c r="E16" s="665">
        <f>'1. Billing Det. for Def-Var'!E23</f>
        <v>31923315.475764602</v>
      </c>
      <c r="F16" s="269">
        <f t="shared" si="7"/>
        <v>6.5283931240146045E-3</v>
      </c>
      <c r="G16" s="269">
        <v>0</v>
      </c>
      <c r="H16" s="665">
        <f>'1. Billing Det. for Def-Var'!I23</f>
        <v>31923315.475764602</v>
      </c>
      <c r="I16" s="269">
        <f t="shared" si="0"/>
        <v>4.3520606896590873E-3</v>
      </c>
      <c r="J16" s="109">
        <f t="shared" si="1"/>
        <v>7786.9656880811099</v>
      </c>
      <c r="K16" s="109">
        <f t="shared" si="8"/>
        <v>0</v>
      </c>
      <c r="L16" s="109">
        <f t="shared" si="2"/>
        <v>-26144.427190699389</v>
      </c>
      <c r="M16" s="109">
        <f t="shared" si="3"/>
        <v>26032.298975504822</v>
      </c>
      <c r="N16" s="109">
        <f t="shared" si="4"/>
        <v>13215.094650767778</v>
      </c>
      <c r="O16" s="109">
        <f t="shared" si="5"/>
        <v>-10460.489804766072</v>
      </c>
      <c r="P16" s="109">
        <f>D29</f>
        <v>-4116.9734690376872</v>
      </c>
      <c r="Q16" s="109">
        <f>G29</f>
        <v>-15226.390971215715</v>
      </c>
      <c r="R16" s="109">
        <f>D42</f>
        <v>4058.8991005728212</v>
      </c>
      <c r="S16" s="109">
        <f>G42</f>
        <v>912.40055550742466</v>
      </c>
      <c r="T16" s="109">
        <f>D54</f>
        <v>1586.271465727531</v>
      </c>
      <c r="U16" s="109">
        <f>G54</f>
        <v>18614.387856254634</v>
      </c>
      <c r="V16" s="109">
        <f t="shared" si="9"/>
        <v>16258.036856697257</v>
      </c>
    </row>
    <row r="17" spans="1:22" ht="15.75" thickBot="1" x14ac:dyDescent="0.3">
      <c r="A17" s="98" t="s">
        <v>24</v>
      </c>
      <c r="B17" s="98"/>
      <c r="C17" s="664">
        <f t="shared" ref="C17:D17" si="10">SUM(C10:C16)</f>
        <v>7352996155.2626343</v>
      </c>
      <c r="D17" s="110">
        <f t="shared" si="10"/>
        <v>1</v>
      </c>
      <c r="E17" s="664">
        <f t="shared" ref="E17:V17" si="11">SUM(E10:E16)</f>
        <v>4889919290.9102125</v>
      </c>
      <c r="F17" s="110">
        <f t="shared" si="11"/>
        <v>1.0000000000000002</v>
      </c>
      <c r="G17" s="110">
        <f t="shared" si="11"/>
        <v>1</v>
      </c>
      <c r="H17" s="664">
        <f t="shared" si="11"/>
        <v>7335218360.2626343</v>
      </c>
      <c r="I17" s="110">
        <f t="shared" si="11"/>
        <v>1</v>
      </c>
      <c r="J17" s="111">
        <f t="shared" si="11"/>
        <v>1793595.9317600008</v>
      </c>
      <c r="K17" s="111">
        <f t="shared" si="11"/>
        <v>-71198.302160000007</v>
      </c>
      <c r="L17" s="111">
        <f t="shared" si="11"/>
        <v>-6007367.3266600017</v>
      </c>
      <c r="M17" s="111">
        <f t="shared" si="11"/>
        <v>5996100.0737800011</v>
      </c>
      <c r="N17" s="111">
        <f t="shared" si="11"/>
        <v>3043873.6926400005</v>
      </c>
      <c r="O17" s="111">
        <f t="shared" si="11"/>
        <v>-2403571.6757400003</v>
      </c>
      <c r="P17" s="111">
        <f t="shared" si="11"/>
        <v>-801351.978101696</v>
      </c>
      <c r="Q17" s="111">
        <f t="shared" si="11"/>
        <v>-1991335.04965006</v>
      </c>
      <c r="R17" s="111">
        <f t="shared" si="11"/>
        <v>-118767.0097218844</v>
      </c>
      <c r="S17" s="111">
        <f t="shared" si="11"/>
        <v>116218.09748317776</v>
      </c>
      <c r="T17" s="111">
        <f t="shared" si="11"/>
        <v>436207.10106112959</v>
      </c>
      <c r="U17" s="111">
        <f t="shared" si="11"/>
        <v>-782239.19804385584</v>
      </c>
      <c r="V17" s="111">
        <f t="shared" si="11"/>
        <v>-789835.64335318841</v>
      </c>
    </row>
    <row r="18" spans="1:22" ht="15.75" thickTop="1" x14ac:dyDescent="0.25">
      <c r="A18" s="98"/>
      <c r="B18" s="98"/>
      <c r="C18" s="98"/>
      <c r="D18" s="98"/>
      <c r="E18" s="98">
        <f>+J17-J9</f>
        <v>0</v>
      </c>
      <c r="F18" s="98"/>
      <c r="G18" s="98">
        <f>+L17-L9</f>
        <v>0</v>
      </c>
      <c r="H18" s="98">
        <f>+M17-M9</f>
        <v>0</v>
      </c>
      <c r="I18" s="98">
        <f>+N17-N9</f>
        <v>0</v>
      </c>
      <c r="J18" s="98"/>
      <c r="K18" s="98"/>
    </row>
    <row r="19" spans="1:22" x14ac:dyDescent="0.25">
      <c r="A19" s="98"/>
      <c r="B19" s="98"/>
      <c r="C19" s="98"/>
      <c r="D19" s="98"/>
      <c r="E19" s="98"/>
      <c r="F19" s="98"/>
      <c r="G19" s="98"/>
      <c r="H19" s="98"/>
      <c r="I19" s="98"/>
      <c r="J19" s="98"/>
      <c r="K19" s="98"/>
    </row>
    <row r="20" spans="1:22" x14ac:dyDescent="0.25">
      <c r="B20" s="101"/>
      <c r="C20" s="98"/>
      <c r="D20" s="98"/>
      <c r="E20" s="98"/>
      <c r="F20" s="98"/>
      <c r="G20" s="98"/>
      <c r="H20" s="98"/>
      <c r="I20" s="98"/>
      <c r="J20" s="98"/>
      <c r="K20" s="98"/>
    </row>
    <row r="21" spans="1:22" ht="45" customHeight="1" x14ac:dyDescent="0.25">
      <c r="A21" s="497" t="s">
        <v>141</v>
      </c>
      <c r="B21" s="98"/>
      <c r="C21" s="710" t="s">
        <v>122</v>
      </c>
      <c r="D21" s="711"/>
      <c r="F21" s="710" t="s">
        <v>123</v>
      </c>
      <c r="G21" s="711"/>
      <c r="I21" s="125"/>
      <c r="M21" s="670"/>
    </row>
    <row r="22" spans="1:22" x14ac:dyDescent="0.25">
      <c r="A22" s="98"/>
      <c r="B22" s="98"/>
      <c r="C22" s="112"/>
      <c r="D22" s="113">
        <f>'[6]1595 Continuity Schedule'!$AM$9+'[6]1595 Continuity Schedule'!$AM$13+'[6]1595 Continuity Schedule'!$AM$28+'[6]1595 Continuity Schedule'!$AM$32+'[6]1595 Continuity Schedule'!$AM$38+'[6]1595 Continuity Schedule'!$AM$42+'[6]1595 Continuity Schedule'!$AM$49+'[6]1595 Continuity Schedule'!$AM$55+('3. Continuity Schedule'!AJ20*0.42)</f>
        <v>-801351.97810169577</v>
      </c>
      <c r="E22" s="114"/>
      <c r="F22" s="112"/>
      <c r="G22" s="113">
        <f>'[6]1595 Continuity Schedule'!$AM$19+'[6]1595 Continuity Schedule'!$AM$23+'[6]1595 Continuity Schedule'!$AM$60+('3. Continuity Schedule'!AJ20*0.58)-1</f>
        <v>-1991335.0496500602</v>
      </c>
      <c r="I22" s="466"/>
      <c r="M22" s="123"/>
    </row>
    <row r="23" spans="1:22" ht="15.75" thickBot="1" x14ac:dyDescent="0.3">
      <c r="A23" s="59" t="s">
        <v>96</v>
      </c>
      <c r="B23" s="98"/>
      <c r="C23" s="115">
        <f>+'[7]Original Disposition'!C9</f>
        <v>0.20753837812209611</v>
      </c>
      <c r="D23" s="116">
        <f>C23*$D$22</f>
        <v>-166311.28984015941</v>
      </c>
      <c r="E23" s="117"/>
      <c r="F23" s="115">
        <f>+'[7]Original Disposition'!E9</f>
        <v>4.2492429409177496E-2</v>
      </c>
      <c r="G23" s="116">
        <f t="shared" ref="G23:G29" si="12">F23*$G$22</f>
        <v>-84616.664027276143</v>
      </c>
      <c r="I23" s="124"/>
      <c r="M23" s="123"/>
    </row>
    <row r="24" spans="1:22" ht="15.75" thickBot="1" x14ac:dyDescent="0.3">
      <c r="A24" s="59" t="s">
        <v>98</v>
      </c>
      <c r="B24" s="98"/>
      <c r="C24" s="115">
        <f>+'[7]Original Disposition'!C10</f>
        <v>8.6734675419236476E-2</v>
      </c>
      <c r="D24" s="116">
        <f t="shared" ref="D24:D29" si="13">C24*$D$22</f>
        <v>-69505.00371721368</v>
      </c>
      <c r="E24" s="117"/>
      <c r="F24" s="115">
        <f>+'[7]Original Disposition'!E10</f>
        <v>2.4204833512885784E-2</v>
      </c>
      <c r="G24" s="116">
        <f t="shared" si="12"/>
        <v>-48199.933345153855</v>
      </c>
      <c r="M24" s="123"/>
    </row>
    <row r="25" spans="1:22" ht="15.75" thickBot="1" x14ac:dyDescent="0.3">
      <c r="A25" s="59" t="s">
        <v>99</v>
      </c>
      <c r="B25" s="98"/>
      <c r="C25" s="115">
        <f>+'[7]Original Disposition'!C11</f>
        <v>1.5869625638568266E-3</v>
      </c>
      <c r="D25" s="116">
        <f t="shared" si="13"/>
        <v>-1271.7155897200066</v>
      </c>
      <c r="E25" s="117"/>
      <c r="F25" s="115">
        <f>+'[7]Original Disposition'!E11</f>
        <v>9.4154583831375707E-5</v>
      </c>
      <c r="G25" s="116">
        <f t="shared" si="12"/>
        <v>-187.4933228686333</v>
      </c>
      <c r="J25" s="465"/>
      <c r="M25" s="123"/>
    </row>
    <row r="26" spans="1:22" ht="15.75" thickBot="1" x14ac:dyDescent="0.3">
      <c r="A26" s="59" t="s">
        <v>100</v>
      </c>
      <c r="B26" s="98"/>
      <c r="C26" s="115">
        <f>+'[7]Original Disposition'!C12</f>
        <v>0.27703002469256838</v>
      </c>
      <c r="D26" s="116">
        <f t="shared" si="13"/>
        <v>-221998.55828095129</v>
      </c>
      <c r="E26" s="117"/>
      <c r="F26" s="115">
        <f>+'[7]Original Disposition'!E12</f>
        <v>0.337968063294174</v>
      </c>
      <c r="G26" s="116">
        <f t="shared" si="12"/>
        <v>-673007.65010003874</v>
      </c>
      <c r="M26" s="123"/>
    </row>
    <row r="27" spans="1:22" ht="15.75" thickBot="1" x14ac:dyDescent="0.3">
      <c r="A27" s="59" t="s">
        <v>102</v>
      </c>
      <c r="B27" s="98"/>
      <c r="C27" s="115">
        <f>+'[7]Original Disposition'!C13</f>
        <v>0.28416017721236514</v>
      </c>
      <c r="D27" s="116">
        <f t="shared" si="13"/>
        <v>-227712.32010685722</v>
      </c>
      <c r="E27" s="117"/>
      <c r="F27" s="115">
        <f>+'[7]Original Disposition'!E13</f>
        <v>0.38819700829702514</v>
      </c>
      <c r="G27" s="116">
        <f t="shared" si="12"/>
        <v>-773030.3087911614</v>
      </c>
      <c r="M27" s="123"/>
    </row>
    <row r="28" spans="1:22" ht="15.75" thickBot="1" x14ac:dyDescent="0.3">
      <c r="A28" s="59" t="s">
        <v>121</v>
      </c>
      <c r="B28" s="98"/>
      <c r="C28" s="115">
        <f>+'[7]Original Disposition'!C14</f>
        <v>0.13781224744632958</v>
      </c>
      <c r="D28" s="116">
        <f t="shared" si="13"/>
        <v>-110436.11709775658</v>
      </c>
      <c r="E28" s="117"/>
      <c r="F28" s="115">
        <f>+'[7]Original Disposition'!E14</f>
        <v>0.19939718791276362</v>
      </c>
      <c r="G28" s="116">
        <f t="shared" si="12"/>
        <v>-397066.60909234552</v>
      </c>
      <c r="M28" s="123"/>
    </row>
    <row r="29" spans="1:22" ht="15.75" thickBot="1" x14ac:dyDescent="0.3">
      <c r="A29" s="59" t="s">
        <v>104</v>
      </c>
      <c r="B29" s="98"/>
      <c r="C29" s="115">
        <f>+'[7]Original Disposition'!C15</f>
        <v>5.1375345435476314E-3</v>
      </c>
      <c r="D29" s="116">
        <f t="shared" si="13"/>
        <v>-4116.9734690376872</v>
      </c>
      <c r="E29" s="117"/>
      <c r="F29" s="115">
        <f>+'[7]Original Disposition'!E15</f>
        <v>7.6463229901424512E-3</v>
      </c>
      <c r="G29" s="116">
        <f t="shared" si="12"/>
        <v>-15226.390971215715</v>
      </c>
      <c r="M29" s="123"/>
    </row>
    <row r="30" spans="1:22" ht="15.75" thickBot="1" x14ac:dyDescent="0.3">
      <c r="A30" s="98" t="s">
        <v>24</v>
      </c>
      <c r="B30" s="98"/>
      <c r="C30" s="118">
        <f>SUM(C23:C29)</f>
        <v>1.0000000000000002</v>
      </c>
      <c r="D30" s="119">
        <f>SUM(D23:D29)</f>
        <v>-801351.97810169589</v>
      </c>
      <c r="E30" s="120"/>
      <c r="F30" s="118">
        <f>SUM(F23:F29)</f>
        <v>0.99999999999999978</v>
      </c>
      <c r="G30" s="119">
        <f>SUM(G23:G29)</f>
        <v>-1991335.0496500598</v>
      </c>
      <c r="M30" s="123"/>
    </row>
    <row r="31" spans="1:22" ht="15.75" thickTop="1" x14ac:dyDescent="0.25">
      <c r="A31" s="98"/>
      <c r="B31" s="98"/>
      <c r="C31" s="98"/>
      <c r="D31" s="98"/>
      <c r="E31" s="121"/>
      <c r="J31" s="98"/>
      <c r="K31" s="98"/>
      <c r="M31" s="671"/>
    </row>
    <row r="32" spans="1:22" x14ac:dyDescent="0.25">
      <c r="A32" s="98"/>
      <c r="B32" s="98"/>
      <c r="C32" s="98"/>
      <c r="D32" s="98"/>
      <c r="E32" s="98"/>
      <c r="K32" s="98"/>
      <c r="M32" s="123"/>
    </row>
    <row r="33" spans="1:13" x14ac:dyDescent="0.25">
      <c r="M33" s="123"/>
    </row>
    <row r="34" spans="1:13" ht="36" customHeight="1" x14ac:dyDescent="0.25">
      <c r="A34" s="497" t="s">
        <v>142</v>
      </c>
      <c r="C34" s="710" t="s">
        <v>139</v>
      </c>
      <c r="D34" s="711"/>
      <c r="F34" s="710" t="s">
        <v>136</v>
      </c>
      <c r="G34" s="711"/>
      <c r="J34" s="125"/>
      <c r="M34" s="123"/>
    </row>
    <row r="35" spans="1:13" x14ac:dyDescent="0.25">
      <c r="C35" s="112"/>
      <c r="D35" s="113">
        <f>'[8]1595 Continuity Schedule'!$AA$41+'3. Continuity Schedule'!AJ22-1</f>
        <v>-118767.00972188442</v>
      </c>
      <c r="F35" s="112"/>
      <c r="G35" s="113">
        <f>+'[8]1595 Continuity Schedule'!$AA$42</f>
        <v>116218.09748317776</v>
      </c>
      <c r="M35" s="123"/>
    </row>
    <row r="36" spans="1:13" ht="15.75" thickBot="1" x14ac:dyDescent="0.3">
      <c r="A36" s="59" t="s">
        <v>96</v>
      </c>
      <c r="C36" s="115">
        <f>'[8]Original Disposition'!J31</f>
        <v>3.8060064717972623E-2</v>
      </c>
      <c r="D36" s="116">
        <f t="shared" ref="D36:D42" si="14">C36*$D$35</f>
        <v>-4520.2800763750047</v>
      </c>
      <c r="F36" s="115">
        <f>+'[8]Original Disposition'!G31</f>
        <v>3.5751751740337637E-2</v>
      </c>
      <c r="G36" s="116">
        <f t="shared" ref="G36:G42" si="15">F36*$G$35</f>
        <v>4155.0005689529298</v>
      </c>
      <c r="J36" s="124"/>
      <c r="M36" s="123"/>
    </row>
    <row r="37" spans="1:13" ht="15.75" thickBot="1" x14ac:dyDescent="0.3">
      <c r="A37" s="59" t="s">
        <v>98</v>
      </c>
      <c r="C37" s="115">
        <f>'[8]Original Disposition'!J32</f>
        <v>6.3204296678560035E-2</v>
      </c>
      <c r="D37" s="116">
        <f t="shared" si="14"/>
        <v>-7506.5853180874064</v>
      </c>
      <c r="F37" s="115">
        <f>+'[8]Original Disposition'!G32</f>
        <v>2.1626177566701064E-2</v>
      </c>
      <c r="G37" s="116">
        <f t="shared" si="15"/>
        <v>2513.3532126353762</v>
      </c>
      <c r="M37" s="123"/>
    </row>
    <row r="38" spans="1:13" ht="15.75" thickBot="1" x14ac:dyDescent="0.3">
      <c r="A38" s="59" t="s">
        <v>99</v>
      </c>
      <c r="C38" s="115">
        <f>'[8]Original Disposition'!J33</f>
        <v>-2.2203387591699076E-3</v>
      </c>
      <c r="D38" s="116">
        <f t="shared" si="14"/>
        <v>263.70299499620921</v>
      </c>
      <c r="F38" s="115">
        <f>+'[8]Original Disposition'!G33</f>
        <v>7.9818925067133423E-5</v>
      </c>
      <c r="G38" s="116">
        <f t="shared" si="15"/>
        <v>9.2764036144545727</v>
      </c>
      <c r="M38" s="123"/>
    </row>
    <row r="39" spans="1:13" ht="15.75" thickBot="1" x14ac:dyDescent="0.3">
      <c r="A39" s="59" t="s">
        <v>100</v>
      </c>
      <c r="C39" s="115">
        <f>'[8]Original Disposition'!J34</f>
        <v>0.33808350242436458</v>
      </c>
      <c r="D39" s="116">
        <f t="shared" si="14"/>
        <v>-40153.166619243239</v>
      </c>
      <c r="F39" s="115">
        <f>+'[8]Original Disposition'!G34</f>
        <v>0.34234336961293521</v>
      </c>
      <c r="G39" s="116">
        <f t="shared" si="15"/>
        <v>39786.49510239566</v>
      </c>
      <c r="M39" s="123"/>
    </row>
    <row r="40" spans="1:13" ht="15.75" thickBot="1" x14ac:dyDescent="0.3">
      <c r="A40" s="59" t="s">
        <v>102</v>
      </c>
      <c r="C40" s="115">
        <f>'[8]Original Disposition'!J35</f>
        <v>0.39696718340080761</v>
      </c>
      <c r="D40" s="116">
        <f t="shared" si="14"/>
        <v>-47146.605330232793</v>
      </c>
      <c r="F40" s="115">
        <f>+'[8]Original Disposition'!G35</f>
        <v>0.39908417285738451</v>
      </c>
      <c r="G40" s="116">
        <f t="shared" si="15"/>
        <v>46380.803305132875</v>
      </c>
      <c r="M40" s="123"/>
    </row>
    <row r="41" spans="1:13" ht="15.75" thickBot="1" x14ac:dyDescent="0.3">
      <c r="A41" s="59" t="s">
        <v>121</v>
      </c>
      <c r="C41" s="115">
        <f>'[8]Original Disposition'!J36</f>
        <v>0.20008059922667526</v>
      </c>
      <c r="D41" s="116">
        <f t="shared" si="14"/>
        <v>-23762.974473515002</v>
      </c>
      <c r="F41" s="115">
        <f>+'[8]Original Disposition'!G36</f>
        <v>0.19326394788204282</v>
      </c>
      <c r="G41" s="116">
        <f t="shared" si="15"/>
        <v>22460.768334939039</v>
      </c>
      <c r="M41" s="123"/>
    </row>
    <row r="42" spans="1:13" ht="15.75" thickBot="1" x14ac:dyDescent="0.3">
      <c r="A42" s="59" t="s">
        <v>104</v>
      </c>
      <c r="C42" s="115">
        <f>'[8]Original Disposition'!J37</f>
        <v>-3.4175307689210219E-2</v>
      </c>
      <c r="D42" s="116">
        <f t="shared" si="14"/>
        <v>4058.8991005728212</v>
      </c>
      <c r="F42" s="115">
        <f>+'[8]Original Disposition'!G37</f>
        <v>7.8507614155316225E-3</v>
      </c>
      <c r="G42" s="116">
        <f t="shared" si="15"/>
        <v>912.40055550742466</v>
      </c>
      <c r="M42" s="123"/>
    </row>
    <row r="43" spans="1:13" ht="15.75" thickBot="1" x14ac:dyDescent="0.3">
      <c r="A43" s="98" t="s">
        <v>24</v>
      </c>
      <c r="C43" s="118">
        <f>SUM(C36:C42)</f>
        <v>1</v>
      </c>
      <c r="D43" s="119">
        <f>SUM(D36:D42)</f>
        <v>-118767.00972188442</v>
      </c>
      <c r="F43" s="118">
        <f>SUM(F36:F42)</f>
        <v>1</v>
      </c>
      <c r="G43" s="119">
        <f>SUM(G36:G42)</f>
        <v>116218.09748317777</v>
      </c>
      <c r="M43" s="671"/>
    </row>
    <row r="44" spans="1:13" ht="15.75" thickTop="1" x14ac:dyDescent="0.25">
      <c r="M44" s="123"/>
    </row>
    <row r="45" spans="1:13" x14ac:dyDescent="0.25">
      <c r="D45" s="122"/>
      <c r="M45" s="123"/>
    </row>
    <row r="46" spans="1:13" ht="36" customHeight="1" x14ac:dyDescent="0.25">
      <c r="A46" s="497" t="s">
        <v>143</v>
      </c>
      <c r="C46" s="710" t="s">
        <v>140</v>
      </c>
      <c r="D46" s="711"/>
      <c r="F46" s="710" t="s">
        <v>138</v>
      </c>
      <c r="G46" s="711"/>
      <c r="M46" s="123"/>
    </row>
    <row r="47" spans="1:13" x14ac:dyDescent="0.25">
      <c r="C47" s="112"/>
      <c r="D47" s="113">
        <f>+'[9]1595 Continuity Schedule'!$O$42+'3. Continuity Schedule'!AJ23*'[9]1595 Continuity Schedule'!$P$42</f>
        <v>436207.10106112959</v>
      </c>
      <c r="F47" s="112"/>
      <c r="G47" s="113">
        <f>+'[9]1595 Continuity Schedule'!$O$43+'3. Continuity Schedule'!AJ23*'[9]1595 Continuity Schedule'!$P$43</f>
        <v>-782239.19804385607</v>
      </c>
      <c r="M47" s="672"/>
    </row>
    <row r="48" spans="1:13" ht="15.75" thickBot="1" x14ac:dyDescent="0.3">
      <c r="A48" s="59" t="s">
        <v>96</v>
      </c>
      <c r="C48" s="115">
        <f>+'[9]Original Disposition'!C8</f>
        <v>0.1934303489100542</v>
      </c>
      <c r="D48" s="116">
        <f t="shared" ref="D48:D54" si="16">C48*$D$47</f>
        <v>84375.691755297565</v>
      </c>
      <c r="F48" s="115">
        <f>'[9]Original Disposition'!L8</f>
        <v>0.13102030769570161</v>
      </c>
      <c r="G48" s="116">
        <f t="shared" ref="G48:G54" si="17">F48*$G$47</f>
        <v>-102489.22041934489</v>
      </c>
      <c r="L48" s="124"/>
      <c r="M48" s="123"/>
    </row>
    <row r="49" spans="1:13" ht="15.75" thickBot="1" x14ac:dyDescent="0.3">
      <c r="A49" s="59" t="s">
        <v>98</v>
      </c>
      <c r="C49" s="115">
        <f>+'[9]Original Disposition'!C9</f>
        <v>8.3960740637413739E-2</v>
      </c>
      <c r="D49" s="116">
        <f t="shared" si="16"/>
        <v>36624.271276391628</v>
      </c>
      <c r="F49" s="115">
        <f>'[9]Original Disposition'!L9</f>
        <v>0.10582256431463273</v>
      </c>
      <c r="G49" s="116">
        <f t="shared" si="17"/>
        <v>-82778.557844422685</v>
      </c>
    </row>
    <row r="50" spans="1:13" ht="15.75" thickBot="1" x14ac:dyDescent="0.3">
      <c r="A50" s="59" t="s">
        <v>99</v>
      </c>
      <c r="C50" s="115">
        <f>+'[9]Original Disposition'!C10</f>
        <v>1.424752590513009E-3</v>
      </c>
      <c r="D50" s="116">
        <f t="shared" si="16"/>
        <v>621.48719723701424</v>
      </c>
      <c r="F50" s="115">
        <f>'[9]Original Disposition'!L10</f>
        <v>3.4049791290192028E-4</v>
      </c>
      <c r="G50" s="116">
        <f t="shared" si="17"/>
        <v>-266.35081432400489</v>
      </c>
    </row>
    <row r="51" spans="1:13" ht="15.75" thickBot="1" x14ac:dyDescent="0.3">
      <c r="A51" s="59" t="s">
        <v>100</v>
      </c>
      <c r="C51" s="115">
        <f>+'[9]Original Disposition'!C11</f>
        <v>0.28573908870620507</v>
      </c>
      <c r="D51" s="116">
        <f t="shared" si="16"/>
        <v>124641.41954438266</v>
      </c>
      <c r="F51" s="115">
        <f>'[9]Original Disposition'!L11</f>
        <v>1.3805870333619819</v>
      </c>
      <c r="G51" s="116">
        <f t="shared" si="17"/>
        <v>-1079949.293806823</v>
      </c>
      <c r="H51" s="98"/>
    </row>
    <row r="52" spans="1:13" ht="15.75" thickBot="1" x14ac:dyDescent="0.3">
      <c r="A52" s="59" t="s">
        <v>102</v>
      </c>
      <c r="C52" s="115">
        <f>+'[9]Original Disposition'!C12</f>
        <v>0.29865237088531016</v>
      </c>
      <c r="D52" s="116">
        <f t="shared" si="16"/>
        <v>130274.28492891445</v>
      </c>
      <c r="F52" s="115">
        <f>'[9]Original Disposition'!L12</f>
        <v>-0.50711364320740715</v>
      </c>
      <c r="G52" s="116">
        <f t="shared" si="17"/>
        <v>396684.16957966035</v>
      </c>
      <c r="H52" s="98"/>
    </row>
    <row r="53" spans="1:13" ht="15.75" thickBot="1" x14ac:dyDescent="0.3">
      <c r="A53" s="59" t="s">
        <v>121</v>
      </c>
      <c r="C53" s="115">
        <f>+'[9]Original Disposition'!C13</f>
        <v>0.13315618831486878</v>
      </c>
      <c r="D53" s="116">
        <f t="shared" si="16"/>
        <v>58083.674893178766</v>
      </c>
      <c r="F53" s="115">
        <f>'[9]Original Disposition'!L13</f>
        <v>-8.6860473848734923E-2</v>
      </c>
      <c r="G53" s="116">
        <f t="shared" si="17"/>
        <v>67945.667405143744</v>
      </c>
    </row>
    <row r="54" spans="1:13" ht="15" customHeight="1" thickBot="1" x14ac:dyDescent="0.3">
      <c r="A54" s="59" t="s">
        <v>104</v>
      </c>
      <c r="C54" s="115">
        <f>+'[9]Original Disposition'!C14</f>
        <v>3.6365099556351162E-3</v>
      </c>
      <c r="D54" s="116">
        <f t="shared" si="16"/>
        <v>1586.271465727531</v>
      </c>
      <c r="F54" s="115">
        <f>'[9]Original Disposition'!L14</f>
        <v>-2.3796286229076216E-2</v>
      </c>
      <c r="G54" s="116">
        <f t="shared" si="17"/>
        <v>18614.387856254634</v>
      </c>
    </row>
    <row r="55" spans="1:13" ht="15.75" thickBot="1" x14ac:dyDescent="0.3">
      <c r="A55" s="98" t="s">
        <v>24</v>
      </c>
      <c r="C55" s="118">
        <f>SUM(C48:C54)</f>
        <v>1</v>
      </c>
      <c r="D55" s="119">
        <f>SUM(D48:D54)</f>
        <v>436207.10106112959</v>
      </c>
      <c r="F55" s="118">
        <f>SUM(F48:F54)</f>
        <v>0.99999999999999989</v>
      </c>
      <c r="G55" s="119">
        <f>SUM(G48:G54)</f>
        <v>-782239.19804385595</v>
      </c>
      <c r="M55" s="671"/>
    </row>
    <row r="56" spans="1:13" ht="15.75" thickTop="1" x14ac:dyDescent="0.25"/>
    <row r="79" spans="6:8" x14ac:dyDescent="0.25">
      <c r="F79" s="1"/>
      <c r="H79" s="1"/>
    </row>
    <row r="80" spans="6:8" x14ac:dyDescent="0.25">
      <c r="F80" s="1"/>
      <c r="H80" s="1"/>
    </row>
    <row r="91" spans="9:9" x14ac:dyDescent="0.25">
      <c r="I91" s="1"/>
    </row>
    <row r="92" spans="9:9" x14ac:dyDescent="0.25">
      <c r="I92" s="1"/>
    </row>
  </sheetData>
  <mergeCells count="13">
    <mergeCell ref="F46:G46"/>
    <mergeCell ref="C21:D21"/>
    <mergeCell ref="F21:G21"/>
    <mergeCell ref="C34:D34"/>
    <mergeCell ref="F34:G34"/>
    <mergeCell ref="C46:D46"/>
    <mergeCell ref="I8:I9"/>
    <mergeCell ref="D8:D9"/>
    <mergeCell ref="C8:C9"/>
    <mergeCell ref="G8:G9"/>
    <mergeCell ref="E8:E9"/>
    <mergeCell ref="F8:F9"/>
    <mergeCell ref="H8:H9"/>
  </mergeCells>
  <dataValidations count="1">
    <dataValidation type="list" allowBlank="1" showInputMessage="1" showErrorMessage="1" sqref="B10:B16">
      <formula1>Units1</formula1>
    </dataValidation>
  </dataValidations>
  <pageMargins left="0.7" right="0.7" top="0.75" bottom="0.75" header="0.3" footer="0.3"/>
  <pageSetup scale="44"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2:Q30"/>
  <sheetViews>
    <sheetView topLeftCell="D1" workbookViewId="0">
      <selection activeCell="J21" sqref="J21"/>
    </sheetView>
  </sheetViews>
  <sheetFormatPr defaultColWidth="9.140625" defaultRowHeight="15" x14ac:dyDescent="0.25"/>
  <cols>
    <col min="1" max="1" width="44.7109375" style="59" customWidth="1"/>
    <col min="2" max="2" width="9.140625" style="59"/>
    <col min="3" max="4" width="14.85546875" style="59" customWidth="1"/>
    <col min="5" max="5" width="14.140625" style="59" customWidth="1"/>
    <col min="6" max="6" width="14.42578125" style="59" customWidth="1"/>
    <col min="7" max="7" width="22.5703125" style="59" customWidth="1"/>
    <col min="8" max="8" width="19.28515625" style="59" customWidth="1"/>
    <col min="9" max="10" width="18.140625" style="59" customWidth="1"/>
    <col min="11" max="11" width="14.42578125" style="59" customWidth="1"/>
    <col min="12" max="14" width="14" style="59" customWidth="1"/>
    <col min="15" max="15" width="12.42578125" style="59" customWidth="1"/>
    <col min="16" max="16" width="11.42578125" style="59" customWidth="1"/>
    <col min="17" max="16384" width="9.140625" style="59"/>
  </cols>
  <sheetData>
    <row r="12" spans="1:15" ht="15" customHeight="1" x14ac:dyDescent="0.25">
      <c r="A12" s="714" t="s">
        <v>144</v>
      </c>
      <c r="B12" s="714"/>
      <c r="C12" s="714"/>
      <c r="D12" s="714"/>
      <c r="E12" s="714"/>
      <c r="F12" s="714"/>
      <c r="G12" s="714"/>
      <c r="H12" s="714"/>
      <c r="I12" s="714"/>
      <c r="J12" s="652"/>
      <c r="K12" s="126"/>
      <c r="L12" s="126"/>
      <c r="M12" s="126"/>
      <c r="N12" s="126"/>
      <c r="O12" s="126"/>
    </row>
    <row r="13" spans="1:15" x14ac:dyDescent="0.25">
      <c r="A13" s="714"/>
      <c r="B13" s="714"/>
      <c r="C13" s="714"/>
      <c r="D13" s="714"/>
      <c r="E13" s="714"/>
      <c r="F13" s="714"/>
      <c r="G13" s="714"/>
      <c r="H13" s="714"/>
      <c r="I13" s="714"/>
      <c r="J13" s="652"/>
      <c r="K13" s="126"/>
      <c r="L13" s="126"/>
      <c r="M13" s="126"/>
      <c r="N13" s="126"/>
      <c r="O13" s="126"/>
    </row>
    <row r="15" spans="1:15" x14ac:dyDescent="0.25">
      <c r="A15" s="718" t="s">
        <v>682</v>
      </c>
      <c r="B15" s="718"/>
      <c r="D15" s="667">
        <v>12</v>
      </c>
    </row>
    <row r="16" spans="1:15" ht="15" customHeight="1" x14ac:dyDescent="0.25">
      <c r="A16" s="718" t="s">
        <v>683</v>
      </c>
      <c r="B16" s="718"/>
      <c r="C16" s="127"/>
      <c r="D16" s="668">
        <v>12</v>
      </c>
    </row>
    <row r="17" spans="1:17" x14ac:dyDescent="0.25">
      <c r="A17" s="127"/>
      <c r="B17" s="127"/>
      <c r="C17" s="127"/>
      <c r="D17" s="127"/>
    </row>
    <row r="18" spans="1:17" ht="15" customHeight="1" x14ac:dyDescent="0.25">
      <c r="A18" s="128"/>
      <c r="B18" s="129"/>
      <c r="C18" s="129"/>
      <c r="D18" s="129"/>
      <c r="E18" s="129"/>
      <c r="F18" s="129"/>
      <c r="G18" s="715" t="s">
        <v>652</v>
      </c>
      <c r="H18" s="715" t="s">
        <v>655</v>
      </c>
      <c r="I18" s="713" t="s">
        <v>145</v>
      </c>
      <c r="J18" s="713" t="s">
        <v>656</v>
      </c>
      <c r="K18" s="712" t="s">
        <v>157</v>
      </c>
      <c r="L18" s="712" t="s">
        <v>146</v>
      </c>
      <c r="M18" s="712" t="s">
        <v>681</v>
      </c>
      <c r="N18" s="712" t="s">
        <v>680</v>
      </c>
      <c r="O18" s="712" t="s">
        <v>659</v>
      </c>
    </row>
    <row r="19" spans="1:17" ht="45.75" customHeight="1" x14ac:dyDescent="0.25">
      <c r="A19" s="130" t="s">
        <v>4</v>
      </c>
      <c r="B19" s="131" t="s">
        <v>95</v>
      </c>
      <c r="C19" s="717" t="s">
        <v>653</v>
      </c>
      <c r="D19" s="717" t="s">
        <v>654</v>
      </c>
      <c r="E19" s="716" t="s">
        <v>650</v>
      </c>
      <c r="F19" s="716" t="s">
        <v>651</v>
      </c>
      <c r="G19" s="715"/>
      <c r="H19" s="715"/>
      <c r="I19" s="713"/>
      <c r="J19" s="713"/>
      <c r="K19" s="712"/>
      <c r="L19" s="712"/>
      <c r="M19" s="712"/>
      <c r="N19" s="712"/>
      <c r="O19" s="712" t="s">
        <v>145</v>
      </c>
      <c r="Q19" s="63"/>
    </row>
    <row r="20" spans="1:17" ht="15" hidden="1" customHeight="1" x14ac:dyDescent="0.25">
      <c r="B20" s="132"/>
      <c r="C20" s="717"/>
      <c r="D20" s="717"/>
      <c r="E20" s="716"/>
      <c r="F20" s="716"/>
      <c r="I20" s="133"/>
      <c r="J20" s="713"/>
      <c r="O20" s="653"/>
    </row>
    <row r="21" spans="1:17" x14ac:dyDescent="0.25">
      <c r="A21" s="134" t="s">
        <v>96</v>
      </c>
      <c r="B21" s="135" t="s">
        <v>97</v>
      </c>
      <c r="C21" s="136">
        <f>'1. Billing Det. for Def-Var'!C17</f>
        <v>1469096846.7337606</v>
      </c>
      <c r="D21" s="136">
        <f>'1. Billing Det. for Def-Var'!D17</f>
        <v>0</v>
      </c>
      <c r="E21" s="136">
        <f>'1. Billing Det. for Def-Var'!I17</f>
        <v>1469096846.7337606</v>
      </c>
      <c r="F21" s="136"/>
      <c r="G21" s="150">
        <f>'2. Allocating Def-Var Balances'!J10+'2. Allocating Def-Var Balances'!K10+'2. Allocating Def-Var Balances'!M10+'2. Allocating Def-Var Balances'!N10+'2. Allocating Def-Var Balances'!P10+'2. Allocating Def-Var Balances'!R10+'2. Allocating Def-Var Balances'!T10</f>
        <v>2013296.2476540094</v>
      </c>
      <c r="H21" s="150">
        <f>('2. Allocating Def-Var Balances'!L10+'2. Allocating Def-Var Balances'!O10)</f>
        <v>-1684542.0762707088</v>
      </c>
      <c r="I21" s="137">
        <f>(ROUND((G21/C21),4))*($D$15/$D$16)</f>
        <v>1.4E-3</v>
      </c>
      <c r="J21" s="137">
        <f>(H21/E21)*($D$15/$D$16)</f>
        <v>-1.1466514818379381E-3</v>
      </c>
      <c r="K21" s="150">
        <f>'2. Allocating Def-Var Balances'!Q10+'2. Allocating Def-Var Balances'!S10+'2. Allocating Def-Var Balances'!U10</f>
        <v>-182950.88387766809</v>
      </c>
      <c r="L21" s="150">
        <f>'1. Billing Det. for Def-Var'!N17</f>
        <v>91130678.730000257</v>
      </c>
      <c r="M21" s="150"/>
      <c r="N21" s="150">
        <f>L21-M21</f>
        <v>91130678.730000257</v>
      </c>
      <c r="O21" s="137">
        <f t="shared" ref="O21:O27" si="0">(K21/N21)*($D$15/$D$16)</f>
        <v>-2.0075663478784185E-3</v>
      </c>
    </row>
    <row r="22" spans="1:17" x14ac:dyDescent="0.25">
      <c r="A22" s="138" t="s">
        <v>98</v>
      </c>
      <c r="B22" s="139" t="s">
        <v>97</v>
      </c>
      <c r="C22" s="140">
        <f>'1. Billing Det. for Def-Var'!C18</f>
        <v>647112057.82811737</v>
      </c>
      <c r="D22" s="140">
        <f>'1. Billing Det. for Def-Var'!D18</f>
        <v>0</v>
      </c>
      <c r="E22" s="140">
        <f>'1. Billing Det. for Def-Var'!I18</f>
        <v>647112057.82811737</v>
      </c>
      <c r="F22" s="140"/>
      <c r="G22" s="150">
        <f>'2. Allocating Def-Var Balances'!J11+'2. Allocating Def-Var Balances'!K11+'2. Allocating Def-Var Balances'!M11+'2. Allocating Def-Var Balances'!N11+'2. Allocating Def-Var Balances'!P11+'2. Allocating Def-Var Balances'!R11+'2. Allocating Def-Var Balances'!T11</f>
        <v>906588.08740690351</v>
      </c>
      <c r="H22" s="150">
        <f>('2. Allocating Def-Var Balances'!L11+'2. Allocating Def-Var Balances'!O11)</f>
        <v>-742012.00002380833</v>
      </c>
      <c r="I22" s="141">
        <f>(ROUND((G22/C22),4))*($D$15/$D$16)</f>
        <v>1.4E-3</v>
      </c>
      <c r="J22" s="141">
        <f>(H22/E22)*($D$15/$D$16)</f>
        <v>-1.1466514818379381E-3</v>
      </c>
      <c r="K22" s="150">
        <f>'2. Allocating Def-Var Balances'!Q11+'2. Allocating Def-Var Balances'!S11+'2. Allocating Def-Var Balances'!U11</f>
        <v>-128465.13797694116</v>
      </c>
      <c r="L22" s="150">
        <f>'1. Billing Det. for Def-Var'!N18</f>
        <v>107176499.05999982</v>
      </c>
      <c r="M22" s="150"/>
      <c r="N22" s="150">
        <f t="shared" ref="N22:N27" si="1">L22-M22</f>
        <v>107176499.05999982</v>
      </c>
      <c r="O22" s="141">
        <f t="shared" si="0"/>
        <v>-1.1986315946467283E-3</v>
      </c>
    </row>
    <row r="23" spans="1:17" x14ac:dyDescent="0.25">
      <c r="A23" s="138" t="s">
        <v>100</v>
      </c>
      <c r="B23" s="139" t="s">
        <v>101</v>
      </c>
      <c r="C23" s="140">
        <f>'1. Billing Det. for Def-Var'!C19</f>
        <v>2104160254.6192284</v>
      </c>
      <c r="D23" s="140">
        <f>'1. Billing Det. for Def-Var'!D19</f>
        <v>6035820.8381782649</v>
      </c>
      <c r="E23" s="140">
        <f>'1. Billing Det. for Def-Var'!I19</f>
        <v>2103852334.6192284</v>
      </c>
      <c r="F23" s="140">
        <f>'1. Billing Det. for Def-Var'!J19</f>
        <v>6023024.8381782649</v>
      </c>
      <c r="G23" s="150">
        <f>'2. Allocating Def-Var Balances'!J12+'2. Allocating Def-Var Balances'!K12+'2. Allocating Def-Var Balances'!M12+'2. Allocating Def-Var Balances'!N12+'2. Allocating Def-Var Balances'!P12+'2. Allocating Def-Var Balances'!R12+'2. Allocating Def-Var Balances'!T12</f>
        <v>2962663.5956250154</v>
      </c>
      <c r="H23" s="150">
        <f>('2. Allocating Def-Var Balances'!L12+'2. Allocating Def-Var Balances'!O12)</f>
        <v>-2412385.3970593438</v>
      </c>
      <c r="I23" s="141">
        <f>(ROUND((G23/D23),4))*($D$15/$D$16)</f>
        <v>0.49080000000000001</v>
      </c>
      <c r="J23" s="141">
        <f>(H23/F23)*($D$15/$D$16)</f>
        <v>-0.4005272204371314</v>
      </c>
      <c r="K23" s="150">
        <f>'2. Allocating Def-Var Balances'!Q12+'2. Allocating Def-Var Balances'!S12+'2. Allocating Def-Var Balances'!U12</f>
        <v>-1713170.4488044661</v>
      </c>
      <c r="L23" s="145">
        <f>'1. Billing Det. for Def-Var'!O19</f>
        <v>5050206.8599356348</v>
      </c>
      <c r="M23" s="145">
        <f>'1. Billing Det. for Def-Var'!H19</f>
        <v>12796</v>
      </c>
      <c r="N23" s="150">
        <f t="shared" si="1"/>
        <v>5037410.8599356348</v>
      </c>
      <c r="O23" s="141">
        <f t="shared" si="0"/>
        <v>-0.34008948176729742</v>
      </c>
    </row>
    <row r="24" spans="1:17" x14ac:dyDescent="0.25">
      <c r="A24" s="138" t="s">
        <v>102</v>
      </c>
      <c r="B24" s="139" t="s">
        <v>101</v>
      </c>
      <c r="C24" s="140">
        <f>'1. Billing Det. for Def-Var'!C20</f>
        <v>2087036249.59586</v>
      </c>
      <c r="D24" s="140">
        <f>'1. Billing Det. for Def-Var'!D20</f>
        <v>4709431.8067152184</v>
      </c>
      <c r="E24" s="140">
        <f>'1. Billing Det. for Def-Var'!I20</f>
        <v>2069566374.59586</v>
      </c>
      <c r="F24" s="140">
        <f>'1. Billing Det. for Def-Var'!J20</f>
        <v>4678341.8067152184</v>
      </c>
      <c r="G24" s="150">
        <f>'2. Allocating Def-Var Balances'!J13+'2. Allocating Def-Var Balances'!K13+'2. Allocating Def-Var Balances'!M13+'2. Allocating Def-Var Balances'!N13+'2. Allocating Def-Var Balances'!P13+'2. Allocating Def-Var Balances'!R13+'2. Allocating Def-Var Balances'!T13</f>
        <v>2930359.5312554166</v>
      </c>
      <c r="H24" s="150">
        <f>('2. Allocating Def-Var Balances'!L13+'2. Allocating Def-Var Balances'!O13)</f>
        <v>-2373071.3501923126</v>
      </c>
      <c r="I24" s="141">
        <f>(ROUND((G24/D24),4))*($D$15/$D$16)</f>
        <v>0.62219999999999998</v>
      </c>
      <c r="J24" s="141">
        <f>(H24/F24)*($D$15/$D$16)</f>
        <v>-0.50724625267569023</v>
      </c>
      <c r="K24" s="150">
        <f>'2. Allocating Def-Var Balances'!Q13+'2. Allocating Def-Var Balances'!S13+'2. Allocating Def-Var Balances'!U13</f>
        <v>-329965.33590636816</v>
      </c>
      <c r="L24" s="145">
        <f>'1. Billing Det. for Def-Var'!O20</f>
        <v>4321176.1688892152</v>
      </c>
      <c r="M24" s="145">
        <f>'1. Billing Det. for Def-Var'!H20</f>
        <v>31090</v>
      </c>
      <c r="N24" s="150">
        <f t="shared" si="1"/>
        <v>4290086.1688892152</v>
      </c>
      <c r="O24" s="141">
        <f t="shared" si="0"/>
        <v>-7.6913451832088128E-2</v>
      </c>
    </row>
    <row r="25" spans="1:17" x14ac:dyDescent="0.25">
      <c r="A25" s="138" t="s">
        <v>103</v>
      </c>
      <c r="B25" s="139" t="s">
        <v>101</v>
      </c>
      <c r="C25" s="140">
        <f>'1. Billing Det. for Def-Var'!C21</f>
        <v>1002165608.5676196</v>
      </c>
      <c r="D25" s="140">
        <f>'1. Billing Det. for Def-Var'!D21</f>
        <v>1741184.6735238209</v>
      </c>
      <c r="E25" s="140">
        <f>'1. Billing Det. for Def-Var'!I21</f>
        <v>1002165608.5676196</v>
      </c>
      <c r="F25" s="140">
        <f>'1. Billing Det. for Def-Var'!J21</f>
        <v>1741184.6735238209</v>
      </c>
      <c r="G25" s="150">
        <f>'2. Allocating Def-Var Balances'!J14+'2. Allocating Def-Var Balances'!K14+'2. Allocating Def-Var Balances'!M14+'2. Allocating Def-Var Balances'!N14+'2. Allocating Def-Var Balances'!P14+'2. Allocating Def-Var Balances'!R14+'2. Allocating Def-Var Balances'!T14</f>
        <v>1400429.7548797308</v>
      </c>
      <c r="H25" s="150">
        <f>('2. Allocating Def-Var Balances'!L14+'2. Allocating Def-Var Balances'!O14)</f>
        <v>-1149134.6801110799</v>
      </c>
      <c r="I25" s="141">
        <f>(ROUND((G25/D25),4))*($D$15/$D$16)</f>
        <v>0.80430000000000001</v>
      </c>
      <c r="J25" s="141">
        <f>(H25/F25)*($D$15/$D$16)</f>
        <v>-0.65997288948417732</v>
      </c>
      <c r="K25" s="150">
        <f>'2. Allocating Def-Var Balances'!Q14+'2. Allocating Def-Var Balances'!S14+'2. Allocating Def-Var Balances'!U14</f>
        <v>-306660.17335226276</v>
      </c>
      <c r="L25" s="145">
        <f>'1. Billing Det. for Def-Var'!F21</f>
        <v>1741184.6735238209</v>
      </c>
      <c r="M25" s="145">
        <f>'1. Billing Det. for Def-Var'!M21</f>
        <v>1579942</v>
      </c>
      <c r="N25" s="150">
        <f t="shared" si="1"/>
        <v>161242.67352382094</v>
      </c>
      <c r="O25" s="141">
        <f>(K25/L25)*($D$15/$D$16)</f>
        <v>-0.17612156712340105</v>
      </c>
    </row>
    <row r="26" spans="1:17" x14ac:dyDescent="0.25">
      <c r="A26" s="138" t="s">
        <v>99</v>
      </c>
      <c r="B26" s="139" t="s">
        <v>97</v>
      </c>
      <c r="C26" s="140">
        <f>'1. Billing Det. for Def-Var'!C22</f>
        <v>11501822.442284448</v>
      </c>
      <c r="D26" s="140">
        <f>'1. Billing Det. for Def-Var'!D22</f>
        <v>0</v>
      </c>
      <c r="E26" s="140">
        <f>'1. Billing Det. for Def-Var'!I22</f>
        <v>11501822.442284448</v>
      </c>
      <c r="F26" s="140"/>
      <c r="G26" s="150">
        <f>'2. Allocating Def-Var Balances'!J15+'2. Allocating Def-Var Balances'!K15+'2. Allocating Def-Var Balances'!M15+'2. Allocating Def-Var Balances'!N15+'2. Allocating Def-Var Balances'!P15+'2. Allocating Def-Var Balances'!R15+'2. Allocating Def-Var Balances'!T15</f>
        <v>16559.736024858379</v>
      </c>
      <c r="H26" s="150">
        <f>('2. Allocating Def-Var Balances'!L15+'2. Allocating Def-Var Balances'!O15)</f>
        <v>-13188.581747282315</v>
      </c>
      <c r="I26" s="141">
        <f>(ROUND((G26/C26),4))*($D$15/$D$16)</f>
        <v>1.4E-3</v>
      </c>
      <c r="J26" s="141">
        <f>(H26/E26)*($D$15/$D$16)</f>
        <v>-1.1466514818379381E-3</v>
      </c>
      <c r="K26" s="150">
        <f>'2. Allocating Def-Var Balances'!Q15+'2. Allocating Def-Var Balances'!S15+'2. Allocating Def-Var Balances'!U15</f>
        <v>-444.56773357818361</v>
      </c>
      <c r="L26" s="145">
        <f>'1. Billing Det. for Def-Var'!N22</f>
        <v>523144.30000000075</v>
      </c>
      <c r="M26" s="145"/>
      <c r="N26" s="150">
        <f t="shared" si="1"/>
        <v>523144.30000000075</v>
      </c>
      <c r="O26" s="141">
        <f t="shared" si="0"/>
        <v>-8.4979944076267867E-4</v>
      </c>
    </row>
    <row r="27" spans="1:17" x14ac:dyDescent="0.25">
      <c r="A27" s="138" t="s">
        <v>104</v>
      </c>
      <c r="B27" s="139" t="s">
        <v>101</v>
      </c>
      <c r="C27" s="140">
        <f>'1. Billing Det. for Def-Var'!C23</f>
        <v>31923315.475764602</v>
      </c>
      <c r="D27" s="140">
        <f>'1. Billing Det. for Def-Var'!D23</f>
        <v>90306.301017051665</v>
      </c>
      <c r="E27" s="140">
        <f>'1. Billing Det. for Def-Var'!I23</f>
        <v>31923315.475764602</v>
      </c>
      <c r="F27" s="140">
        <f>'1. Billing Det. for Def-Var'!J23</f>
        <v>90306.301017051665</v>
      </c>
      <c r="G27" s="150">
        <f>'2. Allocating Def-Var Balances'!J16+'2. Allocating Def-Var Balances'!K16+'2. Allocating Def-Var Balances'!M16+'2. Allocating Def-Var Balances'!N16+'2. Allocating Def-Var Balances'!P16+'2. Allocating Def-Var Balances'!R16+'2. Allocating Def-Var Balances'!T16</f>
        <v>48562.556411616381</v>
      </c>
      <c r="H27" s="150">
        <f>('2. Allocating Def-Var Balances'!L16+'2. Allocating Def-Var Balances'!O16)</f>
        <v>-36604.916995465464</v>
      </c>
      <c r="I27" s="141">
        <f>(ROUND((G27/D27),4))*($D$15/$D$16)</f>
        <v>0.53779999999999994</v>
      </c>
      <c r="J27" s="141">
        <f>(H27/F27)*($D$15/$D$16)</f>
        <v>-0.40534178217036831</v>
      </c>
      <c r="K27" s="150">
        <f>'2. Allocating Def-Var Balances'!Q16+'2. Allocating Def-Var Balances'!S16+'2. Allocating Def-Var Balances'!U16</f>
        <v>4300.397440546345</v>
      </c>
      <c r="L27" s="145">
        <f>'1. Billing Det. for Def-Var'!O23</f>
        <v>90306.301017051665</v>
      </c>
      <c r="M27" s="145"/>
      <c r="N27" s="150">
        <f t="shared" si="1"/>
        <v>90306.301017051665</v>
      </c>
      <c r="O27" s="141">
        <f t="shared" si="0"/>
        <v>4.7620126083276766E-2</v>
      </c>
    </row>
    <row r="28" spans="1:17" x14ac:dyDescent="0.25">
      <c r="A28" s="138" t="s">
        <v>105</v>
      </c>
      <c r="B28" s="139" t="s">
        <v>101</v>
      </c>
      <c r="C28" s="139"/>
      <c r="D28" s="139"/>
      <c r="E28" s="140"/>
      <c r="F28" s="140"/>
      <c r="G28" s="138"/>
      <c r="H28" s="138"/>
      <c r="I28" s="142"/>
      <c r="J28" s="142"/>
      <c r="K28" s="138"/>
      <c r="L28" s="138"/>
      <c r="M28" s="138"/>
      <c r="N28" s="138"/>
      <c r="O28" s="142"/>
    </row>
    <row r="29" spans="1:17" x14ac:dyDescent="0.25">
      <c r="A29" s="143" t="s">
        <v>106</v>
      </c>
      <c r="B29" s="144"/>
      <c r="C29" s="144"/>
      <c r="D29" s="144"/>
      <c r="E29" s="145"/>
      <c r="F29" s="145"/>
      <c r="G29" s="143"/>
      <c r="H29" s="143"/>
      <c r="I29" s="146"/>
      <c r="J29" s="146"/>
      <c r="K29" s="143"/>
      <c r="L29" s="143"/>
      <c r="M29" s="143"/>
      <c r="N29" s="143"/>
      <c r="O29" s="146"/>
    </row>
    <row r="30" spans="1:17" x14ac:dyDescent="0.25">
      <c r="A30" s="147" t="s">
        <v>24</v>
      </c>
      <c r="C30" s="148">
        <f t="shared" ref="C30:H30" si="2">SUM(C21:C29)</f>
        <v>7352996155.2626343</v>
      </c>
      <c r="D30" s="148">
        <f t="shared" si="2"/>
        <v>12576743.619434355</v>
      </c>
      <c r="E30" s="148">
        <f t="shared" si="2"/>
        <v>7335218360.2626343</v>
      </c>
      <c r="F30" s="148">
        <f t="shared" si="2"/>
        <v>12532857.619434355</v>
      </c>
      <c r="G30" s="148">
        <f t="shared" si="2"/>
        <v>10278459.509257549</v>
      </c>
      <c r="H30" s="148">
        <f t="shared" si="2"/>
        <v>-8410939.0024000015</v>
      </c>
      <c r="I30" s="149"/>
      <c r="J30" s="149"/>
      <c r="K30" s="148">
        <f>SUM(K21:K29)</f>
        <v>-2657356.1502107386</v>
      </c>
      <c r="L30" s="148">
        <f>SUM(L21:L29)</f>
        <v>210033196.09336582</v>
      </c>
      <c r="M30" s="148">
        <f t="shared" ref="M30:N30" si="3">SUM(M21:M29)</f>
        <v>1623828</v>
      </c>
      <c r="N30" s="148">
        <f t="shared" si="3"/>
        <v>208409368.09336582</v>
      </c>
      <c r="O30" s="149"/>
    </row>
  </sheetData>
  <mergeCells count="16">
    <mergeCell ref="K18:K19"/>
    <mergeCell ref="L18:L19"/>
    <mergeCell ref="O18:O19"/>
    <mergeCell ref="J18:J20"/>
    <mergeCell ref="A12:I13"/>
    <mergeCell ref="G18:G19"/>
    <mergeCell ref="I18:I19"/>
    <mergeCell ref="H18:H19"/>
    <mergeCell ref="E19:E20"/>
    <mergeCell ref="F19:F20"/>
    <mergeCell ref="C19:C20"/>
    <mergeCell ref="D19:D20"/>
    <mergeCell ref="M18:M19"/>
    <mergeCell ref="N18:N19"/>
    <mergeCell ref="A15:B15"/>
    <mergeCell ref="A16:B16"/>
  </mergeCells>
  <dataValidations disablePrompts="1" count="1">
    <dataValidation type="list" allowBlank="1" showInputMessage="1" showErrorMessage="1" sqref="E16">
      <formula1>"1,2,3,4"</formula1>
    </dataValidation>
  </dataValidations>
  <pageMargins left="0" right="0" top="0.74803149606299213" bottom="0.74803149606299213" header="0.31496062992125984" footer="0.31496062992125984"/>
  <pageSetup paperSize="5" scale="65"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J41"/>
  <sheetViews>
    <sheetView topLeftCell="A13" workbookViewId="0">
      <selection activeCell="E39" sqref="E39"/>
    </sheetView>
  </sheetViews>
  <sheetFormatPr defaultRowHeight="15" x14ac:dyDescent="0.25"/>
  <cols>
    <col min="1" max="1" width="40.7109375" customWidth="1"/>
    <col min="2" max="2" width="22.28515625" customWidth="1"/>
    <col min="3" max="7" width="16.42578125" customWidth="1"/>
  </cols>
  <sheetData>
    <row r="1" spans="1:10" ht="20.25" x14ac:dyDescent="0.25">
      <c r="A1" s="96" t="s">
        <v>387</v>
      </c>
    </row>
    <row r="2" spans="1:10" ht="20.25" x14ac:dyDescent="0.25">
      <c r="A2" s="96" t="s">
        <v>388</v>
      </c>
    </row>
    <row r="3" spans="1:10" ht="20.25" x14ac:dyDescent="0.3">
      <c r="A3" s="100" t="s">
        <v>389</v>
      </c>
    </row>
    <row r="4" spans="1:10" ht="20.25" x14ac:dyDescent="0.3">
      <c r="A4" s="100" t="s">
        <v>390</v>
      </c>
    </row>
    <row r="5" spans="1:10" ht="20.25" x14ac:dyDescent="0.3">
      <c r="A5" s="100" t="s">
        <v>391</v>
      </c>
    </row>
    <row r="6" spans="1:10" x14ac:dyDescent="0.25">
      <c r="A6" s="1"/>
    </row>
    <row r="7" spans="1:10" x14ac:dyDescent="0.25">
      <c r="A7" s="719" t="s">
        <v>392</v>
      </c>
      <c r="B7" s="720"/>
      <c r="C7" s="720"/>
      <c r="D7" s="720"/>
      <c r="E7" s="720"/>
      <c r="F7" s="720"/>
      <c r="G7" s="721"/>
    </row>
    <row r="8" spans="1:10" ht="30" x14ac:dyDescent="0.25">
      <c r="A8" s="467" t="s">
        <v>393</v>
      </c>
      <c r="B8" s="467" t="s">
        <v>394</v>
      </c>
      <c r="C8" s="467" t="s">
        <v>395</v>
      </c>
      <c r="D8" s="467" t="s">
        <v>396</v>
      </c>
      <c r="E8" s="467" t="s">
        <v>397</v>
      </c>
      <c r="F8" s="468" t="s">
        <v>22</v>
      </c>
      <c r="G8" s="467" t="s">
        <v>398</v>
      </c>
    </row>
    <row r="9" spans="1:10" x14ac:dyDescent="0.25">
      <c r="A9" s="469" t="s">
        <v>399</v>
      </c>
      <c r="B9" s="469" t="s">
        <v>400</v>
      </c>
      <c r="C9" s="470">
        <f>'[10]GA Calc 2013'!C10</f>
        <v>-113105826.73999999</v>
      </c>
      <c r="D9" s="470">
        <f>'[10]GA Calc 2013'!D10</f>
        <v>113739517.21305354</v>
      </c>
      <c r="E9" s="470">
        <f>SUM(C9:D9)</f>
        <v>633690.47305354476</v>
      </c>
      <c r="F9" s="470">
        <f>'[10]GA Calc 2013'!F10</f>
        <v>23259.090100681195</v>
      </c>
      <c r="G9" s="470">
        <f>SUM(E9:F9)</f>
        <v>656949.56315422594</v>
      </c>
    </row>
    <row r="10" spans="1:10" x14ac:dyDescent="0.25">
      <c r="A10" s="469" t="s">
        <v>401</v>
      </c>
      <c r="B10" s="469" t="s">
        <v>402</v>
      </c>
      <c r="C10" s="470">
        <f>'[10]GA Calc 2013'!C11</f>
        <v>-133568329.02</v>
      </c>
      <c r="D10" s="470">
        <f>'[10]GA Calc 2013'!D11</f>
        <v>136096056.68286884</v>
      </c>
      <c r="E10" s="470">
        <f>SUM(C10:D10)</f>
        <v>2527727.6628688425</v>
      </c>
      <c r="F10" s="470">
        <f>'[10]GA Calc 2013'!F11</f>
        <v>92778.173631719692</v>
      </c>
      <c r="G10" s="470">
        <f>SUM(E10:F10)</f>
        <v>2620505.8365005623</v>
      </c>
    </row>
    <row r="11" spans="1:10" x14ac:dyDescent="0.25">
      <c r="A11" s="471" t="s">
        <v>403</v>
      </c>
      <c r="B11" s="469" t="s">
        <v>404</v>
      </c>
      <c r="C11" s="470">
        <f>'[10]GA Calc 2014'!C9</f>
        <v>-246552828.86000001</v>
      </c>
      <c r="D11" s="470">
        <f>'[10]GA Calc 2014'!D9</f>
        <v>254552255.52000004</v>
      </c>
      <c r="E11" s="470">
        <f>SUM(C11:D11)</f>
        <v>7999426.6600000262</v>
      </c>
      <c r="F11" s="472">
        <f>'[10]GA Calc 2014'!F9-1</f>
        <v>147391.43188524409</v>
      </c>
      <c r="G11" s="470">
        <f>SUM(E11:F11)</f>
        <v>8146818.0918852706</v>
      </c>
    </row>
    <row r="12" spans="1:10" ht="15.75" thickBot="1" x14ac:dyDescent="0.3">
      <c r="A12" s="473" t="s">
        <v>24</v>
      </c>
      <c r="B12" s="474"/>
      <c r="C12" s="474">
        <f>SUM(C9:C11)</f>
        <v>-493226984.62</v>
      </c>
      <c r="D12" s="474">
        <f>SUM(D9:D11)</f>
        <v>504387829.4159224</v>
      </c>
      <c r="E12" s="474">
        <f>SUM(E9:E11)</f>
        <v>11160844.795922413</v>
      </c>
      <c r="F12" s="474">
        <f>SUM(F9:F11)</f>
        <v>263428.69561764499</v>
      </c>
      <c r="G12" s="475">
        <f>SUM(G9:G11)</f>
        <v>11424273.491540059</v>
      </c>
    </row>
    <row r="13" spans="1:10" ht="15.75" thickTop="1" x14ac:dyDescent="0.25">
      <c r="A13" s="1"/>
      <c r="E13" s="617"/>
      <c r="F13" s="656"/>
    </row>
    <row r="14" spans="1:10" x14ac:dyDescent="0.25">
      <c r="A14" s="719" t="s">
        <v>405</v>
      </c>
      <c r="B14" s="720"/>
      <c r="C14" s="720"/>
      <c r="D14" s="720"/>
      <c r="E14" s="720"/>
      <c r="F14" s="720"/>
      <c r="G14" s="721"/>
    </row>
    <row r="15" spans="1:10" ht="45" x14ac:dyDescent="0.25">
      <c r="A15" s="467" t="s">
        <v>4</v>
      </c>
      <c r="B15" s="476" t="s">
        <v>419</v>
      </c>
      <c r="C15" s="477" t="s">
        <v>406</v>
      </c>
      <c r="D15" s="467" t="s">
        <v>407</v>
      </c>
      <c r="E15" s="478" t="s">
        <v>408</v>
      </c>
      <c r="F15" s="467" t="s">
        <v>112</v>
      </c>
      <c r="G15" s="467" t="s">
        <v>409</v>
      </c>
    </row>
    <row r="16" spans="1:10" x14ac:dyDescent="0.25">
      <c r="A16" s="469" t="s">
        <v>410</v>
      </c>
      <c r="B16" s="479">
        <f>'[10]GA Calc 2013'!B17</f>
        <v>206668430.17667073</v>
      </c>
      <c r="C16" s="480">
        <f>+ROUND(B16/$B$20,4)</f>
        <v>0.115</v>
      </c>
      <c r="D16" s="481">
        <f>+ROUND(G9*C16,0)-7.48</f>
        <v>75541.52</v>
      </c>
      <c r="E16" s="482">
        <f>'[10]GA Calc 2013'!E17</f>
        <v>491081.30119971244</v>
      </c>
      <c r="F16" s="483">
        <f>(ROUND(D16/E16,4))*('3. Calculation of Def-Var RR'!$D$15/'3. Calculation of Def-Var RR'!$D$16)</f>
        <v>0.15379999999999999</v>
      </c>
      <c r="G16" s="484" t="s">
        <v>101</v>
      </c>
      <c r="J16" s="657"/>
    </row>
    <row r="17" spans="1:10" x14ac:dyDescent="0.25">
      <c r="A17" s="469" t="s">
        <v>411</v>
      </c>
      <c r="B17" s="479">
        <f>'[10]GA Calc 2013'!B18</f>
        <v>1476480255.478559</v>
      </c>
      <c r="C17" s="480">
        <f>+ROUND(B17/$B$20,4)</f>
        <v>0.82169999999999999</v>
      </c>
      <c r="D17" s="481">
        <f>+ROUND(G9*C17,0)-53.68</f>
        <v>539761.31999999995</v>
      </c>
      <c r="E17" s="482">
        <f>'[10]GA Calc 2013'!E18</f>
        <v>3232315.9599467958</v>
      </c>
      <c r="F17" s="483">
        <f>(ROUND(D17/E17,4))*('3. Calculation of Def-Var RR'!$D$15/'3. Calculation of Def-Var RR'!$D$16)</f>
        <v>0.16700000000000001</v>
      </c>
      <c r="G17" s="484" t="s">
        <v>101</v>
      </c>
      <c r="J17" s="657"/>
    </row>
    <row r="18" spans="1:10" x14ac:dyDescent="0.25">
      <c r="A18" s="469" t="s">
        <v>412</v>
      </c>
      <c r="B18" s="479">
        <f>'[10]GA Calc 2013'!B19</f>
        <v>81732248.567619562</v>
      </c>
      <c r="C18" s="480">
        <f>+ROUND(B18/$B$20,4)</f>
        <v>4.5499999999999999E-2</v>
      </c>
      <c r="D18" s="481">
        <f>+ROUND(G9*C18,0)-2.85</f>
        <v>29888.15</v>
      </c>
      <c r="E18" s="482">
        <f>'[10]GA Calc 2013'!E19</f>
        <v>161243.07400000002</v>
      </c>
      <c r="F18" s="483">
        <f>(ROUND(D18/E18,4))*('3. Calculation of Def-Var RR'!$D$15/'3. Calculation of Def-Var RR'!$D$16)</f>
        <v>0.18540000000000001</v>
      </c>
      <c r="G18" s="484" t="s">
        <v>101</v>
      </c>
      <c r="J18" s="657"/>
    </row>
    <row r="19" spans="1:10" x14ac:dyDescent="0.25">
      <c r="A19" s="469" t="s">
        <v>413</v>
      </c>
      <c r="B19" s="479">
        <f>'[10]GA Calc 2013'!B20</f>
        <v>31923315.475764602</v>
      </c>
      <c r="C19" s="485">
        <f>+ROUND(B19/$B$20,4)</f>
        <v>1.78E-2</v>
      </c>
      <c r="D19" s="486">
        <f>+ROUND(G9*C19,0)-1.11</f>
        <v>11692.89</v>
      </c>
      <c r="E19" s="482">
        <f>'[10]GA Calc 2013'!E20+1</f>
        <v>90307.301017051665</v>
      </c>
      <c r="F19" s="483">
        <f>(ROUND(D19/E19,4))*('3. Calculation of Def-Var RR'!$D$15/'3. Calculation of Def-Var RR'!$D$16)</f>
        <v>0.1295</v>
      </c>
      <c r="G19" s="484" t="s">
        <v>101</v>
      </c>
      <c r="J19" s="657"/>
    </row>
    <row r="20" spans="1:10" ht="15.75" thickBot="1" x14ac:dyDescent="0.3">
      <c r="A20" s="473" t="s">
        <v>24</v>
      </c>
      <c r="B20" s="473">
        <f>SUM(B16:B19)</f>
        <v>1796804249.6986139</v>
      </c>
      <c r="C20" s="487">
        <f>SUM(C16:C19)</f>
        <v>1</v>
      </c>
      <c r="D20" s="473">
        <f>SUM(D16:D19)</f>
        <v>656883.88</v>
      </c>
      <c r="E20" s="473">
        <f>SUM(E16:E19)</f>
        <v>3974947.6361635597</v>
      </c>
      <c r="F20" s="473"/>
      <c r="G20" s="488"/>
    </row>
    <row r="21" spans="1:10" ht="15.75" thickTop="1" x14ac:dyDescent="0.25">
      <c r="A21" s="489"/>
      <c r="B21" s="489"/>
      <c r="C21" s="489"/>
      <c r="D21" s="617"/>
      <c r="E21" s="489"/>
      <c r="F21" s="489"/>
      <c r="G21" s="490"/>
    </row>
    <row r="22" spans="1:10" x14ac:dyDescent="0.25">
      <c r="A22" s="719" t="s">
        <v>414</v>
      </c>
      <c r="B22" s="720"/>
      <c r="C22" s="720"/>
      <c r="D22" s="720"/>
      <c r="E22" s="720"/>
      <c r="F22" s="720"/>
      <c r="G22" s="721"/>
    </row>
    <row r="23" spans="1:10" ht="60" x14ac:dyDescent="0.25">
      <c r="A23" s="467" t="s">
        <v>4</v>
      </c>
      <c r="B23" s="478" t="s">
        <v>419</v>
      </c>
      <c r="C23" s="477" t="s">
        <v>406</v>
      </c>
      <c r="D23" s="467" t="s">
        <v>407</v>
      </c>
      <c r="E23" s="478" t="s">
        <v>415</v>
      </c>
      <c r="F23" s="478" t="s">
        <v>112</v>
      </c>
      <c r="G23" s="467" t="s">
        <v>409</v>
      </c>
    </row>
    <row r="24" spans="1:10" x14ac:dyDescent="0.25">
      <c r="A24" s="469" t="s">
        <v>7</v>
      </c>
      <c r="B24" s="482">
        <f>'[10]GA Calc 2013'!B26</f>
        <v>91130678.730000257</v>
      </c>
      <c r="C24" s="480">
        <f>+ROUND(B24/$B$29,4)</f>
        <v>4.2299999999999997E-2</v>
      </c>
      <c r="D24" s="470">
        <f>+ROUND($G$10*C24,0)+11.11</f>
        <v>110858.11</v>
      </c>
      <c r="E24" s="491">
        <f>'[10]GA Calc 2013'!E26</f>
        <v>91130678.730000257</v>
      </c>
      <c r="F24" s="483">
        <f>(ROUND(D24/E24,4))*('3. Calculation of Def-Var RR'!$D$15/'3. Calculation of Def-Var RR'!$D$16)</f>
        <v>1.1999999999999999E-3</v>
      </c>
      <c r="G24" s="492" t="s">
        <v>97</v>
      </c>
      <c r="J24" s="669"/>
    </row>
    <row r="25" spans="1:10" x14ac:dyDescent="0.25">
      <c r="A25" s="469" t="s">
        <v>416</v>
      </c>
      <c r="B25" s="482">
        <f>'[10]GA Calc 2013'!B27</f>
        <v>107176499.05999982</v>
      </c>
      <c r="C25" s="480">
        <f>+ROUND(B25/$B$29,4)</f>
        <v>4.9700000000000001E-2</v>
      </c>
      <c r="D25" s="470">
        <f>+ROUND($G$10*C25,)+12.97</f>
        <v>130251.97</v>
      </c>
      <c r="E25" s="491">
        <f>'[10]GA Calc 2013'!E27</f>
        <v>107176499.05999982</v>
      </c>
      <c r="F25" s="483">
        <f>(ROUND(D25/E25,4))*('3. Calculation of Def-Var RR'!$D$15/'3. Calculation of Def-Var RR'!$D$16)</f>
        <v>1.1999999999999999E-3</v>
      </c>
      <c r="G25" s="492" t="s">
        <v>97</v>
      </c>
      <c r="J25" s="669"/>
    </row>
    <row r="26" spans="1:10" x14ac:dyDescent="0.25">
      <c r="A26" s="469" t="s">
        <v>417</v>
      </c>
      <c r="B26" s="482">
        <f>'[10]GA Calc 2013'!B28</f>
        <v>523144.30000000075</v>
      </c>
      <c r="C26" s="480">
        <f>+ROUND(B26/$B$29,4)</f>
        <v>2.0000000000000001E-4</v>
      </c>
      <c r="D26" s="470">
        <f>+ROUND($G$10*C26,0)+0.05</f>
        <v>524.04999999999995</v>
      </c>
      <c r="E26" s="491">
        <f>'[10]GA Calc 2013'!E28</f>
        <v>523144.30000000075</v>
      </c>
      <c r="F26" s="483">
        <f>(ROUND(D26/E26,4))*('3. Calculation of Def-Var RR'!$D$15/'3. Calculation of Def-Var RR'!$D$16)</f>
        <v>1E-3</v>
      </c>
      <c r="G26" s="492" t="s">
        <v>97</v>
      </c>
      <c r="J26" s="669"/>
    </row>
    <row r="27" spans="1:10" x14ac:dyDescent="0.25">
      <c r="A27" s="469" t="s">
        <v>410</v>
      </c>
      <c r="B27" s="482">
        <f>'[10]GA Calc 2013'!B29</f>
        <v>1545973918.0890017</v>
      </c>
      <c r="C27" s="480">
        <f>+ROUND(B27/$B$29,4)</f>
        <v>0.71740000000000004</v>
      </c>
      <c r="D27" s="470">
        <f>+ROUND($G$10*C27,0)+187.96</f>
        <v>1880138.96</v>
      </c>
      <c r="E27" s="491">
        <f>'[10]GA Calc 2013'!E29</f>
        <v>4546329.6087359227</v>
      </c>
      <c r="F27" s="483">
        <f>(ROUND(D27/E27,4))*('3. Calculation of Def-Var RR'!$D$15/'3. Calculation of Def-Var RR'!$D$16)</f>
        <v>0.41360000000000002</v>
      </c>
      <c r="G27" s="492" t="s">
        <v>101</v>
      </c>
      <c r="J27" s="669"/>
    </row>
    <row r="28" spans="1:10" x14ac:dyDescent="0.25">
      <c r="A28" s="469" t="s">
        <v>411</v>
      </c>
      <c r="B28" s="482">
        <f>'[10]GA Calc 2013'!B30</f>
        <v>410099646.34624451</v>
      </c>
      <c r="C28" s="485">
        <f>+ROUND(B28/$B$29,4)</f>
        <v>0.1903</v>
      </c>
      <c r="D28" s="493">
        <f>+ROUND($G$10*C28,0)+49.88</f>
        <v>498731.88</v>
      </c>
      <c r="E28" s="491">
        <f>'[10]GA Calc 2013'!E30</f>
        <v>1057770.018942419</v>
      </c>
      <c r="F28" s="483">
        <f>(ROUND(D28/E28,4))*('3. Calculation of Def-Var RR'!$D$15/'3. Calculation of Def-Var RR'!$D$16)</f>
        <v>0.47149999999999997</v>
      </c>
      <c r="G28" s="492" t="s">
        <v>101</v>
      </c>
      <c r="J28" s="669"/>
    </row>
    <row r="29" spans="1:10" ht="15.75" thickBot="1" x14ac:dyDescent="0.3">
      <c r="A29" s="473" t="s">
        <v>24</v>
      </c>
      <c r="B29" s="473">
        <f>SUM(B24:B28)</f>
        <v>2154903886.5252461</v>
      </c>
      <c r="C29" s="494">
        <f>SUM(C24:C28)</f>
        <v>0.99990000000000012</v>
      </c>
      <c r="D29" s="473">
        <f>SUM(D24:D28)</f>
        <v>2620504.9699999997</v>
      </c>
      <c r="E29" s="473">
        <f>SUM(E24:E28)</f>
        <v>204434421.71767843</v>
      </c>
      <c r="F29" s="473"/>
      <c r="G29" s="488"/>
    </row>
    <row r="30" spans="1:10" ht="15.75" thickTop="1" x14ac:dyDescent="0.25">
      <c r="D30" s="617"/>
    </row>
    <row r="31" spans="1:10" x14ac:dyDescent="0.25">
      <c r="A31" s="719" t="s">
        <v>418</v>
      </c>
      <c r="B31" s="720"/>
      <c r="C31" s="720"/>
      <c r="D31" s="720"/>
      <c r="E31" s="720"/>
      <c r="F31" s="720"/>
      <c r="G31" s="721"/>
    </row>
    <row r="32" spans="1:10" ht="60" x14ac:dyDescent="0.25">
      <c r="A32" s="467" t="s">
        <v>4</v>
      </c>
      <c r="B32" s="476" t="s">
        <v>419</v>
      </c>
      <c r="C32" s="477" t="s">
        <v>406</v>
      </c>
      <c r="D32" s="467" t="s">
        <v>407</v>
      </c>
      <c r="E32" s="478" t="s">
        <v>415</v>
      </c>
      <c r="F32" s="467" t="s">
        <v>112</v>
      </c>
      <c r="G32" s="467" t="s">
        <v>409</v>
      </c>
    </row>
    <row r="33" spans="1:7" x14ac:dyDescent="0.25">
      <c r="A33" s="495" t="s">
        <v>7</v>
      </c>
      <c r="B33" s="479">
        <f>'[10]GA Calc 2014'!B28</f>
        <v>91130678.730000257</v>
      </c>
      <c r="C33" s="480">
        <f>+ROUND(B33/$B$40,4)</f>
        <v>2.3099999999999999E-2</v>
      </c>
      <c r="D33" s="481">
        <f t="shared" ref="D33:D39" si="0">+ROUND($G$11*C33,0)</f>
        <v>188191</v>
      </c>
      <c r="E33" s="491">
        <f>'[10]GA Calc 2014'!E28</f>
        <v>91130678.730000257</v>
      </c>
      <c r="F33" s="483">
        <f>(ROUND(D33/E33,4))*('3. Calculation of Def-Var RR'!$D$15/'3. Calculation of Def-Var RR'!$D$16)</f>
        <v>2.0999999999999999E-3</v>
      </c>
      <c r="G33" s="496" t="s">
        <v>97</v>
      </c>
    </row>
    <row r="34" spans="1:7" x14ac:dyDescent="0.25">
      <c r="A34" s="495" t="s">
        <v>416</v>
      </c>
      <c r="B34" s="479">
        <f>'[10]GA Calc 2014'!B29</f>
        <v>107176499.05999982</v>
      </c>
      <c r="C34" s="480">
        <f t="shared" ref="C34:C39" si="1">+ROUND(B34/$B$40,4)</f>
        <v>2.7099999999999999E-2</v>
      </c>
      <c r="D34" s="481">
        <f t="shared" si="0"/>
        <v>220779</v>
      </c>
      <c r="E34" s="491">
        <f>'[10]GA Calc 2014'!E29</f>
        <v>107176499.05999982</v>
      </c>
      <c r="F34" s="483">
        <f>(ROUND(D34/E34,4))*('3. Calculation of Def-Var RR'!$D$15/'3. Calculation of Def-Var RR'!$D$16)</f>
        <v>2.0999999999999999E-3</v>
      </c>
      <c r="G34" s="496" t="s">
        <v>97</v>
      </c>
    </row>
    <row r="35" spans="1:7" x14ac:dyDescent="0.25">
      <c r="A35" s="495" t="s">
        <v>417</v>
      </c>
      <c r="B35" s="479">
        <f>'[10]GA Calc 2014'!B30</f>
        <v>523144.30000000075</v>
      </c>
      <c r="C35" s="480">
        <f t="shared" si="1"/>
        <v>1E-4</v>
      </c>
      <c r="D35" s="481">
        <f t="shared" si="0"/>
        <v>815</v>
      </c>
      <c r="E35" s="491">
        <f>'[10]GA Calc 2014'!E30</f>
        <v>523144.30000000075</v>
      </c>
      <c r="F35" s="483">
        <f>(ROUND(D35/E35,4))*('3. Calculation of Def-Var RR'!$D$15/'3. Calculation of Def-Var RR'!$D$16)</f>
        <v>1.6000000000000001E-3</v>
      </c>
      <c r="G35" s="496" t="s">
        <v>97</v>
      </c>
    </row>
    <row r="36" spans="1:7" x14ac:dyDescent="0.25">
      <c r="A36" s="495" t="s">
        <v>410</v>
      </c>
      <c r="B36" s="479">
        <f>'[10]GA Calc 2014'!B31</f>
        <v>1752642348.2656724</v>
      </c>
      <c r="C36" s="480">
        <f t="shared" si="1"/>
        <v>0.44350000000000001</v>
      </c>
      <c r="D36" s="481">
        <f t="shared" si="0"/>
        <v>3613114</v>
      </c>
      <c r="E36" s="491">
        <f>'[10]GA Calc 2014'!E31</f>
        <v>5037410.9099356355</v>
      </c>
      <c r="F36" s="483">
        <f>(ROUND(D36/E36,4))*('3. Calculation of Def-Var RR'!$D$15/'3. Calculation of Def-Var RR'!$D$16)</f>
        <v>0.71730000000000005</v>
      </c>
      <c r="G36" s="496" t="s">
        <v>101</v>
      </c>
    </row>
    <row r="37" spans="1:7" x14ac:dyDescent="0.25">
      <c r="A37" s="495" t="s">
        <v>411</v>
      </c>
      <c r="B37" s="479">
        <f>'[10]GA Calc 2014'!B32</f>
        <v>1886579901.8248036</v>
      </c>
      <c r="C37" s="480">
        <f t="shared" si="1"/>
        <v>0.47739999999999999</v>
      </c>
      <c r="D37" s="481">
        <f t="shared" si="0"/>
        <v>3889291</v>
      </c>
      <c r="E37" s="491">
        <f>'[10]GA Calc 2014'!E32</f>
        <v>4290085.9788892148</v>
      </c>
      <c r="F37" s="483">
        <f>(ROUND(D37/E37,4))*('3. Calculation of Def-Var RR'!$D$15/'3. Calculation of Def-Var RR'!$D$16)</f>
        <v>0.90659999999999996</v>
      </c>
      <c r="G37" s="496" t="s">
        <v>101</v>
      </c>
    </row>
    <row r="38" spans="1:7" x14ac:dyDescent="0.25">
      <c r="A38" s="495" t="s">
        <v>412</v>
      </c>
      <c r="B38" s="479">
        <f>'[10]GA Calc 2014'!B33</f>
        <v>81732248.567619562</v>
      </c>
      <c r="C38" s="480">
        <f t="shared" si="1"/>
        <v>2.07E-2</v>
      </c>
      <c r="D38" s="481">
        <f t="shared" si="0"/>
        <v>168639</v>
      </c>
      <c r="E38" s="491">
        <f>'[10]GA Calc 2014'!E33</f>
        <v>161243.07400000002</v>
      </c>
      <c r="F38" s="483">
        <f>(ROUND(D38/E38,4))*('3. Calculation of Def-Var RR'!$D$15/'3. Calculation of Def-Var RR'!$D$16)</f>
        <v>1.0459000000000001</v>
      </c>
      <c r="G38" s="496" t="s">
        <v>101</v>
      </c>
    </row>
    <row r="39" spans="1:7" x14ac:dyDescent="0.25">
      <c r="A39" s="495" t="s">
        <v>413</v>
      </c>
      <c r="B39" s="479">
        <f>'[10]GA Calc 2014'!B34</f>
        <v>31923315.475764602</v>
      </c>
      <c r="C39" s="480">
        <f t="shared" si="1"/>
        <v>8.0999999999999996E-3</v>
      </c>
      <c r="D39" s="481">
        <f t="shared" si="0"/>
        <v>65989</v>
      </c>
      <c r="E39" s="491">
        <f>'[10]GA Calc 2014'!E34+1</f>
        <v>90307.301017051665</v>
      </c>
      <c r="F39" s="483">
        <f>(ROUND(D39/E39,4))*('3. Calculation of Def-Var RR'!$D$15/'3. Calculation of Def-Var RR'!$D$16)</f>
        <v>0.73070000000000002</v>
      </c>
      <c r="G39" s="496" t="s">
        <v>101</v>
      </c>
    </row>
    <row r="40" spans="1:7" ht="15.75" thickBot="1" x14ac:dyDescent="0.3">
      <c r="A40" s="473" t="s">
        <v>24</v>
      </c>
      <c r="B40" s="473">
        <f>SUM(B33:B39)</f>
        <v>3951708136.2238603</v>
      </c>
      <c r="C40" s="487">
        <f>SUM(C33:C39)</f>
        <v>1.0000000000000002</v>
      </c>
      <c r="D40" s="473">
        <f>SUM(D33:D39)</f>
        <v>8146818</v>
      </c>
      <c r="E40" s="473">
        <f>SUM(E33:E39)</f>
        <v>208409369.35384199</v>
      </c>
      <c r="F40" s="473"/>
      <c r="G40" s="488"/>
    </row>
    <row r="41" spans="1:7" ht="15.75" thickTop="1" x14ac:dyDescent="0.25"/>
  </sheetData>
  <mergeCells count="4">
    <mergeCell ref="A7:G7"/>
    <mergeCell ref="A14:G14"/>
    <mergeCell ref="A22:G22"/>
    <mergeCell ref="A31:G31"/>
  </mergeCells>
  <pageMargins left="0.70866141732283472" right="0.70866141732283472" top="0.19685039370078741" bottom="0.19685039370078741" header="0.31496062992125984" footer="0.31496062992125984"/>
  <pageSetup paperSize="5" orientation="landscape" r:id="rId1"/>
  <rowBreaks count="1" manualBreakCount="1">
    <brk id="20"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33"/>
  <sheetViews>
    <sheetView topLeftCell="A2" workbookViewId="0">
      <selection activeCell="F22" sqref="F22"/>
    </sheetView>
  </sheetViews>
  <sheetFormatPr defaultRowHeight="15" x14ac:dyDescent="0.25"/>
  <cols>
    <col min="1" max="1" width="54.42578125" customWidth="1"/>
    <col min="2" max="2" width="13.5703125" customWidth="1"/>
    <col min="3" max="3" width="19.28515625" customWidth="1"/>
    <col min="4" max="4" width="19.85546875" customWidth="1"/>
    <col min="5" max="6" width="22" customWidth="1"/>
  </cols>
  <sheetData>
    <row r="1" spans="1:5" ht="20.25" x14ac:dyDescent="0.25">
      <c r="A1" s="96" t="s">
        <v>113</v>
      </c>
    </row>
    <row r="2" spans="1:5" ht="20.25" x14ac:dyDescent="0.25">
      <c r="A2" s="96" t="s">
        <v>156</v>
      </c>
    </row>
    <row r="3" spans="1:5" ht="20.25" x14ac:dyDescent="0.3">
      <c r="A3" s="100" t="s">
        <v>137</v>
      </c>
    </row>
    <row r="4" spans="1:5" s="123" customFormat="1" ht="18" x14ac:dyDescent="0.25">
      <c r="A4" s="456" t="s">
        <v>147</v>
      </c>
    </row>
    <row r="5" spans="1:5" ht="15.75" thickBot="1" x14ac:dyDescent="0.3"/>
    <row r="6" spans="1:5" ht="15.75" thickBot="1" x14ac:dyDescent="0.3">
      <c r="A6" s="722" t="s">
        <v>148</v>
      </c>
      <c r="B6" s="723"/>
      <c r="C6" s="723"/>
      <c r="D6" s="723"/>
      <c r="E6" s="724"/>
    </row>
    <row r="7" spans="1:5" ht="59.25" customHeight="1" thickBot="1" x14ac:dyDescent="0.3">
      <c r="A7" s="168" t="s">
        <v>4</v>
      </c>
      <c r="B7" s="151" t="s">
        <v>95</v>
      </c>
      <c r="C7" s="152" t="s">
        <v>658</v>
      </c>
      <c r="D7" s="152" t="s">
        <v>657</v>
      </c>
      <c r="E7" s="152" t="s">
        <v>660</v>
      </c>
    </row>
    <row r="8" spans="1:5" x14ac:dyDescent="0.25">
      <c r="A8" s="153" t="s">
        <v>96</v>
      </c>
      <c r="B8" s="154" t="s">
        <v>97</v>
      </c>
      <c r="C8" s="155">
        <f>'3. Calculation of Def-Var RR'!I21</f>
        <v>1.4E-3</v>
      </c>
      <c r="D8" s="155">
        <f>'3. Calculation of Def-Var RR'!J21</f>
        <v>-1.1466514818379381E-3</v>
      </c>
      <c r="E8" s="155">
        <f>C8+D8</f>
        <v>2.533485181620619E-4</v>
      </c>
    </row>
    <row r="9" spans="1:5" x14ac:dyDescent="0.25">
      <c r="A9" s="153" t="s">
        <v>98</v>
      </c>
      <c r="B9" s="154" t="s">
        <v>97</v>
      </c>
      <c r="C9" s="155">
        <f>'3. Calculation of Def-Var RR'!I22</f>
        <v>1.4E-3</v>
      </c>
      <c r="D9" s="155">
        <f>'3. Calculation of Def-Var RR'!J22</f>
        <v>-1.1466514818379381E-3</v>
      </c>
      <c r="E9" s="155">
        <f t="shared" ref="E9:E17" si="0">C9+D9</f>
        <v>2.533485181620619E-4</v>
      </c>
    </row>
    <row r="10" spans="1:5" x14ac:dyDescent="0.25">
      <c r="A10" s="153" t="s">
        <v>99</v>
      </c>
      <c r="B10" s="154" t="s">
        <v>97</v>
      </c>
      <c r="C10" s="155">
        <f>'3. Calculation of Def-Var RR'!I26</f>
        <v>1.4E-3</v>
      </c>
      <c r="D10" s="155">
        <f>'3. Calculation of Def-Var RR'!J26</f>
        <v>-1.1466514818379381E-3</v>
      </c>
      <c r="E10" s="155">
        <f t="shared" si="0"/>
        <v>2.533485181620619E-4</v>
      </c>
    </row>
    <row r="11" spans="1:5" x14ac:dyDescent="0.25">
      <c r="A11" s="153" t="s">
        <v>151</v>
      </c>
      <c r="B11" s="154" t="s">
        <v>101</v>
      </c>
      <c r="C11" s="155">
        <f>'3. Calculation of Def-Var RR'!I23</f>
        <v>0.49080000000000001</v>
      </c>
      <c r="D11" s="155">
        <f>'3. Calculation of Def-Var RR'!J23</f>
        <v>-0.4005272204371314</v>
      </c>
      <c r="E11" s="155">
        <f t="shared" si="0"/>
        <v>9.027277956286861E-2</v>
      </c>
    </row>
    <row r="12" spans="1:5" x14ac:dyDescent="0.25">
      <c r="A12" s="153" t="s">
        <v>152</v>
      </c>
      <c r="B12" s="154" t="s">
        <v>101</v>
      </c>
      <c r="C12" s="155">
        <f>C11</f>
        <v>0.49080000000000001</v>
      </c>
      <c r="D12" s="155">
        <f>D11</f>
        <v>-0.4005272204371314</v>
      </c>
      <c r="E12" s="155">
        <f t="shared" si="0"/>
        <v>9.027277956286861E-2</v>
      </c>
    </row>
    <row r="13" spans="1:5" x14ac:dyDescent="0.25">
      <c r="A13" s="153" t="s">
        <v>153</v>
      </c>
      <c r="B13" s="154" t="s">
        <v>101</v>
      </c>
      <c r="C13" s="155">
        <f>'3. Calculation of Def-Var RR'!I24</f>
        <v>0.62219999999999998</v>
      </c>
      <c r="D13" s="155">
        <f>'3. Calculation of Def-Var RR'!J24</f>
        <v>-0.50724625267569023</v>
      </c>
      <c r="E13" s="155">
        <f t="shared" si="0"/>
        <v>0.11495374732430974</v>
      </c>
    </row>
    <row r="14" spans="1:5" x14ac:dyDescent="0.25">
      <c r="A14" s="153" t="s">
        <v>154</v>
      </c>
      <c r="B14" s="154" t="s">
        <v>101</v>
      </c>
      <c r="C14" s="155">
        <f>C13</f>
        <v>0.62219999999999998</v>
      </c>
      <c r="D14" s="155">
        <f>D13</f>
        <v>-0.50724625267569023</v>
      </c>
      <c r="E14" s="155">
        <f t="shared" si="0"/>
        <v>0.11495374732430974</v>
      </c>
    </row>
    <row r="15" spans="1:5" x14ac:dyDescent="0.25">
      <c r="A15" s="153" t="s">
        <v>685</v>
      </c>
      <c r="B15" s="154" t="s">
        <v>101</v>
      </c>
      <c r="C15" s="155">
        <f>'3. Calculation of Def-Var RR'!I25</f>
        <v>0.80430000000000001</v>
      </c>
      <c r="D15" s="155">
        <f>'3. Calculation of Def-Var RR'!J25</f>
        <v>-0.65997288948417732</v>
      </c>
      <c r="E15" s="155">
        <f t="shared" si="0"/>
        <v>0.1443271105158227</v>
      </c>
    </row>
    <row r="16" spans="1:5" x14ac:dyDescent="0.25">
      <c r="A16" s="153" t="s">
        <v>155</v>
      </c>
      <c r="B16" s="154" t="s">
        <v>101</v>
      </c>
      <c r="C16" s="155">
        <f>C15</f>
        <v>0.80430000000000001</v>
      </c>
      <c r="D16" s="155">
        <f>D15</f>
        <v>-0.65997288948417732</v>
      </c>
      <c r="E16" s="155">
        <f t="shared" si="0"/>
        <v>0.1443271105158227</v>
      </c>
    </row>
    <row r="17" spans="1:6" ht="15.75" thickBot="1" x14ac:dyDescent="0.3">
      <c r="A17" s="157" t="s">
        <v>104</v>
      </c>
      <c r="B17" s="165" t="s">
        <v>101</v>
      </c>
      <c r="C17" s="167">
        <f>'3. Calculation of Def-Var RR'!I27</f>
        <v>0.53779999999999994</v>
      </c>
      <c r="D17" s="167">
        <f>'3. Calculation of Def-Var RR'!J27</f>
        <v>-0.40534178217036831</v>
      </c>
      <c r="E17" s="167">
        <f t="shared" si="0"/>
        <v>0.13245821782963163</v>
      </c>
    </row>
    <row r="18" spans="1:6" ht="15.75" thickBot="1" x14ac:dyDescent="0.3"/>
    <row r="19" spans="1:6" ht="15.75" thickBot="1" x14ac:dyDescent="0.3">
      <c r="A19" s="722" t="s">
        <v>149</v>
      </c>
      <c r="B19" s="723"/>
      <c r="C19" s="723"/>
      <c r="D19" s="723"/>
      <c r="E19" s="723"/>
      <c r="F19" s="724"/>
    </row>
    <row r="20" spans="1:6" s="1" customFormat="1" ht="15.75" thickBot="1" x14ac:dyDescent="0.3">
      <c r="A20" s="158"/>
      <c r="B20" s="159"/>
      <c r="C20" s="160" t="s">
        <v>158</v>
      </c>
      <c r="D20" s="161" t="s">
        <v>374</v>
      </c>
      <c r="E20" s="161" t="s">
        <v>375</v>
      </c>
      <c r="F20" s="161" t="s">
        <v>376</v>
      </c>
    </row>
    <row r="21" spans="1:6" ht="30.75" thickBot="1" x14ac:dyDescent="0.3">
      <c r="A21" s="168" t="s">
        <v>4</v>
      </c>
      <c r="B21" s="151" t="s">
        <v>95</v>
      </c>
      <c r="C21" s="162" t="s">
        <v>150</v>
      </c>
      <c r="D21" s="162" t="s">
        <v>150</v>
      </c>
      <c r="E21" s="162" t="s">
        <v>150</v>
      </c>
      <c r="F21" s="162" t="s">
        <v>150</v>
      </c>
    </row>
    <row r="22" spans="1:6" x14ac:dyDescent="0.25">
      <c r="A22" s="153" t="s">
        <v>96</v>
      </c>
      <c r="B22" s="154" t="s">
        <v>97</v>
      </c>
      <c r="C22" s="611">
        <f>'3. Calculation of Def-Var RR'!O21</f>
        <v>-2.0075663478784185E-3</v>
      </c>
      <c r="D22" s="163">
        <f>'4. Calculation of GA RR'!F24</f>
        <v>1.1999999999999999E-3</v>
      </c>
      <c r="E22" s="163">
        <f>'4. Calculation of GA RR'!F33</f>
        <v>2.0999999999999999E-3</v>
      </c>
      <c r="F22" s="163">
        <f>SUM(C22:E22)</f>
        <v>1.2924336521215813E-3</v>
      </c>
    </row>
    <row r="23" spans="1:6" x14ac:dyDescent="0.25">
      <c r="A23" s="153" t="s">
        <v>98</v>
      </c>
      <c r="B23" s="154" t="s">
        <v>97</v>
      </c>
      <c r="C23" s="611">
        <f>'3. Calculation of Def-Var RR'!O22</f>
        <v>-1.1986315946467283E-3</v>
      </c>
      <c r="D23" s="163">
        <f>'4. Calculation of GA RR'!F25</f>
        <v>1.1999999999999999E-3</v>
      </c>
      <c r="E23" s="163">
        <f>'4. Calculation of GA RR'!F34</f>
        <v>2.0999999999999999E-3</v>
      </c>
      <c r="F23" s="163">
        <f t="shared" ref="F23:F31" si="1">SUM(C23:E23)</f>
        <v>2.1013684053532715E-3</v>
      </c>
    </row>
    <row r="24" spans="1:6" x14ac:dyDescent="0.25">
      <c r="A24" s="153" t="s">
        <v>99</v>
      </c>
      <c r="B24" s="154" t="s">
        <v>97</v>
      </c>
      <c r="C24" s="611">
        <f>'3. Calculation of Def-Var RR'!O26</f>
        <v>-8.4979944076267867E-4</v>
      </c>
      <c r="D24" s="163">
        <f>'4. Calculation of GA RR'!F26</f>
        <v>1E-3</v>
      </c>
      <c r="E24" s="163">
        <f>'4. Calculation of GA RR'!F35</f>
        <v>1.6000000000000001E-3</v>
      </c>
      <c r="F24" s="163">
        <f t="shared" si="1"/>
        <v>1.7502005592373213E-3</v>
      </c>
    </row>
    <row r="25" spans="1:6" x14ac:dyDescent="0.25">
      <c r="A25" s="153" t="s">
        <v>151</v>
      </c>
      <c r="B25" s="154" t="s">
        <v>101</v>
      </c>
      <c r="C25" s="611">
        <f>'3. Calculation of Def-Var RR'!O23</f>
        <v>-0.34008948176729742</v>
      </c>
      <c r="D25" s="163">
        <f>'4. Calculation of GA RR'!F27</f>
        <v>0.41360000000000002</v>
      </c>
      <c r="E25" s="163">
        <f>'4. Calculation of GA RR'!F36</f>
        <v>0.71730000000000005</v>
      </c>
      <c r="F25" s="163">
        <f t="shared" si="1"/>
        <v>0.79081051823270265</v>
      </c>
    </row>
    <row r="26" spans="1:6" x14ac:dyDescent="0.25">
      <c r="A26" s="153" t="s">
        <v>152</v>
      </c>
      <c r="B26" s="154" t="s">
        <v>101</v>
      </c>
      <c r="C26" s="611">
        <f>'3. Calculation of Def-Var RR'!O23</f>
        <v>-0.34008948176729742</v>
      </c>
      <c r="D26" s="163">
        <f>'4. Calculation of GA RR'!F16</f>
        <v>0.15379999999999999</v>
      </c>
      <c r="E26" s="163">
        <f>E25</f>
        <v>0.71730000000000005</v>
      </c>
      <c r="F26" s="163">
        <f t="shared" si="1"/>
        <v>0.53101051823270262</v>
      </c>
    </row>
    <row r="27" spans="1:6" x14ac:dyDescent="0.25">
      <c r="A27" s="153" t="s">
        <v>153</v>
      </c>
      <c r="B27" s="154" t="s">
        <v>101</v>
      </c>
      <c r="C27" s="611">
        <f>'3. Calculation of Def-Var RR'!O24</f>
        <v>-7.6913451832088128E-2</v>
      </c>
      <c r="D27" s="163">
        <f>'4. Calculation of GA RR'!F28</f>
        <v>0.47149999999999997</v>
      </c>
      <c r="E27" s="163">
        <f>'4. Calculation of GA RR'!F37</f>
        <v>0.90659999999999996</v>
      </c>
      <c r="F27" s="163">
        <f t="shared" si="1"/>
        <v>1.3011865481679119</v>
      </c>
    </row>
    <row r="28" spans="1:6" x14ac:dyDescent="0.25">
      <c r="A28" s="153" t="s">
        <v>154</v>
      </c>
      <c r="B28" s="154" t="s">
        <v>101</v>
      </c>
      <c r="C28" s="611">
        <f>'3. Calculation of Def-Var RR'!O24</f>
        <v>-7.6913451832088128E-2</v>
      </c>
      <c r="D28" s="163">
        <f>'4. Calculation of GA RR'!F17</f>
        <v>0.16700000000000001</v>
      </c>
      <c r="E28" s="163">
        <f>E27</f>
        <v>0.90659999999999996</v>
      </c>
      <c r="F28" s="163">
        <f t="shared" si="1"/>
        <v>0.9966865481679118</v>
      </c>
    </row>
    <row r="29" spans="1:6" x14ac:dyDescent="0.25">
      <c r="A29" s="153" t="s">
        <v>685</v>
      </c>
      <c r="B29" s="154" t="s">
        <v>101</v>
      </c>
      <c r="C29" s="611">
        <f>'3. Calculation of Def-Var RR'!O25</f>
        <v>-0.17612156712340105</v>
      </c>
      <c r="D29" s="163">
        <v>0</v>
      </c>
      <c r="E29" s="163">
        <v>0</v>
      </c>
      <c r="F29" s="163">
        <f t="shared" si="1"/>
        <v>-0.17612156712340105</v>
      </c>
    </row>
    <row r="30" spans="1:6" x14ac:dyDescent="0.25">
      <c r="A30" s="153" t="s">
        <v>155</v>
      </c>
      <c r="B30" s="154" t="s">
        <v>101</v>
      </c>
      <c r="C30" s="611">
        <f>'3. Calculation of Def-Var RR'!O25</f>
        <v>-0.17612156712340105</v>
      </c>
      <c r="D30" s="163">
        <f>'4. Calculation of GA RR'!F18</f>
        <v>0.18540000000000001</v>
      </c>
      <c r="E30" s="156">
        <f>'4. Calculation of GA RR'!F38</f>
        <v>1.0459000000000001</v>
      </c>
      <c r="F30" s="163">
        <f t="shared" si="1"/>
        <v>1.055178432876599</v>
      </c>
    </row>
    <row r="31" spans="1:6" ht="15.75" thickBot="1" x14ac:dyDescent="0.3">
      <c r="A31" s="157" t="s">
        <v>104</v>
      </c>
      <c r="B31" s="165" t="s">
        <v>101</v>
      </c>
      <c r="C31" s="612">
        <f>'3. Calculation of Def-Var RR'!O27</f>
        <v>4.7620126083276766E-2</v>
      </c>
      <c r="D31" s="166">
        <f>'4. Calculation of GA RR'!F19</f>
        <v>0.1295</v>
      </c>
      <c r="E31" s="166">
        <f>'4. Calculation of GA RR'!F39</f>
        <v>0.73070000000000002</v>
      </c>
      <c r="F31" s="166">
        <f t="shared" si="1"/>
        <v>0.90782012608327678</v>
      </c>
    </row>
    <row r="32" spans="1:6" x14ac:dyDescent="0.25">
      <c r="C32" s="123"/>
      <c r="D32" s="164"/>
    </row>
    <row r="33" spans="3:6" x14ac:dyDescent="0.25">
      <c r="C33" s="123"/>
      <c r="D33" s="613"/>
      <c r="E33" s="123"/>
      <c r="F33" s="123"/>
    </row>
  </sheetData>
  <mergeCells count="2">
    <mergeCell ref="A19:F19"/>
    <mergeCell ref="A6:E6"/>
  </mergeCells>
  <pageMargins left="0.7" right="0.7" top="0.75" bottom="0.75" header="0.3" footer="0.3"/>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V53"/>
  <sheetViews>
    <sheetView topLeftCell="A19" workbookViewId="0">
      <selection activeCell="N46" sqref="N46"/>
    </sheetView>
  </sheetViews>
  <sheetFormatPr defaultRowHeight="15" x14ac:dyDescent="0.25"/>
  <cols>
    <col min="9" max="9" width="2.5703125" customWidth="1"/>
    <col min="10" max="10" width="1.85546875" customWidth="1"/>
    <col min="11" max="11" width="1.7109375" customWidth="1"/>
    <col min="12" max="12" width="17" customWidth="1"/>
    <col min="13" max="13" width="4.42578125" customWidth="1"/>
    <col min="14" max="14" width="16.42578125" customWidth="1"/>
    <col min="20" max="20" width="15" hidden="1" customWidth="1"/>
    <col min="21" max="21" width="10.28515625" hidden="1" customWidth="1"/>
    <col min="22" max="22" width="0" hidden="1" customWidth="1"/>
  </cols>
  <sheetData>
    <row r="1" spans="1:22" x14ac:dyDescent="0.25">
      <c r="T1" t="s">
        <v>181</v>
      </c>
      <c r="U1" t="s">
        <v>182</v>
      </c>
    </row>
    <row r="2" spans="1:22" x14ac:dyDescent="0.25">
      <c r="T2" s="172">
        <v>500000</v>
      </c>
      <c r="U2" s="173">
        <v>0.11</v>
      </c>
    </row>
    <row r="3" spans="1:22" x14ac:dyDescent="0.25">
      <c r="T3" s="172">
        <v>10000000</v>
      </c>
      <c r="U3" s="173">
        <v>0.11</v>
      </c>
    </row>
    <row r="4" spans="1:22" x14ac:dyDescent="0.25">
      <c r="T4" s="174">
        <f>T3+100000</f>
        <v>10100000</v>
      </c>
      <c r="U4" s="173">
        <v>0.11</v>
      </c>
    </row>
    <row r="5" spans="1:22" x14ac:dyDescent="0.25">
      <c r="T5" s="174">
        <f t="shared" ref="T5:T53" si="0">T4+100000</f>
        <v>10200000</v>
      </c>
      <c r="U5" s="173">
        <v>0.11</v>
      </c>
    </row>
    <row r="6" spans="1:22" x14ac:dyDescent="0.25">
      <c r="T6" s="174">
        <f t="shared" si="0"/>
        <v>10300000</v>
      </c>
      <c r="U6" s="173">
        <v>0.11</v>
      </c>
    </row>
    <row r="7" spans="1:22" x14ac:dyDescent="0.25">
      <c r="T7" s="174">
        <f t="shared" si="0"/>
        <v>10400000</v>
      </c>
      <c r="U7" s="173">
        <v>0.11</v>
      </c>
    </row>
    <row r="8" spans="1:22" x14ac:dyDescent="0.25">
      <c r="T8" s="174">
        <f t="shared" si="0"/>
        <v>10500000</v>
      </c>
      <c r="U8" s="173">
        <v>0.11</v>
      </c>
    </row>
    <row r="9" spans="1:22" x14ac:dyDescent="0.25">
      <c r="T9" s="174">
        <f t="shared" si="0"/>
        <v>10600000</v>
      </c>
      <c r="U9" s="173">
        <v>0.11</v>
      </c>
    </row>
    <row r="10" spans="1:22" x14ac:dyDescent="0.25">
      <c r="T10" s="174">
        <f t="shared" si="0"/>
        <v>10700000</v>
      </c>
      <c r="U10" s="173">
        <v>0.11</v>
      </c>
    </row>
    <row r="11" spans="1:22" x14ac:dyDescent="0.25">
      <c r="T11" s="174">
        <f t="shared" si="0"/>
        <v>10800000</v>
      </c>
      <c r="U11" s="173">
        <v>0.11</v>
      </c>
    </row>
    <row r="12" spans="1:22" x14ac:dyDescent="0.25">
      <c r="T12" s="174">
        <f t="shared" si="0"/>
        <v>10900000</v>
      </c>
      <c r="U12" s="173">
        <v>0.11</v>
      </c>
    </row>
    <row r="13" spans="1:22" ht="18" x14ac:dyDescent="0.25">
      <c r="A13" s="175" t="s">
        <v>183</v>
      </c>
      <c r="T13" s="174">
        <f t="shared" si="0"/>
        <v>11000000</v>
      </c>
      <c r="U13" s="173">
        <v>0.11</v>
      </c>
    </row>
    <row r="14" spans="1:22" x14ac:dyDescent="0.25">
      <c r="A14" s="59"/>
      <c r="T14" s="174">
        <f t="shared" si="0"/>
        <v>11100000</v>
      </c>
      <c r="U14" s="173">
        <v>0.111</v>
      </c>
    </row>
    <row r="15" spans="1:22" ht="30" customHeight="1" x14ac:dyDescent="0.25">
      <c r="A15" s="725" t="str">
        <f>"For the " &amp; '[1]1. Information Sheet'!F32 &amp; " year, enter any Tax Credits from the Cost of Service Tax Calculation (Positive #)"</f>
        <v>For the 2013 year, enter any Tax Credits from the Cost of Service Tax Calculation (Positive #)</v>
      </c>
      <c r="B15" s="725"/>
      <c r="C15" s="725"/>
      <c r="D15" s="725"/>
      <c r="E15" s="725"/>
      <c r="F15" s="725"/>
      <c r="G15" s="725"/>
      <c r="H15" s="725"/>
      <c r="I15" s="725"/>
      <c r="J15" s="725"/>
      <c r="K15" s="725"/>
      <c r="L15" s="176">
        <v>400000</v>
      </c>
      <c r="T15" s="174">
        <f t="shared" si="0"/>
        <v>11200000</v>
      </c>
      <c r="U15" s="173">
        <f>U14+0.13%</f>
        <v>0.1123</v>
      </c>
      <c r="V15" s="173">
        <f>U15-U14</f>
        <v>1.2999999999999956E-3</v>
      </c>
    </row>
    <row r="16" spans="1:22" x14ac:dyDescent="0.25">
      <c r="A16" s="59"/>
      <c r="T16" s="174">
        <f t="shared" si="0"/>
        <v>11300000</v>
      </c>
      <c r="U16" s="173">
        <f t="shared" ref="U16:U18" si="1">U15+0.13%</f>
        <v>0.11359999999999999</v>
      </c>
      <c r="V16" s="173">
        <f t="shared" ref="V16:V53" si="2">U16-U15</f>
        <v>1.2999999999999956E-3</v>
      </c>
    </row>
    <row r="17" spans="1:22" x14ac:dyDescent="0.25">
      <c r="A17" s="59"/>
      <c r="T17" s="174">
        <f t="shared" si="0"/>
        <v>11400000</v>
      </c>
      <c r="U17" s="173">
        <f t="shared" si="1"/>
        <v>0.11489999999999999</v>
      </c>
      <c r="V17" s="173">
        <f t="shared" si="2"/>
        <v>1.2999999999999956E-3</v>
      </c>
    </row>
    <row r="18" spans="1:22" s="178" customFormat="1" ht="27.75" customHeight="1" x14ac:dyDescent="0.25">
      <c r="A18" s="177" t="s">
        <v>184</v>
      </c>
      <c r="L18" s="179">
        <f>'[1]1. Information Sheet'!F32</f>
        <v>2013</v>
      </c>
      <c r="M18" s="180"/>
      <c r="N18" s="179">
        <v>2015</v>
      </c>
      <c r="T18" s="174">
        <f t="shared" si="0"/>
        <v>11500000</v>
      </c>
      <c r="U18" s="173">
        <f t="shared" si="1"/>
        <v>0.11619999999999998</v>
      </c>
      <c r="V18" s="173">
        <f t="shared" si="2"/>
        <v>1.2999999999999956E-3</v>
      </c>
    </row>
    <row r="19" spans="1:22" s="181" customFormat="1" ht="33" customHeight="1" x14ac:dyDescent="0.25">
      <c r="A19" s="726" t="s">
        <v>185</v>
      </c>
      <c r="B19" s="726"/>
      <c r="C19" s="726"/>
      <c r="D19" s="726"/>
      <c r="E19" s="726"/>
      <c r="F19" s="726"/>
      <c r="G19" s="726"/>
      <c r="H19" s="726"/>
      <c r="L19" s="271">
        <v>623497833</v>
      </c>
      <c r="M19" s="272"/>
      <c r="N19" s="273">
        <f>L19</f>
        <v>623497833</v>
      </c>
      <c r="T19" s="174">
        <f t="shared" si="0"/>
        <v>11600000</v>
      </c>
      <c r="U19" s="173">
        <f>U18+0.12%</f>
        <v>0.11739999999999999</v>
      </c>
      <c r="V19" s="173">
        <f t="shared" si="2"/>
        <v>1.2000000000000066E-3</v>
      </c>
    </row>
    <row r="20" spans="1:22" s="181" customFormat="1" ht="15.75" x14ac:dyDescent="0.25">
      <c r="A20" s="183"/>
      <c r="L20" s="182"/>
      <c r="M20" s="182"/>
      <c r="N20" s="270"/>
      <c r="T20" s="174">
        <f t="shared" si="0"/>
        <v>11700000</v>
      </c>
      <c r="U20" s="173">
        <f t="shared" ref="U20:U22" si="3">U19+0.12%</f>
        <v>0.1186</v>
      </c>
      <c r="V20" s="173">
        <f t="shared" si="2"/>
        <v>1.2000000000000066E-3</v>
      </c>
    </row>
    <row r="21" spans="1:22" s="181" customFormat="1" ht="15.75" x14ac:dyDescent="0.25">
      <c r="A21" s="184" t="s">
        <v>186</v>
      </c>
      <c r="L21" s="271">
        <v>15000000</v>
      </c>
      <c r="M21" s="272"/>
      <c r="N21" s="273">
        <f>L21</f>
        <v>15000000</v>
      </c>
      <c r="T21" s="174">
        <f t="shared" si="0"/>
        <v>11800000</v>
      </c>
      <c r="U21" s="173">
        <f t="shared" si="3"/>
        <v>0.1198</v>
      </c>
      <c r="V21" s="173">
        <f t="shared" si="2"/>
        <v>1.2000000000000066E-3</v>
      </c>
    </row>
    <row r="22" spans="1:22" s="181" customFormat="1" ht="15.75" x14ac:dyDescent="0.25">
      <c r="A22" s="183"/>
      <c r="L22" s="272"/>
      <c r="M22" s="272"/>
      <c r="N22" s="272"/>
      <c r="T22" s="174">
        <f t="shared" si="0"/>
        <v>11900000</v>
      </c>
      <c r="U22" s="173">
        <f t="shared" si="3"/>
        <v>0.12100000000000001</v>
      </c>
      <c r="V22" s="173">
        <f t="shared" si="2"/>
        <v>1.2000000000000066E-3</v>
      </c>
    </row>
    <row r="23" spans="1:22" s="181" customFormat="1" ht="15.75" x14ac:dyDescent="0.25">
      <c r="A23" s="183" t="s">
        <v>187</v>
      </c>
      <c r="L23" s="274">
        <f>L19-L21</f>
        <v>608497833</v>
      </c>
      <c r="M23" s="272"/>
      <c r="N23" s="273">
        <f>N19-N21</f>
        <v>608497833</v>
      </c>
      <c r="T23" s="174">
        <f t="shared" si="0"/>
        <v>12000000</v>
      </c>
      <c r="U23" s="173">
        <f>U22+0.112%</f>
        <v>0.12212000000000001</v>
      </c>
      <c r="V23" s="173">
        <f t="shared" si="2"/>
        <v>1.119999999999996E-3</v>
      </c>
    </row>
    <row r="24" spans="1:22" s="181" customFormat="1" ht="15.75" x14ac:dyDescent="0.25">
      <c r="A24" s="183"/>
      <c r="L24" s="272"/>
      <c r="M24" s="272"/>
      <c r="N24" s="272"/>
      <c r="T24" s="174">
        <f t="shared" si="0"/>
        <v>12100000</v>
      </c>
      <c r="U24" s="173">
        <f t="shared" ref="U24:U28" si="4">U23+0.112%</f>
        <v>0.12324</v>
      </c>
      <c r="V24" s="173">
        <f t="shared" si="2"/>
        <v>1.119999999999996E-3</v>
      </c>
    </row>
    <row r="25" spans="1:22" s="181" customFormat="1" ht="15.75" x14ac:dyDescent="0.25">
      <c r="A25" s="183" t="s">
        <v>188</v>
      </c>
      <c r="L25" s="275">
        <v>0</v>
      </c>
      <c r="M25" s="272"/>
      <c r="N25" s="276">
        <v>0</v>
      </c>
      <c r="T25" s="174">
        <f t="shared" si="0"/>
        <v>12200000</v>
      </c>
      <c r="U25" s="173">
        <f t="shared" si="4"/>
        <v>0.12436</v>
      </c>
      <c r="V25" s="173">
        <f t="shared" si="2"/>
        <v>1.119999999999996E-3</v>
      </c>
    </row>
    <row r="26" spans="1:22" s="181" customFormat="1" ht="15.75" x14ac:dyDescent="0.25">
      <c r="A26" s="183"/>
      <c r="L26" s="272"/>
      <c r="M26" s="272"/>
      <c r="N26" s="272"/>
      <c r="T26" s="174">
        <f t="shared" si="0"/>
        <v>12300000</v>
      </c>
      <c r="U26" s="173">
        <f t="shared" si="4"/>
        <v>0.12548000000000001</v>
      </c>
      <c r="V26" s="173">
        <f t="shared" si="2"/>
        <v>1.1200000000000099E-3</v>
      </c>
    </row>
    <row r="27" spans="1:22" s="181" customFormat="1" ht="15.75" x14ac:dyDescent="0.25">
      <c r="A27" s="183" t="s">
        <v>189</v>
      </c>
      <c r="L27" s="274">
        <f>IF(L23&gt;0, L23*L25, 0)*181/365</f>
        <v>0</v>
      </c>
      <c r="M27" s="272"/>
      <c r="N27" s="277">
        <v>0</v>
      </c>
      <c r="T27" s="174">
        <f t="shared" si="0"/>
        <v>12400000</v>
      </c>
      <c r="U27" s="173">
        <f t="shared" si="4"/>
        <v>0.12660000000000002</v>
      </c>
      <c r="V27" s="173">
        <f t="shared" si="2"/>
        <v>1.1200000000000099E-3</v>
      </c>
    </row>
    <row r="28" spans="1:22" s="181" customFormat="1" ht="15.75" x14ac:dyDescent="0.25">
      <c r="A28" s="183"/>
      <c r="L28" s="272"/>
      <c r="M28" s="272"/>
      <c r="N28" s="272"/>
      <c r="T28" s="174">
        <f t="shared" si="0"/>
        <v>12500000</v>
      </c>
      <c r="U28" s="173">
        <f t="shared" si="4"/>
        <v>0.12772000000000003</v>
      </c>
      <c r="V28" s="173">
        <f t="shared" si="2"/>
        <v>1.1200000000000099E-3</v>
      </c>
    </row>
    <row r="29" spans="1:22" ht="18.75" x14ac:dyDescent="0.3">
      <c r="A29" s="185" t="s">
        <v>190</v>
      </c>
      <c r="L29" s="272"/>
      <c r="M29" s="272"/>
      <c r="N29" s="272"/>
      <c r="T29" s="174">
        <f t="shared" si="0"/>
        <v>12600000</v>
      </c>
      <c r="U29" s="173">
        <f>U28+0.102%</f>
        <v>0.12874000000000002</v>
      </c>
      <c r="V29" s="173">
        <f t="shared" si="2"/>
        <v>1.0199999999999931E-3</v>
      </c>
    </row>
    <row r="30" spans="1:22" s="181" customFormat="1" ht="15.75" x14ac:dyDescent="0.25">
      <c r="A30" s="186" t="s">
        <v>191</v>
      </c>
      <c r="B30" s="187"/>
      <c r="L30" s="271">
        <v>10223751</v>
      </c>
      <c r="M30" s="272"/>
      <c r="N30" s="273">
        <f>L30</f>
        <v>10223751</v>
      </c>
      <c r="T30" s="174">
        <f t="shared" si="0"/>
        <v>12700000</v>
      </c>
      <c r="U30" s="173">
        <f t="shared" ref="U30:U33" si="5">U29+0.102%</f>
        <v>0.12976000000000001</v>
      </c>
      <c r="V30" s="173">
        <f t="shared" si="2"/>
        <v>1.0199999999999931E-3</v>
      </c>
    </row>
    <row r="31" spans="1:22" s="181" customFormat="1" ht="15.75" x14ac:dyDescent="0.25">
      <c r="A31" s="186"/>
      <c r="B31" s="187"/>
      <c r="L31" s="272"/>
      <c r="M31" s="272"/>
      <c r="N31" s="272"/>
      <c r="T31" s="174">
        <f t="shared" si="0"/>
        <v>12800000</v>
      </c>
      <c r="U31" s="173">
        <f t="shared" si="5"/>
        <v>0.13078000000000001</v>
      </c>
      <c r="V31" s="173">
        <f t="shared" si="2"/>
        <v>1.0199999999999931E-3</v>
      </c>
    </row>
    <row r="32" spans="1:22" s="181" customFormat="1" ht="15.75" x14ac:dyDescent="0.25">
      <c r="A32" s="186" t="s">
        <v>192</v>
      </c>
      <c r="B32" s="187"/>
      <c r="L32" s="278">
        <v>0.2616</v>
      </c>
      <c r="M32" s="272"/>
      <c r="N32" s="618">
        <f>IF(ratebase&gt;15000000, 26.5%, IF(ratebase&lt;10000000, 15.5%, 15.5%+11%*((ratebase-10000000)/5000000)))</f>
        <v>0.26500000000000001</v>
      </c>
      <c r="T32" s="174">
        <f t="shared" si="0"/>
        <v>12900000</v>
      </c>
      <c r="U32" s="173">
        <f t="shared" si="5"/>
        <v>0.1318</v>
      </c>
      <c r="V32" s="173">
        <f t="shared" si="2"/>
        <v>1.0199999999999931E-3</v>
      </c>
    </row>
    <row r="33" spans="1:22" s="181" customFormat="1" ht="15.75" x14ac:dyDescent="0.25">
      <c r="A33" s="186"/>
      <c r="B33" s="187"/>
      <c r="L33" s="272"/>
      <c r="M33" s="272"/>
      <c r="N33" s="272"/>
      <c r="T33" s="174">
        <f t="shared" si="0"/>
        <v>13000000</v>
      </c>
      <c r="U33" s="173">
        <f t="shared" si="5"/>
        <v>0.13281999999999999</v>
      </c>
      <c r="V33" s="173">
        <f t="shared" si="2"/>
        <v>1.0199999999999931E-3</v>
      </c>
    </row>
    <row r="34" spans="1:22" s="181" customFormat="1" ht="15.75" x14ac:dyDescent="0.25">
      <c r="A34" s="186" t="s">
        <v>193</v>
      </c>
      <c r="B34" s="187"/>
      <c r="L34" s="271">
        <v>2274294</v>
      </c>
      <c r="M34" s="272"/>
      <c r="N34" s="273">
        <f>N30*N32-L15</f>
        <v>2309294.0150000001</v>
      </c>
      <c r="T34" s="174">
        <f t="shared" si="0"/>
        <v>13100000</v>
      </c>
      <c r="U34" s="173">
        <f>U33+0.096%</f>
        <v>0.13377999999999998</v>
      </c>
      <c r="V34" s="173">
        <f t="shared" si="2"/>
        <v>9.5999999999998864E-4</v>
      </c>
    </row>
    <row r="35" spans="1:22" s="181" customFormat="1" ht="15.75" x14ac:dyDescent="0.25">
      <c r="A35" s="183"/>
      <c r="L35" s="272"/>
      <c r="M35" s="272"/>
      <c r="N35" s="272"/>
      <c r="T35" s="174">
        <f t="shared" si="0"/>
        <v>13200000</v>
      </c>
      <c r="U35" s="173">
        <f t="shared" ref="U35:U38" si="6">U34+0.096%</f>
        <v>0.13473999999999997</v>
      </c>
      <c r="V35" s="173">
        <f t="shared" si="2"/>
        <v>9.5999999999998864E-4</v>
      </c>
    </row>
    <row r="36" spans="1:22" ht="15.75" x14ac:dyDescent="0.25">
      <c r="A36" s="188" t="s">
        <v>194</v>
      </c>
      <c r="L36" s="271">
        <v>3079932</v>
      </c>
      <c r="M36" s="272"/>
      <c r="N36" s="273">
        <f>N34/(1-N32)</f>
        <v>3141896.6190476194</v>
      </c>
      <c r="T36" s="174">
        <f t="shared" si="0"/>
        <v>13300000</v>
      </c>
      <c r="U36" s="173">
        <f t="shared" si="6"/>
        <v>0.13569999999999996</v>
      </c>
      <c r="V36" s="173">
        <f t="shared" si="2"/>
        <v>9.5999999999998864E-4</v>
      </c>
    </row>
    <row r="37" spans="1:22" ht="15" customHeight="1" x14ac:dyDescent="0.25">
      <c r="A37" s="189"/>
      <c r="L37" s="272"/>
      <c r="M37" s="272"/>
      <c r="N37" s="272"/>
      <c r="T37" s="174">
        <f t="shared" si="0"/>
        <v>13400000</v>
      </c>
      <c r="U37" s="173">
        <f t="shared" si="6"/>
        <v>0.13665999999999995</v>
      </c>
      <c r="V37" s="173">
        <f t="shared" si="2"/>
        <v>9.5999999999998864E-4</v>
      </c>
    </row>
    <row r="38" spans="1:22" s="181" customFormat="1" ht="15.75" x14ac:dyDescent="0.25">
      <c r="A38" s="190" t="s">
        <v>195</v>
      </c>
      <c r="L38" s="273">
        <f>L27</f>
        <v>0</v>
      </c>
      <c r="M38" s="272"/>
      <c r="N38" s="273">
        <f>N27</f>
        <v>0</v>
      </c>
      <c r="T38" s="174">
        <f t="shared" si="0"/>
        <v>13500000</v>
      </c>
      <c r="U38" s="173">
        <f t="shared" si="6"/>
        <v>0.13761999999999994</v>
      </c>
      <c r="V38" s="173">
        <f t="shared" si="2"/>
        <v>9.5999999999998864E-4</v>
      </c>
    </row>
    <row r="39" spans="1:22" s="181" customFormat="1" ht="15.75" x14ac:dyDescent="0.25">
      <c r="A39" s="190"/>
      <c r="L39" s="272"/>
      <c r="M39" s="272"/>
      <c r="N39" s="272"/>
      <c r="T39" s="174">
        <f t="shared" si="0"/>
        <v>13600000</v>
      </c>
      <c r="U39" s="173">
        <f>U38+0.088%</f>
        <v>0.13849999999999993</v>
      </c>
      <c r="V39" s="173">
        <f t="shared" si="2"/>
        <v>8.799999999999919E-4</v>
      </c>
    </row>
    <row r="40" spans="1:22" s="181" customFormat="1" ht="15.75" x14ac:dyDescent="0.25">
      <c r="A40" s="190" t="s">
        <v>196</v>
      </c>
      <c r="L40" s="273">
        <f>L36</f>
        <v>3079932</v>
      </c>
      <c r="M40" s="272"/>
      <c r="N40" s="273">
        <f>N36</f>
        <v>3141896.6190476194</v>
      </c>
      <c r="T40" s="174">
        <f t="shared" si="0"/>
        <v>13700000</v>
      </c>
      <c r="U40" s="173">
        <f t="shared" ref="U40:U43" si="7">U39+0.088%</f>
        <v>0.13937999999999992</v>
      </c>
      <c r="V40" s="173">
        <f t="shared" si="2"/>
        <v>8.799999999999919E-4</v>
      </c>
    </row>
    <row r="41" spans="1:22" s="181" customFormat="1" ht="15.75" x14ac:dyDescent="0.25">
      <c r="A41" s="190"/>
      <c r="L41" s="272"/>
      <c r="M41" s="272"/>
      <c r="N41" s="272"/>
      <c r="T41" s="174">
        <f t="shared" si="0"/>
        <v>13800000</v>
      </c>
      <c r="U41" s="173">
        <f t="shared" si="7"/>
        <v>0.14025999999999991</v>
      </c>
      <c r="V41" s="173">
        <f t="shared" si="2"/>
        <v>8.799999999999919E-4</v>
      </c>
    </row>
    <row r="42" spans="1:22" s="181" customFormat="1" ht="15.75" x14ac:dyDescent="0.25">
      <c r="A42" s="190" t="s">
        <v>197</v>
      </c>
      <c r="L42" s="273">
        <f>SUM(L40,L38)</f>
        <v>3079932</v>
      </c>
      <c r="M42" s="272"/>
      <c r="N42" s="273">
        <f>SUM(N40,N38)</f>
        <v>3141896.6190476194</v>
      </c>
      <c r="T42" s="174">
        <f t="shared" si="0"/>
        <v>13900000</v>
      </c>
      <c r="U42" s="173">
        <f t="shared" si="7"/>
        <v>0.1411399999999999</v>
      </c>
      <c r="V42" s="173">
        <f t="shared" si="2"/>
        <v>8.799999999999919E-4</v>
      </c>
    </row>
    <row r="43" spans="1:22" s="181" customFormat="1" ht="15.75" x14ac:dyDescent="0.25">
      <c r="A43" s="190"/>
      <c r="L43" s="272"/>
      <c r="M43" s="272"/>
      <c r="N43" s="272"/>
      <c r="T43" s="174">
        <f t="shared" si="0"/>
        <v>14000000</v>
      </c>
      <c r="U43" s="173">
        <f t="shared" si="7"/>
        <v>0.1420199999999999</v>
      </c>
      <c r="V43" s="173">
        <f t="shared" si="2"/>
        <v>8.799999999999919E-4</v>
      </c>
    </row>
    <row r="44" spans="1:22" s="181" customFormat="1" ht="15.75" x14ac:dyDescent="0.25">
      <c r="A44" s="190" t="s">
        <v>198</v>
      </c>
      <c r="L44" s="272"/>
      <c r="M44" s="272"/>
      <c r="N44" s="273">
        <f>N42-L42</f>
        <v>61964.619047619402</v>
      </c>
      <c r="T44" s="174">
        <f t="shared" si="0"/>
        <v>14100000</v>
      </c>
      <c r="U44" s="173">
        <f>U43+0.082%</f>
        <v>0.14283999999999988</v>
      </c>
      <c r="V44" s="173">
        <f t="shared" si="2"/>
        <v>8.1999999999998741E-4</v>
      </c>
    </row>
    <row r="45" spans="1:22" s="181" customFormat="1" ht="15.75" x14ac:dyDescent="0.25">
      <c r="A45" s="190"/>
      <c r="L45" s="272"/>
      <c r="M45" s="272"/>
      <c r="N45" s="272"/>
      <c r="T45" s="174">
        <f t="shared" si="0"/>
        <v>14200000</v>
      </c>
      <c r="U45" s="173">
        <f t="shared" ref="U45:U48" si="8">U44+0.082%</f>
        <v>0.14365999999999987</v>
      </c>
      <c r="V45" s="173">
        <f t="shared" si="2"/>
        <v>8.1999999999998741E-4</v>
      </c>
    </row>
    <row r="46" spans="1:22" s="181" customFormat="1" ht="15.75" x14ac:dyDescent="0.25">
      <c r="A46" s="191" t="s">
        <v>199</v>
      </c>
      <c r="B46" s="192"/>
      <c r="C46" s="192"/>
      <c r="D46" s="192"/>
      <c r="E46" s="192"/>
      <c r="F46" s="192"/>
      <c r="G46" s="192"/>
      <c r="H46" s="192"/>
      <c r="I46" s="192"/>
      <c r="J46" s="192"/>
      <c r="K46" s="192"/>
      <c r="L46" s="279"/>
      <c r="M46" s="279"/>
      <c r="N46" s="280">
        <f>0.5*N44</f>
        <v>30982.309523809701</v>
      </c>
      <c r="T46" s="174">
        <f t="shared" si="0"/>
        <v>14300000</v>
      </c>
      <c r="U46" s="173">
        <f t="shared" si="8"/>
        <v>0.14447999999999986</v>
      </c>
      <c r="V46" s="173">
        <f t="shared" si="2"/>
        <v>8.1999999999998741E-4</v>
      </c>
    </row>
    <row r="47" spans="1:22" s="181" customFormat="1" ht="15.75" x14ac:dyDescent="0.25">
      <c r="T47" s="174">
        <f t="shared" si="0"/>
        <v>14400000</v>
      </c>
      <c r="U47" s="173">
        <f t="shared" si="8"/>
        <v>0.14529999999999985</v>
      </c>
      <c r="V47" s="173">
        <f t="shared" si="2"/>
        <v>8.1999999999998741E-4</v>
      </c>
    </row>
    <row r="48" spans="1:22" ht="18.75" x14ac:dyDescent="0.3">
      <c r="L48" s="193"/>
      <c r="M48" s="193"/>
      <c r="N48" s="193"/>
      <c r="T48" s="174">
        <f t="shared" si="0"/>
        <v>14500000</v>
      </c>
      <c r="U48" s="173">
        <f t="shared" si="8"/>
        <v>0.14611999999999983</v>
      </c>
      <c r="V48" s="173">
        <f t="shared" si="2"/>
        <v>8.1999999999998741E-4</v>
      </c>
    </row>
    <row r="49" spans="20:22" x14ac:dyDescent="0.25">
      <c r="T49" s="174">
        <f t="shared" si="0"/>
        <v>14600000</v>
      </c>
      <c r="U49" s="173">
        <f>U48+0.076%</f>
        <v>0.14687999999999984</v>
      </c>
      <c r="V49" s="173">
        <f t="shared" si="2"/>
        <v>7.6000000000001067E-4</v>
      </c>
    </row>
    <row r="50" spans="20:22" x14ac:dyDescent="0.25">
      <c r="T50" s="174">
        <f t="shared" si="0"/>
        <v>14700000</v>
      </c>
      <c r="U50" s="173">
        <f t="shared" ref="U50:U52" si="9">U49+0.076%</f>
        <v>0.14763999999999985</v>
      </c>
      <c r="V50" s="173">
        <f t="shared" si="2"/>
        <v>7.6000000000001067E-4</v>
      </c>
    </row>
    <row r="51" spans="20:22" x14ac:dyDescent="0.25">
      <c r="T51" s="174">
        <f t="shared" si="0"/>
        <v>14800000</v>
      </c>
      <c r="U51" s="173">
        <f t="shared" si="9"/>
        <v>0.14839999999999987</v>
      </c>
      <c r="V51" s="173">
        <f t="shared" si="2"/>
        <v>7.6000000000001067E-4</v>
      </c>
    </row>
    <row r="52" spans="20:22" x14ac:dyDescent="0.25">
      <c r="T52" s="174">
        <f t="shared" si="0"/>
        <v>14900000</v>
      </c>
      <c r="U52" s="173">
        <f t="shared" si="9"/>
        <v>0.14915999999999988</v>
      </c>
      <c r="V52" s="173">
        <f t="shared" si="2"/>
        <v>7.6000000000001067E-4</v>
      </c>
    </row>
    <row r="53" spans="20:22" x14ac:dyDescent="0.25">
      <c r="T53" s="174">
        <f t="shared" si="0"/>
        <v>15000000</v>
      </c>
      <c r="U53" s="173">
        <v>0.15</v>
      </c>
      <c r="V53" s="173">
        <f t="shared" si="2"/>
        <v>8.4000000000011843E-4</v>
      </c>
    </row>
  </sheetData>
  <mergeCells count="2">
    <mergeCell ref="A15:K15"/>
    <mergeCell ref="A19:H19"/>
  </mergeCells>
  <pageMargins left="0.7" right="0.7" top="0.75" bottom="0.75" header="0.3" footer="0.3"/>
  <pageSetup scale="6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2:X41"/>
  <sheetViews>
    <sheetView topLeftCell="A13" workbookViewId="0">
      <selection activeCell="B35" sqref="B35"/>
    </sheetView>
  </sheetViews>
  <sheetFormatPr defaultRowHeight="15" x14ac:dyDescent="0.25"/>
  <cols>
    <col min="1" max="1" width="61.5703125" style="59" bestFit="1" customWidth="1"/>
    <col min="2" max="2" width="9.140625" style="59"/>
    <col min="3" max="3" width="23.5703125" style="59" customWidth="1"/>
    <col min="4" max="5" width="16" style="59" bestFit="1" customWidth="1"/>
    <col min="6" max="6" width="12.7109375" style="59" bestFit="1" customWidth="1"/>
    <col min="7" max="7" width="16.5703125" style="59" bestFit="1" customWidth="1"/>
    <col min="8" max="9" width="16.85546875" style="59" bestFit="1" customWidth="1"/>
    <col min="10" max="10" width="19.7109375" style="59" customWidth="1"/>
    <col min="11" max="11" width="15.42578125" style="59" bestFit="1" customWidth="1"/>
    <col min="12" max="13" width="16.85546875" style="59" bestFit="1" customWidth="1"/>
    <col min="14" max="14" width="19.28515625" style="59" bestFit="1" customWidth="1"/>
    <col min="15" max="15" width="23.42578125" style="59" customWidth="1"/>
    <col min="16" max="16" width="17.85546875" style="59" bestFit="1" customWidth="1"/>
    <col min="17" max="18" width="19.28515625" style="59" bestFit="1" customWidth="1"/>
    <col min="19" max="19" width="17.5703125" style="59" bestFit="1" customWidth="1"/>
    <col min="20" max="16384" width="9.140625" style="59"/>
  </cols>
  <sheetData>
    <row r="12" spans="1:20" ht="15.75" x14ac:dyDescent="0.25">
      <c r="A12" s="169" t="s">
        <v>637</v>
      </c>
    </row>
    <row r="13" spans="1:20" ht="15.75" x14ac:dyDescent="0.25">
      <c r="A13" s="619" t="s">
        <v>638</v>
      </c>
    </row>
    <row r="15" spans="1:20" s="622" customFormat="1" ht="51" x14ac:dyDescent="0.2">
      <c r="A15" s="620" t="s">
        <v>4</v>
      </c>
      <c r="B15" s="621"/>
      <c r="C15" s="621" t="s">
        <v>160</v>
      </c>
      <c r="D15" s="621" t="s">
        <v>159</v>
      </c>
      <c r="E15" s="621" t="s">
        <v>161</v>
      </c>
      <c r="F15" s="621" t="s">
        <v>639</v>
      </c>
      <c r="G15" s="621" t="s">
        <v>640</v>
      </c>
      <c r="H15" s="621" t="s">
        <v>641</v>
      </c>
      <c r="I15" s="621" t="s">
        <v>162</v>
      </c>
      <c r="J15" s="621" t="s">
        <v>163</v>
      </c>
      <c r="K15" s="621" t="s">
        <v>164</v>
      </c>
      <c r="L15" s="621" t="s">
        <v>165</v>
      </c>
      <c r="M15" s="621" t="s">
        <v>642</v>
      </c>
      <c r="N15" s="621" t="s">
        <v>643</v>
      </c>
      <c r="O15" s="621" t="s">
        <v>644</v>
      </c>
      <c r="P15" s="621" t="s">
        <v>166</v>
      </c>
    </row>
    <row r="16" spans="1:20" s="189" customFormat="1" ht="15.75" x14ac:dyDescent="0.25">
      <c r="A16" s="171"/>
      <c r="B16" s="170"/>
      <c r="C16" s="170" t="s">
        <v>167</v>
      </c>
      <c r="D16" s="170" t="s">
        <v>168</v>
      </c>
      <c r="E16" s="170" t="s">
        <v>169</v>
      </c>
      <c r="F16" s="170" t="s">
        <v>170</v>
      </c>
      <c r="G16" s="170" t="s">
        <v>171</v>
      </c>
      <c r="H16" s="170" t="s">
        <v>172</v>
      </c>
      <c r="I16" s="170" t="s">
        <v>173</v>
      </c>
      <c r="J16" s="170" t="s">
        <v>174</v>
      </c>
      <c r="K16" s="170" t="s">
        <v>175</v>
      </c>
      <c r="L16" s="170" t="s">
        <v>176</v>
      </c>
      <c r="M16" s="170" t="s">
        <v>177</v>
      </c>
      <c r="N16" s="170" t="s">
        <v>178</v>
      </c>
      <c r="O16" s="170" t="s">
        <v>179</v>
      </c>
      <c r="P16" s="170" t="s">
        <v>180</v>
      </c>
      <c r="Q16" s="623"/>
      <c r="R16" s="623"/>
      <c r="S16" s="623"/>
      <c r="T16" s="623"/>
    </row>
    <row r="17" spans="1:24" ht="15.75" customHeight="1" thickBot="1" x14ac:dyDescent="0.3">
      <c r="A17" s="624" t="s">
        <v>304</v>
      </c>
      <c r="B17" s="59" t="s">
        <v>645</v>
      </c>
      <c r="C17" s="625">
        <v>176865</v>
      </c>
      <c r="D17" s="626">
        <v>1423857474.8199999</v>
      </c>
      <c r="E17" s="626"/>
      <c r="F17" s="627">
        <v>12.83</v>
      </c>
      <c r="G17" s="628">
        <v>1.29E-2</v>
      </c>
      <c r="H17" s="629"/>
      <c r="I17" s="559">
        <f t="shared" ref="I17:I24" si="0">F17*C17*12</f>
        <v>27230135.400000002</v>
      </c>
      <c r="J17" s="559">
        <f t="shared" ref="J17:K24" si="1">D17*G17</f>
        <v>18367761.425177999</v>
      </c>
      <c r="K17" s="559">
        <f t="shared" si="1"/>
        <v>0</v>
      </c>
      <c r="L17" s="559">
        <f t="shared" ref="L17:L24" si="2">I17+J17+K17</f>
        <v>45597896.825177997</v>
      </c>
      <c r="M17" s="630">
        <f t="shared" ref="M17:M24" si="3">IF(ISERROR(I17/L17),0,I17/L17)</f>
        <v>0.59717963537660834</v>
      </c>
      <c r="N17" s="630">
        <f t="shared" ref="N17:N24" si="4">IF(ISERROR(J17/L17),0,J17/L17)</f>
        <v>0.40282036462339177</v>
      </c>
      <c r="O17" s="630">
        <f t="shared" ref="O17:O24" si="5">IF(ISERROR(K17/L17),0,K17/L17)</f>
        <v>0</v>
      </c>
      <c r="P17" s="630">
        <f>IF(ISERROR(L17/L25),0,L17/L25)</f>
        <v>0.38622283275663399</v>
      </c>
    </row>
    <row r="18" spans="1:24" ht="15.75" customHeight="1" thickBot="1" x14ac:dyDescent="0.3">
      <c r="A18" s="624" t="s">
        <v>305</v>
      </c>
      <c r="B18" s="59" t="s">
        <v>645</v>
      </c>
      <c r="C18" s="631">
        <v>17703</v>
      </c>
      <c r="D18" s="632">
        <v>612188100.89999998</v>
      </c>
      <c r="E18" s="632"/>
      <c r="F18" s="633">
        <v>39.49</v>
      </c>
      <c r="G18" s="634">
        <v>1.15E-2</v>
      </c>
      <c r="H18" s="635"/>
      <c r="I18" s="559">
        <f t="shared" si="0"/>
        <v>8389097.6400000006</v>
      </c>
      <c r="J18" s="559">
        <f t="shared" si="1"/>
        <v>7040163.1603499996</v>
      </c>
      <c r="K18" s="559">
        <f t="shared" si="1"/>
        <v>0</v>
      </c>
      <c r="L18" s="559">
        <f t="shared" si="2"/>
        <v>15429260.800349999</v>
      </c>
      <c r="M18" s="630">
        <f t="shared" si="3"/>
        <v>0.5437135160622667</v>
      </c>
      <c r="N18" s="630">
        <f t="shared" si="4"/>
        <v>0.45628648393773341</v>
      </c>
      <c r="O18" s="630">
        <f t="shared" si="5"/>
        <v>0</v>
      </c>
      <c r="P18" s="630">
        <f>IF(ISERROR(L18/L25),0,L18/L25)</f>
        <v>0.13068876480201133</v>
      </c>
    </row>
    <row r="19" spans="1:24" ht="15.75" customHeight="1" thickBot="1" x14ac:dyDescent="0.3">
      <c r="A19" s="624" t="s">
        <v>307</v>
      </c>
      <c r="B19" s="59" t="s">
        <v>214</v>
      </c>
      <c r="C19" s="631">
        <v>3950</v>
      </c>
      <c r="D19" s="632"/>
      <c r="E19" s="632">
        <v>6222022.0899999999</v>
      </c>
      <c r="F19" s="633">
        <v>69.540000000000006</v>
      </c>
      <c r="G19" s="634"/>
      <c r="H19" s="635">
        <v>4.1852999999999998</v>
      </c>
      <c r="I19" s="559">
        <f t="shared" si="0"/>
        <v>3296196</v>
      </c>
      <c r="J19" s="559">
        <f t="shared" si="1"/>
        <v>0</v>
      </c>
      <c r="K19" s="559">
        <f t="shared" si="1"/>
        <v>26041029.053276997</v>
      </c>
      <c r="L19" s="559">
        <f t="shared" si="2"/>
        <v>29337225.053276997</v>
      </c>
      <c r="M19" s="630">
        <f t="shared" si="3"/>
        <v>0.11235541173420598</v>
      </c>
      <c r="N19" s="630">
        <f t="shared" si="4"/>
        <v>0</v>
      </c>
      <c r="O19" s="630">
        <f t="shared" si="5"/>
        <v>0.88764458826579407</v>
      </c>
      <c r="P19" s="630">
        <f>IF(ISERROR(L19/L25),0,L19/L25)</f>
        <v>0.24849185936661464</v>
      </c>
    </row>
    <row r="20" spans="1:24" ht="15.75" customHeight="1" thickBot="1" x14ac:dyDescent="0.3">
      <c r="A20" s="624" t="s">
        <v>308</v>
      </c>
      <c r="B20" s="59" t="s">
        <v>214</v>
      </c>
      <c r="C20" s="631">
        <v>464</v>
      </c>
      <c r="D20" s="632"/>
      <c r="E20" s="632">
        <v>5154338</v>
      </c>
      <c r="F20" s="633">
        <v>1583.69</v>
      </c>
      <c r="G20" s="634"/>
      <c r="H20" s="635">
        <v>2.1536</v>
      </c>
      <c r="I20" s="559">
        <f t="shared" si="0"/>
        <v>8817985.9199999999</v>
      </c>
      <c r="J20" s="559">
        <f t="shared" si="1"/>
        <v>0</v>
      </c>
      <c r="K20" s="559">
        <f t="shared" si="1"/>
        <v>11100382.3168</v>
      </c>
      <c r="L20" s="559">
        <f t="shared" si="2"/>
        <v>19918368.2368</v>
      </c>
      <c r="M20" s="630">
        <f t="shared" si="3"/>
        <v>0.44270624054978613</v>
      </c>
      <c r="N20" s="630">
        <f t="shared" si="4"/>
        <v>0</v>
      </c>
      <c r="O20" s="630">
        <f t="shared" si="5"/>
        <v>0.55729375945021387</v>
      </c>
      <c r="P20" s="630">
        <f>IF(ISERROR(L20/L25),0,L20/L25)</f>
        <v>0.16871235605013296</v>
      </c>
    </row>
    <row r="21" spans="1:24" ht="15.75" customHeight="1" thickBot="1" x14ac:dyDescent="0.3">
      <c r="A21" s="624" t="s">
        <v>444</v>
      </c>
      <c r="B21" s="59" t="s">
        <v>214</v>
      </c>
      <c r="C21" s="631">
        <v>9</v>
      </c>
      <c r="D21" s="632"/>
      <c r="E21" s="632">
        <v>1737266.52</v>
      </c>
      <c r="F21" s="633">
        <v>12486.8</v>
      </c>
      <c r="G21" s="634"/>
      <c r="H21" s="635">
        <v>2.6730999999999998</v>
      </c>
      <c r="I21" s="559">
        <f t="shared" si="0"/>
        <v>1348574.4</v>
      </c>
      <c r="J21" s="559">
        <f t="shared" si="1"/>
        <v>0</v>
      </c>
      <c r="K21" s="559">
        <f t="shared" si="1"/>
        <v>4643887.1346119996</v>
      </c>
      <c r="L21" s="559">
        <f t="shared" si="2"/>
        <v>5992461.534612</v>
      </c>
      <c r="M21" s="630">
        <f t="shared" si="3"/>
        <v>0.22504514917796922</v>
      </c>
      <c r="N21" s="630">
        <f t="shared" si="4"/>
        <v>0</v>
      </c>
      <c r="O21" s="630">
        <f t="shared" si="5"/>
        <v>0.77495485082203075</v>
      </c>
      <c r="P21" s="630">
        <f>IF(ISERROR(L21/L25),0,L21/L25)</f>
        <v>5.0757285537894506E-2</v>
      </c>
    </row>
    <row r="22" spans="1:24" ht="15.75" customHeight="1" thickBot="1" x14ac:dyDescent="0.3">
      <c r="A22" s="624" t="s">
        <v>306</v>
      </c>
      <c r="B22" s="59" t="s">
        <v>645</v>
      </c>
      <c r="C22" s="631">
        <v>2942</v>
      </c>
      <c r="D22" s="632">
        <v>10383026.67</v>
      </c>
      <c r="E22" s="632"/>
      <c r="F22" s="633">
        <v>8.15</v>
      </c>
      <c r="G22" s="634">
        <v>1.49E-2</v>
      </c>
      <c r="H22" s="635"/>
      <c r="I22" s="559">
        <f t="shared" si="0"/>
        <v>287727.59999999998</v>
      </c>
      <c r="J22" s="559">
        <f t="shared" si="1"/>
        <v>154707.09738299999</v>
      </c>
      <c r="K22" s="559">
        <f t="shared" si="1"/>
        <v>0</v>
      </c>
      <c r="L22" s="559">
        <f t="shared" si="2"/>
        <v>442434.69738299993</v>
      </c>
      <c r="M22" s="630">
        <f t="shared" si="3"/>
        <v>0.65032783753604306</v>
      </c>
      <c r="N22" s="630">
        <f t="shared" si="4"/>
        <v>0.34967216246395694</v>
      </c>
      <c r="O22" s="630">
        <f t="shared" si="5"/>
        <v>0</v>
      </c>
      <c r="P22" s="630">
        <f>IF(ISERROR(L22/L25),0,L22/L25)</f>
        <v>3.7475057849319857E-3</v>
      </c>
    </row>
    <row r="23" spans="1:24" ht="15.75" customHeight="1" thickBot="1" x14ac:dyDescent="0.3">
      <c r="A23" s="624" t="s">
        <v>309</v>
      </c>
      <c r="B23" s="59" t="s">
        <v>645</v>
      </c>
      <c r="C23" s="631">
        <v>49986</v>
      </c>
      <c r="D23" s="632">
        <v>0</v>
      </c>
      <c r="E23" s="632">
        <v>49889</v>
      </c>
      <c r="F23" s="633">
        <v>1.37</v>
      </c>
      <c r="G23" s="634"/>
      <c r="H23" s="635">
        <v>10.457100000000001</v>
      </c>
      <c r="I23" s="559">
        <f t="shared" si="0"/>
        <v>821769.84000000008</v>
      </c>
      <c r="J23" s="559">
        <f t="shared" si="1"/>
        <v>0</v>
      </c>
      <c r="K23" s="559">
        <f t="shared" si="1"/>
        <v>521694.26190000004</v>
      </c>
      <c r="L23" s="559">
        <f t="shared" si="2"/>
        <v>1343464.1019000001</v>
      </c>
      <c r="M23" s="630">
        <f t="shared" si="3"/>
        <v>0.61167979020638397</v>
      </c>
      <c r="N23" s="630">
        <f t="shared" si="4"/>
        <v>0</v>
      </c>
      <c r="O23" s="630">
        <f t="shared" si="5"/>
        <v>0.38832020979361609</v>
      </c>
      <c r="P23" s="630">
        <f>IF(ISERROR(L23/L25),0,L23/L25)</f>
        <v>1.1379395701780589E-2</v>
      </c>
    </row>
    <row r="24" spans="1:24" ht="15.75" customHeight="1" thickBot="1" x14ac:dyDescent="0.3">
      <c r="A24" s="636" t="s">
        <v>459</v>
      </c>
      <c r="B24" s="637" t="s">
        <v>214</v>
      </c>
      <c r="C24" s="638"/>
      <c r="D24" s="639"/>
      <c r="E24" s="639"/>
      <c r="F24" s="640"/>
      <c r="G24" s="641"/>
      <c r="H24" s="642"/>
      <c r="I24" s="563">
        <f t="shared" si="0"/>
        <v>0</v>
      </c>
      <c r="J24" s="563">
        <f t="shared" si="1"/>
        <v>0</v>
      </c>
      <c r="K24" s="563">
        <f t="shared" si="1"/>
        <v>0</v>
      </c>
      <c r="L24" s="563">
        <f t="shared" si="2"/>
        <v>0</v>
      </c>
      <c r="M24" s="643">
        <f t="shared" si="3"/>
        <v>0</v>
      </c>
      <c r="N24" s="643">
        <f t="shared" si="4"/>
        <v>0</v>
      </c>
      <c r="O24" s="643">
        <f t="shared" si="5"/>
        <v>0</v>
      </c>
      <c r="P24" s="643">
        <f>IF(ISERROR(L24/L25),0,L24/L25)</f>
        <v>0</v>
      </c>
      <c r="Q24" s="134"/>
      <c r="R24" s="134"/>
      <c r="S24" s="134"/>
      <c r="T24" s="134"/>
      <c r="U24" s="134"/>
      <c r="V24" s="134"/>
      <c r="W24" s="134"/>
      <c r="X24" s="134"/>
    </row>
    <row r="25" spans="1:24" x14ac:dyDescent="0.25">
      <c r="A25" s="286" t="s">
        <v>24</v>
      </c>
      <c r="C25" s="644">
        <f>SUM(C17:C24)</f>
        <v>251919</v>
      </c>
      <c r="D25" s="644">
        <f>SUM(D17:D24)</f>
        <v>2046428602.3899999</v>
      </c>
      <c r="E25" s="644">
        <f>SUM(E17:E24)</f>
        <v>13163515.609999999</v>
      </c>
      <c r="I25" s="559">
        <f>SUM(I17:I24)</f>
        <v>50191486.800000012</v>
      </c>
      <c r="J25" s="559">
        <f>SUM(J17:J24)</f>
        <v>25562631.682910997</v>
      </c>
      <c r="K25" s="559">
        <f>SUM(K17:K24)</f>
        <v>42306992.766589001</v>
      </c>
      <c r="L25" s="559">
        <f>SUM(L17:L24)</f>
        <v>118061111.24949999</v>
      </c>
      <c r="P25" s="560">
        <f>SUM(P17:P24)</f>
        <v>1</v>
      </c>
    </row>
    <row r="28" spans="1:24" ht="38.25" x14ac:dyDescent="0.25">
      <c r="A28" s="645" t="s">
        <v>4</v>
      </c>
      <c r="B28" s="558"/>
      <c r="C28" s="558" t="s">
        <v>646</v>
      </c>
      <c r="D28" s="558" t="s">
        <v>647</v>
      </c>
      <c r="E28" s="558" t="s">
        <v>200</v>
      </c>
      <c r="F28" s="558" t="s">
        <v>648</v>
      </c>
      <c r="G28" s="558"/>
      <c r="H28" s="558"/>
      <c r="I28" s="558"/>
    </row>
    <row r="29" spans="1:24" ht="15.75" customHeight="1" x14ac:dyDescent="0.25">
      <c r="A29" s="624" t="s">
        <v>304</v>
      </c>
      <c r="B29" s="59" t="s">
        <v>645</v>
      </c>
      <c r="C29" s="646">
        <v>1469096847</v>
      </c>
      <c r="D29" s="646">
        <v>0</v>
      </c>
      <c r="E29" s="559">
        <f>P17*E37</f>
        <v>11966.075349628623</v>
      </c>
      <c r="F29" s="647">
        <f>IF(ISERROR(E29/C17), 0,ROUND(E29/C17/12, 2))</f>
        <v>0.01</v>
      </c>
      <c r="G29" s="59" t="s">
        <v>649</v>
      </c>
    </row>
    <row r="30" spans="1:24" ht="15.75" customHeight="1" x14ac:dyDescent="0.25">
      <c r="A30" s="624" t="s">
        <v>305</v>
      </c>
      <c r="B30" s="59" t="s">
        <v>645</v>
      </c>
      <c r="C30" s="646">
        <v>647112058</v>
      </c>
      <c r="D30" s="646">
        <v>0</v>
      </c>
      <c r="E30" s="559">
        <f>P18*E37</f>
        <v>4049.0397623802819</v>
      </c>
      <c r="F30" s="648">
        <f>IF(ISERROR(E30/C30), 0,E30/C30)</f>
        <v>6.2570921254264158E-6</v>
      </c>
      <c r="G30" s="59" t="s">
        <v>645</v>
      </c>
    </row>
    <row r="31" spans="1:24" ht="15.75" customHeight="1" x14ac:dyDescent="0.25">
      <c r="A31" s="624" t="s">
        <v>307</v>
      </c>
      <c r="B31" s="59" t="s">
        <v>214</v>
      </c>
      <c r="C31" s="646">
        <v>2104160255</v>
      </c>
      <c r="D31" s="646">
        <v>6035821</v>
      </c>
      <c r="E31" s="559">
        <f>P19*E37</f>
        <v>7698.8517010434452</v>
      </c>
      <c r="F31" s="648">
        <f>IF(ISERROR(E31/D31), 0,E31/D31)</f>
        <v>1.2755268423373465E-3</v>
      </c>
      <c r="G31" s="59" t="s">
        <v>214</v>
      </c>
    </row>
    <row r="32" spans="1:24" ht="15.75" customHeight="1" x14ac:dyDescent="0.25">
      <c r="A32" s="624" t="s">
        <v>308</v>
      </c>
      <c r="B32" s="59" t="s">
        <v>214</v>
      </c>
      <c r="C32" s="646">
        <v>2087036250</v>
      </c>
      <c r="D32" s="646">
        <v>4709432</v>
      </c>
      <c r="E32" s="559">
        <f>P20*E37</f>
        <v>5227.0984356364079</v>
      </c>
      <c r="F32" s="648">
        <f>IF(ISERROR(E32/D32), 0,E32/D32)</f>
        <v>1.1099212040085529E-3</v>
      </c>
      <c r="G32" s="59" t="s">
        <v>214</v>
      </c>
    </row>
    <row r="33" spans="1:7" ht="15.75" customHeight="1" x14ac:dyDescent="0.25">
      <c r="A33" s="624" t="s">
        <v>444</v>
      </c>
      <c r="B33" s="59" t="s">
        <v>214</v>
      </c>
      <c r="C33" s="646">
        <v>1002165608</v>
      </c>
      <c r="D33" s="646">
        <v>1741184</v>
      </c>
      <c r="E33" s="559">
        <f>P21*E37</f>
        <v>1572.5779311234373</v>
      </c>
      <c r="F33" s="648">
        <f>IF(ISERROR(E33/D33), 0,E33/D33)</f>
        <v>9.031658521577486E-4</v>
      </c>
      <c r="G33" s="59" t="s">
        <v>214</v>
      </c>
    </row>
    <row r="34" spans="1:7" ht="15.75" customHeight="1" x14ac:dyDescent="0.25">
      <c r="A34" s="624" t="s">
        <v>306</v>
      </c>
      <c r="B34" s="59" t="s">
        <v>645</v>
      </c>
      <c r="C34" s="646">
        <v>11501822</v>
      </c>
      <c r="D34" s="646">
        <v>0</v>
      </c>
      <c r="E34" s="559">
        <f>P22*E37</f>
        <v>116.10638417103021</v>
      </c>
      <c r="F34" s="648">
        <f>IF(ISERROR(E34/C34), 0,E34/C34)</f>
        <v>1.0094607982198839E-5</v>
      </c>
      <c r="G34" s="59" t="s">
        <v>645</v>
      </c>
    </row>
    <row r="35" spans="1:7" ht="15.75" customHeight="1" x14ac:dyDescent="0.25">
      <c r="A35" s="624" t="s">
        <v>309</v>
      </c>
      <c r="B35" s="59" t="s">
        <v>214</v>
      </c>
      <c r="C35" s="646">
        <v>31923315</v>
      </c>
      <c r="D35" s="646">
        <v>90307</v>
      </c>
      <c r="E35" s="559">
        <f>P23*E37</f>
        <v>352.5599598264759</v>
      </c>
      <c r="F35" s="648">
        <f>IF(ISERROR(E35/D35), 0,E35/D35)</f>
        <v>3.9040158550995591E-3</v>
      </c>
      <c r="G35" s="59" t="s">
        <v>645</v>
      </c>
    </row>
    <row r="36" spans="1:7" ht="15.75" customHeight="1" thickBot="1" x14ac:dyDescent="0.3">
      <c r="A36" s="636" t="s">
        <v>459</v>
      </c>
      <c r="B36" s="637" t="s">
        <v>214</v>
      </c>
      <c r="C36" s="649">
        <v>0</v>
      </c>
      <c r="D36" s="649">
        <v>0</v>
      </c>
      <c r="E36" s="563">
        <f>P24*E37</f>
        <v>0</v>
      </c>
      <c r="F36" s="650">
        <f>IF(ISERROR(E36/D36), 0,E36/D36)</f>
        <v>0</v>
      </c>
      <c r="G36" s="637" t="s">
        <v>214</v>
      </c>
    </row>
    <row r="37" spans="1:7" x14ac:dyDescent="0.25">
      <c r="A37" s="286" t="s">
        <v>24</v>
      </c>
      <c r="C37" s="646">
        <f>SUM(C29:C36)</f>
        <v>7352996155</v>
      </c>
      <c r="D37" s="646">
        <f>SUM(D29:D36)</f>
        <v>12576744</v>
      </c>
      <c r="E37" s="651">
        <f>'7. STS - Tax Change'!N46</f>
        <v>30982.309523809701</v>
      </c>
      <c r="F37" s="648"/>
    </row>
    <row r="41" spans="1:7" ht="15.75" x14ac:dyDescent="0.25">
      <c r="A41" s="16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26930AC81FE74A97DB69A7F7AEBEEA" ma:contentTypeVersion="0" ma:contentTypeDescription="Create a new document." ma:contentTypeScope="" ma:versionID="3827822f73c73d9cc1399aa38756262a">
  <xsd:schema xmlns:xsd="http://www.w3.org/2001/XMLSchema" xmlns:xs="http://www.w3.org/2001/XMLSchema" xmlns:p="http://schemas.microsoft.com/office/2006/metadata/properties" targetNamespace="http://schemas.microsoft.com/office/2006/metadata/properties" ma:root="true" ma:fieldsID="8022916f55ab85163ee9a5069dec31d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246AC8-1E5C-4A7A-890C-A0C256384A1A}">
  <ds:schemaRefs>
    <ds:schemaRef ds:uri="http://schemas.microsoft.com/sharepoint/v3/contenttype/forms"/>
  </ds:schemaRefs>
</ds:datastoreItem>
</file>

<file path=customXml/itemProps2.xml><?xml version="1.0" encoding="utf-8"?>
<ds:datastoreItem xmlns:ds="http://schemas.openxmlformats.org/officeDocument/2006/customXml" ds:itemID="{0D0917C2-FA00-4C31-8F3E-F5BAACF69A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C27C0B5-E91E-4480-96C9-30020CC46594}">
  <ds:schemaRef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vt:i4>
      </vt:variant>
    </vt:vector>
  </HeadingPairs>
  <TitlesOfParts>
    <vt:vector size="26" baseType="lpstr">
      <vt:lpstr>Threshold Test</vt:lpstr>
      <vt:lpstr>3. Continuity Schedule</vt:lpstr>
      <vt:lpstr>1. Billing Det. for Def-Var</vt:lpstr>
      <vt:lpstr>2. Allocating Def-Var Balances</vt:lpstr>
      <vt:lpstr>3. Calculation of Def-Var RR</vt:lpstr>
      <vt:lpstr>4. Calculation of GA RR</vt:lpstr>
      <vt:lpstr>5. Summary of Def-Var RR</vt:lpstr>
      <vt:lpstr>7. STS - Tax Change</vt:lpstr>
      <vt:lpstr>8. Shared Tax - Rate Rider</vt:lpstr>
      <vt:lpstr>9.RTSR Current Rates</vt:lpstr>
      <vt:lpstr>10. RTSR - UTR's and Sub-tx</vt:lpstr>
      <vt:lpstr>11. RTSR - Historical Wholesale</vt:lpstr>
      <vt:lpstr>12. RTSR - Current Wholesale</vt:lpstr>
      <vt:lpstr>13. RTSR - Forecast Wholesale</vt:lpstr>
      <vt:lpstr>14. RTSR  Rates to Forecast </vt:lpstr>
      <vt:lpstr>6. Rev2Cost_GDPIPI</vt:lpstr>
      <vt:lpstr>16. Additional Rates</vt:lpstr>
      <vt:lpstr>7. Final Tariff Schedule</vt:lpstr>
      <vt:lpstr>Bill Impacts</vt:lpstr>
      <vt:lpstr>RTSR % Change</vt:lpstr>
      <vt:lpstr>COS_RES_CUSTOMERS</vt:lpstr>
      <vt:lpstr>COS_RES_KWH</vt:lpstr>
      <vt:lpstr>'4. Calculation of GA RR'!Print_Titles</vt:lpstr>
      <vt:lpstr>'7. Final Tariff Schedule'!Print_Titles</vt:lpstr>
      <vt:lpstr>ratebase</vt:lpstr>
      <vt:lpstr>YRS_LEFT</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Belinda Dhaliwal</dc:creator>
  <cp:lastModifiedBy>Sharon du Quesnay</cp:lastModifiedBy>
  <cp:lastPrinted>2015-09-22T20:17:12Z</cp:lastPrinted>
  <dcterms:created xsi:type="dcterms:W3CDTF">2015-06-17T17:28:16Z</dcterms:created>
  <dcterms:modified xsi:type="dcterms:W3CDTF">2015-09-22T20:17:16Z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0x010100C526930AC81FE74A97DB69A7F7AEBEEA</vt:lpwstr>
  </property>
</Properties>
</file>